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S:\Accepted\2026\02 August 18, 2026\26-602 Driftwood Flats\"/>
    </mc:Choice>
  </mc:AlternateContent>
  <xr:revisionPtr revIDLastSave="0" documentId="13_ncr:1_{70CF1BBA-48DB-40A6-9BBE-A857257C4C60}"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536" yWindow="1536" windowWidth="20712" windowHeight="12120" tabRatio="889"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4" l="1"/>
  <c r="G27" i="4"/>
  <c r="G93" i="4"/>
  <c r="C95" i="4"/>
  <c r="Y207" i="24"/>
  <c r="Y206" i="24"/>
  <c r="Y205" i="24"/>
  <c r="Y204" i="24"/>
  <c r="U207" i="24"/>
  <c r="U206" i="24"/>
  <c r="U205" i="24"/>
  <c r="U204" i="24"/>
  <c r="Q638" i="3"/>
  <c r="AG457" i="3"/>
  <c r="W879" i="3"/>
  <c r="J4" i="4" l="1"/>
  <c r="Z53" i="24"/>
  <c r="Z52" i="24"/>
  <c r="W872" i="3"/>
  <c r="AG455" i="3"/>
  <c r="O86" i="24"/>
  <c r="E30" i="4"/>
  <c r="C45" i="4" l="1"/>
  <c r="F85" i="4" l="1"/>
  <c r="E31" i="4"/>
  <c r="F31" i="4" s="1"/>
  <c r="AO648" i="3"/>
  <c r="S45" i="4" l="1"/>
  <c r="G94" i="4"/>
  <c r="G92" i="4"/>
  <c r="G91" i="4"/>
  <c r="G90" i="4"/>
  <c r="G89" i="4"/>
  <c r="G88" i="4"/>
  <c r="G86" i="4"/>
  <c r="G85" i="4"/>
  <c r="F84" i="4"/>
  <c r="F83" i="4"/>
  <c r="F80" i="4"/>
  <c r="F79" i="4"/>
  <c r="F75" i="4"/>
  <c r="F65" i="4"/>
  <c r="F58" i="4"/>
  <c r="F61" i="4"/>
  <c r="F56" i="4"/>
  <c r="F46" i="4"/>
  <c r="F49" i="4"/>
  <c r="F50" i="4"/>
  <c r="F52" i="4"/>
  <c r="F53" i="4"/>
  <c r="F40" i="4"/>
  <c r="F37" i="4"/>
  <c r="F35" i="4"/>
  <c r="F33" i="4"/>
  <c r="F32" i="4"/>
  <c r="F45" i="4"/>
  <c r="G95" i="4"/>
  <c r="F43" i="4"/>
  <c r="AA928" i="3"/>
  <c r="AA927" i="3"/>
  <c r="AB97" i="24" l="1"/>
  <c r="V97" i="24"/>
  <c r="O97" i="24"/>
  <c r="I97" i="24"/>
  <c r="AU185" i="24" l="1"/>
  <c r="G57" i="7" l="1"/>
  <c r="I57" i="7" s="1"/>
  <c r="K57" i="7" s="1"/>
  <c r="M57" i="7" s="1"/>
  <c r="O57" i="7" s="1"/>
  <c r="Q57" i="7" s="1"/>
  <c r="S57" i="7" s="1"/>
  <c r="U57" i="7" s="1"/>
  <c r="W57" i="7" s="1"/>
  <c r="Y57" i="7" s="1"/>
  <c r="AA57" i="7" s="1"/>
  <c r="AC57" i="7" s="1"/>
  <c r="AE57" i="7" s="1"/>
  <c r="AG57" i="7" s="1"/>
  <c r="E41" i="7"/>
  <c r="C69" i="4"/>
  <c r="F69" i="4" s="1"/>
  <c r="E29" i="4"/>
  <c r="E5" i="4"/>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AC204" i="24" l="1"/>
  <c r="AC206" i="24"/>
  <c r="AC207" i="24"/>
  <c r="AC205" i="24"/>
  <c r="J28" i="24"/>
  <c r="AN29" i="24"/>
  <c r="J24" i="24"/>
  <c r="J20" i="24"/>
  <c r="P29" i="24"/>
  <c r="J19" i="24"/>
  <c r="J23" i="24"/>
  <c r="J22" i="24"/>
  <c r="V29" i="24"/>
  <c r="AB29" i="24"/>
  <c r="AH29" i="24"/>
  <c r="J21" i="24"/>
  <c r="AC211" i="24" l="1"/>
  <c r="J29" i="24"/>
  <c r="AT22" i="24" s="1"/>
  <c r="BB6" i="24" a="1"/>
  <c r="BB6" i="24" s="1"/>
  <c r="BB5" i="24" l="1" a="1"/>
  <c r="BB5" i="24" s="1"/>
  <c r="BB4" i="24" a="1"/>
  <c r="BB4"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BE106" i="3"/>
  <c r="BE107" i="3"/>
  <c r="BE108" i="3"/>
  <c r="BE109" i="3"/>
  <c r="BE110" i="3"/>
  <c r="BE105" i="3"/>
  <c r="BE64" i="3"/>
  <c r="G37" i="21" l="1"/>
  <c r="C39" i="21" s="1"/>
  <c r="T826" i="20"/>
  <c r="AF826" i="20"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E40" i="7"/>
  <c r="A40" i="7"/>
  <c r="E33" i="7"/>
  <c r="E32" i="7"/>
  <c r="E31" i="7"/>
  <c r="E30" i="7"/>
  <c r="E29" i="7"/>
  <c r="E28" i="7"/>
  <c r="G28" i="7" s="1"/>
  <c r="I28" i="7" s="1"/>
  <c r="K28" i="7" s="1"/>
  <c r="M28" i="7" s="1"/>
  <c r="O28" i="7" s="1"/>
  <c r="Q28" i="7" s="1"/>
  <c r="S28" i="7" s="1"/>
  <c r="U28" i="7" s="1"/>
  <c r="W28" i="7" s="1"/>
  <c r="Y28" i="7" s="1"/>
  <c r="AA28" i="7" s="1"/>
  <c r="AC28" i="7" s="1"/>
  <c r="AE28" i="7" s="1"/>
  <c r="AG28" i="7" s="1"/>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S36" i="4" s="1"/>
  <c r="E36" i="13" s="1"/>
  <c r="F36" i="13" s="1"/>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F66" i="13" s="1"/>
  <c r="E67" i="13"/>
  <c r="F67" i="13" s="1"/>
  <c r="E68" i="13"/>
  <c r="F68" i="13" s="1"/>
  <c r="E69" i="13"/>
  <c r="F69" i="13" s="1"/>
  <c r="B66" i="13"/>
  <c r="C66" i="13" s="1"/>
  <c r="B67" i="13"/>
  <c r="C67" i="13" s="1"/>
  <c r="B68" i="13"/>
  <c r="C68" i="13" s="1"/>
  <c r="B69" i="13"/>
  <c r="C69" i="13" s="1"/>
  <c r="A53" i="13"/>
  <c r="H36" i="13"/>
  <c r="B36" i="13"/>
  <c r="C36" i="13" s="1"/>
  <c r="H24" i="13"/>
  <c r="E24" i="13"/>
  <c r="B24" i="13"/>
  <c r="C104" i="4"/>
  <c r="B104" i="13" s="1"/>
  <c r="B99" i="4"/>
  <c r="G68" i="7"/>
  <c r="I68" i="7" s="1"/>
  <c r="K68" i="7" s="1"/>
  <c r="M68" i="7" s="1"/>
  <c r="O68" i="7" s="1"/>
  <c r="Q68" i="7" s="1"/>
  <c r="S68" i="7" s="1"/>
  <c r="U68" i="7" s="1"/>
  <c r="G69" i="7"/>
  <c r="I69" i="7" s="1"/>
  <c r="K69" i="7" s="1"/>
  <c r="M69" i="7" s="1"/>
  <c r="O69" i="7" s="1"/>
  <c r="Q69" i="7" s="1"/>
  <c r="S69" i="7" s="1"/>
  <c r="U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X733" i="3"/>
  <c r="AH733" i="3" s="1"/>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S10" i="4" s="1"/>
  <c r="E10" i="13" s="1"/>
  <c r="R84" i="4"/>
  <c r="S84" i="4" s="1"/>
  <c r="B59" i="4"/>
  <c r="C80" i="11"/>
  <c r="C81" i="11"/>
  <c r="B80" i="11"/>
  <c r="B81" i="11"/>
  <c r="I96" i="13"/>
  <c r="J96" i="13"/>
  <c r="J81" i="13"/>
  <c r="I81" i="13"/>
  <c r="G81" i="13"/>
  <c r="D81" i="13"/>
  <c r="H80" i="13"/>
  <c r="B80" i="13"/>
  <c r="C80" i="13" s="1"/>
  <c r="R80" i="4"/>
  <c r="S80" i="4" s="1"/>
  <c r="E80" i="13" s="1"/>
  <c r="F80" i="13" s="1"/>
  <c r="R79" i="4"/>
  <c r="S79" i="4"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3" i="13"/>
  <c r="F93" i="13" s="1"/>
  <c r="E48" i="13"/>
  <c r="F48" i="13" s="1"/>
  <c r="E47" i="13"/>
  <c r="F47" i="13" s="1"/>
  <c r="E46" i="13"/>
  <c r="F46" i="13" s="1"/>
  <c r="E45" i="13"/>
  <c r="F45" i="13" s="1"/>
  <c r="E41" i="13"/>
  <c r="E27" i="13"/>
  <c r="E25" i="13"/>
  <c r="E23" i="13"/>
  <c r="E22" i="13"/>
  <c r="E21" i="13"/>
  <c r="E20" i="13"/>
  <c r="E19" i="13"/>
  <c r="E18" i="13"/>
  <c r="E17" i="13"/>
  <c r="E15" i="13"/>
  <c r="E14" i="13"/>
  <c r="E13" i="13"/>
  <c r="B99" i="13"/>
  <c r="C99" i="13" s="1"/>
  <c r="C104"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C76" i="13" s="1"/>
  <c r="B75" i="13"/>
  <c r="C75" i="13" s="1"/>
  <c r="B74" i="13"/>
  <c r="C74" i="13" s="1"/>
  <c r="B73" i="13"/>
  <c r="C73" i="13" s="1"/>
  <c r="B72" i="13"/>
  <c r="C72" i="13" s="1"/>
  <c r="B65" i="13"/>
  <c r="C65" i="13" s="1"/>
  <c r="B61" i="13"/>
  <c r="C61" i="13" s="1"/>
  <c r="B60" i="13"/>
  <c r="C60" i="13" s="1"/>
  <c r="B59" i="13"/>
  <c r="C59" i="13" s="1"/>
  <c r="B58" i="13"/>
  <c r="C58" i="13" s="1"/>
  <c r="B57" i="13"/>
  <c r="B56" i="13"/>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B40" i="13"/>
  <c r="C40" i="13" s="1"/>
  <c r="C42" i="13" s="1"/>
  <c r="B37" i="13"/>
  <c r="C37" i="13" s="1"/>
  <c r="B35" i="13"/>
  <c r="C35" i="13" s="1"/>
  <c r="B34" i="13"/>
  <c r="C34" i="13" s="1"/>
  <c r="B33" i="13"/>
  <c r="C33" i="13" s="1"/>
  <c r="B32" i="13"/>
  <c r="C32" i="13" s="1"/>
  <c r="B31" i="13"/>
  <c r="C31" i="13" s="1"/>
  <c r="B30" i="13"/>
  <c r="C30" i="13" s="1"/>
  <c r="B29" i="13"/>
  <c r="C29" i="13" s="1"/>
  <c r="B27" i="13"/>
  <c r="C27" i="13" s="1"/>
  <c r="B25" i="13"/>
  <c r="B23" i="13"/>
  <c r="B22" i="13"/>
  <c r="B21" i="13"/>
  <c r="B20" i="13"/>
  <c r="B19" i="13"/>
  <c r="B18" i="13"/>
  <c r="B17" i="13"/>
  <c r="B5" i="13"/>
  <c r="C5" i="13" s="1"/>
  <c r="B6" i="13"/>
  <c r="B7" i="13"/>
  <c r="C8" i="4"/>
  <c r="B9" i="13"/>
  <c r="B10" i="13"/>
  <c r="B13" i="13"/>
  <c r="B14" i="13"/>
  <c r="B15" i="13"/>
  <c r="B4" i="13"/>
  <c r="C4"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R101" i="4"/>
  <c r="R99" i="4"/>
  <c r="S99" i="4" s="1"/>
  <c r="R87" i="4"/>
  <c r="S87" i="4" s="1"/>
  <c r="E87" i="13" s="1"/>
  <c r="F87" i="13" s="1"/>
  <c r="R86" i="4"/>
  <c r="S86" i="4" s="1"/>
  <c r="E86" i="13" s="1"/>
  <c r="F86" i="13" s="1"/>
  <c r="R85" i="4"/>
  <c r="S85" i="4" s="1"/>
  <c r="E85" i="13" s="1"/>
  <c r="F85" i="13" s="1"/>
  <c r="R83" i="4"/>
  <c r="R76" i="4"/>
  <c r="R75" i="4"/>
  <c r="R72" i="4"/>
  <c r="R73" i="4"/>
  <c r="R74" i="4"/>
  <c r="R69" i="4"/>
  <c r="R65" i="4"/>
  <c r="S65" i="4" s="1"/>
  <c r="R61" i="4"/>
  <c r="R60" i="4"/>
  <c r="R59" i="4"/>
  <c r="R58" i="4"/>
  <c r="R57" i="4"/>
  <c r="R56" i="4"/>
  <c r="R53" i="4"/>
  <c r="S53" i="4" s="1"/>
  <c r="E53" i="13" s="1"/>
  <c r="F53" i="13" s="1"/>
  <c r="R52" i="4"/>
  <c r="S52" i="4" s="1"/>
  <c r="E52" i="13" s="1"/>
  <c r="F52" i="13" s="1"/>
  <c r="R51" i="4"/>
  <c r="S51" i="4" s="1"/>
  <c r="E51" i="13" s="1"/>
  <c r="F51" i="13" s="1"/>
  <c r="R50" i="4"/>
  <c r="S50" i="4" s="1"/>
  <c r="E50" i="13" s="1"/>
  <c r="R49" i="4"/>
  <c r="S49" i="4" s="1"/>
  <c r="R48" i="4"/>
  <c r="R47" i="4"/>
  <c r="R46" i="4"/>
  <c r="R45" i="4"/>
  <c r="R43" i="4"/>
  <c r="S43" i="4" s="1"/>
  <c r="E43" i="13" s="1"/>
  <c r="F43" i="13" s="1"/>
  <c r="R41" i="4"/>
  <c r="R40" i="4"/>
  <c r="S40" i="4" s="1"/>
  <c r="R37" i="4"/>
  <c r="S37" i="4" s="1"/>
  <c r="E37" i="13" s="1"/>
  <c r="F37" i="13" s="1"/>
  <c r="R34" i="4"/>
  <c r="S34" i="4" s="1"/>
  <c r="E34" i="13" s="1"/>
  <c r="F34" i="13" s="1"/>
  <c r="R33" i="4"/>
  <c r="S33" i="4" s="1"/>
  <c r="E33" i="13" s="1"/>
  <c r="F33" i="13" s="1"/>
  <c r="R32" i="4"/>
  <c r="S32" i="4" s="1"/>
  <c r="E32" i="13" s="1"/>
  <c r="F32" i="13" s="1"/>
  <c r="R31" i="4"/>
  <c r="S31" i="4" s="1"/>
  <c r="E31" i="13" s="1"/>
  <c r="F31" i="13" s="1"/>
  <c r="R30" i="4"/>
  <c r="S30" i="4" s="1"/>
  <c r="E30" i="13" s="1"/>
  <c r="F30" i="13" s="1"/>
  <c r="R29" i="4"/>
  <c r="S29" i="4"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F38" i="4" s="1"/>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R89" i="4" s="1"/>
  <c r="S89" i="4" s="1"/>
  <c r="E89" i="13" s="1"/>
  <c r="F89" i="13" s="1"/>
  <c r="B90" i="4"/>
  <c r="R90" i="4" s="1"/>
  <c r="S90" i="4" s="1"/>
  <c r="E90" i="13" s="1"/>
  <c r="F90" i="13" s="1"/>
  <c r="B91" i="4"/>
  <c r="R91" i="4" s="1"/>
  <c r="S91" i="4" s="1"/>
  <c r="E91" i="13" s="1"/>
  <c r="F91" i="13" s="1"/>
  <c r="B92" i="4"/>
  <c r="R92" i="4" s="1"/>
  <c r="S92" i="4" s="1"/>
  <c r="E92" i="13" s="1"/>
  <c r="F92" i="13" s="1"/>
  <c r="B93" i="4"/>
  <c r="R93" i="4" s="1"/>
  <c r="B94" i="4"/>
  <c r="R94" i="4" s="1"/>
  <c r="S94" i="4" s="1"/>
  <c r="E94" i="13" s="1"/>
  <c r="F94" i="13" s="1"/>
  <c r="B95" i="4"/>
  <c r="R95" i="4" s="1"/>
  <c r="E96" i="4"/>
  <c r="F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S95" i="4" l="1"/>
  <c r="E95" i="13" s="1"/>
  <c r="F95" i="13" s="1"/>
  <c r="C77" i="13"/>
  <c r="R35" i="4"/>
  <c r="C38" i="13"/>
  <c r="C70" i="13"/>
  <c r="C8" i="13"/>
  <c r="C54" i="13"/>
  <c r="C62" i="13"/>
  <c r="C81" i="13"/>
  <c r="C96" i="13"/>
  <c r="G96" i="4"/>
  <c r="S96" i="4"/>
  <c r="E96" i="13" s="1"/>
  <c r="E84" i="13"/>
  <c r="F84" i="13" s="1"/>
  <c r="E79" i="13"/>
  <c r="F79" i="13" s="1"/>
  <c r="F81" i="13" s="1"/>
  <c r="S81" i="4"/>
  <c r="E81" i="13" s="1"/>
  <c r="S104" i="4"/>
  <c r="E99" i="13"/>
  <c r="F99" i="13" s="1"/>
  <c r="F104" i="13" s="1"/>
  <c r="E65" i="13"/>
  <c r="F65" i="13" s="1"/>
  <c r="F70" i="13" s="1"/>
  <c r="S70" i="4"/>
  <c r="E70" i="13" s="1"/>
  <c r="S54" i="4"/>
  <c r="E54" i="13" s="1"/>
  <c r="E49" i="13"/>
  <c r="F49" i="13" s="1"/>
  <c r="F54" i="13" s="1"/>
  <c r="S42" i="4"/>
  <c r="E42" i="13" s="1"/>
  <c r="E40" i="13"/>
  <c r="F40" i="13" s="1"/>
  <c r="F42" i="13" s="1"/>
  <c r="E29" i="13"/>
  <c r="F29" i="13" s="1"/>
  <c r="R88" i="4"/>
  <c r="R96" i="4" s="1"/>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71" i="11"/>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G63" i="13"/>
  <c r="G97" i="13" s="1"/>
  <c r="G105" i="13" s="1"/>
  <c r="G107" i="13" s="1"/>
  <c r="R81" i="4"/>
  <c r="M53" i="7"/>
  <c r="K58" i="7"/>
  <c r="C27" i="11"/>
  <c r="AB48" i="15"/>
  <c r="D46" i="11"/>
  <c r="B82" i="11"/>
  <c r="H63" i="4"/>
  <c r="H97" i="4" s="1"/>
  <c r="H105" i="4" s="1"/>
  <c r="G63" i="4"/>
  <c r="I58" i="7"/>
  <c r="C9" i="11"/>
  <c r="B63" i="11"/>
  <c r="T63" i="4"/>
  <c r="B96" i="4"/>
  <c r="B38" i="4"/>
  <c r="D84" i="11"/>
  <c r="B54" i="13"/>
  <c r="K63" i="4"/>
  <c r="K97" i="4" s="1"/>
  <c r="K105" i="4" s="1"/>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BS761" i="3"/>
  <c r="BT759" i="3" s="1"/>
  <c r="BU759" i="3" s="1"/>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O649" i="3"/>
  <c r="AM567" i="3" s="1"/>
  <c r="AM574" i="3" s="1"/>
  <c r="K29" i="7"/>
  <c r="S29"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F96" i="13" l="1"/>
  <c r="S35" i="4"/>
  <c r="R38" i="4"/>
  <c r="R63" i="4" s="1"/>
  <c r="R97" i="4" s="1"/>
  <c r="R105" i="4" s="1"/>
  <c r="C12" i="13"/>
  <c r="C63" i="13"/>
  <c r="C97" i="13" s="1"/>
  <c r="C105" i="13" s="1"/>
  <c r="BA1067" i="3"/>
  <c r="E104" i="13"/>
  <c r="D105" i="11"/>
  <c r="G97" i="4"/>
  <c r="G105" i="4" s="1"/>
  <c r="AJ634" i="20"/>
  <c r="G108" i="21"/>
  <c r="N190" i="24"/>
  <c r="D43" i="11"/>
  <c r="D71" i="11"/>
  <c r="B12" i="4"/>
  <c r="D55" i="11"/>
  <c r="D82" i="11"/>
  <c r="D39" i="11"/>
  <c r="D78" i="11"/>
  <c r="R12" i="4"/>
  <c r="D12" i="11"/>
  <c r="D63" i="11"/>
  <c r="B13" i="11"/>
  <c r="C64" i="11"/>
  <c r="C98" i="11" s="1"/>
  <c r="B64" i="11"/>
  <c r="B98" i="11" s="1"/>
  <c r="B106" i="11" s="1"/>
  <c r="B63" i="4"/>
  <c r="D27" i="11"/>
  <c r="D97" i="11"/>
  <c r="T97" i="4"/>
  <c r="H63" i="13"/>
  <c r="BE71" i="3"/>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S38" i="4" l="1"/>
  <c r="E35" i="13"/>
  <c r="F35" i="13" s="1"/>
  <c r="F38" i="13" s="1"/>
  <c r="F63" i="13" s="1"/>
  <c r="F97" i="13" s="1"/>
  <c r="F105" i="13" s="1"/>
  <c r="F107" i="13" s="1"/>
  <c r="O25" i="21"/>
  <c r="P25" i="21" s="1" a="1"/>
  <c r="P25" i="21" s="1"/>
  <c r="S25" i="21" s="1"/>
  <c r="O27" i="21"/>
  <c r="P27" i="21" s="1" a="1"/>
  <c r="P27" i="21" s="1"/>
  <c r="S27" i="21" s="1"/>
  <c r="O26" i="21"/>
  <c r="P26" i="21" s="1" a="1"/>
  <c r="P26" i="21" s="1"/>
  <c r="S26" i="21" s="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B105" i="13"/>
  <c r="AG268" i="20"/>
  <c r="O58" i="7"/>
  <c r="Q53" i="7"/>
  <c r="T105" i="4"/>
  <c r="H97" i="13"/>
  <c r="P29" i="21" a="1"/>
  <c r="P29" i="21" s="1"/>
  <c r="S29" i="21" s="1"/>
  <c r="P31" i="21" a="1"/>
  <c r="P31" i="21" s="1"/>
  <c r="S31" i="21" s="1"/>
  <c r="P30" i="21" a="1"/>
  <c r="P30" i="21" s="1"/>
  <c r="S30" i="21" s="1"/>
  <c r="P28" i="21" a="1"/>
  <c r="P28" i="21" s="1"/>
  <c r="S28" i="21" s="1"/>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S63" i="4" l="1"/>
  <c r="E38" i="13"/>
  <c r="AB265" i="20"/>
  <c r="AG267" i="20" s="1"/>
  <c r="AG269" i="20" s="1"/>
  <c r="AK272" i="20" s="1"/>
  <c r="T834" i="20" s="1"/>
  <c r="BE77" i="3" s="1"/>
  <c r="N180" i="24"/>
  <c r="AK190" i="20"/>
  <c r="T827" i="20"/>
  <c r="AF827" i="20" s="1"/>
  <c r="AB47" i="15"/>
  <c r="AB49" i="15" s="1"/>
  <c r="AB54" i="15" s="1"/>
  <c r="AB55" i="15" s="1"/>
  <c r="BE22" i="3"/>
  <c r="H105" i="13"/>
  <c r="T107" i="4"/>
  <c r="H107" i="13" s="1"/>
  <c r="Q58" i="7"/>
  <c r="S53" i="7"/>
  <c r="G45" i="21"/>
  <c r="G47" i="21" s="1"/>
  <c r="E10" i="21" s="1"/>
  <c r="E11" i="21"/>
  <c r="AP718" i="20"/>
  <c r="AJ724" i="20" s="1"/>
  <c r="AK816" i="20" s="1"/>
  <c r="T841" i="20" s="1"/>
  <c r="AF841" i="20" s="1"/>
  <c r="BE82" i="3" s="1"/>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J1038" i="3" l="1"/>
  <c r="AJ1025" i="3"/>
  <c r="S97" i="4"/>
  <c r="E63" i="13"/>
  <c r="AD11" i="15"/>
  <c r="AD23" i="15" s="1"/>
  <c r="AD26" i="15" s="1"/>
  <c r="AD28" i="15" s="1"/>
  <c r="AI11" i="15"/>
  <c r="AI23" i="15" s="1"/>
  <c r="AI26" i="15" s="1"/>
  <c r="AI28" i="15" s="1"/>
  <c r="AJ1003" i="3"/>
  <c r="AJ1045" i="3"/>
  <c r="I15" i="21" s="1"/>
  <c r="BE72" i="3"/>
  <c r="N181" i="24"/>
  <c r="N191" i="24"/>
  <c r="T829" i="20"/>
  <c r="AF829" i="20" s="1"/>
  <c r="T833" i="20"/>
  <c r="AF833" i="20" s="1"/>
  <c r="BE76" i="3" s="1"/>
  <c r="S58" i="7"/>
  <c r="U53" i="7"/>
  <c r="AJ1054" i="3"/>
  <c r="AJ1058" i="3"/>
  <c r="AP563" i="20"/>
  <c r="K4" i="7"/>
  <c r="M4" i="7" s="1"/>
  <c r="E45" i="7"/>
  <c r="E48" i="7" s="1"/>
  <c r="G45" i="7"/>
  <c r="G60" i="7" s="1"/>
  <c r="G66" i="7" s="1"/>
  <c r="G49" i="7"/>
  <c r="K6" i="7"/>
  <c r="I7" i="7"/>
  <c r="I11" i="7" s="1"/>
  <c r="I37" i="7" s="1"/>
  <c r="G26" i="21"/>
  <c r="F29" i="21"/>
  <c r="G29" i="21"/>
  <c r="O22" i="7"/>
  <c r="O35" i="7" s="1"/>
  <c r="Q15" i="7"/>
  <c r="O9" i="7"/>
  <c r="Q8" i="7"/>
  <c r="S105" i="4" l="1"/>
  <c r="AZ1055" i="3"/>
  <c r="E97" i="13"/>
  <c r="T11" i="15"/>
  <c r="T23" i="15" s="1"/>
  <c r="BE74" i="3"/>
  <c r="AP566" i="20"/>
  <c r="U58" i="7"/>
  <c r="W53" i="7"/>
  <c r="AJ1062" i="3"/>
  <c r="AP565" i="20"/>
  <c r="K5" i="7"/>
  <c r="E47" i="7"/>
  <c r="E60" i="7"/>
  <c r="O4" i="7"/>
  <c r="M5" i="7"/>
  <c r="I45" i="7"/>
  <c r="I49" i="7"/>
  <c r="M6" i="7"/>
  <c r="K7" i="7"/>
  <c r="G47" i="7"/>
  <c r="G48" i="7"/>
  <c r="Q22" i="7"/>
  <c r="Q35" i="7" s="1"/>
  <c r="S15" i="7"/>
  <c r="G93" i="21"/>
  <c r="G31" i="21"/>
  <c r="G33" i="21" s="1"/>
  <c r="E9" i="21" s="1"/>
  <c r="G102" i="21"/>
  <c r="G104" i="21" s="1"/>
  <c r="E16" i="21" s="1"/>
  <c r="G125" i="21"/>
  <c r="G110" i="21"/>
  <c r="Q9" i="7"/>
  <c r="S8" i="7"/>
  <c r="E62" i="7" l="1"/>
  <c r="E66" i="7"/>
  <c r="S107" i="4"/>
  <c r="E105" i="13"/>
  <c r="I9" i="21"/>
  <c r="AZ1060" i="3"/>
  <c r="BA1065" i="3"/>
  <c r="T26" i="15"/>
  <c r="T28" i="15" s="1"/>
  <c r="AP567" i="20"/>
  <c r="G94" i="21"/>
  <c r="E15" i="21" s="1"/>
  <c r="W58" i="7"/>
  <c r="Y53" i="7"/>
  <c r="T24" i="15"/>
  <c r="AP570" i="20"/>
  <c r="AP569" i="20" s="1"/>
  <c r="K11" i="7"/>
  <c r="K37" i="7" s="1"/>
  <c r="K45" i="7" s="1"/>
  <c r="O5" i="7"/>
  <c r="Q4" i="7"/>
  <c r="M7" i="7"/>
  <c r="M11" i="7" s="1"/>
  <c r="M37" i="7" s="1"/>
  <c r="O6" i="7"/>
  <c r="G67" i="7"/>
  <c r="G62" i="7"/>
  <c r="I48" i="7"/>
  <c r="I60" i="7"/>
  <c r="I66" i="7" s="1"/>
  <c r="I47" i="7"/>
  <c r="G115" i="21"/>
  <c r="G127" i="21"/>
  <c r="G111" i="21"/>
  <c r="S22" i="7"/>
  <c r="S35" i="7" s="1"/>
  <c r="U15" i="7"/>
  <c r="U8" i="7"/>
  <c r="S9" i="7"/>
  <c r="BA1064" i="3" l="1"/>
  <c r="BA1068" i="3" s="1"/>
  <c r="E107" i="13"/>
  <c r="Y11" i="15" s="1"/>
  <c r="Y23" i="15" s="1"/>
  <c r="AF564" i="20"/>
  <c r="AA1065" i="3"/>
  <c r="AC465" i="3"/>
  <c r="G165" i="21"/>
  <c r="G166" i="21"/>
  <c r="AP572" i="20"/>
  <c r="AF565" i="20" s="1"/>
  <c r="AA53" i="7"/>
  <c r="Y58" i="7"/>
  <c r="G129" i="21"/>
  <c r="E17" i="21" s="1"/>
  <c r="E14" i="21" s="1"/>
  <c r="E18" i="21" s="1"/>
  <c r="K49" i="7"/>
  <c r="E70" i="7"/>
  <c r="E72" i="7" s="1"/>
  <c r="S4" i="7"/>
  <c r="Q5" i="7"/>
  <c r="G70" i="7"/>
  <c r="G72" i="7" s="1"/>
  <c r="O7" i="7"/>
  <c r="O11" i="7" s="1"/>
  <c r="O37" i="7" s="1"/>
  <c r="Q6" i="7"/>
  <c r="M45" i="7"/>
  <c r="M49" i="7"/>
  <c r="I67" i="7"/>
  <c r="I62" i="7"/>
  <c r="K47" i="7"/>
  <c r="K60" i="7"/>
  <c r="K66" i="7" s="1"/>
  <c r="K48" i="7"/>
  <c r="U22" i="7"/>
  <c r="U35" i="7" s="1"/>
  <c r="W15" i="7"/>
  <c r="U9" i="7"/>
  <c r="W8" i="7"/>
  <c r="AF566" i="20" l="1"/>
  <c r="AK572" i="20" s="1"/>
  <c r="T840" i="20" s="1"/>
  <c r="AF840" i="20" s="1"/>
  <c r="BE81" i="3" s="1"/>
  <c r="AA1066" i="3"/>
  <c r="G1067" i="3" s="1"/>
  <c r="Y26" i="15"/>
  <c r="Y28" i="15" s="1"/>
  <c r="Y64" i="15" s="1"/>
  <c r="Y68" i="15" s="1"/>
  <c r="Y69" i="15" s="1"/>
  <c r="AD38" i="15"/>
  <c r="AD40" i="15" s="1"/>
  <c r="AC53" i="7"/>
  <c r="AA58" i="7"/>
  <c r="U4" i="7"/>
  <c r="S5" i="7"/>
  <c r="M48" i="7"/>
  <c r="M47" i="7"/>
  <c r="M60" i="7"/>
  <c r="M66" i="7" s="1"/>
  <c r="O45" i="7"/>
  <c r="O49" i="7"/>
  <c r="K67" i="7"/>
  <c r="K62" i="7"/>
  <c r="Q7" i="7"/>
  <c r="Q11" i="7" s="1"/>
  <c r="Q37" i="7" s="1"/>
  <c r="S6" i="7"/>
  <c r="I70" i="7"/>
  <c r="I72" i="7" s="1"/>
  <c r="W22" i="7"/>
  <c r="W35" i="7" s="1"/>
  <c r="Y15" i="7"/>
  <c r="W9" i="7"/>
  <c r="Y8" i="7"/>
  <c r="Y38" i="15" l="1"/>
  <c r="Y40" i="15" s="1"/>
  <c r="Y41" i="15" s="1"/>
  <c r="AB56" i="15" s="1"/>
  <c r="T29" i="15"/>
  <c r="AE53" i="7"/>
  <c r="AC58" i="7"/>
  <c r="U5" i="7"/>
  <c r="W4" i="7"/>
  <c r="Q49" i="7"/>
  <c r="Q45" i="7"/>
  <c r="M62" i="7"/>
  <c r="M67" i="7"/>
  <c r="O47" i="7"/>
  <c r="O48" i="7"/>
  <c r="O60" i="7"/>
  <c r="O66" i="7" s="1"/>
  <c r="K70" i="7"/>
  <c r="K72" i="7" s="1"/>
  <c r="S7" i="7"/>
  <c r="S11" i="7" s="1"/>
  <c r="S37" i="7" s="1"/>
  <c r="U6" i="7"/>
  <c r="Y22" i="7"/>
  <c r="Y35" i="7" s="1"/>
  <c r="AA15" i="7"/>
  <c r="Y9" i="7"/>
  <c r="AA8" i="7"/>
  <c r="M26" i="3" l="1"/>
  <c r="AB57" i="15"/>
  <c r="AB59" i="15" s="1"/>
  <c r="AB77" i="15" s="1"/>
  <c r="AB78" i="15" s="1"/>
  <c r="I10" i="21" s="1"/>
  <c r="AG53" i="7"/>
  <c r="AG58" i="7" s="1"/>
  <c r="AE58" i="7"/>
  <c r="M70" i="7"/>
  <c r="M72" i="7" s="1"/>
  <c r="W5" i="7"/>
  <c r="Y4" i="7"/>
  <c r="U7" i="7"/>
  <c r="U11" i="7" s="1"/>
  <c r="U37" i="7" s="1"/>
  <c r="W6" i="7"/>
  <c r="O67" i="7"/>
  <c r="O62" i="7"/>
  <c r="Q60" i="7"/>
  <c r="Q66" i="7" s="1"/>
  <c r="Q48" i="7"/>
  <c r="Q47" i="7"/>
  <c r="S49" i="7"/>
  <c r="S45" i="7"/>
  <c r="AC15" i="7"/>
  <c r="AA22" i="7"/>
  <c r="AA35" i="7" s="1"/>
  <c r="AC8" i="7"/>
  <c r="AA9" i="7"/>
  <c r="P204" i="3" l="1"/>
  <c r="BE19" i="3"/>
  <c r="AB79" i="15"/>
  <c r="AA4" i="7"/>
  <c r="Y5" i="7"/>
  <c r="Y6" i="7"/>
  <c r="W7" i="7"/>
  <c r="W11" i="7" s="1"/>
  <c r="W37" i="7" s="1"/>
  <c r="U45" i="7"/>
  <c r="U49" i="7"/>
  <c r="Q67" i="7"/>
  <c r="Q62" i="7"/>
  <c r="S48" i="7"/>
  <c r="S47" i="7"/>
  <c r="S60" i="7"/>
  <c r="S66" i="7" s="1"/>
  <c r="O70" i="7"/>
  <c r="O72" i="7" s="1"/>
  <c r="AE15" i="7"/>
  <c r="AC22" i="7"/>
  <c r="AC35" i="7" s="1"/>
  <c r="AC9" i="7"/>
  <c r="AE8" i="7"/>
  <c r="AB81" i="15" l="1"/>
  <c r="J82" i="15" s="1"/>
  <c r="M27" i="3"/>
  <c r="I11" i="21"/>
  <c r="I18" i="21" s="1"/>
  <c r="AA5" i="7"/>
  <c r="AC4" i="7"/>
  <c r="S67" i="7"/>
  <c r="S62" i="7"/>
  <c r="U48" i="7"/>
  <c r="U60" i="7"/>
  <c r="U66" i="7" s="1"/>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7" i="7"/>
  <c r="U62" i="7"/>
  <c r="Y49" i="7"/>
  <c r="Y45" i="7"/>
  <c r="W60" i="7"/>
  <c r="W47" i="7"/>
  <c r="W48" i="7"/>
  <c r="W66" i="7" l="1"/>
  <c r="W62" i="7"/>
  <c r="AE5" i="7"/>
  <c r="AG4" i="7"/>
  <c r="AA45" i="7"/>
  <c r="AA49" i="7"/>
  <c r="U70" i="7"/>
  <c r="U72" i="7" s="1"/>
  <c r="Y47" i="7"/>
  <c r="Y48" i="7"/>
  <c r="Y60" i="7"/>
  <c r="AE6" i="7"/>
  <c r="AC7" i="7"/>
  <c r="AC11" i="7" s="1"/>
  <c r="AC37" i="7" s="1"/>
  <c r="Y66" i="7" l="1"/>
  <c r="Y62" i="7"/>
  <c r="AG5" i="7"/>
  <c r="W70" i="7"/>
  <c r="W72" i="7" s="1"/>
  <c r="AA60" i="7"/>
  <c r="AA47" i="7"/>
  <c r="AA48" i="7"/>
  <c r="AC45" i="7"/>
  <c r="AC60" i="7" s="1"/>
  <c r="AC49" i="7"/>
  <c r="AE7" i="7"/>
  <c r="AE11" i="7" s="1"/>
  <c r="AE37" i="7" s="1"/>
  <c r="AG6" i="7"/>
  <c r="AC62" i="7" l="1"/>
  <c r="AC66" i="7"/>
  <c r="AA62" i="7"/>
  <c r="AA66" i="7"/>
  <c r="Y70" i="7"/>
  <c r="Y72" i="7" s="1"/>
  <c r="AG7" i="7"/>
  <c r="AG11" i="7" s="1"/>
  <c r="AG37" i="7" s="1"/>
  <c r="AE49" i="7"/>
  <c r="AE45" i="7"/>
  <c r="AC48" i="7"/>
  <c r="AC47" i="7"/>
  <c r="AA70" i="7" l="1"/>
  <c r="AA72" i="7" s="1"/>
  <c r="AE47" i="7"/>
  <c r="AE60" i="7"/>
  <c r="AE48" i="7"/>
  <c r="AG49" i="7"/>
  <c r="AG45" i="7"/>
  <c r="AE62" i="7" l="1"/>
  <c r="AE66" i="7"/>
  <c r="AG48" i="7"/>
  <c r="AG60" i="7"/>
  <c r="AG47" i="7"/>
  <c r="AC70" i="7"/>
  <c r="AC72" i="7" s="1"/>
  <c r="AG62" i="7" l="1"/>
  <c r="AG66" i="7"/>
  <c r="AE70" i="7"/>
  <c r="AE72" i="7" s="1"/>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F3D5F233-EA13-40F7-84D6-DA3218A82D69}">
      <text>
        <r>
          <rPr>
            <sz val="9"/>
            <color rgb="FF000000"/>
            <rFont val="Tahoma"/>
            <family val="2"/>
          </rPr>
          <t xml:space="preserve">Experienced property management company requesting points </t>
        </r>
        <r>
          <rPr>
            <u/>
            <sz val="9"/>
            <color rgb="FF000000"/>
            <rFont val="Tahoma"/>
            <family val="2"/>
          </rPr>
          <t>must</t>
        </r>
        <r>
          <rPr>
            <sz val="9"/>
            <color rgb="FF000000"/>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rgb="FF000000"/>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<sst xmlns="http://schemas.openxmlformats.org/spreadsheetml/2006/main" count="5080" uniqueCount="2807">
  <si>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</si>
  <si>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</si>
  <si>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</si>
  <si>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</si>
  <si>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</si>
  <si>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</si>
  <si>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</si>
  <si>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</si>
  <si>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</si>
  <si>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</si>
  <si>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</si>
  <si>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</si>
  <si>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</si>
  <si>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</si>
  <si>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</si>
  <si>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</si>
  <si>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</si>
  <si>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</si>
  <si>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</si>
  <si>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</si>
  <si>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</si>
  <si>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</si>
  <si>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</si>
  <si>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</si>
  <si>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</si>
  <si>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</si>
  <si>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</si>
  <si>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</si>
  <si>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</si>
  <si>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</si>
  <si>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</si>
  <si>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</si>
  <si>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</si>
  <si>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</si>
  <si>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</si>
  <si>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</si>
  <si>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</si>
  <si>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</si>
  <si>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</si>
  <si>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</si>
  <si>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</si>
  <si>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</si>
  <si>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</si>
  <si>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</si>
  <si>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</si>
  <si>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</si>
  <si>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</si>
  <si>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</si>
  <si>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</si>
  <si>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</si>
  <si>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</si>
  <si>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</si>
  <si>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</si>
  <si>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</si>
  <si>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</si>
  <si>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</si>
  <si>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</si>
  <si>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</si>
  <si>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</si>
  <si>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</si>
  <si>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</si>
  <si>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</si>
  <si>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</si>
  <si>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</si>
  <si>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</si>
  <si>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</si>
  <si>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</si>
  <si>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</si>
  <si>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</si>
  <si>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</si>
  <si>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</si>
  <si>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</si>
  <si>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</si>
  <si>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</si>
  <si>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</si>
  <si>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</si>
  <si>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</si>
  <si>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</si>
  <si>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</si>
  <si>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</si>
  <si>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</si>
  <si>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</si>
  <si>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</si>
  <si>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</si>
  <si>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</si>
  <si>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</si>
  <si>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</si>
  <si>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</si>
  <si>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</si>
  <si>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</si>
  <si>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</si>
  <si>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</si>
  <si>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</si>
  <si>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</si>
  <si>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</si>
  <si>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</si>
  <si>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</si>
  <si>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</si>
  <si>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</si>
  <si>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</si>
  <si>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</si>
  <si>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</si>
  <si>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</si>
  <si>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</si>
  <si>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</si>
  <si>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</si>
  <si>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</si>
  <si>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</si>
  <si>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</si>
  <si>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</si>
  <si>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</si>
  <si>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</si>
  <si>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</si>
  <si>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</si>
  <si>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</si>
  <si>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</si>
  <si>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</si>
  <si>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</si>
  <si>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</si>
  <si>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</si>
  <si>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</si>
  <si>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</si>
  <si>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</si>
  <si>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</si>
  <si>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</si>
  <si>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</si>
  <si>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</si>
  <si>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</si>
  <si>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</si>
  <si>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</si>
  <si>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</si>
  <si>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</si>
  <si>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</si>
  <si>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</si>
  <si>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</si>
  <si>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</si>
  <si>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</si>
  <si>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</si>
  <si>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</si>
  <si>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</si>
  <si>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</si>
  <si>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</si>
  <si>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</si>
  <si>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</si>
  <si>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</si>
  <si>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</si>
  <si>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</si>
  <si>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</si>
  <si>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</si>
  <si>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</si>
  <si>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</si>
  <si>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</si>
  <si>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</si>
  <si>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</si>
  <si>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</si>
  <si>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</si>
  <si>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</si>
  <si>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</si>
  <si>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</si>
  <si>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</si>
  <si>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</si>
  <si>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</si>
  <si>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</si>
  <si>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</si>
  <si>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</si>
  <si>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</si>
  <si>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</si>
  <si>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</si>
  <si>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</si>
  <si>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</si>
  <si>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</si>
  <si>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</si>
  <si>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</si>
  <si>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</si>
  <si>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</si>
  <si>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</si>
  <si>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</si>
  <si>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</si>
  <si>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</si>
  <si>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</si>
  <si>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</si>
  <si>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</si>
  <si>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</si>
  <si>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</si>
  <si>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</si>
  <si>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</si>
  <si>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</si>
  <si>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</si>
  <si>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</si>
  <si>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</si>
  <si>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</si>
  <si>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</si>
  <si>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</si>
  <si>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</si>
  <si>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</si>
  <si>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</si>
  <si>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</si>
  <si>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</si>
  <si>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</si>
  <si>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</si>
  <si>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</si>
  <si>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</si>
  <si>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</si>
  <si>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</si>
  <si>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</si>
  <si>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</si>
  <si>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</si>
  <si>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</si>
  <si>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</si>
  <si>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</si>
  <si>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</si>
  <si>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</si>
  <si>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</si>
  <si>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</si>
  <si>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</si>
  <si>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</si>
  <si>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</si>
  <si>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</si>
  <si>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</si>
  <si>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</si>
  <si>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</si>
  <si>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</si>
  <si>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</si>
  <si>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</si>
  <si>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</si>
  <si>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</si>
  <si>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</si>
  <si>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</si>
  <si>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</si>
  <si>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</si>
  <si>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</si>
  <si>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</si>
  <si>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</si>
  <si>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</si>
  <si>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</si>
  <si>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</si>
  <si>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</si>
  <si>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</si>
  <si>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</si>
  <si>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</si>
  <si>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</si>
  <si>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</si>
  <si>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</si>
  <si>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</si>
  <si>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</si>
  <si>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</si>
  <si>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</si>
  <si>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</si>
  <si>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</si>
  <si>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</si>
  <si>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</si>
  <si>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</si>
  <si>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</si>
  <si>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</si>
  <si>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</si>
  <si>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</si>
  <si>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</si>
  <si>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</si>
  <si>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</si>
  <si>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</si>
  <si>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</si>
  <si>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</si>
  <si>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</si>
  <si>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</si>
  <si>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</si>
  <si>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</si>
  <si>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</si>
  <si>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</si>
  <si>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</si>
  <si>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</si>
  <si>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</si>
  <si>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</si>
  <si>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</si>
  <si>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</si>
  <si>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</si>
  <si>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</si>
  <si>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</si>
  <si>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</si>
  <si>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</si>
  <si>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</si>
  <si>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</si>
  <si>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</si>
  <si>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</si>
  <si>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</si>
  <si>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</si>
  <si>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</si>
  <si>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</si>
  <si>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</si>
  <si>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</si>
  <si>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</si>
  <si>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</si>
  <si>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</si>
  <si>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</si>
  <si>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</si>
  <si>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</si>
  <si>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</si>
  <si>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</si>
  <si>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</si>
  <si>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</si>
  <si>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</si>
  <si>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</si>
  <si>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</si>
  <si>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</si>
  <si>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</si>
  <si>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</si>
  <si>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</si>
  <si>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</si>
  <si>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</si>
  <si>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</si>
  <si>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</si>
  <si>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</si>
  <si>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</si>
  <si>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</si>
  <si>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</si>
  <si>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</si>
  <si>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</si>
  <si>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</si>
  <si>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</si>
  <si>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</si>
  <si>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</si>
  <si>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</si>
  <si>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</si>
  <si>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</si>
  <si>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</si>
  <si>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</si>
  <si>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</si>
  <si>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</si>
  <si>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</si>
  <si>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</si>
  <si>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</si>
  <si>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</si>
  <si>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</si>
  <si>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</si>
  <si>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</si>
  <si>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</si>
  <si>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</si>
  <si>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</si>
  <si>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</si>
  <si>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</si>
  <si>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</si>
  <si>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</si>
  <si>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</si>
  <si>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</si>
  <si>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</si>
  <si>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</si>
  <si>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</si>
  <si>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</si>
  <si>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</si>
  <si>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</si>
  <si>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</si>
  <si>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</si>
  <si>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</si>
  <si>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</si>
  <si>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</si>
  <si>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</si>
  <si>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</si>
  <si>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</si>
  <si>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</si>
  <si>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</si>
  <si>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</si>
  <si>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</si>
  <si>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</si>
  <si>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</si>
  <si>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</si>
  <si>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</si>
  <si>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</si>
  <si>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</si>
  <si>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</si>
  <si>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</si>
  <si>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</si>
  <si>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</si>
  <si>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</si>
  <si>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</si>
  <si>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</si>
  <si>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</si>
  <si>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</si>
  <si>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</si>
  <si>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</si>
  <si>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</si>
  <si>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</si>
  <si>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</si>
  <si>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</si>
  <si>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</si>
  <si>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</si>
  <si>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</si>
  <si>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</si>
  <si>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</si>
  <si>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</si>
  <si>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</si>
  <si>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</si>
  <si>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</si>
  <si>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</si>
  <si>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</si>
  <si>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</si>
  <si>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</si>
  <si>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</si>
  <si>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</si>
  <si>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</si>
  <si>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</si>
  <si>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</si>
  <si>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</si>
  <si>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</si>
  <si>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</si>
  <si>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</si>
  <si>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</si>
  <si>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</si>
  <si>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</si>
  <si>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</si>
  <si>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</si>
  <si>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</si>
  <si>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</si>
  <si>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</si>
  <si>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</si>
  <si>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</si>
  <si>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</si>
  <si>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</si>
  <si>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</si>
  <si>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</si>
  <si>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</si>
  <si>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</si>
  <si>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</si>
  <si>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</si>
  <si>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</si>
  <si>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</si>
  <si>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</si>
  <si>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</si>
  <si>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</si>
  <si>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</si>
  <si>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</si>
  <si>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</si>
  <si>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</si>
  <si>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</si>
  <si>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</si>
  <si>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</si>
  <si>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</si>
  <si>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</si>
  <si>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</si>
  <si>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</si>
  <si>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</si>
  <si>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</si>
  <si>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</si>
  <si>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</si>
  <si>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</si>
  <si>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</si>
  <si>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</si>
  <si>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</si>
  <si>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</si>
  <si>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</si>
  <si>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</si>
  <si>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</si>
  <si>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</si>
  <si>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</si>
  <si>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</si>
  <si>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</si>
  <si>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</si>
  <si>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</si>
  <si>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</si>
  <si>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</si>
  <si>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</si>
  <si>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</si>
  <si>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</si>
  <si>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</si>
  <si>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</si>
  <si>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</si>
  <si>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</si>
  <si>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</si>
  <si>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</si>
  <si>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</si>
  <si>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</si>
  <si>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</si>
  <si>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</si>
  <si>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</si>
  <si>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</si>
  <si>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</si>
  <si>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</si>
  <si>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</si>
  <si>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</si>
  <si>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</si>
  <si>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</si>
  <si>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</si>
  <si>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</si>
  <si>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</si>
  <si>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</si>
  <si>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</si>
  <si>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</si>
  <si>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</si>
  <si>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</si>
  <si>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</si>
  <si>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</si>
  <si>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</si>
  <si>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</si>
  <si>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</si>
  <si>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</si>
  <si>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</si>
  <si>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</si>
  <si>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</si>
  <si>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</si>
  <si>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</si>
  <si>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</si>
  <si>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</si>
  <si>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</si>
  <si>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</si>
  <si>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</si>
  <si>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</si>
  <si>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</si>
  <si>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</si>
  <si>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</si>
  <si>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</si>
  <si>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</si>
  <si>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</si>
  <si>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</si>
  <si>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</si>
  <si>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</si>
  <si>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</si>
  <si>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</si>
  <si>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</si>
  <si>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</si>
  <si>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</si>
  <si>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</si>
  <si>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</si>
  <si>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</si>
  <si>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</si>
  <si>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</si>
  <si>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</si>
  <si>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</si>
  <si>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</si>
  <si>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</si>
  <si>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</si>
  <si>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</si>
  <si>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</si>
  <si>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</si>
  <si>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</si>
  <si>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</si>
  <si>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</si>
  <si>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</si>
  <si>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</si>
  <si>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</si>
  <si>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</si>
  <si>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</si>
  <si>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</si>
  <si>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</si>
  <si>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</si>
  <si>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</si>
  <si>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</si>
  <si>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</si>
  <si>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</si>
  <si>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</si>
  <si>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</si>
  <si>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</si>
  <si>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</si>
  <si>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</si>
  <si>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</si>
  <si>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</si>
  <si>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</si>
  <si>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</si>
  <si>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</si>
  <si>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</si>
  <si>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</si>
  <si>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</si>
  <si>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</si>
  <si>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</si>
  <si>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</si>
  <si>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</si>
  <si>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</si>
  <si>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</si>
  <si>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</si>
  <si>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</si>
  <si>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</si>
  <si>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</si>
  <si>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</si>
  <si>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</si>
  <si>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</si>
  <si>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</si>
  <si>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</si>
  <si>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</si>
  <si>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</si>
  <si>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</si>
  <si>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</si>
  <si>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</si>
  <si>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</si>
  <si>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</si>
  <si>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</si>
  <si>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</si>
  <si>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</si>
  <si>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</si>
  <si>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</si>
  <si>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</si>
  <si>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</si>
  <si>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</si>
  <si>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</si>
  <si>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</si>
  <si>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</si>
  <si>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</si>
  <si>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</si>
  <si>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</si>
  <si>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</si>
  <si>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</si>
  <si>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</si>
  <si>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</si>
  <si>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</si>
  <si>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</si>
  <si>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</si>
  <si>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</si>
  <si>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</si>
  <si>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</si>
  <si>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</si>
  <si>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</si>
  <si>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</si>
  <si>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</si>
  <si>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</si>
  <si>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</si>
  <si>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</si>
  <si>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</si>
  <si>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</si>
  <si>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</si>
  <si>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</si>
  <si>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</si>
  <si>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</si>
  <si>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</si>
  <si>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</si>
  <si>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</si>
  <si>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</si>
  <si>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</si>
  <si>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</si>
  <si>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</si>
  <si>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</si>
  <si>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</si>
  <si>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</si>
  <si>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</si>
  <si>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</si>
  <si>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</si>
  <si>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</si>
  <si>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</si>
  <si>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</si>
  <si>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</si>
  <si>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</si>
  <si>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</si>
  <si>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</si>
  <si>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</si>
  <si>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</si>
  <si>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</si>
  <si>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</si>
  <si>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</si>
  <si>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</si>
  <si>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</si>
  <si>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</si>
  <si>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</si>
  <si>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</si>
  <si>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</si>
  <si>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</si>
  <si>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</si>
  <si>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</si>
  <si>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</si>
  <si>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</si>
  <si>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</si>
  <si>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</si>
  <si>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</si>
  <si>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</si>
  <si>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</si>
  <si>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</si>
  <si>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</si>
  <si>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</si>
  <si>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</si>
  <si>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</si>
  <si>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</si>
  <si>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</si>
  <si>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</si>
  <si>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</si>
  <si>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</si>
  <si>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</si>
  <si>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</si>
  <si>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</si>
  <si>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</si>
  <si>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</si>
  <si>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</si>
  <si>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</si>
  <si>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</si>
  <si>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</si>
  <si>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</si>
  <si>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</si>
  <si>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</si>
  <si>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</si>
  <si>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</si>
  <si>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</si>
  <si>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</si>
  <si>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</si>
  <si>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</si>
  <si>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</si>
  <si>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</si>
  <si>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</si>
  <si>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</si>
  <si>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</si>
  <si>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</si>
  <si>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</si>
  <si>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</si>
  <si>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</si>
  <si>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</si>
  <si>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</si>
  <si>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</si>
  <si>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</si>
  <si>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</si>
  <si>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</si>
  <si>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</si>
  <si>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</si>
  <si>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</si>
  <si>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</si>
  <si>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</si>
  <si>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</si>
  <si>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</si>
  <si>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</si>
  <si>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</si>
  <si>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</si>
  <si>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</si>
  <si>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</si>
  <si>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</si>
  <si>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</si>
  <si>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</si>
  <si>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</si>
  <si>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</si>
  <si>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</si>
  <si>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</si>
  <si>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</si>
  <si>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</si>
  <si>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</si>
  <si>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</si>
  <si>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</si>
  <si>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</si>
  <si>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</si>
  <si>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</si>
  <si>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</si>
  <si>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</si>
  <si>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</si>
  <si>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</si>
  <si>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</si>
  <si>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</si>
  <si>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</si>
  <si>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</si>
  <si>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</si>
  <si>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</si>
  <si>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</si>
  <si>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</si>
  <si>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</si>
  <si>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</si>
  <si>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</si>
  <si>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</si>
  <si>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</si>
  <si>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</si>
  <si>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</si>
  <si>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</si>
  <si>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</si>
  <si>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</si>
  <si>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</si>
  <si>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</si>
  <si>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</si>
  <si>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</si>
  <si>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</si>
  <si>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</si>
  <si>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</si>
  <si>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</si>
  <si>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</si>
  <si>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</si>
  <si>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</si>
  <si>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</si>
  <si>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</si>
  <si>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</si>
  <si>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</si>
  <si>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</si>
  <si>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</si>
  <si>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</si>
  <si>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</si>
  <si>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</si>
  <si>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</si>
  <si>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</si>
  <si>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</si>
  <si>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</si>
  <si>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</si>
  <si>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</si>
  <si>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</si>
  <si>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</si>
  <si>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</si>
  <si>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</si>
  <si>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</si>
  <si>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</si>
  <si>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</si>
  <si>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</si>
  <si>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</si>
  <si>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</si>
  <si>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</si>
  <si>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</si>
  <si>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</si>
  <si>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</si>
  <si>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</si>
  <si>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</si>
  <si>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</si>
  <si>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</si>
  <si>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</si>
  <si>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</si>
  <si>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</si>
  <si>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</si>
  <si>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</si>
  <si>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</si>
  <si>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</si>
  <si>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</si>
  <si>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</si>
  <si>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</si>
  <si>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</si>
  <si>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</si>
  <si>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</si>
  <si>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</si>
  <si>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</si>
  <si>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</si>
  <si>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</si>
  <si>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</si>
  <si>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</si>
  <si>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</si>
  <si>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</si>
  <si>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</si>
  <si>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</si>
  <si>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</si>
  <si>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</si>
  <si>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</si>
  <si>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</si>
  <si>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</si>
  <si>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</si>
  <si>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</si>
  <si>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</si>
  <si>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</si>
  <si>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</si>
  <si>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</si>
  <si>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</si>
  <si>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</si>
  <si>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</si>
  <si>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</si>
  <si>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</si>
  <si>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</si>
  <si>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</si>
  <si>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</si>
  <si>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</si>
  <si>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</si>
  <si>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</si>
  <si>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</si>
  <si>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</si>
  <si>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</si>
  <si>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</si>
  <si>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</si>
  <si>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</si>
  <si>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</si>
  <si>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</si>
  <si>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</si>
  <si>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</si>
  <si>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</si>
  <si>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</si>
  <si>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</si>
  <si>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</si>
  <si>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</si>
  <si>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</si>
  <si>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</si>
  <si>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</si>
  <si>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</si>
  <si>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</si>
  <si>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</si>
  <si>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</si>
  <si>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</si>
  <si>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</si>
  <si>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</si>
  <si>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</si>
  <si>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</si>
  <si>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</si>
  <si>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</si>
  <si>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</si>
  <si>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</si>
  <si>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</si>
  <si>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</si>
  <si>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</si>
  <si>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</si>
  <si>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</si>
  <si>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</si>
  <si>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</si>
  <si>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</si>
  <si>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</si>
  <si>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</si>
  <si>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</si>
  <si>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</si>
  <si>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</si>
  <si>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</si>
  <si>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</si>
  <si>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</si>
  <si>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</si>
  <si>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</si>
  <si>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</si>
  <si>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</si>
  <si>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</si>
  <si>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</si>
  <si>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</si>
  <si>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</si>
  <si>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</si>
  <si>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</si>
  <si>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</si>
  <si>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</si>
  <si>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</si>
  <si>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</si>
  <si>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</si>
  <si>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</si>
  <si>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</si>
  <si>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</si>
  <si>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</si>
  <si>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</si>
  <si>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</si>
  <si>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</si>
  <si>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</si>
  <si>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</si>
  <si>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</si>
  <si>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</si>
  <si>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</si>
  <si>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</si>
  <si>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</si>
  <si>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</si>
  <si>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</si>
  <si>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</si>
  <si>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</si>
  <si>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</si>
  <si>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</si>
  <si>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</si>
  <si>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</si>
  <si>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</si>
  <si>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</si>
  <si>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</si>
  <si>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</si>
  <si>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</si>
  <si>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</si>
  <si>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</si>
  <si>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</si>
  <si>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</si>
  <si>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</si>
  <si>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</si>
  <si>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</si>
  <si>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</si>
  <si>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</si>
  <si>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</si>
  <si>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</si>
  <si>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</si>
  <si>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</si>
  <si>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</si>
  <si>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</si>
  <si>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</si>
  <si>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</si>
  <si>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</si>
  <si>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</si>
  <si>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</si>
  <si>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</si>
  <si>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</si>
  <si>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</si>
  <si>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</si>
  <si>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</si>
  <si>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</si>
  <si>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</si>
  <si>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</si>
  <si>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</si>
  <si>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</si>
  <si>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</si>
  <si>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</si>
  <si>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</si>
  <si>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</si>
  <si>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</si>
  <si>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</si>
  <si>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</si>
  <si>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</si>
  <si>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</si>
  <si>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</si>
  <si>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</si>
  <si>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</si>
  <si>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</si>
  <si>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</si>
  <si>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</si>
  <si>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</si>
  <si>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</si>
  <si>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</si>
  <si>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</si>
  <si>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</si>
  <si>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</si>
  <si>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</si>
  <si>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</si>
  <si>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</si>
  <si>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</si>
  <si>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</si>
  <si>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</si>
  <si>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</si>
  <si>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</si>
  <si>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</si>
  <si>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</si>
  <si>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</si>
  <si>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</si>
  <si>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</si>
  <si>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</si>
  <si>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</si>
  <si>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</si>
  <si>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</si>
  <si>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</si>
  <si>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</si>
  <si>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</si>
  <si>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</si>
  <si>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</si>
  <si>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</si>
  <si>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</si>
  <si>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</si>
  <si>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</si>
  <si>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</si>
  <si>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</si>
  <si>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</si>
  <si>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</si>
  <si>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</si>
  <si>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</si>
  <si>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</si>
  <si>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</si>
  <si>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</si>
  <si>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</si>
  <si>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</si>
  <si>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</si>
  <si>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</si>
  <si>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</si>
  <si>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</si>
  <si>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</si>
  <si>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</si>
  <si>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</si>
  <si>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</si>
  <si>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</si>
  <si>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</si>
  <si>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</si>
  <si>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</si>
  <si>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</si>
  <si>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</si>
  <si>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</si>
  <si>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</si>
  <si>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</si>
  <si>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</si>
  <si>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</si>
  <si>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</si>
  <si>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</si>
  <si>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</si>
  <si>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</si>
  <si>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</si>
  <si>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</si>
  <si>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</si>
  <si>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</si>
  <si>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</si>
  <si>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</si>
  <si>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</si>
  <si>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</si>
  <si>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</si>
  <si>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</si>
  <si>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</si>
  <si>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</si>
  <si>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</si>
  <si>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</si>
  <si>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</si>
  <si>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</si>
  <si>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</si>
  <si>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</si>
  <si>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</si>
  <si>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</si>
  <si>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</si>
  <si>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</si>
  <si>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</si>
  <si>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</si>
  <si>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</si>
  <si>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</si>
  <si>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</si>
  <si>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</si>
  <si>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</si>
  <si>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</si>
  <si>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</si>
  <si>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</si>
  <si>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</si>
  <si>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</si>
  <si>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</si>
  <si>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</si>
  <si>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</si>
  <si>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</si>
  <si>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</si>
  <si>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</si>
  <si>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</si>
  <si>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</si>
  <si>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</si>
  <si>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</si>
  <si>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</si>
  <si>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</si>
  <si>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</si>
  <si>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</si>
  <si>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</si>
  <si>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</si>
  <si>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</si>
  <si>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</si>
  <si>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</si>
  <si>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</si>
  <si>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</si>
  <si>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</si>
  <si>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</si>
  <si>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</si>
  <si>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</si>
  <si>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</si>
  <si>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</si>
  <si>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</si>
  <si>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</si>
  <si>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</si>
  <si>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</si>
  <si>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</si>
  <si>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</si>
  <si>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</si>
  <si>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</si>
  <si>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</si>
  <si>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</si>
  <si>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</si>
  <si>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</si>
  <si>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</si>
  <si>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</si>
  <si>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</si>
  <si>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</si>
  <si>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</si>
  <si>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</si>
  <si>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</si>
  <si>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</si>
  <si>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</si>
  <si>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</si>
  <si>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</si>
  <si>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</si>
  <si>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</si>
  <si>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</si>
  <si>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</si>
  <si>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</si>
  <si>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</si>
  <si>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</si>
  <si>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</si>
  <si>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</si>
  <si>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</si>
  <si>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</si>
  <si>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</si>
  <si>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</si>
  <si>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</si>
  <si>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</si>
  <si>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</si>
  <si>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</si>
  <si>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</si>
  <si>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</si>
  <si>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</si>
  <si>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</si>
  <si>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</si>
  <si>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</si>
  <si>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</si>
  <si>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</si>
  <si>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</si>
  <si>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</si>
  <si>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</si>
  <si>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</si>
  <si>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</si>
  <si>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</si>
  <si>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</si>
  <si>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</si>
  <si>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</si>
  <si>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</si>
  <si>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</si>
  <si>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</si>
  <si>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</si>
  <si>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</si>
  <si>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</si>
  <si>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</si>
  <si>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</si>
  <si>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</si>
  <si>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</si>
  <si>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</si>
  <si>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</si>
  <si>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</si>
  <si>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</si>
  <si>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</si>
  <si>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</si>
  <si>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</si>
  <si>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</si>
  <si>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</si>
  <si>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</si>
  <si>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</si>
  <si>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</si>
  <si>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</si>
  <si>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</si>
  <si>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</si>
  <si>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</si>
  <si>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</si>
  <si>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</si>
  <si>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</si>
  <si>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</si>
  <si>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</si>
  <si>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</si>
  <si>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</si>
  <si>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</si>
  <si>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</si>
  <si>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</si>
  <si>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</si>
  <si>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</si>
  <si>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</si>
  <si>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</si>
  <si>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</si>
  <si>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</si>
  <si>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</si>
  <si>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</si>
  <si>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</si>
  <si>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</si>
  <si>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</si>
  <si>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</si>
  <si>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</si>
  <si>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</si>
  <si>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</si>
  <si>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</si>
  <si>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</si>
  <si>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</si>
  <si>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</si>
  <si>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</si>
  <si>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</si>
  <si>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</si>
  <si>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</si>
  <si>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</si>
  <si>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</si>
  <si>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</si>
  <si>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</si>
  <si>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</si>
  <si>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</si>
  <si>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</si>
  <si>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</si>
  <si>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</si>
  <si>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</si>
  <si>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</si>
  <si>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</si>
  <si>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</si>
  <si>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</si>
  <si>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</si>
  <si>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</si>
  <si>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</si>
  <si>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</si>
  <si>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</si>
  <si>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</si>
  <si>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</si>
  <si>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</si>
  <si>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</si>
  <si>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</si>
  <si>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</si>
  <si>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</si>
  <si>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</si>
  <si>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</si>
  <si>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</si>
  <si>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</si>
  <si>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</si>
  <si>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</si>
  <si>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</si>
  <si>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</si>
  <si>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</si>
  <si>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</si>
  <si>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</si>
  <si>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</si>
  <si>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</si>
  <si>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</si>
  <si>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</si>
  <si>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</si>
  <si>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</si>
  <si>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</si>
  <si>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</si>
  <si>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</si>
  <si>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</si>
  <si>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</si>
  <si>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</si>
  <si>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</si>
  <si>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</si>
  <si>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</si>
  <si>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</si>
  <si>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</si>
  <si>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</si>
  <si>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</si>
  <si>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</si>
  <si>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</si>
  <si>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</si>
  <si>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</si>
  <si>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</si>
  <si>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</si>
  <si>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</si>
  <si>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</si>
  <si>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</si>
  <si>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</si>
  <si>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</si>
  <si>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</si>
  <si>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</si>
  <si>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</si>
  <si>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</si>
  <si>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</si>
  <si>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</si>
  <si>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</si>
  <si>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</si>
  <si>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</si>
  <si>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</si>
  <si>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</si>
  <si>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</si>
  <si>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</si>
  <si>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</si>
  <si>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</si>
  <si>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</si>
  <si>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</si>
  <si>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</si>
  <si>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</si>
  <si>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</si>
  <si>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</si>
  <si>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</si>
  <si>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</si>
  <si>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</si>
  <si>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</si>
  <si>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</si>
  <si>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</si>
  <si>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</si>
  <si>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</si>
  <si>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</si>
  <si>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</si>
  <si>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</si>
  <si>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</si>
  <si>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</si>
  <si>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</si>
  <si>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</si>
  <si>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</si>
  <si>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</si>
  <si>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</si>
  <si>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</si>
  <si>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</si>
  <si>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</si>
  <si>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</si>
  <si>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</si>
  <si>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</si>
  <si>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</si>
  <si>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</si>
  <si>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</si>
  <si>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</si>
  <si>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</si>
  <si>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</si>
  <si>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</si>
  <si>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</si>
  <si>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</si>
  <si>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</si>
  <si>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</si>
  <si>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</si>
  <si>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</si>
  <si>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</si>
  <si>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</si>
  <si>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</si>
  <si>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</si>
  <si>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</si>
  <si>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</si>
  <si>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</si>
  <si>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</si>
  <si>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</si>
  <si>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</si>
  <si>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</si>
  <si>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</si>
  <si>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</si>
  <si>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</si>
  <si>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</si>
  <si>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</si>
  <si>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</si>
  <si>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</si>
  <si>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</si>
  <si>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</si>
  <si>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</si>
  <si>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</si>
  <si>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</si>
  <si>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</si>
  <si>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</si>
  <si>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</si>
  <si>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</si>
  <si>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</si>
  <si>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</si>
  <si>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</si>
  <si>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</si>
  <si>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</si>
  <si>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</si>
  <si>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</si>
  <si>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</si>
  <si>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</si>
  <si>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</si>
  <si>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</si>
  <si>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</si>
  <si>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</si>
  <si>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</si>
  <si>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</si>
  <si>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</si>
  <si>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</si>
  <si>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</si>
  <si>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</si>
  <si>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</si>
  <si>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</si>
  <si>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</si>
  <si>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</si>
  <si>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</si>
  <si>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</si>
  <si>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</si>
  <si>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</si>
  <si>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</si>
  <si>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</si>
  <si>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</si>
  <si>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</si>
  <si>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</si>
  <si>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</si>
  <si>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</si>
  <si>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</si>
  <si>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</si>
  <si>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</si>
  <si>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</si>
  <si>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</si>
  <si>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</si>
  <si>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</si>
  <si>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</si>
  <si>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</si>
  <si>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</si>
  <si>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</si>
  <si>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</si>
  <si>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</si>
  <si>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</si>
  <si>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</si>
  <si>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</si>
  <si>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</si>
  <si>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</si>
  <si>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</si>
  <si>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</si>
  <si>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</si>
  <si>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</si>
  <si>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</si>
  <si>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</si>
  <si>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</si>
  <si>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</si>
  <si>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</si>
  <si>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</si>
  <si>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</si>
  <si>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</si>
  <si>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</si>
  <si>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</si>
  <si>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</si>
  <si>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</si>
  <si>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</si>
  <si>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</si>
  <si>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</si>
  <si>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</si>
  <si>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</si>
  <si>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</si>
  <si>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</si>
  <si>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</si>
  <si>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</si>
  <si>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</si>
  <si>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</si>
  <si>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</si>
  <si>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</si>
  <si>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</si>
  <si>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</si>
  <si>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</si>
  <si>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</si>
  <si>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</si>
  <si>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</si>
  <si>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</si>
  <si>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</si>
  <si>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</si>
  <si>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</si>
  <si>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</si>
  <si>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</si>
  <si>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</si>
  <si>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</si>
  <si>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</si>
  <si>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</si>
  <si>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</si>
  <si>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</si>
  <si>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</si>
  <si>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</si>
  <si>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</si>
  <si>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</si>
  <si>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</si>
  <si>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</si>
  <si>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</si>
  <si>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</si>
  <si>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</si>
  <si>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</si>
  <si>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</si>
  <si>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</si>
  <si>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</si>
  <si>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</si>
  <si>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</si>
  <si>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</si>
  <si>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</si>
  <si>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</si>
  <si>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</si>
  <si>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</si>
  <si>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</si>
  <si>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</si>
  <si>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</si>
  <si>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</si>
  <si>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</si>
  <si>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</si>
  <si>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</si>
  <si>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</si>
  <si>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</si>
  <si>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</si>
  <si>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</si>
  <si>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</si>
  <si>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</si>
  <si>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</si>
  <si>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</si>
  <si>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</si>
  <si>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</si>
  <si>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</si>
  <si>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</si>
  <si>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</si>
  <si>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</si>
  <si>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</si>
  <si>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</si>
  <si>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</si>
  <si>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</si>
  <si>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</si>
  <si>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</si>
  <si>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</si>
  <si>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</si>
  <si>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</si>
  <si>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</si>
  <si>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</si>
  <si>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</si>
  <si>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</si>
  <si>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</si>
  <si>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</si>
  <si>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</si>
  <si>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</si>
  <si>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</si>
  <si>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</si>
  <si>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</si>
  <si>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</si>
  <si>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</si>
  <si>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</si>
  <si>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</si>
  <si>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</si>
  <si>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</si>
  <si>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</si>
  <si>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</si>
  <si>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</si>
  <si>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</si>
  <si>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</si>
  <si>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</si>
  <si>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</si>
  <si>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</si>
  <si>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</si>
  <si>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</si>
  <si>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</si>
  <si>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</si>
  <si>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</si>
  <si>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</si>
  <si>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</si>
  <si>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</si>
  <si>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</si>
  <si>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</si>
  <si>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</si>
  <si>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</si>
  <si>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</si>
  <si>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</si>
  <si>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</si>
  <si>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</si>
  <si>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</si>
  <si>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</si>
  <si>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</si>
  <si>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</si>
  <si>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</si>
  <si>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</si>
  <si>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</si>
  <si>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</si>
  <si>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</si>
  <si>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</si>
  <si>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</si>
  <si>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</si>
  <si>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</si>
  <si>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</si>
  <si>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</si>
  <si>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</si>
  <si>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</si>
  <si>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</si>
  <si>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</si>
  <si>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</si>
  <si>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</si>
  <si>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</si>
  <si>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</si>
  <si>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</si>
  <si>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</si>
  <si>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</si>
  <si>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</si>
  <si>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</si>
  <si>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</si>
  <si>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</si>
  <si>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</si>
  <si>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</si>
  <si>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</si>
  <si>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</si>
  <si>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</si>
  <si>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</si>
  <si>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</si>
  <si>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</si>
  <si>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</si>
  <si>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</si>
  <si>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</si>
  <si>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</si>
  <si>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</si>
  <si>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</si>
  <si>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</si>
  <si>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</si>
  <si>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</si>
  <si>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</si>
  <si>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</si>
  <si>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</si>
  <si>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</si>
  <si>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</si>
  <si>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</si>
  <si>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</si>
  <si>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</si>
  <si>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</si>
  <si>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</si>
  <si>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</si>
  <si>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</si>
  <si>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</si>
  <si>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</si>
  <si>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</si>
  <si>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</si>
  <si>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</si>
  <si>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</si>
  <si>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</si>
  <si>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</si>
  <si>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</si>
  <si>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</si>
  <si>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</si>
  <si>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</si>
  <si>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</si>
  <si>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</si>
  <si>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</si>
  <si>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</si>
  <si>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</si>
  <si>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</si>
  <si>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</si>
  <si>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</si>
  <si>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</si>
  <si>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</si>
  <si>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</si>
  <si>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</si>
  <si>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</si>
  <si>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</si>
  <si>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</si>
  <si>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</si>
  <si>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</si>
  <si>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</si>
  <si>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</si>
  <si>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</si>
  <si>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</si>
  <si>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</si>
  <si>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</si>
  <si>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</si>
  <si>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</si>
  <si>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</si>
  <si>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</si>
  <si>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</si>
  <si>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</si>
  <si>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</si>
  <si>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</si>
  <si>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</si>
  <si>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</si>
  <si>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</si>
  <si>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</si>
  <si>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</si>
  <si>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</si>
  <si>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</si>
  <si>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</si>
  <si>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</si>
  <si>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</si>
  <si>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</si>
  <si>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</si>
  <si>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</si>
  <si>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</si>
  <si>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</si>
  <si>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</si>
  <si>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</si>
  <si>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</si>
  <si>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</si>
  <si>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</si>
  <si>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</si>
  <si>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</si>
  <si>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</si>
  <si>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</si>
  <si>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</si>
  <si>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</si>
  <si>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</si>
  <si>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</si>
  <si>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</si>
  <si>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</si>
  <si>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</si>
  <si>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</si>
  <si>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</si>
  <si>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</si>
  <si>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</si>
  <si>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</si>
  <si>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</si>
  <si>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</si>
  <si>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</si>
  <si>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</si>
  <si>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</si>
  <si>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</si>
  <si>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</si>
  <si>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</si>
  <si>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</si>
  <si>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</si>
  <si>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</si>
  <si>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</si>
  <si>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</si>
  <si>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</si>
  <si>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</si>
  <si>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</si>
  <si>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</si>
  <si>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</si>
  <si>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</si>
  <si>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</si>
  <si>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</si>
  <si>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</si>
  <si>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</si>
  <si>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</si>
  <si>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</si>
  <si>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</si>
  <si>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</si>
  <si>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</si>
  <si>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</si>
  <si>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</si>
  <si>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</si>
  <si>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</si>
  <si>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</si>
  <si>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</si>
  <si>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</si>
  <si>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</si>
  <si>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</si>
  <si>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</si>
  <si>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</si>
  <si>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</si>
  <si>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</si>
  <si>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</si>
  <si>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</si>
  <si>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</si>
  <si>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</si>
  <si>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</si>
  <si>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</si>
  <si>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</si>
  <si>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</si>
  <si>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</si>
  <si>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</si>
  <si>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</si>
  <si>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</si>
  <si>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</si>
  <si>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</si>
  <si>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</si>
  <si>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</si>
  <si>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</si>
  <si>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</si>
  <si>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</si>
  <si>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</si>
  <si>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</si>
  <si>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</si>
  <si>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</si>
  <si>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</si>
  <si>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</si>
  <si>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</si>
  <si>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</si>
  <si>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</si>
  <si>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</si>
  <si>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</si>
  <si>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</si>
  <si>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</si>
  <si>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</si>
  <si>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</si>
  <si>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</si>
  <si>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</si>
  <si>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</si>
  <si>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</si>
  <si>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</si>
  <si>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</si>
  <si>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</si>
  <si>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</si>
  <si>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</si>
  <si>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</si>
  <si>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</si>
  <si>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</si>
  <si>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</si>
  <si>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</si>
  <si>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</si>
  <si>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</si>
  <si>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</si>
  <si>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</si>
  <si>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</si>
  <si>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</si>
  <si>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</si>
  <si>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</si>
  <si>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</si>
  <si>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</si>
  <si>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</si>
  <si>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</si>
  <si>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</si>
  <si>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</si>
  <si>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</si>
  <si>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</si>
  <si>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</si>
  <si>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</si>
  <si>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</si>
  <si>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</si>
  <si>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</si>
  <si>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</si>
  <si>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</si>
  <si>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</si>
  <si>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</si>
  <si>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</si>
  <si>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</si>
  <si>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</si>
  <si>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</si>
  <si>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</si>
  <si>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</si>
  <si>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</si>
  <si>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</si>
  <si>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</si>
  <si>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</si>
  <si>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</si>
  <si>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</si>
  <si>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</si>
  <si>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</si>
  <si>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</si>
  <si>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</si>
  <si>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</si>
  <si>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</si>
  <si>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</si>
  <si>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</si>
  <si>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</si>
  <si>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</si>
  <si>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</si>
  <si>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</si>
  <si>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</si>
  <si>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</si>
  <si>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</si>
  <si>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</si>
  <si>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</si>
  <si>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</si>
  <si>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</si>
  <si>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</si>
  <si>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</si>
  <si>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</si>
  <si>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</si>
  <si>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</si>
  <si>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</si>
  <si>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</si>
  <si>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</si>
  <si>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</si>
  <si>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</si>
  <si>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</si>
  <si>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</si>
  <si>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</si>
  <si>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</si>
  <si>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</si>
  <si>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</si>
  <si>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</si>
  <si>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</si>
  <si>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</si>
  <si>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</si>
  <si>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</si>
  <si>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</si>
  <si>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</si>
  <si>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</si>
  <si>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</si>
  <si>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</si>
  <si>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</si>
  <si>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</si>
  <si>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</si>
  <si>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</si>
  <si>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</si>
  <si>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</si>
  <si>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</si>
  <si>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</si>
  <si>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</si>
  <si>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</si>
  <si>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</si>
  <si>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</si>
  <si>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</si>
  <si>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</si>
  <si>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</si>
  <si>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</si>
  <si>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</si>
  <si>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</si>
  <si>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</si>
  <si>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</si>
  <si>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</si>
  <si>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</si>
  <si>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</si>
  <si>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</si>
  <si>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</si>
  <si>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</si>
  <si>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</si>
  <si>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</si>
  <si>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</si>
  <si>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</si>
  <si>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</si>
  <si>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</si>
  <si>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</si>
  <si>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</si>
  <si>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</si>
  <si>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</si>
  <si>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</si>
  <si>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</si>
  <si>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</si>
  <si>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</si>
  <si>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</si>
  <si>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</si>
  <si>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</si>
  <si>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</si>
  <si>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</si>
  <si>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</si>
  <si>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</si>
  <si>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</si>
  <si>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</si>
  <si>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</si>
  <si>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</si>
  <si>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</si>
  <si>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</si>
  <si>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</si>
  <si>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</si>
  <si>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</si>
  <si>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</si>
  <si>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</si>
  <si>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</si>
  <si>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</si>
  <si>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</si>
  <si>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</si>
  <si>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</si>
  <si>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</si>
  <si>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</si>
  <si>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</si>
  <si>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</si>
  <si>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</si>
  <si>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</si>
  <si>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</si>
  <si>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</si>
  <si>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</si>
  <si>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</si>
  <si>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</si>
  <si>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</si>
  <si>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</si>
  <si>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</si>
  <si>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</si>
  <si>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</si>
  <si>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</si>
  <si>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</si>
  <si>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</si>
  <si>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</si>
  <si>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</si>
  <si>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</si>
  <si>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</si>
  <si>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</si>
  <si>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</si>
  <si>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</si>
  <si>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</si>
  <si>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</si>
  <si>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</si>
  <si>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</si>
  <si>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</si>
  <si>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</si>
  <si>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</si>
  <si>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</si>
  <si>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</si>
  <si>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</si>
  <si>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</si>
  <si>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</si>
  <si>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</si>
  <si>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</si>
  <si>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</si>
  <si>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</si>
  <si>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</si>
  <si>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</si>
  <si>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</si>
  <si>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</si>
  <si>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</si>
  <si>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</si>
  <si>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</si>
  <si>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</si>
  <si>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</si>
  <si>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</si>
  <si>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</si>
  <si>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</si>
  <si>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</si>
  <si>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</si>
  <si>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</si>
  <si>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</si>
  <si>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</si>
  <si>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</si>
  <si>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</si>
  <si>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</si>
  <si>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</si>
  <si>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</si>
  <si>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</si>
  <si>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</si>
  <si>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</si>
  <si>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</si>
  <si>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</si>
  <si>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</si>
  <si>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</si>
  <si>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</si>
  <si>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</si>
  <si>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</si>
  <si>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</si>
  <si>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</si>
  <si>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</si>
  <si>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</si>
  <si>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</si>
  <si>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</si>
  <si>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</si>
  <si>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</si>
  <si>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</si>
  <si>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</si>
  <si>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</si>
  <si>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</si>
  <si>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</si>
  <si>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</si>
  <si>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</si>
  <si>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</si>
  <si>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</si>
  <si>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</si>
  <si>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</si>
  <si>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</si>
  <si>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</si>
  <si>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</si>
  <si>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</si>
  <si>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</si>
  <si>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</si>
  <si>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</si>
  <si>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</si>
  <si>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</si>
  <si>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</si>
  <si>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</si>
  <si>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</si>
  <si>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</si>
  <si>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</si>
  <si>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</si>
  <si>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</si>
  <si>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</si>
  <si>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</si>
  <si>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</si>
  <si>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</si>
  <si>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</si>
  <si>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</si>
  <si>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</si>
  <si>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</si>
  <si>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</si>
  <si>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</si>
  <si>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</si>
  <si>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</si>
  <si>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</si>
  <si>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</si>
  <si>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</si>
  <si>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</si>
  <si>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</si>
  <si>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</si>
  <si>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</si>
  <si>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</si>
  <si>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</si>
  <si>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</si>
  <si>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</si>
  <si>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</si>
  <si>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</si>
  <si>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</si>
  <si>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</si>
  <si>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</si>
  <si>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</si>
  <si>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</si>
  <si>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</si>
  <si>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</si>
  <si>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</si>
  <si>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</si>
  <si>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</si>
  <si>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</si>
  <si>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</si>
  <si>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</si>
  <si>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</si>
  <si>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</si>
  <si>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</si>
  <si>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</si>
  <si>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</si>
  <si>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</si>
  <si>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</si>
  <si>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</si>
  <si>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</si>
  <si>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</si>
  <si>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</si>
  <si>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</si>
  <si>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</si>
  <si>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</si>
  <si>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</si>
  <si>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</si>
  <si>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</si>
  <si>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</si>
  <si>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</si>
  <si>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</si>
  <si>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</si>
  <si>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</si>
  <si>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</si>
  <si>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</si>
  <si>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</si>
  <si>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</si>
  <si>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</si>
  <si>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</si>
  <si>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</si>
  <si>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</si>
  <si>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</si>
  <si>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</si>
  <si>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</si>
  <si>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</si>
  <si>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</si>
  <si>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</si>
  <si>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</si>
  <si>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</si>
  <si>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</si>
  <si>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</si>
  <si>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</si>
  <si>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</si>
  <si>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</si>
  <si>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</si>
  <si>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</si>
  <si>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</si>
  <si>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</si>
  <si>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</si>
  <si>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</si>
  <si>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</si>
  <si>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</si>
  <si>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</si>
  <si>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</si>
  <si>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</si>
  <si>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</si>
  <si>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</si>
  <si>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</si>
  <si>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</si>
  <si>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</si>
  <si>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</si>
  <si>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</si>
  <si>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</si>
  <si>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</si>
  <si>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</si>
  <si>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</si>
  <si>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</si>
  <si>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</si>
  <si>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</si>
  <si>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</si>
  <si>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</si>
  <si>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</si>
  <si>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</si>
  <si>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</si>
  <si>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</si>
  <si>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</si>
  <si>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</si>
  <si>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</si>
  <si>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</si>
  <si>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</si>
  <si>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</si>
  <si>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</si>
  <si>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</si>
  <si>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</si>
  <si>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</si>
  <si>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</si>
  <si>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</si>
  <si>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</si>
  <si>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</si>
  <si>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</si>
  <si>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</si>
  <si>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</si>
  <si>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</si>
  <si>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</si>
  <si>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</si>
  <si>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</si>
  <si>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</si>
  <si>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</si>
  <si>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</si>
  <si>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</si>
  <si>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</si>
  <si>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</si>
  <si>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</si>
  <si>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</si>
  <si>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</si>
  <si>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</si>
  <si>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</si>
  <si>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</si>
  <si>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</si>
  <si>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</si>
  <si>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</si>
  <si>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</si>
  <si>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</si>
  <si>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</si>
  <si>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</si>
  <si>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</si>
  <si>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</si>
  <si>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</si>
  <si>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</si>
  <si>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</si>
  <si>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</si>
  <si>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</si>
  <si>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</si>
  <si>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</si>
  <si>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</si>
  <si>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</si>
  <si>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</si>
  <si>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</si>
  <si>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</si>
  <si>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</si>
  <si>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</si>
  <si>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</si>
  <si>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</si>
  <si>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</si>
  <si>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</si>
  <si>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</si>
  <si>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</si>
  <si>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</si>
  <si>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</si>
  <si>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</si>
  <si>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</si>
  <si>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</si>
  <si>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</si>
  <si>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</si>
  <si>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</si>
  <si>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</si>
  <si>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</si>
  <si>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</si>
  <si>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</si>
  <si>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</si>
  <si>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</si>
  <si>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</si>
  <si>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</si>
  <si>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</si>
  <si>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</si>
  <si>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</si>
  <si>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</si>
  <si>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</si>
  <si>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</si>
  <si>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</si>
  <si>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</si>
  <si>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</si>
  <si>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</si>
  <si>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</si>
  <si>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</si>
  <si>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</si>
  <si>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</si>
  <si>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</si>
  <si>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</si>
  <si>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</si>
  <si>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</si>
  <si>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</si>
  <si>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</si>
  <si>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</si>
  <si>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</si>
  <si>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</si>
  <si>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</si>
  <si>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</si>
  <si>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</si>
  <si>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</si>
  <si>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</si>
  <si>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</si>
  <si>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</si>
  <si>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</si>
  <si>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</si>
  <si>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</si>
  <si>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</si>
  <si>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</si>
  <si>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</si>
  <si>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</si>
  <si>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</si>
  <si>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</si>
  <si>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</si>
  <si>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</si>
  <si>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</si>
  <si>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</si>
  <si>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</si>
  <si>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</si>
  <si>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</si>
  <si>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</si>
  <si>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</si>
  <si>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</si>
  <si>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</si>
  <si>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</si>
  <si>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</si>
  <si>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</si>
  <si>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</si>
  <si>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</si>
  <si>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</si>
  <si>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</si>
  <si>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</si>
  <si>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</si>
  <si>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</si>
  <si>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</si>
  <si>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</si>
  <si>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</si>
  <si>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</si>
  <si>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</si>
  <si>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</si>
  <si>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</si>
  <si>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</si>
  <si>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</si>
  <si>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</si>
  <si>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</si>
  <si>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</si>
  <si>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</si>
  <si>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</si>
  <si>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</si>
  <si>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</si>
  <si>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</si>
  <si>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</si>
  <si>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</si>
  <si>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</si>
  <si>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</si>
  <si>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</si>
  <si>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</si>
  <si>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</si>
  <si>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</si>
  <si>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</si>
  <si>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</si>
  <si>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</si>
  <si>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</si>
  <si>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</si>
  <si>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</si>
  <si>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</si>
  <si>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</si>
  <si>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</si>
  <si>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</si>
  <si>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</si>
  <si>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</si>
  <si>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</si>
  <si>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</si>
  <si>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</si>
  <si>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</si>
  <si>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</si>
  <si>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</si>
  <si>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</si>
  <si>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</si>
  <si>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</si>
  <si>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</si>
  <si>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</si>
  <si>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</si>
  <si>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</si>
  <si>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</si>
  <si>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</si>
  <si>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</si>
  <si>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</si>
  <si>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</si>
  <si>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</si>
  <si>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</si>
  <si>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</si>
  <si>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</si>
  <si>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</si>
  <si>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</si>
  <si>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</si>
  <si>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</si>
  <si>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</si>
  <si>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</si>
  <si>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</si>
  <si>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</si>
  <si>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</si>
  <si>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</si>
  <si>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</si>
  <si>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</si>
  <si>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</si>
  <si>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</si>
  <si>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</si>
  <si>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</si>
  <si>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</si>
  <si>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</si>
  <si>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</si>
  <si>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</si>
  <si>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</si>
  <si>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</si>
  <si>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</si>
  <si>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</si>
  <si>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</si>
  <si>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</si>
  <si>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</si>
  <si>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</si>
  <si>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</si>
  <si>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</si>
  <si>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</si>
  <si>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</si>
  <si>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</si>
  <si>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</si>
  <si>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</si>
  <si>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</si>
  <si>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</si>
  <si>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</si>
  <si>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</si>
  <si>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</si>
  <si>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</si>
  <si>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</si>
  <si>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</si>
  <si>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</si>
  <si>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</si>
  <si>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</si>
  <si>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</si>
  <si>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</si>
  <si>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</si>
  <si>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</si>
  <si>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</si>
  <si>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</si>
  <si>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</si>
  <si>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</si>
  <si>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</si>
  <si>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</si>
  <si>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</si>
  <si>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</si>
  <si>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</si>
  <si>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</si>
  <si>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</si>
  <si>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</si>
  <si>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</si>
  <si>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</si>
  <si>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</si>
  <si>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</si>
  <si>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</si>
  <si>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</si>
  <si>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</si>
  <si>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</si>
  <si>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</si>
  <si>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</si>
  <si>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</si>
  <si>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</si>
  <si>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</si>
  <si>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</si>
  <si>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</si>
  <si>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</si>
  <si>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</si>
  <si>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</si>
  <si>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</si>
  <si>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</si>
  <si>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</si>
  <si>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</si>
  <si>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</si>
  <si>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</si>
  <si>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</si>
  <si>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</si>
  <si>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</si>
  <si>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</si>
  <si>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</si>
  <si>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</si>
  <si>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</si>
  <si>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</si>
  <si>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</si>
  <si>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</si>
  <si>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</si>
  <si>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</si>
  <si>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</si>
  <si>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</si>
  <si>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</si>
  <si>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</si>
  <si>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</si>
  <si>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</si>
  <si>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</si>
  <si>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</si>
  <si>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</si>
  <si>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</si>
  <si>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</si>
  <si>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</si>
  <si>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</si>
  <si>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</si>
  <si>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</si>
  <si>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</si>
  <si>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</si>
  <si>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</si>
  <si>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</si>
  <si>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</si>
  <si>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</si>
  <si>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</si>
  <si>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</si>
  <si>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</si>
  <si>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</si>
  <si>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</si>
  <si>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</si>
  <si>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</si>
  <si>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</si>
  <si>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</si>
  <si>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</si>
  <si>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</si>
  <si>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</si>
  <si>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</si>
  <si>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</si>
  <si>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</si>
  <si>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</si>
  <si>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</si>
  <si>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</si>
  <si>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</si>
  <si>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</si>
  <si>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</si>
  <si>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</si>
  <si>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</si>
  <si>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</si>
  <si>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</si>
  <si>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</si>
  <si>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</si>
  <si>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</si>
  <si>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</si>
  <si>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</si>
  <si>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</si>
  <si>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</si>
  <si>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</si>
  <si>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</si>
  <si>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</si>
  <si>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</si>
  <si>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</si>
  <si>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</si>
  <si>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</si>
  <si>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</si>
  <si>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</si>
  <si>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</si>
  <si>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</si>
  <si>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</si>
  <si>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</si>
  <si>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</si>
  <si>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</si>
  <si>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</si>
  <si>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</si>
  <si>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</si>
  <si>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</si>
  <si>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</si>
  <si>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</si>
  <si>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</si>
  <si>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</si>
  <si>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</si>
  <si>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</si>
  <si>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</si>
  <si>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</si>
  <si>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</si>
  <si>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</si>
  <si>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</si>
  <si>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</si>
  <si>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</si>
  <si>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</si>
  <si>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</si>
  <si>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</si>
  <si>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</si>
  <si>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</si>
  <si>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</si>
  <si>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</si>
  <si>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</si>
  <si>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</si>
  <si>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</si>
  <si>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</si>
  <si>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</si>
  <si>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</si>
  <si>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</si>
  <si>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</si>
  <si>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</si>
  <si>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</si>
  <si>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</si>
  <si>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</si>
  <si>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</si>
  <si>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</si>
  <si>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</si>
  <si>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</si>
  <si>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</si>
  <si>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</si>
  <si>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</si>
  <si>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</si>
  <si>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</si>
  <si>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</si>
  <si>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</si>
  <si>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</si>
  <si>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</si>
  <si>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</si>
  <si>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</si>
  <si>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</si>
  <si>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</si>
  <si>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</si>
  <si>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</si>
  <si>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</si>
  <si>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</si>
  <si>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</si>
  <si>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</si>
  <si>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</si>
  <si>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</si>
  <si>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</si>
  <si>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</si>
  <si>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</si>
  <si>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</si>
  <si>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</si>
  <si>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</si>
  <si>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</si>
  <si>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</si>
  <si>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</si>
  <si>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</si>
  <si>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</si>
  <si>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</si>
  <si>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</si>
  <si>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</si>
  <si>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</si>
  <si>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</si>
  <si>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</si>
  <si>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</si>
  <si>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</si>
  <si>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</si>
  <si>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</si>
  <si>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</si>
  <si>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</si>
  <si>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</si>
  <si>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</si>
  <si>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</si>
  <si>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</si>
  <si>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</si>
  <si>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</si>
  <si>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</si>
  <si>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</si>
  <si>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</si>
  <si>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</si>
  <si>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</si>
  <si>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</si>
  <si>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</si>
  <si>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</si>
  <si>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</si>
  <si>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</si>
  <si>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</si>
  <si>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</si>
  <si>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</si>
  <si>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</si>
  <si>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</si>
  <si>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</si>
  <si>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</si>
  <si>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</si>
  <si>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</si>
  <si>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</si>
  <si>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</si>
  <si>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</si>
  <si>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</si>
  <si>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</si>
  <si>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</si>
  <si>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</si>
  <si>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</si>
  <si>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</si>
  <si>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</si>
  <si>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</si>
  <si>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Community Revitalization and Development Corporation</t>
  </si>
  <si>
    <t>CRP Driftwood Flats AGP LLC</t>
  </si>
  <si>
    <t>Provided</t>
  </si>
  <si>
    <t>Not Applicable</t>
  </si>
  <si>
    <t>CRP Driftwood Flats LP</t>
  </si>
  <si>
    <t>Driftwood Flats</t>
  </si>
  <si>
    <t>City of Santa Cruz Redevelopment Agency</t>
  </si>
  <si>
    <t>Ms. Bonnie Lopscomb</t>
  </si>
  <si>
    <t>337 Locust Street</t>
  </si>
  <si>
    <t>831-420-5150</t>
  </si>
  <si>
    <t>831-425-151</t>
  </si>
  <si>
    <t>blipscomb@ci.santa-cruz.ca.us</t>
  </si>
  <si>
    <t>407, 409 and 413 Pacific Avenue</t>
  </si>
  <si>
    <t>007-023-018 and 007-023-019</t>
  </si>
  <si>
    <t>122 E 42nd Street, suite 1903</t>
  </si>
  <si>
    <t>New York</t>
  </si>
  <si>
    <t>Paul Salib</t>
  </si>
  <si>
    <t>NY</t>
  </si>
  <si>
    <t>212-776-1914</t>
  </si>
  <si>
    <t>psalib@crpaffordable.com</t>
  </si>
  <si>
    <t>CRP Affordable Housing and Community Development LLC and Community Revilatization and Development Corporation</t>
  </si>
  <si>
    <t>Redding</t>
  </si>
  <si>
    <t>David Rutledge</t>
  </si>
  <si>
    <t>530-241-6960</t>
  </si>
  <si>
    <t>david@crdc.org</t>
  </si>
  <si>
    <t>Managing GP</t>
  </si>
  <si>
    <t xml:space="preserve">CRP Affordable Housing and Community Development LLC </t>
  </si>
  <si>
    <t xml:space="preserve">CRP Affordable Housing and Community Development LLC																								
																								</t>
  </si>
  <si>
    <t xml:space="preserve">122 E 42nd Street, suite 1903																		</t>
  </si>
  <si>
    <t>Seth Sterneck</t>
  </si>
  <si>
    <t>646-518-7280</t>
  </si>
  <si>
    <t>ssterneck@crpaffordable.com</t>
  </si>
  <si>
    <t>Developer</t>
  </si>
  <si>
    <t>CRP Affordable Housing and Community Development LLC</t>
  </si>
  <si>
    <t>New York, NY 10168</t>
  </si>
  <si>
    <t>217-776-1914</t>
  </si>
  <si>
    <t>Aura Architecture Inc.</t>
  </si>
  <si>
    <t xml:space="preserve">434 N Main Suite </t>
  </si>
  <si>
    <t>Corona CA 92878</t>
  </si>
  <si>
    <t>Garrett Bascom</t>
  </si>
  <si>
    <t>909-206-9177</t>
  </si>
  <si>
    <t>gbascom@crpaffordable.com</t>
  </si>
  <si>
    <t>Hobson Bernardino + Davis LLP</t>
  </si>
  <si>
    <t>6060 Center Drive, Floor 10</t>
  </si>
  <si>
    <t>Los Angeles, CA 90045</t>
  </si>
  <si>
    <t>Jason Hobson</t>
  </si>
  <si>
    <t>213-235-9191</t>
  </si>
  <si>
    <t>Ironcore Construction LLC</t>
  </si>
  <si>
    <t>4429 Morena Boulevard, Suite A</t>
  </si>
  <si>
    <t>San Diego, CA 92127</t>
  </si>
  <si>
    <t>Tom Hodgins</t>
  </si>
  <si>
    <t>(619) 378-7878</t>
  </si>
  <si>
    <t>thodgin@ironcorecc.com</t>
  </si>
  <si>
    <t>Novogradac &amp; Company LLP</t>
  </si>
  <si>
    <t>1300 114th Avenue SE, Suite 240</t>
  </si>
  <si>
    <t>Bellevue, WA 98004</t>
  </si>
  <si>
    <t>Thomas Stagg</t>
  </si>
  <si>
    <t>thomas.stagg@novoco.com</t>
  </si>
  <si>
    <t>Partner Energy</t>
  </si>
  <si>
    <t>980 Knox St. Suite 150</t>
  </si>
  <si>
    <t>Los Angeles, Ca 90502</t>
  </si>
  <si>
    <t>Kelsey Shaw</t>
  </si>
  <si>
    <t>310-356-2199</t>
  </si>
  <si>
    <t>kshaw@ptrenergy.com</t>
  </si>
  <si>
    <t>Novogradac Consulting LLP</t>
  </si>
  <si>
    <t>6700 Antioch Rd #450</t>
  </si>
  <si>
    <t>Merriam, Kansas 66204</t>
  </si>
  <si>
    <t>515-519-1234</t>
  </si>
  <si>
    <t xml:space="preserve">thomas.stagg@novoco.com										</t>
  </si>
  <si>
    <t>US bancorp</t>
  </si>
  <si>
    <t>1307 Washington Avenue, Suite 300</t>
  </si>
  <si>
    <t>St. Luis, MO 63103</t>
  </si>
  <si>
    <t>Sebastian Glowacki</t>
  </si>
  <si>
    <t>303-349-4132</t>
  </si>
  <si>
    <t>sebastian.glowacki@usbank.com</t>
  </si>
  <si>
    <t>Rachel Denton</t>
  </si>
  <si>
    <t>913-312-4612</t>
  </si>
  <si>
    <t>rachel.denton@novoco.com</t>
  </si>
  <si>
    <t>800 Iron Point Road</t>
  </si>
  <si>
    <t>Folsom, CA 95630</t>
  </si>
  <si>
    <t xml:space="preserve">CRP 407 Pacific LLC </t>
  </si>
  <si>
    <t xml:space="preserve">Joel Hammer </t>
  </si>
  <si>
    <t>Authorized Signatory</t>
  </si>
  <si>
    <t>122 E 42nd ST RM1903, New York, NY 10168</t>
  </si>
  <si>
    <t>Joel Hammer</t>
  </si>
  <si>
    <t>Apartments, Single Family Residence, Warehouses + Garage</t>
  </si>
  <si>
    <t>R-T(C) SUBDISTRICT C - BEACH COMMERCIAL</t>
  </si>
  <si>
    <t>70 feet Maximum; additional 33 feet allowed per govt. code 65915</t>
  </si>
  <si>
    <t>Construction Loan (Tax- Exempt)</t>
  </si>
  <si>
    <t>Construction Loan (Taxable)</t>
  </si>
  <si>
    <t>Federal LIHTC Equity</t>
  </si>
  <si>
    <t>State LIHTC Equity</t>
  </si>
  <si>
    <t>Deferred Costs</t>
  </si>
  <si>
    <t>Variable</t>
  </si>
  <si>
    <t>Tax-Exempt Bonds/Private</t>
  </si>
  <si>
    <t>Taxable Loan/Private</t>
  </si>
  <si>
    <t>Equity/Private</t>
  </si>
  <si>
    <t>122 East 42nd St, STE 1903</t>
  </si>
  <si>
    <t>New York NY 10168</t>
  </si>
  <si>
    <t>Private</t>
  </si>
  <si>
    <t>Permanent Loan (Tranche A)</t>
  </si>
  <si>
    <t>Permanent Loan (Tranche B)</t>
  </si>
  <si>
    <t>Conventional Loan</t>
  </si>
  <si>
    <t>Late App Fees, Late, etc</t>
  </si>
  <si>
    <t>General Utilities</t>
  </si>
  <si>
    <t>Housing Authority of the County of  Santa Cruz</t>
  </si>
  <si>
    <t>(Conventions&amp; Meetings+Office Expenses+Accounting Service+Misc. Administravtive Service)</t>
  </si>
  <si>
    <t>Supplies</t>
  </si>
  <si>
    <t>Property Liability Insurance</t>
  </si>
  <si>
    <t>Other: (Bond Premium)</t>
  </si>
  <si>
    <t>Other: (Legal or Permanent Financing)</t>
  </si>
  <si>
    <t>Other: (Lender Legal+ Bond Issur Legal+MGP Legal)</t>
  </si>
  <si>
    <t>Other: (CDLAC Fee)</t>
  </si>
  <si>
    <t xml:space="preserve">Community Revitalization and Development Corporation </t>
  </si>
  <si>
    <t>Managing GP Fee</t>
  </si>
  <si>
    <t>Administrative GP Fee</t>
  </si>
  <si>
    <t>Life STEPS</t>
  </si>
  <si>
    <t>Individualized Health and Wellness services and programs such as Crisis Intervention,
Practical Counseling &amp; Emotional Support, Cleanliness &amp; Hygiene Assessment, Eviction
Prevention, Government and Insurance Entitlements, and Physical and Mental Health
Assessment.</t>
  </si>
  <si>
    <t>CRP 407 Pacific LLC</t>
  </si>
  <si>
    <t>CRP 407 Pacific LLC acquired the property from the Cacace Family Trust on June 30, 2025. Subsequently, CRP Driftwood Flats LP entered into a Purchase and Sale Agreement (PSA) on November 14, 2025, to acquire the property from CRP 407 Pacific LLC. The PSA remains valid through November 14, 2027. CRP 407 Pacific LLC and CRP. Driftwood Flats LP share a common manager.</t>
  </si>
  <si>
    <t>Administrative GP</t>
  </si>
  <si>
    <t>Other (Specify below)</t>
  </si>
  <si>
    <t>Five Stories of TYPE-III construction over three stories of TYPE I-A construction.</t>
  </si>
  <si>
    <t>Partnership Admin Fee</t>
  </si>
  <si>
    <t>LP Distribution</t>
  </si>
  <si>
    <t>GP Distribution</t>
  </si>
  <si>
    <t>Geotechnical Report</t>
  </si>
  <si>
    <t>Phase I Report</t>
  </si>
  <si>
    <t>Driftwood Flats will incorporate sustainable and green building features such as high-performance insulation and windows, energy-efficient HVAC systems and ENERGY STAR appliances to reduce energy use and utility costs. 
Healthy indoor environment will be supported with proper ventilation, and ample daylighting. Driftwood Flats offers proximity to public transit, proximity to several lifestyle amenities such as schools, medical facilities, parks and 
libraries along with bicycle parking on site, EV-car parking, and climate-resilient design measures that meet or exceed California Title 24 energy standards  helping ensure long-term affordability, environmental performance, and resident well-being.</t>
  </si>
  <si>
    <t>Lump Sum</t>
  </si>
  <si>
    <t>AIA Document A104 dated 02/27/2026</t>
  </si>
  <si>
    <t xml:space="preserve">The developer, CRP Affordable Housing and Community Development LLC is the manager of the AGP. The Minimum 7 points requirement pursuant to
 CDLAC regulations is fulfilled by the MGP. </t>
  </si>
  <si>
    <t>Employment Reporting</t>
  </si>
  <si>
    <t>Other: (Miscellaenous Third Party Costs+Predevelopment Loan Interest + Environmental Remediation )</t>
  </si>
  <si>
    <t>Workers Comp + Assistant manager salary + Benefits</t>
  </si>
  <si>
    <t>CA</t>
  </si>
  <si>
    <t xml:space="preserve">1918 West Street </t>
  </si>
  <si>
    <t>jhobson@hbdlegal.com</t>
  </si>
  <si>
    <t>500 Capitola Mall Suite 400</t>
  </si>
  <si>
    <t>Sacramento, CA 95814</t>
  </si>
  <si>
    <t>Kevin Brown</t>
  </si>
  <si>
    <t>(916) 616-8899</t>
  </si>
  <si>
    <t>Redding, CA 96001</t>
  </si>
  <si>
    <t xml:space="preserve">Scope includes the construction and services required by the Contract Documents, whether completed or partially completed, and includes all other labor, materials, equipment, and services provided or to be provided by the Contractor to fulfill the Contractor’s obligations. The Work may constitute the whole or a part of the Project. All Work shall be performed in accordance with the Contract Documents and all applicable federal, state and local statutes, laws, regulations, ordinances, codes and orders applicable to the Work, including but not limited to California Building Code Chapter 11a, in effect as of the date of execution of this Agreement. </t>
  </si>
  <si>
    <t>Construction Closing</t>
  </si>
  <si>
    <t>Conversion</t>
  </si>
  <si>
    <t>122 East 42nd Street Suite 1903</t>
  </si>
  <si>
    <t>This is the land cost from the Purchase and Sales Agreement, Coupled with the projected amount demolition</t>
  </si>
  <si>
    <t xml:space="preserve">These are the impact fees as calculated by the code provided by the city. </t>
  </si>
  <si>
    <t>St. Louis, MO 63103</t>
  </si>
  <si>
    <t>California Housing Finance Agency</t>
  </si>
  <si>
    <t>Sacramento CA 95060</t>
  </si>
  <si>
    <t>916-616-8899</t>
  </si>
  <si>
    <t>kbrown@calhfa.ca.gov</t>
  </si>
  <si>
    <t xml:space="preserve">500 Capitol Mall Suite 400
</t>
  </si>
  <si>
    <t>MGP Contribution</t>
  </si>
  <si>
    <t>Instructor-led Adult Educational classes such as health and wellness, or skill building
classes, including but not limited to: financial literacy, computer training, home-buyer
education, GED, resume building, ESL, nutrition, exercise, health information/awareness,
art, parenting, on-site food cultivation and preparation, and smoking cessation.</t>
  </si>
  <si>
    <t>May</t>
  </si>
  <si>
    <t>FPI Management Corporation</t>
  </si>
  <si>
    <t>Michelle Scoullar</t>
  </si>
  <si>
    <t>916-357-5312</t>
  </si>
  <si>
    <t>Michelle.scoullar@fpimgt.com</t>
  </si>
  <si>
    <t>40%/60% Average Income</t>
  </si>
  <si>
    <t>300 South Grand  Avenue</t>
  </si>
  <si>
    <t>Los Angeles CA 90071</t>
  </si>
  <si>
    <t>Hao Li</t>
  </si>
  <si>
    <t xml:space="preserve">300 South Grand Avenue </t>
  </si>
  <si>
    <t>Los Angeles, CA 900071</t>
  </si>
  <si>
    <t>213-239-1914</t>
  </si>
  <si>
    <t>Construction completion</t>
  </si>
  <si>
    <t xml:space="preserve">Cash </t>
  </si>
  <si>
    <t>Other: (Environmental Remediation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</si>
</sst>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amily val="3"/>
    </font>
    <font>
      <sz val="9"/>
      <color rgb="FF000000"/>
      <name val="Tahoma"/>
      <family val="2"/>
    </font>
    <font>
      <u/>
      <sz val="9"/>
      <color rgb="FF000000"/>
      <name val="Tahoma"/>
      <family val="2"/>
    </font>
    <font>
      <sz val="10"/>
      <color rgb="FF000000"/>
      <name val="Arial"/>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55252">
    <xf numFmtId="0" fontId="0" fillId="0" borderId="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20" borderId="0" applyNumberFormat="0" applyBorder="0" applyAlignment="0" applyProtection="0"/>
    <xf numFmtId="0" fontId="91" fillId="20" borderId="0" applyNumberFormat="0" applyBorder="0" applyAlignment="0" applyProtection="0"/>
    <xf numFmtId="0" fontId="91" fillId="20" borderId="0" applyNumberFormat="0" applyBorder="0" applyAlignment="0" applyProtection="0"/>
    <xf numFmtId="0" fontId="91" fillId="20" borderId="0" applyNumberFormat="0" applyBorder="0" applyAlignment="0" applyProtection="0"/>
    <xf numFmtId="0" fontId="91" fillId="20" borderId="0" applyNumberFormat="0" applyBorder="0" applyAlignment="0" applyProtection="0"/>
    <xf numFmtId="0" fontId="91" fillId="20" borderId="0" applyNumberFormat="0" applyBorder="0" applyAlignment="0" applyProtection="0"/>
    <xf numFmtId="0" fontId="91" fillId="20" borderId="0" applyNumberFormat="0" applyBorder="0" applyAlignment="0" applyProtection="0"/>
    <xf numFmtId="0" fontId="91" fillId="20" borderId="0" applyNumberFormat="0" applyBorder="0" applyAlignment="0" applyProtection="0"/>
    <xf numFmtId="0" fontId="91" fillId="21" borderId="0" applyNumberFormat="0" applyBorder="0" applyAlignment="0" applyProtection="0"/>
    <xf numFmtId="0" fontId="91" fillId="21" borderId="0" applyNumberFormat="0" applyBorder="0" applyAlignment="0" applyProtection="0"/>
    <xf numFmtId="0" fontId="91" fillId="21" borderId="0" applyNumberFormat="0" applyBorder="0" applyAlignment="0" applyProtection="0"/>
    <xf numFmtId="0" fontId="91" fillId="21" borderId="0" applyNumberFormat="0" applyBorder="0" applyAlignment="0" applyProtection="0"/>
    <xf numFmtId="0" fontId="91" fillId="21" borderId="0" applyNumberFormat="0" applyBorder="0" applyAlignment="0" applyProtection="0"/>
    <xf numFmtId="0" fontId="91" fillId="21" borderId="0" applyNumberFormat="0" applyBorder="0" applyAlignment="0" applyProtection="0"/>
    <xf numFmtId="0" fontId="91" fillId="21" borderId="0" applyNumberFormat="0" applyBorder="0" applyAlignment="0" applyProtection="0"/>
    <xf numFmtId="0" fontId="91" fillId="21"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4"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2" fillId="27" borderId="0" applyNumberFormat="0" applyBorder="0" applyAlignment="0" applyProtection="0"/>
    <xf numFmtId="0" fontId="92" fillId="28" borderId="0" applyNumberFormat="0" applyBorder="0" applyAlignment="0" applyProtection="0"/>
    <xf numFmtId="0" fontId="92" fillId="28" borderId="0" applyNumberFormat="0" applyBorder="0" applyAlignment="0" applyProtection="0"/>
    <xf numFmtId="0" fontId="92" fillId="29" borderId="0" applyNumberFormat="0" applyBorder="0" applyAlignment="0" applyProtection="0"/>
    <xf numFmtId="0" fontId="92" fillId="29" borderId="0" applyNumberFormat="0" applyBorder="0" applyAlignment="0" applyProtection="0"/>
    <xf numFmtId="0" fontId="92" fillId="30" borderId="0" applyNumberFormat="0" applyBorder="0" applyAlignment="0" applyProtection="0"/>
    <xf numFmtId="0" fontId="92" fillId="30" borderId="0" applyNumberFormat="0" applyBorder="0" applyAlignment="0" applyProtection="0"/>
    <xf numFmtId="0" fontId="92" fillId="31" borderId="0" applyNumberFormat="0" applyBorder="0" applyAlignment="0" applyProtection="0"/>
    <xf numFmtId="0" fontId="92" fillId="31" borderId="0" applyNumberFormat="0" applyBorder="0" applyAlignment="0" applyProtection="0"/>
    <xf numFmtId="0" fontId="92" fillId="32" borderId="0" applyNumberFormat="0" applyBorder="0" applyAlignment="0" applyProtection="0"/>
    <xf numFmtId="0" fontId="92" fillId="32" borderId="0" applyNumberFormat="0" applyBorder="0" applyAlignment="0" applyProtection="0"/>
    <xf numFmtId="0" fontId="92" fillId="33" borderId="0" applyNumberFormat="0" applyBorder="0" applyAlignment="0" applyProtection="0"/>
    <xf numFmtId="0" fontId="92" fillId="34" borderId="0" applyNumberFormat="0" applyBorder="0" applyAlignment="0" applyProtection="0"/>
    <xf numFmtId="0" fontId="93" fillId="35" borderId="0" applyNumberFormat="0" applyBorder="0" applyAlignment="0" applyProtection="0"/>
    <xf numFmtId="0" fontId="93" fillId="35" borderId="0" applyNumberFormat="0" applyBorder="0" applyAlignment="0" applyProtection="0"/>
    <xf numFmtId="0" fontId="94" fillId="36" borderId="18" applyNumberFormat="0" applyAlignment="0" applyProtection="0"/>
    <xf numFmtId="0" fontId="94" fillId="36" borderId="18" applyNumberFormat="0" applyAlignment="0" applyProtection="0"/>
    <xf numFmtId="0" fontId="95" fillId="37" borderId="19" applyNumberForma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83"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67" fillId="0" borderId="0" applyFont="0" applyFill="0" applyBorder="0" applyAlignment="0" applyProtection="0"/>
    <xf numFmtId="43" fontId="32" fillId="0" borderId="0" applyFont="0" applyFill="0" applyBorder="0" applyAlignment="0" applyProtection="0"/>
    <xf numFmtId="43" fontId="67" fillId="0" borderId="0" applyFont="0" applyFill="0" applyBorder="0" applyAlignment="0" applyProtection="0"/>
    <xf numFmtId="44" fontId="84"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67" fillId="0" borderId="0" applyFont="0" applyFill="0" applyBorder="0" applyAlignment="0" applyProtection="0"/>
    <xf numFmtId="44" fontId="84" fillId="0" borderId="0" applyFont="0" applyFill="0" applyBorder="0" applyAlignment="0" applyProtection="0"/>
    <xf numFmtId="44" fontId="32" fillId="0" borderId="0" applyFont="0" applyFill="0" applyBorder="0" applyAlignment="0" applyProtection="0"/>
    <xf numFmtId="44" fontId="86" fillId="0" borderId="0" applyFont="0" applyFill="0" applyBorder="0" applyAlignment="0" applyProtection="0"/>
    <xf numFmtId="44" fontId="32" fillId="0" borderId="0" applyFont="0" applyFill="0" applyBorder="0" applyAlignment="0" applyProtection="0"/>
    <xf numFmtId="44" fontId="67" fillId="0" borderId="0" applyFont="0" applyFill="0" applyBorder="0" applyAlignment="0" applyProtection="0">
      <alignment vertical="top"/>
    </xf>
    <xf numFmtId="44" fontId="67" fillId="0" borderId="0" applyFont="0" applyFill="0" applyBorder="0" applyAlignment="0" applyProtection="0">
      <alignment vertical="top"/>
    </xf>
    <xf numFmtId="44" fontId="32" fillId="0" borderId="0" applyFont="0" applyFill="0" applyBorder="0" applyAlignment="0" applyProtection="0"/>
    <xf numFmtId="44" fontId="67" fillId="0" borderId="0" applyFont="0" applyFill="0" applyBorder="0" applyAlignment="0" applyProtection="0">
      <alignment vertical="top"/>
    </xf>
    <xf numFmtId="44" fontId="67" fillId="0" borderId="0" applyFont="0" applyFill="0" applyBorder="0" applyAlignment="0" applyProtection="0"/>
    <xf numFmtId="44" fontId="83" fillId="0" borderId="0" applyFont="0" applyFill="0" applyBorder="0" applyAlignment="0" applyProtection="0"/>
    <xf numFmtId="44" fontId="91" fillId="0" borderId="0" applyFont="0" applyFill="0" applyBorder="0" applyAlignment="0" applyProtection="0"/>
    <xf numFmtId="44" fontId="91" fillId="0" borderId="0" applyFont="0" applyFill="0" applyBorder="0" applyAlignment="0" applyProtection="0"/>
    <xf numFmtId="44" fontId="91" fillId="0" borderId="0" applyFont="0" applyFill="0" applyBorder="0" applyAlignment="0" applyProtection="0"/>
    <xf numFmtId="44" fontId="91" fillId="0" borderId="0" applyFont="0" applyFill="0" applyBorder="0" applyAlignment="0" applyProtection="0"/>
    <xf numFmtId="44" fontId="91" fillId="0" borderId="0" applyFont="0" applyFill="0" applyBorder="0" applyAlignment="0" applyProtection="0"/>
    <xf numFmtId="44" fontId="91" fillId="0" borderId="0" applyFont="0" applyFill="0" applyBorder="0" applyAlignment="0" applyProtection="0"/>
    <xf numFmtId="44" fontId="91" fillId="0" borderId="0" applyFont="0" applyFill="0" applyBorder="0" applyAlignment="0" applyProtection="0"/>
    <xf numFmtId="44" fontId="91" fillId="0" borderId="0" applyFont="0" applyFill="0" applyBorder="0" applyAlignment="0" applyProtection="0"/>
    <xf numFmtId="44" fontId="67" fillId="0" borderId="0" applyFont="0" applyFill="0" applyBorder="0" applyAlignment="0" applyProtection="0"/>
    <xf numFmtId="44" fontId="76"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67" fillId="0" borderId="0" applyFont="0" applyFill="0" applyBorder="0" applyAlignment="0" applyProtection="0"/>
    <xf numFmtId="44" fontId="32" fillId="0" borderId="0" applyFont="0" applyFill="0" applyBorder="0" applyAlignment="0" applyProtection="0"/>
    <xf numFmtId="44" fontId="77" fillId="0" borderId="0" applyFont="0" applyFill="0" applyBorder="0" applyAlignment="0" applyProtection="0"/>
    <xf numFmtId="44" fontId="32" fillId="0" borderId="0" applyFont="0" applyFill="0" applyBorder="0" applyAlignment="0" applyProtection="0"/>
    <xf numFmtId="44" fontId="83" fillId="0" borderId="0" applyFont="0" applyFill="0" applyBorder="0" applyAlignment="0" applyProtection="0"/>
    <xf numFmtId="44" fontId="91" fillId="0" borderId="0" applyFont="0" applyFill="0" applyBorder="0" applyAlignment="0" applyProtection="0"/>
    <xf numFmtId="44" fontId="91" fillId="0" borderId="0" applyFont="0" applyFill="0" applyBorder="0" applyAlignment="0" applyProtection="0"/>
    <xf numFmtId="44" fontId="91" fillId="0" borderId="0" applyFont="0" applyFill="0" applyBorder="0" applyAlignment="0" applyProtection="0"/>
    <xf numFmtId="44" fontId="91" fillId="0" borderId="0" applyFont="0" applyFill="0" applyBorder="0" applyAlignment="0" applyProtection="0"/>
    <xf numFmtId="44" fontId="91" fillId="0" borderId="0" applyFont="0" applyFill="0" applyBorder="0" applyAlignment="0" applyProtection="0"/>
    <xf numFmtId="44" fontId="91" fillId="0" borderId="0" applyFont="0" applyFill="0" applyBorder="0" applyAlignment="0" applyProtection="0"/>
    <xf numFmtId="44" fontId="91" fillId="0" borderId="0" applyFont="0" applyFill="0" applyBorder="0" applyAlignment="0" applyProtection="0"/>
    <xf numFmtId="44" fontId="91" fillId="0" borderId="0" applyFont="0" applyFill="0" applyBorder="0" applyAlignment="0" applyProtection="0"/>
    <xf numFmtId="44" fontId="32" fillId="0" borderId="0" applyFont="0" applyFill="0" applyBorder="0" applyAlignment="0" applyProtection="0"/>
    <xf numFmtId="44" fontId="91" fillId="0" borderId="0" applyFont="0" applyFill="0" applyBorder="0" applyAlignment="0" applyProtection="0"/>
    <xf numFmtId="44" fontId="91" fillId="0" borderId="0" applyFont="0" applyFill="0" applyBorder="0" applyAlignment="0" applyProtection="0"/>
    <xf numFmtId="44" fontId="91" fillId="0" borderId="0" applyFont="0" applyFill="0" applyBorder="0" applyAlignment="0" applyProtection="0"/>
    <xf numFmtId="44" fontId="91" fillId="0" borderId="0" applyFont="0" applyFill="0" applyBorder="0" applyAlignment="0" applyProtection="0"/>
    <xf numFmtId="44" fontId="83" fillId="0" borderId="0" applyFont="0" applyFill="0" applyBorder="0" applyAlignment="0" applyProtection="0"/>
    <xf numFmtId="44" fontId="91" fillId="0" borderId="0" applyFont="0" applyFill="0" applyBorder="0" applyAlignment="0" applyProtection="0"/>
    <xf numFmtId="44" fontId="91" fillId="0" borderId="0" applyFont="0" applyFill="0" applyBorder="0" applyAlignment="0" applyProtection="0"/>
    <xf numFmtId="44" fontId="91" fillId="0" borderId="0" applyFont="0" applyFill="0" applyBorder="0" applyAlignment="0" applyProtection="0"/>
    <xf numFmtId="44" fontId="91" fillId="0" borderId="0" applyFont="0" applyFill="0" applyBorder="0" applyAlignment="0" applyProtection="0"/>
    <xf numFmtId="44" fontId="91" fillId="0" borderId="0" applyFont="0" applyFill="0" applyBorder="0" applyAlignment="0" applyProtection="0"/>
    <xf numFmtId="44" fontId="91" fillId="0" borderId="0" applyFont="0" applyFill="0" applyBorder="0" applyAlignment="0" applyProtection="0"/>
    <xf numFmtId="44" fontId="91" fillId="0" borderId="0" applyFont="0" applyFill="0" applyBorder="0" applyAlignment="0" applyProtection="0"/>
    <xf numFmtId="44" fontId="91" fillId="0" borderId="0" applyFont="0" applyFill="0" applyBorder="0" applyAlignment="0" applyProtection="0"/>
    <xf numFmtId="44" fontId="32" fillId="0" borderId="0" applyFont="0" applyFill="0" applyBorder="0" applyAlignment="0" applyProtection="0"/>
    <xf numFmtId="44" fontId="91" fillId="0" borderId="0" applyFont="0" applyFill="0" applyBorder="0" applyAlignment="0" applyProtection="0"/>
    <xf numFmtId="44" fontId="91" fillId="0" borderId="0" applyFont="0" applyFill="0" applyBorder="0" applyAlignment="0" applyProtection="0"/>
    <xf numFmtId="44" fontId="91" fillId="0" borderId="0" applyFont="0" applyFill="0" applyBorder="0" applyAlignment="0" applyProtection="0"/>
    <xf numFmtId="44" fontId="91" fillId="0" borderId="0" applyFont="0" applyFill="0" applyBorder="0" applyAlignment="0" applyProtection="0"/>
    <xf numFmtId="44" fontId="32" fillId="0" borderId="0" applyFont="0" applyFill="0" applyBorder="0" applyAlignment="0" applyProtection="0"/>
    <xf numFmtId="44" fontId="67" fillId="0" borderId="0" applyFont="0" applyFill="0" applyBorder="0" applyAlignment="0" applyProtection="0"/>
    <xf numFmtId="44" fontId="32" fillId="0" borderId="0" applyFont="0" applyFill="0" applyBorder="0" applyAlignment="0" applyProtection="0"/>
    <xf numFmtId="44" fontId="78"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82" fillId="0" borderId="0" applyFont="0" applyFill="0" applyBorder="0" applyAlignment="0" applyProtection="0"/>
    <xf numFmtId="44" fontId="32" fillId="0" borderId="0" applyFont="0" applyFill="0" applyBorder="0" applyAlignment="0" applyProtection="0"/>
    <xf numFmtId="0" fontId="96" fillId="0" borderId="0" applyNumberFormat="0" applyFill="0" applyBorder="0" applyAlignment="0" applyProtection="0"/>
    <xf numFmtId="0" fontId="97" fillId="38" borderId="0" applyNumberFormat="0" applyBorder="0" applyAlignment="0" applyProtection="0"/>
    <xf numFmtId="0" fontId="98" fillId="0" borderId="20" applyNumberFormat="0" applyFill="0" applyAlignment="0" applyProtection="0"/>
    <xf numFmtId="0" fontId="98" fillId="0" borderId="20" applyNumberFormat="0" applyFill="0" applyAlignment="0" applyProtection="0"/>
    <xf numFmtId="0" fontId="99" fillId="0" borderId="21" applyNumberFormat="0" applyFill="0" applyAlignment="0" applyProtection="0"/>
    <xf numFmtId="0" fontId="99" fillId="0" borderId="21" applyNumberFormat="0" applyFill="0" applyAlignment="0" applyProtection="0"/>
    <xf numFmtId="0" fontId="100" fillId="0" borderId="22" applyNumberFormat="0" applyFill="0" applyAlignment="0" applyProtection="0"/>
    <xf numFmtId="0" fontId="100" fillId="0" borderId="22" applyNumberFormat="0" applyFill="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88" fillId="0" borderId="0" applyNumberFormat="0" applyFill="0" applyBorder="0" applyAlignment="0" applyProtection="0">
      <alignment vertical="top"/>
      <protection locked="0"/>
    </xf>
    <xf numFmtId="0" fontId="101" fillId="39" borderId="18" applyNumberFormat="0" applyAlignment="0" applyProtection="0"/>
    <xf numFmtId="0" fontId="25" fillId="0" borderId="0" applyNumberFormat="0" applyBorder="0"/>
    <xf numFmtId="0" fontId="26" fillId="0" borderId="0" applyBorder="0" applyAlignment="0"/>
    <xf numFmtId="0" fontId="27" fillId="0" borderId="0" applyFill="0" applyBorder="0" applyAlignment="0"/>
    <xf numFmtId="0" fontId="102" fillId="0" borderId="23" applyNumberFormat="0" applyFill="0" applyAlignment="0" applyProtection="0"/>
    <xf numFmtId="0" fontId="103" fillId="40" borderId="0" applyNumberFormat="0" applyBorder="0" applyAlignment="0" applyProtection="0"/>
    <xf numFmtId="0" fontId="104" fillId="0" borderId="0"/>
    <xf numFmtId="0" fontId="67" fillId="0" borderId="0"/>
    <xf numFmtId="0" fontId="104" fillId="0" borderId="0"/>
    <xf numFmtId="0" fontId="67" fillId="0" borderId="0"/>
    <xf numFmtId="0" fontId="67" fillId="0" borderId="0"/>
    <xf numFmtId="0" fontId="32"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05" fillId="0" borderId="0"/>
    <xf numFmtId="0" fontId="67" fillId="0" borderId="0"/>
    <xf numFmtId="169" fontId="68" fillId="0" borderId="0"/>
    <xf numFmtId="0" fontId="91" fillId="0" borderId="0"/>
    <xf numFmtId="0" fontId="32" fillId="0" borderId="0"/>
    <xf numFmtId="0" fontId="32" fillId="0" borderId="0"/>
    <xf numFmtId="0" fontId="73" fillId="0" borderId="0"/>
    <xf numFmtId="0" fontId="67" fillId="0" borderId="0"/>
    <xf numFmtId="0" fontId="73" fillId="0" borderId="0"/>
    <xf numFmtId="0" fontId="67" fillId="0" borderId="0"/>
    <xf numFmtId="0" fontId="79" fillId="0" borderId="0"/>
    <xf numFmtId="0" fontId="67" fillId="0" borderId="0"/>
    <xf numFmtId="0" fontId="91" fillId="0" borderId="0"/>
    <xf numFmtId="0" fontId="67" fillId="0" borderId="0">
      <alignment vertical="top"/>
    </xf>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9" fillId="0" borderId="0"/>
    <xf numFmtId="0" fontId="91" fillId="0" borderId="0"/>
    <xf numFmtId="0" fontId="91" fillId="0" borderId="0"/>
    <xf numFmtId="0" fontId="91" fillId="0" borderId="0"/>
    <xf numFmtId="0" fontId="91" fillId="0" borderId="0"/>
    <xf numFmtId="0" fontId="67" fillId="0" borderId="0">
      <alignment vertical="top"/>
    </xf>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67" fillId="0" borderId="0"/>
    <xf numFmtId="0" fontId="91" fillId="0" borderId="0"/>
    <xf numFmtId="0" fontId="91" fillId="0" borderId="0"/>
    <xf numFmtId="0" fontId="91" fillId="0" borderId="0"/>
    <xf numFmtId="0" fontId="91" fillId="0" borderId="0"/>
    <xf numFmtId="0" fontId="79" fillId="0" borderId="0"/>
    <xf numFmtId="0" fontId="67" fillId="0" borderId="0">
      <alignment vertical="top"/>
    </xf>
    <xf numFmtId="0" fontId="91" fillId="0" borderId="0"/>
    <xf numFmtId="0" fontId="91" fillId="0" borderId="0"/>
    <xf numFmtId="0" fontId="91" fillId="0" borderId="0"/>
    <xf numFmtId="0" fontId="91" fillId="0" borderId="0"/>
    <xf numFmtId="0" fontId="79" fillId="0" borderId="0"/>
    <xf numFmtId="0" fontId="32" fillId="0" borderId="0"/>
    <xf numFmtId="0" fontId="91" fillId="0" borderId="0"/>
    <xf numFmtId="0" fontId="32" fillId="0" borderId="0"/>
    <xf numFmtId="0" fontId="91" fillId="0" borderId="0"/>
    <xf numFmtId="0" fontId="91" fillId="0" borderId="0"/>
    <xf numFmtId="0" fontId="91" fillId="0" borderId="0"/>
    <xf numFmtId="0" fontId="91" fillId="0" borderId="0"/>
    <xf numFmtId="0" fontId="73" fillId="0" borderId="0"/>
    <xf numFmtId="0" fontId="67" fillId="0" borderId="0">
      <alignment vertical="top"/>
    </xf>
    <xf numFmtId="0" fontId="73" fillId="0" borderId="0"/>
    <xf numFmtId="0" fontId="67" fillId="0" borderId="0">
      <alignment vertical="top"/>
    </xf>
    <xf numFmtId="0" fontId="67" fillId="0" borderId="0">
      <alignment vertical="top"/>
    </xf>
    <xf numFmtId="0" fontId="91" fillId="0" borderId="0"/>
    <xf numFmtId="0" fontId="73" fillId="0" borderId="0"/>
    <xf numFmtId="0" fontId="91" fillId="0" borderId="0"/>
    <xf numFmtId="0" fontId="67" fillId="0" borderId="0">
      <alignment vertical="top"/>
    </xf>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3"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32" fillId="0" borderId="0"/>
    <xf numFmtId="0" fontId="67" fillId="0" borderId="0">
      <alignment vertical="top"/>
    </xf>
    <xf numFmtId="0" fontId="91" fillId="0" borderId="0"/>
    <xf numFmtId="0" fontId="91" fillId="0" borderId="0"/>
    <xf numFmtId="0" fontId="91" fillId="0" borderId="0"/>
    <xf numFmtId="0" fontId="91" fillId="0" borderId="0"/>
    <xf numFmtId="0" fontId="32"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3"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32"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67" fillId="0" borderId="0"/>
    <xf numFmtId="0" fontId="67" fillId="0" borderId="0">
      <alignment vertical="top"/>
    </xf>
    <xf numFmtId="0" fontId="67" fillId="0" borderId="0">
      <alignment vertical="top"/>
    </xf>
    <xf numFmtId="0" fontId="67" fillId="0" borderId="0"/>
    <xf numFmtId="0" fontId="67" fillId="0" borderId="0">
      <alignment vertical="top"/>
    </xf>
    <xf numFmtId="0" fontId="67" fillId="0" borderId="0"/>
    <xf numFmtId="0" fontId="67"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32"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32" fillId="0" borderId="0"/>
    <xf numFmtId="0" fontId="91" fillId="0" borderId="0"/>
    <xf numFmtId="0" fontId="91" fillId="0" borderId="0"/>
    <xf numFmtId="0" fontId="91" fillId="0" borderId="0"/>
    <xf numFmtId="0" fontId="23" fillId="0" borderId="0" applyProtection="0">
      <protection locked="0"/>
    </xf>
    <xf numFmtId="0" fontId="32" fillId="0" borderId="0" applyProtection="0">
      <protection locked="0"/>
    </xf>
    <xf numFmtId="0" fontId="32" fillId="0" borderId="0" applyProtection="0">
      <protection locked="0"/>
    </xf>
    <xf numFmtId="0" fontId="68" fillId="0" borderId="0"/>
    <xf numFmtId="0" fontId="23" fillId="0" borderId="0"/>
    <xf numFmtId="0" fontId="83" fillId="41" borderId="24" applyNumberFormat="0" applyFont="0" applyAlignment="0" applyProtection="0"/>
    <xf numFmtId="0" fontId="91" fillId="41" borderId="24" applyNumberFormat="0" applyFont="0" applyAlignment="0" applyProtection="0"/>
    <xf numFmtId="0" fontId="91" fillId="41" borderId="24" applyNumberFormat="0" applyFont="0" applyAlignment="0" applyProtection="0"/>
    <xf numFmtId="0" fontId="91" fillId="41" borderId="24" applyNumberFormat="0" applyFont="0" applyAlignment="0" applyProtection="0"/>
    <xf numFmtId="0" fontId="91" fillId="41" borderId="24" applyNumberFormat="0" applyFont="0" applyAlignment="0" applyProtection="0"/>
    <xf numFmtId="0" fontId="91" fillId="41" borderId="24" applyNumberFormat="0" applyFont="0" applyAlignment="0" applyProtection="0"/>
    <xf numFmtId="0" fontId="91" fillId="41" borderId="24" applyNumberFormat="0" applyFont="0" applyAlignment="0" applyProtection="0"/>
    <xf numFmtId="0" fontId="91" fillId="41" borderId="24" applyNumberFormat="0" applyFont="0" applyAlignment="0" applyProtection="0"/>
    <xf numFmtId="0" fontId="91" fillId="41" borderId="24" applyNumberFormat="0" applyFont="0" applyAlignment="0" applyProtection="0"/>
    <xf numFmtId="0" fontId="83" fillId="41" borderId="24" applyNumberFormat="0" applyFont="0" applyAlignment="0" applyProtection="0"/>
    <xf numFmtId="0" fontId="91" fillId="41" borderId="24" applyNumberFormat="0" applyFont="0" applyAlignment="0" applyProtection="0"/>
    <xf numFmtId="0" fontId="91" fillId="41" borderId="24" applyNumberFormat="0" applyFont="0" applyAlignment="0" applyProtection="0"/>
    <xf numFmtId="0" fontId="91" fillId="41" borderId="24" applyNumberFormat="0" applyFont="0" applyAlignment="0" applyProtection="0"/>
    <xf numFmtId="0" fontId="91" fillId="41" borderId="24" applyNumberFormat="0" applyFont="0" applyAlignment="0" applyProtection="0"/>
    <xf numFmtId="0" fontId="91" fillId="41" borderId="24" applyNumberFormat="0" applyFont="0" applyAlignment="0" applyProtection="0"/>
    <xf numFmtId="0" fontId="91" fillId="41" borderId="24" applyNumberFormat="0" applyFont="0" applyAlignment="0" applyProtection="0"/>
    <xf numFmtId="0" fontId="91" fillId="41" borderId="24" applyNumberFormat="0" applyFont="0" applyAlignment="0" applyProtection="0"/>
    <xf numFmtId="0" fontId="91" fillId="41" borderId="24" applyNumberFormat="0" applyFont="0" applyAlignment="0" applyProtection="0"/>
    <xf numFmtId="0" fontId="106" fillId="36" borderId="25" applyNumberFormat="0" applyAlignment="0" applyProtection="0"/>
    <xf numFmtId="0" fontId="106" fillId="36" borderId="25" applyNumberFormat="0" applyAlignment="0" applyProtection="0"/>
    <xf numFmtId="0" fontId="28" fillId="0" borderId="0" applyNumberFormat="0" applyFill="0" applyBorder="0">
      <alignment horizontal="left"/>
    </xf>
    <xf numFmtId="0" fontId="107" fillId="0" borderId="0" applyNumberFormat="0" applyFill="0" applyBorder="0" applyAlignment="0" applyProtection="0"/>
    <xf numFmtId="0" fontId="108" fillId="0" borderId="26" applyNumberFormat="0" applyFill="0" applyAlignment="0" applyProtection="0"/>
    <xf numFmtId="0" fontId="108" fillId="0" borderId="26" applyNumberFormat="0" applyFill="0" applyAlignment="0" applyProtection="0"/>
    <xf numFmtId="0" fontId="109" fillId="0" borderId="0" applyNumberFormat="0" applyFill="0" applyBorder="0" applyAlignment="0" applyProtection="0"/>
    <xf numFmtId="0" fontId="23" fillId="0" borderId="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3"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3"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3"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3" fillId="0" borderId="0"/>
    <xf numFmtId="0" fontId="22"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3" fillId="0" borderId="0"/>
    <xf numFmtId="0" fontId="22" fillId="0" borderId="0"/>
    <xf numFmtId="0" fontId="22" fillId="0" borderId="0"/>
    <xf numFmtId="0" fontId="22" fillId="0" borderId="0"/>
    <xf numFmtId="0" fontId="22"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3" fillId="0" borderId="0"/>
    <xf numFmtId="0" fontId="22" fillId="0" borderId="0"/>
    <xf numFmtId="0" fontId="22" fillId="0" borderId="0"/>
    <xf numFmtId="0" fontId="22" fillId="0" borderId="0"/>
    <xf numFmtId="0" fontId="22" fillId="41" borderId="24" applyNumberFormat="0" applyFont="0" applyAlignment="0" applyProtection="0"/>
    <xf numFmtId="0" fontId="22" fillId="41" borderId="24" applyNumberFormat="0" applyFont="0" applyAlignment="0" applyProtection="0"/>
    <xf numFmtId="0" fontId="22" fillId="41" borderId="24" applyNumberFormat="0" applyFont="0" applyAlignment="0" applyProtection="0"/>
    <xf numFmtId="0" fontId="22" fillId="41" borderId="24" applyNumberFormat="0" applyFont="0" applyAlignment="0" applyProtection="0"/>
    <xf numFmtId="0" fontId="22" fillId="41" borderId="24" applyNumberFormat="0" applyFont="0" applyAlignment="0" applyProtection="0"/>
    <xf numFmtId="0" fontId="22" fillId="41" borderId="24" applyNumberFormat="0" applyFont="0" applyAlignment="0" applyProtection="0"/>
    <xf numFmtId="0" fontId="22" fillId="41" borderId="24" applyNumberFormat="0" applyFont="0" applyAlignment="0" applyProtection="0"/>
    <xf numFmtId="0" fontId="22" fillId="41" borderId="24" applyNumberFormat="0" applyFont="0" applyAlignment="0" applyProtection="0"/>
    <xf numFmtId="0" fontId="22" fillId="41" borderId="24" applyNumberFormat="0" applyFont="0" applyAlignment="0" applyProtection="0"/>
    <xf numFmtId="0" fontId="22" fillId="41" borderId="24" applyNumberFormat="0" applyFont="0" applyAlignment="0" applyProtection="0"/>
    <xf numFmtId="0" fontId="22" fillId="41" borderId="24" applyNumberFormat="0" applyFont="0" applyAlignment="0" applyProtection="0"/>
    <xf numFmtId="0" fontId="22" fillId="41" borderId="24" applyNumberFormat="0" applyFont="0" applyAlignment="0" applyProtection="0"/>
    <xf numFmtId="0" fontId="22" fillId="41" borderId="24" applyNumberFormat="0" applyFont="0" applyAlignment="0" applyProtection="0"/>
    <xf numFmtId="0" fontId="22" fillId="41" borderId="24" applyNumberFormat="0" applyFont="0" applyAlignment="0" applyProtection="0"/>
    <xf numFmtId="0" fontId="22" fillId="41" borderId="24" applyNumberFormat="0" applyFont="0" applyAlignment="0" applyProtection="0"/>
    <xf numFmtId="0" fontId="22" fillId="41" borderId="24" applyNumberFormat="0" applyFont="0" applyAlignment="0" applyProtection="0"/>
    <xf numFmtId="9" fontId="23" fillId="0" borderId="0" applyFont="0" applyFill="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4" fillId="0" borderId="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3"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4" fontId="116"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117" fillId="0" borderId="0" applyNumberForma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07" fillId="0" borderId="0" applyNumberFormat="0" applyFill="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44" fontId="23" fillId="0" borderId="0" applyFont="0" applyFill="0" applyBorder="0" applyAlignment="0" applyProtection="0"/>
    <xf numFmtId="9" fontId="126" fillId="0" borderId="0" applyFont="0" applyFill="0" applyBorder="0" applyAlignment="0" applyProtection="0"/>
    <xf numFmtId="0" fontId="126" fillId="0" borderId="0"/>
    <xf numFmtId="0" fontId="17" fillId="0" borderId="0"/>
    <xf numFmtId="0" fontId="23" fillId="0" borderId="0"/>
    <xf numFmtId="43" fontId="17" fillId="0" borderId="0" applyFont="0" applyFill="0" applyBorder="0" applyAlignment="0" applyProtection="0"/>
    <xf numFmtId="9" fontId="17"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43" fontId="153"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0" borderId="0"/>
    <xf numFmtId="44" fontId="14" fillId="0" borderId="0" applyFont="0" applyFill="0" applyBorder="0" applyAlignment="0" applyProtection="0"/>
    <xf numFmtId="9" fontId="14" fillId="0" borderId="0" applyFont="0" applyFill="0" applyBorder="0" applyAlignment="0" applyProtection="0"/>
    <xf numFmtId="0" fontId="13" fillId="0" borderId="0"/>
    <xf numFmtId="44" fontId="13" fillId="0" borderId="0" applyFont="0" applyFill="0" applyBorder="0" applyAlignment="0" applyProtection="0"/>
    <xf numFmtId="9" fontId="13" fillId="0" borderId="0" applyFont="0" applyFill="0" applyBorder="0" applyAlignment="0" applyProtection="0"/>
    <xf numFmtId="44" fontId="155"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0" fontId="10" fillId="0" borderId="0"/>
    <xf numFmtId="0" fontId="9" fillId="0" borderId="0"/>
    <xf numFmtId="0" fontId="23" fillId="0" borderId="0" applyBorder="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193"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11" borderId="0" applyNumberFormat="0" applyBorder="0" applyAlignment="0" applyProtection="0"/>
    <xf numFmtId="0" fontId="6" fillId="17" borderId="0" applyNumberFormat="0" applyBorder="0" applyAlignment="0" applyProtection="0"/>
    <xf numFmtId="0" fontId="6" fillId="12"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9" borderId="0" applyNumberFormat="0" applyBorder="0" applyAlignment="0" applyProtection="0"/>
    <xf numFmtId="0" fontId="6" fillId="14" borderId="0" applyNumberFormat="0" applyBorder="0" applyAlignment="0" applyProtection="0"/>
    <xf numFmtId="0" fontId="6" fillId="20" borderId="0" applyNumberFormat="0" applyBorder="0" applyAlignment="0" applyProtection="0"/>
    <xf numFmtId="0" fontId="6" fillId="15" borderId="0" applyNumberFormat="0" applyBorder="0" applyAlignment="0" applyProtection="0"/>
    <xf numFmtId="0" fontId="6" fillId="21" borderId="0" applyNumberFormat="0" applyBorder="0" applyAlignment="0" applyProtection="0"/>
    <xf numFmtId="0" fontId="6" fillId="16" borderId="0" applyNumberFormat="0" applyBorder="0" applyAlignment="0" applyProtection="0"/>
    <xf numFmtId="0" fontId="6" fillId="2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41" borderId="24" applyNumberFormat="0" applyFont="0" applyAlignment="0" applyProtection="0"/>
    <xf numFmtId="44" fontId="6" fillId="0" borderId="0" applyFont="0" applyFill="0" applyBorder="0" applyAlignment="0" applyProtection="0"/>
    <xf numFmtId="0" fontId="6" fillId="41" borderId="24" applyNumberFormat="0" applyFont="0" applyAlignment="0" applyProtection="0"/>
    <xf numFmtId="0" fontId="6" fillId="13"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11"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11" borderId="0" applyNumberFormat="0" applyBorder="0" applyAlignment="0" applyProtection="0"/>
    <xf numFmtId="0" fontId="6" fillId="17" borderId="0" applyNumberFormat="0" applyBorder="0" applyAlignment="0" applyProtection="0"/>
    <xf numFmtId="0" fontId="6" fillId="12"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9" borderId="0" applyNumberFormat="0" applyBorder="0" applyAlignment="0" applyProtection="0"/>
    <xf numFmtId="0" fontId="6" fillId="14" borderId="0" applyNumberFormat="0" applyBorder="0" applyAlignment="0" applyProtection="0"/>
    <xf numFmtId="0" fontId="6" fillId="20" borderId="0" applyNumberFormat="0" applyBorder="0" applyAlignment="0" applyProtection="0"/>
    <xf numFmtId="0" fontId="6" fillId="15" borderId="0" applyNumberFormat="0" applyBorder="0" applyAlignment="0" applyProtection="0"/>
    <xf numFmtId="0" fontId="6" fillId="21" borderId="0" applyNumberFormat="0" applyBorder="0" applyAlignment="0" applyProtection="0"/>
    <xf numFmtId="0" fontId="6" fillId="16" borderId="0" applyNumberFormat="0" applyBorder="0" applyAlignment="0" applyProtection="0"/>
    <xf numFmtId="0" fontId="6" fillId="2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41" borderId="24" applyNumberFormat="0" applyFont="0" applyAlignment="0" applyProtection="0"/>
    <xf numFmtId="44" fontId="6" fillId="0" borderId="0" applyFont="0" applyFill="0" applyBorder="0" applyAlignment="0" applyProtection="0"/>
    <xf numFmtId="0" fontId="6" fillId="41" borderId="24" applyNumberFormat="0" applyFont="0" applyAlignment="0" applyProtection="0"/>
    <xf numFmtId="0" fontId="6" fillId="13"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11"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0" borderId="0"/>
    <xf numFmtId="0" fontId="6" fillId="11" borderId="0" applyNumberFormat="0" applyBorder="0" applyAlignment="0" applyProtection="0"/>
    <xf numFmtId="0" fontId="6" fillId="17" borderId="0" applyNumberFormat="0" applyBorder="0" applyAlignment="0" applyProtection="0"/>
    <xf numFmtId="0" fontId="6" fillId="12"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9" borderId="0" applyNumberFormat="0" applyBorder="0" applyAlignment="0" applyProtection="0"/>
    <xf numFmtId="0" fontId="6" fillId="14" borderId="0" applyNumberFormat="0" applyBorder="0" applyAlignment="0" applyProtection="0"/>
    <xf numFmtId="0" fontId="6" fillId="20" borderId="0" applyNumberFormat="0" applyBorder="0" applyAlignment="0" applyProtection="0"/>
    <xf numFmtId="0" fontId="6" fillId="15" borderId="0" applyNumberFormat="0" applyBorder="0" applyAlignment="0" applyProtection="0"/>
    <xf numFmtId="0" fontId="6" fillId="21" borderId="0" applyNumberFormat="0" applyBorder="0" applyAlignment="0" applyProtection="0"/>
    <xf numFmtId="0" fontId="6" fillId="16" borderId="0" applyNumberFormat="0" applyBorder="0" applyAlignment="0" applyProtection="0"/>
    <xf numFmtId="0" fontId="6" fillId="2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41" borderId="24" applyNumberFormat="0" applyFont="0" applyAlignment="0" applyProtection="0"/>
    <xf numFmtId="44" fontId="6" fillId="0" borderId="0" applyFont="0" applyFill="0" applyBorder="0" applyAlignment="0" applyProtection="0"/>
    <xf numFmtId="0" fontId="6" fillId="41" borderId="24" applyNumberFormat="0" applyFont="0" applyAlignment="0" applyProtection="0"/>
    <xf numFmtId="0" fontId="6" fillId="13"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11"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11" borderId="0" applyNumberFormat="0" applyBorder="0" applyAlignment="0" applyProtection="0"/>
    <xf numFmtId="0" fontId="6" fillId="17" borderId="0" applyNumberFormat="0" applyBorder="0" applyAlignment="0" applyProtection="0"/>
    <xf numFmtId="0" fontId="6" fillId="12"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9" borderId="0" applyNumberFormat="0" applyBorder="0" applyAlignment="0" applyProtection="0"/>
    <xf numFmtId="0" fontId="6" fillId="14" borderId="0" applyNumberFormat="0" applyBorder="0" applyAlignment="0" applyProtection="0"/>
    <xf numFmtId="0" fontId="6" fillId="20" borderId="0" applyNumberFormat="0" applyBorder="0" applyAlignment="0" applyProtection="0"/>
    <xf numFmtId="0" fontId="6" fillId="15" borderId="0" applyNumberFormat="0" applyBorder="0" applyAlignment="0" applyProtection="0"/>
    <xf numFmtId="0" fontId="6" fillId="21" borderId="0" applyNumberFormat="0" applyBorder="0" applyAlignment="0" applyProtection="0"/>
    <xf numFmtId="0" fontId="6" fillId="16" borderId="0" applyNumberFormat="0" applyBorder="0" applyAlignment="0" applyProtection="0"/>
    <xf numFmtId="0" fontId="6" fillId="2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41" borderId="24" applyNumberFormat="0" applyFont="0" applyAlignment="0" applyProtection="0"/>
    <xf numFmtId="44" fontId="6" fillId="0" borderId="0" applyFont="0" applyFill="0" applyBorder="0" applyAlignment="0" applyProtection="0"/>
    <xf numFmtId="0" fontId="6" fillId="41" borderId="24" applyNumberFormat="0" applyFont="0" applyAlignment="0" applyProtection="0"/>
    <xf numFmtId="0" fontId="6" fillId="13"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11"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7" fillId="0" borderId="0">
      <alignment vertical="top"/>
    </xf>
    <xf numFmtId="0" fontId="67" fillId="0" borderId="0">
      <alignment vertical="top"/>
    </xf>
    <xf numFmtId="0" fontId="6" fillId="0" borderId="0"/>
    <xf numFmtId="0" fontId="6" fillId="0" borderId="0"/>
    <xf numFmtId="0" fontId="67" fillId="0" borderId="0">
      <alignment vertical="top"/>
    </xf>
    <xf numFmtId="0" fontId="194" fillId="0" borderId="0">
      <alignment vertical="top"/>
    </xf>
    <xf numFmtId="0" fontId="67" fillId="0" borderId="0">
      <alignment vertical="top"/>
    </xf>
    <xf numFmtId="0" fontId="67" fillId="0" borderId="0">
      <alignment vertical="top"/>
    </xf>
    <xf numFmtId="0" fontId="194"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11" borderId="0" applyNumberFormat="0" applyBorder="0" applyAlignment="0" applyProtection="0"/>
    <xf numFmtId="0" fontId="6" fillId="17" borderId="0" applyNumberFormat="0" applyBorder="0" applyAlignment="0" applyProtection="0"/>
    <xf numFmtId="0" fontId="6" fillId="12"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9" borderId="0" applyNumberFormat="0" applyBorder="0" applyAlignment="0" applyProtection="0"/>
    <xf numFmtId="0" fontId="6" fillId="14" borderId="0" applyNumberFormat="0" applyBorder="0" applyAlignment="0" applyProtection="0"/>
    <xf numFmtId="0" fontId="6" fillId="20" borderId="0" applyNumberFormat="0" applyBorder="0" applyAlignment="0" applyProtection="0"/>
    <xf numFmtId="0" fontId="6" fillId="15" borderId="0" applyNumberFormat="0" applyBorder="0" applyAlignment="0" applyProtection="0"/>
    <xf numFmtId="0" fontId="6" fillId="21" borderId="0" applyNumberFormat="0" applyBorder="0" applyAlignment="0" applyProtection="0"/>
    <xf numFmtId="43" fontId="83" fillId="0" borderId="0" applyFont="0" applyFill="0" applyBorder="0" applyAlignment="0" applyProtection="0"/>
    <xf numFmtId="0" fontId="6" fillId="16" borderId="0" applyNumberFormat="0" applyBorder="0" applyAlignment="0" applyProtection="0"/>
    <xf numFmtId="0" fontId="6" fillId="22" borderId="0" applyNumberFormat="0" applyBorder="0" applyAlignment="0" applyProtection="0"/>
    <xf numFmtId="43" fontId="83"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41" borderId="24" applyNumberFormat="0" applyFont="0" applyAlignment="0" applyProtection="0"/>
    <xf numFmtId="44" fontId="6" fillId="0" borderId="0" applyFont="0" applyFill="0" applyBorder="0" applyAlignment="0" applyProtection="0"/>
    <xf numFmtId="0" fontId="6" fillId="41" borderId="24" applyNumberFormat="0" applyFont="0" applyAlignment="0" applyProtection="0"/>
    <xf numFmtId="0" fontId="6" fillId="13"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11"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43" fontId="8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11" borderId="0" applyNumberFormat="0" applyBorder="0" applyAlignment="0" applyProtection="0"/>
    <xf numFmtId="0" fontId="6" fillId="17" borderId="0" applyNumberFormat="0" applyBorder="0" applyAlignment="0" applyProtection="0"/>
    <xf numFmtId="0" fontId="6" fillId="12"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9" borderId="0" applyNumberFormat="0" applyBorder="0" applyAlignment="0" applyProtection="0"/>
    <xf numFmtId="0" fontId="6" fillId="14" borderId="0" applyNumberFormat="0" applyBorder="0" applyAlignment="0" applyProtection="0"/>
    <xf numFmtId="0" fontId="6" fillId="20" borderId="0" applyNumberFormat="0" applyBorder="0" applyAlignment="0" applyProtection="0"/>
    <xf numFmtId="0" fontId="6" fillId="15" borderId="0" applyNumberFormat="0" applyBorder="0" applyAlignment="0" applyProtection="0"/>
    <xf numFmtId="0" fontId="6" fillId="21" borderId="0" applyNumberFormat="0" applyBorder="0" applyAlignment="0" applyProtection="0"/>
    <xf numFmtId="0" fontId="6" fillId="16" borderId="0" applyNumberFormat="0" applyBorder="0" applyAlignment="0" applyProtection="0"/>
    <xf numFmtId="0" fontId="6" fillId="2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41" borderId="24" applyNumberFormat="0" applyFont="0" applyAlignment="0" applyProtection="0"/>
    <xf numFmtId="44" fontId="6" fillId="0" borderId="0" applyFont="0" applyFill="0" applyBorder="0" applyAlignment="0" applyProtection="0"/>
    <xf numFmtId="0" fontId="6" fillId="41" borderId="24" applyNumberFormat="0" applyFont="0" applyAlignment="0" applyProtection="0"/>
    <xf numFmtId="0" fontId="6" fillId="13"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11"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0" borderId="0"/>
    <xf numFmtId="0" fontId="6" fillId="11" borderId="0" applyNumberFormat="0" applyBorder="0" applyAlignment="0" applyProtection="0"/>
    <xf numFmtId="0" fontId="6" fillId="17" borderId="0" applyNumberFormat="0" applyBorder="0" applyAlignment="0" applyProtection="0"/>
    <xf numFmtId="0" fontId="6" fillId="12"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9" borderId="0" applyNumberFormat="0" applyBorder="0" applyAlignment="0" applyProtection="0"/>
    <xf numFmtId="0" fontId="6" fillId="14" borderId="0" applyNumberFormat="0" applyBorder="0" applyAlignment="0" applyProtection="0"/>
    <xf numFmtId="0" fontId="6" fillId="20" borderId="0" applyNumberFormat="0" applyBorder="0" applyAlignment="0" applyProtection="0"/>
    <xf numFmtId="0" fontId="6" fillId="15" borderId="0" applyNumberFormat="0" applyBorder="0" applyAlignment="0" applyProtection="0"/>
    <xf numFmtId="0" fontId="6" fillId="21" borderId="0" applyNumberFormat="0" applyBorder="0" applyAlignment="0" applyProtection="0"/>
    <xf numFmtId="0" fontId="6" fillId="16" borderId="0" applyNumberFormat="0" applyBorder="0" applyAlignment="0" applyProtection="0"/>
    <xf numFmtId="0" fontId="6" fillId="2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41" borderId="24" applyNumberFormat="0" applyFont="0" applyAlignment="0" applyProtection="0"/>
    <xf numFmtId="44" fontId="6" fillId="0" borderId="0" applyFont="0" applyFill="0" applyBorder="0" applyAlignment="0" applyProtection="0"/>
    <xf numFmtId="0" fontId="6" fillId="41" borderId="24" applyNumberFormat="0" applyFont="0" applyAlignment="0" applyProtection="0"/>
    <xf numFmtId="0" fontId="6" fillId="13"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11"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11" borderId="0" applyNumberFormat="0" applyBorder="0" applyAlignment="0" applyProtection="0"/>
    <xf numFmtId="0" fontId="6" fillId="17" borderId="0" applyNumberFormat="0" applyBorder="0" applyAlignment="0" applyProtection="0"/>
    <xf numFmtId="0" fontId="6" fillId="12"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9" borderId="0" applyNumberFormat="0" applyBorder="0" applyAlignment="0" applyProtection="0"/>
    <xf numFmtId="0" fontId="6" fillId="14" borderId="0" applyNumberFormat="0" applyBorder="0" applyAlignment="0" applyProtection="0"/>
    <xf numFmtId="0" fontId="6" fillId="20" borderId="0" applyNumberFormat="0" applyBorder="0" applyAlignment="0" applyProtection="0"/>
    <xf numFmtId="0" fontId="6" fillId="15" borderId="0" applyNumberFormat="0" applyBorder="0" applyAlignment="0" applyProtection="0"/>
    <xf numFmtId="0" fontId="6" fillId="21" borderId="0" applyNumberFormat="0" applyBorder="0" applyAlignment="0" applyProtection="0"/>
    <xf numFmtId="0" fontId="6" fillId="16" borderId="0" applyNumberFormat="0" applyBorder="0" applyAlignment="0" applyProtection="0"/>
    <xf numFmtId="0" fontId="6" fillId="2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41" borderId="24" applyNumberFormat="0" applyFont="0" applyAlignment="0" applyProtection="0"/>
    <xf numFmtId="44" fontId="6" fillId="0" borderId="0" applyFont="0" applyFill="0" applyBorder="0" applyAlignment="0" applyProtection="0"/>
    <xf numFmtId="0" fontId="6" fillId="41" borderId="24" applyNumberFormat="0" applyFont="0" applyAlignment="0" applyProtection="0"/>
    <xf numFmtId="0" fontId="6" fillId="13"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11"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0" borderId="0"/>
    <xf numFmtId="0" fontId="6" fillId="0" borderId="0"/>
    <xf numFmtId="0" fontId="67" fillId="0" borderId="0">
      <alignment vertical="top"/>
    </xf>
    <xf numFmtId="0" fontId="67" fillId="0" borderId="0">
      <alignment vertical="top"/>
    </xf>
    <xf numFmtId="43"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0" fontId="105" fillId="0" borderId="0"/>
    <xf numFmtId="0" fontId="83" fillId="41" borderId="24" applyNumberFormat="0" applyFont="0" applyAlignment="0" applyProtection="0"/>
    <xf numFmtId="0" fontId="83" fillId="41" borderId="24" applyNumberFormat="0" applyFont="0" applyAlignment="0" applyProtection="0"/>
    <xf numFmtId="43" fontId="23" fillId="0" borderId="0" applyFont="0" applyFill="0" applyBorder="0" applyAlignment="0" applyProtection="0"/>
    <xf numFmtId="0" fontId="23" fillId="0" borderId="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23" fillId="0" borderId="0"/>
    <xf numFmtId="0" fontId="6" fillId="41" borderId="24" applyNumberFormat="0" applyFont="0" applyAlignment="0" applyProtection="0"/>
    <xf numFmtId="0" fontId="6" fillId="41" borderId="24" applyNumberFormat="0" applyFont="0" applyAlignment="0" applyProtection="0"/>
    <xf numFmtId="169" fontId="195" fillId="0" borderId="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cellStyleXfs>
  <cellXfs count="2690">
    <xf numFmtId="0" fontId="0" fillId="0" borderId="0" xfId="0"/>
    <xf numFmtId="0" fontId="0" fillId="0" borderId="0" xfId="0" applyAlignment="1">
      <alignment horizontal="center"/>
    </xf>
    <xf numFmtId="0" fontId="30" fillId="0" borderId="0" xfId="0" applyFont="1"/>
    <xf numFmtId="0" fontId="23" fillId="0" borderId="0" xfId="0" applyFont="1"/>
    <xf numFmtId="0" fontId="32" fillId="0" borderId="0" xfId="0" applyFont="1"/>
    <xf numFmtId="0" fontId="0" fillId="0" borderId="4" xfId="0" applyBorder="1"/>
    <xf numFmtId="0" fontId="32" fillId="0" borderId="0" xfId="0" applyFont="1" applyAlignment="1">
      <alignment horizontal="center"/>
    </xf>
    <xf numFmtId="0" fontId="2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30" fillId="0" borderId="4" xfId="0" applyFont="1" applyBorder="1"/>
    <xf numFmtId="164" fontId="0" fillId="0" borderId="0" xfId="0" applyNumberFormat="1" applyAlignment="1">
      <alignment horizontal="right"/>
    </xf>
    <xf numFmtId="0" fontId="30" fillId="0" borderId="0" xfId="0" applyFont="1" applyAlignment="1">
      <alignment horizontal="center"/>
    </xf>
    <xf numFmtId="0" fontId="23" fillId="0" borderId="0" xfId="543"/>
    <xf numFmtId="0" fontId="32" fillId="0" borderId="0" xfId="0" applyFont="1" applyAlignment="1">
      <alignment horizontal="left" vertical="top" wrapText="1"/>
    </xf>
    <xf numFmtId="0" fontId="38" fillId="0" borderId="0" xfId="0" applyFont="1"/>
    <xf numFmtId="0" fontId="31" fillId="0" borderId="0" xfId="0" applyFont="1" applyAlignment="1">
      <alignment vertical="top"/>
    </xf>
    <xf numFmtId="0" fontId="31" fillId="0" borderId="0" xfId="0" applyFont="1" applyAlignment="1">
      <alignment vertical="top" wrapText="1"/>
    </xf>
    <xf numFmtId="0" fontId="32" fillId="0" borderId="0" xfId="0" applyFont="1" applyAlignment="1">
      <alignment horizontal="left" indent="4"/>
    </xf>
    <xf numFmtId="0" fontId="31" fillId="0" borderId="0" xfId="0" applyFont="1" applyAlignment="1">
      <alignment horizontal="left" vertical="top"/>
    </xf>
    <xf numFmtId="0" fontId="31" fillId="0" borderId="0" xfId="0" applyFont="1" applyAlignment="1">
      <alignment horizontal="left"/>
    </xf>
    <xf numFmtId="0" fontId="31" fillId="0" borderId="0" xfId="0" applyFont="1"/>
    <xf numFmtId="0" fontId="43" fillId="0" borderId="0" xfId="543" applyFont="1"/>
    <xf numFmtId="1" fontId="31" fillId="0" borderId="0" xfId="0" applyNumberFormat="1" applyFont="1" applyAlignment="1">
      <alignment horizontal="left"/>
    </xf>
    <xf numFmtId="0" fontId="33" fillId="0" borderId="0" xfId="0" applyFont="1"/>
    <xf numFmtId="1" fontId="31" fillId="0" borderId="0" xfId="0" applyNumberFormat="1" applyFont="1" applyAlignment="1">
      <alignment horizontal="right"/>
    </xf>
    <xf numFmtId="0" fontId="0" fillId="0" borderId="0" xfId="0" applyAlignment="1">
      <alignment horizontal="right"/>
    </xf>
    <xf numFmtId="0" fontId="42" fillId="0" borderId="0" xfId="0" applyFont="1"/>
    <xf numFmtId="0" fontId="35" fillId="0" borderId="0" xfId="0" applyFont="1"/>
    <xf numFmtId="172" fontId="23" fillId="0" borderId="0" xfId="543" applyNumberFormat="1"/>
    <xf numFmtId="9" fontId="23" fillId="0" borderId="0" xfId="543" applyNumberFormat="1" applyAlignment="1">
      <alignment horizontal="left"/>
    </xf>
    <xf numFmtId="168" fontId="23" fillId="0" borderId="0" xfId="543" applyNumberFormat="1"/>
    <xf numFmtId="0" fontId="32" fillId="0" borderId="0" xfId="0" applyFont="1" applyAlignment="1">
      <alignment horizontal="right"/>
    </xf>
    <xf numFmtId="0" fontId="46" fillId="0" borderId="0" xfId="0" applyFont="1"/>
    <xf numFmtId="0" fontId="32" fillId="0" borderId="0" xfId="0" applyFont="1" applyAlignment="1">
      <alignment horizontal="left"/>
    </xf>
    <xf numFmtId="0" fontId="34" fillId="0" borderId="0" xfId="0" applyFont="1"/>
    <xf numFmtId="0" fontId="36" fillId="0" borderId="0" xfId="0" applyFont="1"/>
    <xf numFmtId="0" fontId="3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30" fillId="0" borderId="1" xfId="0" applyFont="1" applyBorder="1" applyAlignment="1">
      <alignment horizontal="center" wrapText="1"/>
    </xf>
    <xf numFmtId="0" fontId="3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30" fillId="0" borderId="4" xfId="0" applyFont="1" applyBorder="1" applyAlignment="1">
      <alignment horizontal="center"/>
    </xf>
    <xf numFmtId="0" fontId="39" fillId="0" borderId="3" xfId="0" applyFont="1" applyBorder="1" applyAlignment="1">
      <alignment horizontal="left"/>
    </xf>
    <xf numFmtId="0" fontId="39" fillId="0" borderId="9" xfId="0" applyFont="1" applyBorder="1" applyAlignment="1">
      <alignment horizontal="left"/>
    </xf>
    <xf numFmtId="0" fontId="30" fillId="0" borderId="4" xfId="0" applyFont="1" applyBorder="1" applyAlignment="1">
      <alignment horizontal="right"/>
    </xf>
    <xf numFmtId="0" fontId="30" fillId="0" borderId="5" xfId="0" applyFont="1" applyBorder="1" applyAlignment="1">
      <alignment horizontal="right"/>
    </xf>
    <xf numFmtId="0" fontId="39" fillId="0" borderId="0" xfId="0" applyFont="1" applyAlignment="1">
      <alignment horizontal="left"/>
    </xf>
    <xf numFmtId="0" fontId="30" fillId="0" borderId="0" xfId="0" applyFont="1" applyAlignment="1">
      <alignment horizontal="right"/>
    </xf>
    <xf numFmtId="0" fontId="3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32" fillId="0" borderId="11" xfId="0" applyFont="1" applyBorder="1" applyAlignment="1">
      <alignment horizontal="left"/>
    </xf>
    <xf numFmtId="0" fontId="30" fillId="0" borderId="9" xfId="0" applyFont="1" applyBorder="1"/>
    <xf numFmtId="164" fontId="0" fillId="0" borderId="0" xfId="0" applyNumberFormat="1" applyAlignment="1">
      <alignment horizontal="center"/>
    </xf>
    <xf numFmtId="0" fontId="0" fillId="0" borderId="12" xfId="0" applyBorder="1"/>
    <xf numFmtId="0" fontId="32" fillId="0" borderId="3" xfId="0" applyFont="1" applyBorder="1"/>
    <xf numFmtId="0" fontId="32" fillId="0" borderId="0" xfId="543" applyFont="1"/>
    <xf numFmtId="0" fontId="48" fillId="0" borderId="0" xfId="543" applyFont="1"/>
    <xf numFmtId="49" fontId="23" fillId="0" borderId="0" xfId="543" applyNumberFormat="1"/>
    <xf numFmtId="0" fontId="46" fillId="0" borderId="0" xfId="543" applyFont="1"/>
    <xf numFmtId="168" fontId="43" fillId="0" borderId="6" xfId="543" applyNumberFormat="1" applyFont="1" applyBorder="1" applyAlignment="1">
      <alignment horizontal="left"/>
    </xf>
    <xf numFmtId="168" fontId="43" fillId="0" borderId="6" xfId="543" applyNumberFormat="1" applyFont="1" applyBorder="1" applyAlignment="1">
      <alignment horizontal="center"/>
    </xf>
    <xf numFmtId="0" fontId="23" fillId="0" borderId="8" xfId="543" applyBorder="1"/>
    <xf numFmtId="0" fontId="43" fillId="0" borderId="0" xfId="543" applyFont="1" applyAlignment="1">
      <alignment horizontal="center"/>
    </xf>
    <xf numFmtId="0" fontId="42" fillId="0" borderId="9" xfId="543" applyFont="1" applyBorder="1" applyAlignment="1">
      <alignment horizontal="left" vertical="top" wrapText="1"/>
    </xf>
    <xf numFmtId="0" fontId="42" fillId="0" borderId="6" xfId="543" applyFont="1" applyBorder="1" applyAlignment="1">
      <alignment horizontal="center" vertical="top" wrapText="1"/>
    </xf>
    <xf numFmtId="0" fontId="23" fillId="0" borderId="9" xfId="543" applyBorder="1"/>
    <xf numFmtId="0" fontId="23" fillId="0" borderId="10" xfId="543" applyBorder="1"/>
    <xf numFmtId="0" fontId="23" fillId="0" borderId="1" xfId="543" applyBorder="1"/>
    <xf numFmtId="0" fontId="43" fillId="0" borderId="2" xfId="543" applyFont="1" applyBorder="1" applyAlignment="1">
      <alignment horizontal="center"/>
    </xf>
    <xf numFmtId="0" fontId="45" fillId="0" borderId="8" xfId="543" applyFont="1" applyBorder="1" applyAlignment="1">
      <alignment horizontal="left" vertical="top" wrapText="1"/>
    </xf>
    <xf numFmtId="0" fontId="42" fillId="0" borderId="0" xfId="543" applyFont="1" applyAlignment="1">
      <alignment horizontal="center" vertical="top" wrapText="1"/>
    </xf>
    <xf numFmtId="0" fontId="23" fillId="0" borderId="12" xfId="543" applyBorder="1"/>
    <xf numFmtId="0" fontId="45" fillId="0" borderId="0" xfId="543" applyFont="1" applyAlignment="1">
      <alignment horizontal="center" vertical="top" wrapText="1"/>
    </xf>
    <xf numFmtId="0" fontId="45" fillId="0" borderId="9" xfId="543" applyFont="1" applyBorder="1" applyAlignment="1">
      <alignment horizontal="left" vertical="top" wrapText="1"/>
    </xf>
    <xf numFmtId="0" fontId="23" fillId="0" borderId="2" xfId="543" applyBorder="1"/>
    <xf numFmtId="0" fontId="23" fillId="0" borderId="7" xfId="543" applyBorder="1"/>
    <xf numFmtId="0" fontId="42" fillId="0" borderId="0" xfId="543" applyFont="1"/>
    <xf numFmtId="0" fontId="23" fillId="0" borderId="0" xfId="543" applyAlignment="1">
      <alignment horizontal="center"/>
    </xf>
    <xf numFmtId="0" fontId="31" fillId="0" borderId="6" xfId="543" applyFont="1" applyBorder="1" applyAlignment="1">
      <alignment vertical="top" wrapText="1"/>
    </xf>
    <xf numFmtId="0" fontId="32" fillId="0" borderId="0" xfId="0" applyFont="1" applyAlignment="1">
      <alignment horizontal="left" vertical="top"/>
    </xf>
    <xf numFmtId="0" fontId="0" fillId="2" borderId="2" xfId="0" applyFill="1" applyBorder="1"/>
    <xf numFmtId="0" fontId="0" fillId="2" borderId="7" xfId="0" applyFill="1" applyBorder="1"/>
    <xf numFmtId="0" fontId="30" fillId="0" borderId="6" xfId="0" applyFont="1" applyBorder="1" applyAlignment="1">
      <alignment horizontal="right"/>
    </xf>
    <xf numFmtId="0" fontId="29" fillId="0" borderId="0" xfId="0" applyFont="1" applyAlignment="1">
      <alignment horizontal="center" vertical="center"/>
    </xf>
    <xf numFmtId="0" fontId="30" fillId="0" borderId="0" xfId="0" applyFont="1" applyAlignment="1">
      <alignment vertical="top"/>
    </xf>
    <xf numFmtId="166" fontId="0" fillId="0" borderId="0" xfId="0" applyNumberFormat="1" applyAlignment="1">
      <alignment horizontal="right"/>
    </xf>
    <xf numFmtId="0" fontId="53" fillId="0" borderId="0" xfId="0" applyFont="1"/>
    <xf numFmtId="0" fontId="40" fillId="0" borderId="0" xfId="0" applyFont="1"/>
    <xf numFmtId="0" fontId="24" fillId="0" borderId="0" xfId="244" applyBorder="1" applyProtection="1"/>
    <xf numFmtId="0" fontId="24" fillId="0" borderId="0" xfId="244" applyFill="1" applyBorder="1" applyAlignment="1">
      <alignment horizontal="center" vertical="center"/>
    </xf>
    <xf numFmtId="0" fontId="23" fillId="0" borderId="3" xfId="543" applyBorder="1"/>
    <xf numFmtId="0" fontId="45" fillId="0" borderId="4" xfId="543" applyFont="1" applyBorder="1" applyAlignment="1">
      <alignment horizontal="right" vertical="top" wrapText="1"/>
    </xf>
    <xf numFmtId="0" fontId="32" fillId="0" borderId="6" xfId="0" applyFont="1" applyBorder="1"/>
    <xf numFmtId="0" fontId="32" fillId="0" borderId="2" xfId="0" applyFont="1" applyBorder="1"/>
    <xf numFmtId="0" fontId="32" fillId="0" borderId="7" xfId="0" applyFont="1" applyBorder="1"/>
    <xf numFmtId="0" fontId="32" fillId="0" borderId="12" xfId="0" applyFont="1" applyBorder="1"/>
    <xf numFmtId="0" fontId="32" fillId="0" borderId="9" xfId="0" applyFont="1" applyBorder="1"/>
    <xf numFmtId="0" fontId="32" fillId="0" borderId="10" xfId="0" applyFont="1" applyBorder="1"/>
    <xf numFmtId="0" fontId="37" fillId="0" borderId="6" xfId="0" applyFont="1" applyBorder="1" applyAlignment="1">
      <alignment vertical="top" wrapText="1"/>
    </xf>
    <xf numFmtId="0" fontId="37" fillId="0" borderId="5" xfId="0" applyFont="1" applyBorder="1" applyAlignment="1">
      <alignment vertical="top" wrapText="1"/>
    </xf>
    <xf numFmtId="0" fontId="37" fillId="0" borderId="4" xfId="0" applyFont="1" applyBorder="1" applyAlignment="1">
      <alignment vertical="top" wrapText="1"/>
    </xf>
    <xf numFmtId="0" fontId="37" fillId="2" borderId="6" xfId="0" applyFont="1" applyFill="1" applyBorder="1" applyAlignment="1">
      <alignment vertical="top" wrapText="1"/>
    </xf>
    <xf numFmtId="0" fontId="0" fillId="0" borderId="8" xfId="0" applyBorder="1"/>
    <xf numFmtId="0" fontId="30" fillId="0" borderId="2" xfId="0" applyFont="1" applyBorder="1"/>
    <xf numFmtId="0" fontId="32" fillId="0" borderId="0" xfId="0" applyFont="1" applyAlignment="1">
      <alignment vertical="top"/>
    </xf>
    <xf numFmtId="0" fontId="32" fillId="0" borderId="0" xfId="0" applyFont="1" applyAlignment="1">
      <alignment vertical="top" wrapText="1"/>
    </xf>
    <xf numFmtId="0" fontId="23" fillId="0" borderId="0" xfId="0" applyFont="1" applyAlignment="1">
      <alignment horizontal="left"/>
    </xf>
    <xf numFmtId="0" fontId="23" fillId="0" borderId="0" xfId="0" applyFont="1" applyAlignment="1">
      <alignment vertical="top"/>
    </xf>
    <xf numFmtId="0" fontId="52" fillId="0" borderId="0" xfId="0" applyFont="1"/>
    <xf numFmtId="0" fontId="23" fillId="0" borderId="3" xfId="0" applyFont="1" applyBorder="1"/>
    <xf numFmtId="0" fontId="2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7" fillId="3" borderId="4" xfId="0" applyFont="1" applyFill="1" applyBorder="1" applyAlignment="1">
      <alignment vertical="top" wrapText="1"/>
    </xf>
    <xf numFmtId="0" fontId="37" fillId="3" borderId="5" xfId="0" applyFont="1" applyFill="1" applyBorder="1" applyAlignment="1">
      <alignment vertical="top" wrapText="1"/>
    </xf>
    <xf numFmtId="0" fontId="55" fillId="0" borderId="0" xfId="0" applyFont="1"/>
    <xf numFmtId="0" fontId="32" fillId="0" borderId="4" xfId="0" applyFont="1" applyBorder="1"/>
    <xf numFmtId="0" fontId="30" fillId="0" borderId="2" xfId="0" applyFont="1" applyBorder="1" applyAlignment="1">
      <alignment horizontal="center"/>
    </xf>
    <xf numFmtId="0" fontId="30" fillId="0" borderId="0" xfId="0" applyFont="1" applyAlignment="1">
      <alignment horizontal="center" vertical="center" wrapText="1"/>
    </xf>
    <xf numFmtId="0" fontId="30" fillId="0" borderId="7" xfId="543" applyFont="1" applyBorder="1" applyAlignment="1">
      <alignment horizontal="right"/>
    </xf>
    <xf numFmtId="0" fontId="31" fillId="0" borderId="9" xfId="543" applyFont="1" applyBorder="1"/>
    <xf numFmtId="0" fontId="32" fillId="0" borderId="6" xfId="543" applyFont="1" applyBorder="1"/>
    <xf numFmtId="0" fontId="31" fillId="0" borderId="6" xfId="543" applyFont="1" applyBorder="1" applyAlignment="1">
      <alignment horizontal="right"/>
    </xf>
    <xf numFmtId="0" fontId="30" fillId="0" borderId="0" xfId="0" applyFont="1" applyAlignment="1">
      <alignment horizontal="center" vertical="center"/>
    </xf>
    <xf numFmtId="0" fontId="32" fillId="0" borderId="0" xfId="0" applyFont="1" applyAlignment="1">
      <alignment horizontal="left" vertical="center"/>
    </xf>
    <xf numFmtId="0" fontId="60" fillId="0" borderId="3" xfId="0" applyFont="1" applyBorder="1" applyAlignment="1">
      <alignment horizontal="left" vertical="top"/>
    </xf>
    <xf numFmtId="0" fontId="60" fillId="0" borderId="13" xfId="0" applyFont="1" applyBorder="1" applyAlignment="1">
      <alignment horizontal="center" wrapText="1"/>
    </xf>
    <xf numFmtId="0" fontId="60" fillId="0" borderId="13" xfId="0" applyFont="1" applyBorder="1" applyAlignment="1">
      <alignment horizontal="center" vertical="top" wrapText="1"/>
    </xf>
    <xf numFmtId="0" fontId="60" fillId="2" borderId="13" xfId="0" applyFont="1" applyFill="1" applyBorder="1" applyAlignment="1">
      <alignment horizontal="center" wrapText="1"/>
    </xf>
    <xf numFmtId="0" fontId="61" fillId="2" borderId="11" xfId="0" applyFont="1" applyFill="1" applyBorder="1" applyAlignment="1">
      <alignment horizontal="left" vertical="top" wrapText="1"/>
    </xf>
    <xf numFmtId="0" fontId="62" fillId="4" borderId="11" xfId="0" applyFont="1" applyFill="1" applyBorder="1" applyAlignment="1">
      <alignment vertical="top" wrapText="1"/>
    </xf>
    <xf numFmtId="0" fontId="62" fillId="2" borderId="11" xfId="0" applyFont="1" applyFill="1" applyBorder="1" applyAlignment="1">
      <alignment vertical="top" wrapText="1"/>
    </xf>
    <xf numFmtId="0" fontId="62" fillId="0" borderId="11" xfId="0" applyFont="1" applyBorder="1" applyAlignment="1">
      <alignment vertical="top" wrapText="1"/>
    </xf>
    <xf numFmtId="0" fontId="62" fillId="0" borderId="11" xfId="0" applyFont="1" applyBorder="1" applyAlignment="1">
      <alignment horizontal="right" vertical="top" wrapText="1"/>
    </xf>
    <xf numFmtId="168" fontId="62" fillId="0" borderId="11" xfId="0" applyNumberFormat="1" applyFont="1" applyBorder="1" applyAlignment="1">
      <alignment vertical="top" wrapText="1"/>
    </xf>
    <xf numFmtId="168" fontId="62" fillId="5" borderId="11" xfId="0" applyNumberFormat="1" applyFont="1" applyFill="1" applyBorder="1" applyAlignment="1" applyProtection="1">
      <alignment vertical="top" wrapText="1"/>
      <protection locked="0"/>
    </xf>
    <xf numFmtId="168" fontId="62" fillId="6" borderId="11" xfId="0" applyNumberFormat="1" applyFont="1" applyFill="1" applyBorder="1" applyAlignment="1">
      <alignment horizontal="center" vertical="top" wrapText="1"/>
    </xf>
    <xf numFmtId="0" fontId="60" fillId="0" borderId="11" xfId="0" applyFont="1" applyBorder="1" applyAlignment="1">
      <alignment horizontal="right" vertical="top" wrapText="1"/>
    </xf>
    <xf numFmtId="168" fontId="60" fillId="0" borderId="11" xfId="0" applyNumberFormat="1" applyFont="1" applyBorder="1" applyAlignment="1">
      <alignment vertical="top" wrapText="1"/>
    </xf>
    <xf numFmtId="168" fontId="62" fillId="4" borderId="11" xfId="0" applyNumberFormat="1" applyFont="1" applyFill="1" applyBorder="1" applyAlignment="1">
      <alignment vertical="top" wrapText="1"/>
    </xf>
    <xf numFmtId="0" fontId="60" fillId="2" borderId="11" xfId="0" applyFont="1" applyFill="1" applyBorder="1" applyAlignment="1">
      <alignment vertical="top" wrapText="1"/>
    </xf>
    <xf numFmtId="0" fontId="60" fillId="0" borderId="11" xfId="0" applyFont="1" applyBorder="1" applyAlignment="1">
      <alignment vertical="top" wrapText="1"/>
    </xf>
    <xf numFmtId="0" fontId="26" fillId="0" borderId="11" xfId="0" applyFont="1" applyBorder="1" applyAlignment="1">
      <alignment horizontal="right" vertical="top" wrapText="1"/>
    </xf>
    <xf numFmtId="0" fontId="62" fillId="0" borderId="11" xfId="0" applyFont="1" applyBorder="1" applyAlignment="1" applyProtection="1">
      <alignment horizontal="right" vertical="top" wrapText="1"/>
      <protection locked="0"/>
    </xf>
    <xf numFmtId="0" fontId="60" fillId="0" borderId="0" xfId="0" applyFont="1" applyAlignment="1">
      <alignment horizontal="left" vertical="top"/>
    </xf>
    <xf numFmtId="0" fontId="62" fillId="0" borderId="0" xfId="0" applyFont="1" applyAlignment="1">
      <alignment horizontal="left" vertical="top"/>
    </xf>
    <xf numFmtId="0" fontId="62" fillId="0" borderId="0" xfId="0" applyFont="1" applyAlignment="1">
      <alignment vertical="top" wrapText="1"/>
    </xf>
    <xf numFmtId="0" fontId="62" fillId="0" borderId="0" xfId="0" applyFont="1" applyAlignment="1">
      <alignment vertical="top"/>
    </xf>
    <xf numFmtId="0" fontId="60" fillId="0" borderId="0" xfId="0" applyFont="1" applyAlignment="1">
      <alignment horizontal="right" vertical="top"/>
    </xf>
    <xf numFmtId="0" fontId="62" fillId="2" borderId="0" xfId="0" applyFont="1" applyFill="1" applyAlignment="1">
      <alignment vertical="top" wrapText="1"/>
    </xf>
    <xf numFmtId="0" fontId="60" fillId="0" borderId="0" xfId="0" applyFont="1" applyAlignment="1">
      <alignment vertical="top"/>
    </xf>
    <xf numFmtId="166" fontId="32" fillId="0" borderId="0" xfId="0" applyNumberFormat="1" applyFont="1" applyAlignment="1">
      <alignment horizontal="left"/>
    </xf>
    <xf numFmtId="0" fontId="63" fillId="0" borderId="0" xfId="0" applyFont="1"/>
    <xf numFmtId="0" fontId="23" fillId="0" borderId="0" xfId="244" applyFont="1" applyFill="1" applyBorder="1" applyAlignment="1" applyProtection="1">
      <alignment horizontal="left"/>
    </xf>
    <xf numFmtId="0" fontId="54" fillId="0" borderId="0" xfId="0" applyFont="1"/>
    <xf numFmtId="0" fontId="54" fillId="0" borderId="0" xfId="244" applyFont="1" applyFill="1" applyBorder="1" applyAlignment="1" applyProtection="1">
      <alignment horizontal="left"/>
    </xf>
    <xf numFmtId="0" fontId="29" fillId="3" borderId="11" xfId="0" applyFont="1" applyFill="1" applyBorder="1" applyAlignment="1">
      <alignment vertical="top"/>
    </xf>
    <xf numFmtId="0" fontId="0" fillId="7" borderId="0" xfId="0" applyFill="1"/>
    <xf numFmtId="0" fontId="43" fillId="0" borderId="0" xfId="0" applyFont="1"/>
    <xf numFmtId="0" fontId="65" fillId="0" borderId="0" xfId="0" applyFont="1"/>
    <xf numFmtId="0" fontId="41" fillId="0" borderId="0" xfId="0" applyFont="1" applyAlignment="1">
      <alignment horizontal="center"/>
    </xf>
    <xf numFmtId="0" fontId="41" fillId="0" borderId="0" xfId="0" applyFont="1" applyAlignment="1">
      <alignment horizontal="left"/>
    </xf>
    <xf numFmtId="49" fontId="30" fillId="0" borderId="0" xfId="0" applyNumberFormat="1" applyFont="1" applyAlignment="1">
      <alignment horizontal="center"/>
    </xf>
    <xf numFmtId="0" fontId="57" fillId="0" borderId="0" xfId="0" applyFont="1" applyAlignment="1">
      <alignment horizontal="center"/>
    </xf>
    <xf numFmtId="168" fontId="32" fillId="0" borderId="0" xfId="0" applyNumberFormat="1" applyFont="1" applyAlignment="1">
      <alignment horizontal="center"/>
    </xf>
    <xf numFmtId="168" fontId="42" fillId="0" borderId="0" xfId="0" applyNumberFormat="1" applyFont="1" applyAlignment="1">
      <alignment horizontal="left" vertical="top" wrapText="1"/>
    </xf>
    <xf numFmtId="0" fontId="59" fillId="0" borderId="3" xfId="0" applyFont="1" applyBorder="1"/>
    <xf numFmtId="168" fontId="0" fillId="0" borderId="0" xfId="0" applyNumberFormat="1" applyAlignment="1">
      <alignment horizontal="center"/>
    </xf>
    <xf numFmtId="0" fontId="43" fillId="0" borderId="0" xfId="0" applyFont="1" applyAlignment="1">
      <alignment vertical="top" wrapText="1"/>
    </xf>
    <xf numFmtId="0" fontId="60" fillId="0" borderId="4" xfId="0" applyFont="1" applyBorder="1" applyAlignment="1">
      <alignment horizontal="right"/>
    </xf>
    <xf numFmtId="0" fontId="67" fillId="0" borderId="0" xfId="0" applyFont="1"/>
    <xf numFmtId="3" fontId="32" fillId="0" borderId="0" xfId="0" applyNumberFormat="1" applyFont="1" applyAlignment="1">
      <alignment horizontal="center"/>
    </xf>
    <xf numFmtId="168" fontId="23" fillId="0" borderId="0" xfId="0" applyNumberFormat="1" applyFont="1" applyAlignment="1">
      <alignment horizontal="left" vertical="top"/>
    </xf>
    <xf numFmtId="168" fontId="32" fillId="0" borderId="0" xfId="0" applyNumberFormat="1" applyFont="1" applyAlignment="1">
      <alignment horizontal="left" vertical="top"/>
    </xf>
    <xf numFmtId="0" fontId="62" fillId="0" borderId="11" xfId="0" applyFont="1" applyBorder="1" applyAlignment="1">
      <alignment horizontal="right" vertical="top"/>
    </xf>
    <xf numFmtId="0" fontId="62" fillId="0" borderId="0" xfId="0" applyFont="1" applyAlignment="1">
      <alignment horizontal="right" vertical="top" wrapText="1"/>
    </xf>
    <xf numFmtId="0" fontId="62" fillId="2" borderId="12" xfId="0" applyFont="1" applyFill="1" applyBorder="1" applyAlignment="1">
      <alignment vertical="top" wrapText="1"/>
    </xf>
    <xf numFmtId="0" fontId="62" fillId="0" borderId="14" xfId="0" applyFont="1" applyBorder="1" applyAlignment="1">
      <alignment vertical="top" wrapText="1"/>
    </xf>
    <xf numFmtId="168" fontId="62" fillId="5" borderId="11" xfId="0" applyNumberFormat="1" applyFont="1" applyFill="1" applyBorder="1" applyAlignment="1" applyProtection="1">
      <alignment vertical="top"/>
      <protection locked="0"/>
    </xf>
    <xf numFmtId="0" fontId="62" fillId="2" borderId="11" xfId="0" applyFont="1" applyFill="1" applyBorder="1" applyAlignment="1" applyProtection="1">
      <alignment vertical="top"/>
      <protection locked="0"/>
    </xf>
    <xf numFmtId="0" fontId="62" fillId="0" borderId="11" xfId="0" applyFont="1" applyBorder="1" applyAlignment="1" applyProtection="1">
      <alignment vertical="top"/>
      <protection locked="0"/>
    </xf>
    <xf numFmtId="168" fontId="62" fillId="0" borderId="11" xfId="0" applyNumberFormat="1" applyFont="1" applyBorder="1" applyAlignment="1">
      <alignment vertical="top"/>
    </xf>
    <xf numFmtId="168" fontId="62" fillId="6" borderId="11" xfId="0" applyNumberFormat="1" applyFont="1" applyFill="1" applyBorder="1" applyAlignment="1">
      <alignment horizontal="center" vertical="top"/>
    </xf>
    <xf numFmtId="0" fontId="30" fillId="0" borderId="0" xfId="542" applyFont="1" applyProtection="1">
      <protection locked="0"/>
    </xf>
    <xf numFmtId="0" fontId="23" fillId="0" borderId="0" xfId="539" applyProtection="1"/>
    <xf numFmtId="0" fontId="43" fillId="8" borderId="0" xfId="539" applyFont="1" applyFill="1" applyAlignment="1" applyProtection="1">
      <alignment horizontal="centerContinuous"/>
    </xf>
    <xf numFmtId="0" fontId="30" fillId="0" borderId="0" xfId="543" applyFont="1"/>
    <xf numFmtId="0" fontId="32" fillId="0" borderId="0" xfId="543" applyFont="1" applyAlignment="1">
      <alignment horizontal="left"/>
    </xf>
    <xf numFmtId="0" fontId="32" fillId="0" borderId="15" xfId="0" applyFont="1" applyBorder="1"/>
    <xf numFmtId="2" fontId="46" fillId="0" borderId="11" xfId="0" applyNumberFormat="1" applyFont="1" applyBorder="1"/>
    <xf numFmtId="0" fontId="23" fillId="0" borderId="0" xfId="0" applyFont="1" applyProtection="1">
      <protection locked="0"/>
    </xf>
    <xf numFmtId="0" fontId="70" fillId="0" borderId="0" xfId="0" applyFont="1" applyAlignment="1">
      <alignment horizontal="center"/>
    </xf>
    <xf numFmtId="0" fontId="32" fillId="0" borderId="0" xfId="271"/>
    <xf numFmtId="0" fontId="30" fillId="0" borderId="0" xfId="271" applyFont="1"/>
    <xf numFmtId="0" fontId="32" fillId="0" borderId="0" xfId="271" applyAlignment="1">
      <alignment horizontal="left"/>
    </xf>
    <xf numFmtId="168" fontId="30" fillId="0" borderId="2" xfId="543" applyNumberFormat="1" applyFont="1" applyBorder="1" applyAlignment="1">
      <alignment horizontal="center" vertical="center"/>
    </xf>
    <xf numFmtId="0" fontId="45" fillId="0" borderId="0" xfId="543" applyFont="1" applyAlignment="1">
      <alignment horizontal="right" vertical="top" wrapText="1"/>
    </xf>
    <xf numFmtId="0" fontId="43" fillId="0" borderId="2" xfId="543" applyFont="1" applyBorder="1" applyAlignment="1">
      <alignment horizontal="right" vertical="top" wrapText="1"/>
    </xf>
    <xf numFmtId="0" fontId="28" fillId="0" borderId="0" xfId="0" applyFont="1"/>
    <xf numFmtId="0" fontId="72" fillId="0" borderId="0" xfId="0" applyFont="1"/>
    <xf numFmtId="0" fontId="70" fillId="0" borderId="0" xfId="0" applyFont="1"/>
    <xf numFmtId="0" fontId="4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30" fillId="0" borderId="0" xfId="0" applyNumberFormat="1" applyFont="1" applyAlignment="1">
      <alignment horizontal="center"/>
    </xf>
    <xf numFmtId="3" fontId="32" fillId="0" borderId="0" xfId="0" applyNumberFormat="1" applyFont="1"/>
    <xf numFmtId="0" fontId="71" fillId="0" borderId="0" xfId="0" applyFont="1"/>
    <xf numFmtId="168" fontId="28" fillId="0" borderId="0" xfId="0" applyNumberFormat="1" applyFont="1"/>
    <xf numFmtId="10" fontId="28" fillId="0" borderId="0" xfId="0" applyNumberFormat="1" applyFont="1" applyAlignment="1">
      <alignment horizontal="center"/>
    </xf>
    <xf numFmtId="3" fontId="74" fillId="0" borderId="0" xfId="0" applyNumberFormat="1" applyFont="1"/>
    <xf numFmtId="3" fontId="28" fillId="0" borderId="0" xfId="0" applyNumberFormat="1" applyFont="1"/>
    <xf numFmtId="168" fontId="71" fillId="0" borderId="0" xfId="0" applyNumberFormat="1" applyFont="1"/>
    <xf numFmtId="168" fontId="71" fillId="0" borderId="0" xfId="0" applyNumberFormat="1" applyFont="1" applyAlignment="1">
      <alignment horizontal="center"/>
    </xf>
    <xf numFmtId="0" fontId="28" fillId="5" borderId="0" xfId="0" applyFont="1" applyFill="1" applyAlignment="1">
      <alignment horizontal="left"/>
    </xf>
    <xf numFmtId="0" fontId="28" fillId="5" borderId="0" xfId="0" applyFont="1" applyFill="1"/>
    <xf numFmtId="10" fontId="28" fillId="0" borderId="0" xfId="0" applyNumberFormat="1" applyFont="1"/>
    <xf numFmtId="172" fontId="28" fillId="0" borderId="0" xfId="0" applyNumberFormat="1" applyFont="1"/>
    <xf numFmtId="172" fontId="28" fillId="0" borderId="0" xfId="0" applyNumberFormat="1" applyFont="1" applyAlignment="1">
      <alignment horizontal="center"/>
    </xf>
    <xf numFmtId="0" fontId="28" fillId="0" borderId="6" xfId="0" applyFont="1" applyBorder="1"/>
    <xf numFmtId="10" fontId="28" fillId="0" borderId="6" xfId="0" applyNumberFormat="1" applyFont="1" applyBorder="1" applyAlignment="1">
      <alignment horizontal="center"/>
    </xf>
    <xf numFmtId="3" fontId="28" fillId="0" borderId="6" xfId="0" applyNumberFormat="1" applyFont="1" applyBorder="1"/>
    <xf numFmtId="10" fontId="32" fillId="0" borderId="0" xfId="0" applyNumberFormat="1" applyFont="1" applyAlignment="1">
      <alignment horizontal="center"/>
    </xf>
    <xf numFmtId="3" fontId="32" fillId="0" borderId="0" xfId="0" applyNumberFormat="1" applyFont="1" applyAlignment="1">
      <alignment vertical="top"/>
    </xf>
    <xf numFmtId="10" fontId="30" fillId="0" borderId="0" xfId="0" applyNumberFormat="1" applyFont="1" applyAlignment="1">
      <alignment horizontal="center"/>
    </xf>
    <xf numFmtId="0" fontId="70" fillId="0" borderId="6" xfId="0" applyFont="1" applyBorder="1" applyAlignment="1">
      <alignment horizontal="center"/>
    </xf>
    <xf numFmtId="172" fontId="32" fillId="0" borderId="0" xfId="0" applyNumberFormat="1" applyFont="1" applyAlignment="1">
      <alignment horizontal="center"/>
    </xf>
    <xf numFmtId="10" fontId="75" fillId="0" borderId="0" xfId="0" applyNumberFormat="1" applyFont="1" applyAlignment="1">
      <alignment horizontal="center"/>
    </xf>
    <xf numFmtId="0" fontId="32" fillId="9" borderId="6" xfId="0" applyFont="1" applyFill="1" applyBorder="1"/>
    <xf numFmtId="0" fontId="32" fillId="0" borderId="4" xfId="271" applyBorder="1"/>
    <xf numFmtId="0" fontId="32" fillId="0" borderId="6" xfId="271" applyBorder="1"/>
    <xf numFmtId="0" fontId="32" fillId="0" borderId="1" xfId="0" applyFont="1" applyBorder="1"/>
    <xf numFmtId="168" fontId="32" fillId="0" borderId="3" xfId="0" applyNumberFormat="1" applyFont="1" applyBorder="1" applyAlignment="1">
      <alignment vertical="top"/>
    </xf>
    <xf numFmtId="168" fontId="32" fillId="0" borderId="4" xfId="0" applyNumberFormat="1" applyFont="1" applyBorder="1" applyAlignment="1">
      <alignment vertical="top"/>
    </xf>
    <xf numFmtId="168" fontId="32" fillId="0" borderId="5" xfId="0" applyNumberFormat="1" applyFont="1" applyBorder="1" applyAlignment="1">
      <alignment vertical="top"/>
    </xf>
    <xf numFmtId="168" fontId="32" fillId="0" borderId="8" xfId="0" applyNumberFormat="1" applyFont="1" applyBorder="1" applyAlignment="1">
      <alignment vertical="top"/>
    </xf>
    <xf numFmtId="168" fontId="32" fillId="0" borderId="0" xfId="0" applyNumberFormat="1" applyFont="1" applyAlignment="1">
      <alignment vertical="top"/>
    </xf>
    <xf numFmtId="0" fontId="32" fillId="0" borderId="0" xfId="0" applyFont="1" applyAlignment="1">
      <alignment horizontal="right" vertical="top"/>
    </xf>
    <xf numFmtId="0" fontId="3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32" fillId="5" borderId="4" xfId="0" applyFont="1" applyFill="1" applyBorder="1" applyAlignment="1" applyProtection="1">
      <alignment horizontal="left" vertical="top"/>
      <protection locked="0"/>
    </xf>
    <xf numFmtId="0" fontId="32" fillId="5" borderId="5" xfId="0" applyFont="1" applyFill="1" applyBorder="1" applyAlignment="1" applyProtection="1">
      <alignment horizontal="left" vertical="top"/>
      <protection locked="0"/>
    </xf>
    <xf numFmtId="4" fontId="57" fillId="0" borderId="0" xfId="0" applyNumberFormat="1" applyFont="1" applyAlignment="1">
      <alignment horizontal="center"/>
    </xf>
    <xf numFmtId="0" fontId="42" fillId="0" borderId="1" xfId="543" applyFont="1" applyBorder="1" applyAlignment="1">
      <alignment horizontal="left" vertical="top" wrapText="1"/>
    </xf>
    <xf numFmtId="0" fontId="42" fillId="0" borderId="12" xfId="543" applyFont="1" applyBorder="1" applyAlignment="1">
      <alignment horizontal="center" vertical="top" wrapText="1"/>
    </xf>
    <xf numFmtId="0" fontId="42" fillId="0" borderId="8" xfId="543" applyFont="1" applyBorder="1" applyAlignment="1">
      <alignment horizontal="left" vertical="top" wrapText="1"/>
    </xf>
    <xf numFmtId="0" fontId="37" fillId="3" borderId="4" xfId="271" applyFont="1" applyFill="1" applyBorder="1" applyAlignment="1">
      <alignment vertical="top" wrapText="1"/>
    </xf>
    <xf numFmtId="0" fontId="29" fillId="3" borderId="11" xfId="271" applyFont="1" applyFill="1" applyBorder="1" applyAlignment="1">
      <alignment vertical="top"/>
    </xf>
    <xf numFmtId="0" fontId="30" fillId="0" borderId="9" xfId="271" applyFont="1" applyBorder="1" applyAlignment="1">
      <alignment horizontal="center" wrapText="1"/>
    </xf>
    <xf numFmtId="0" fontId="37" fillId="3" borderId="4" xfId="271" applyFont="1" applyFill="1" applyBorder="1" applyAlignment="1" applyProtection="1">
      <alignment vertical="top" wrapText="1"/>
      <protection locked="0"/>
    </xf>
    <xf numFmtId="0" fontId="37" fillId="3" borderId="5" xfId="271" applyFont="1" applyFill="1" applyBorder="1" applyAlignment="1" applyProtection="1">
      <alignment vertical="top" wrapText="1"/>
      <protection locked="0"/>
    </xf>
    <xf numFmtId="0" fontId="30" fillId="0" borderId="13" xfId="271" applyFont="1" applyBorder="1" applyAlignment="1">
      <alignment horizontal="center" wrapText="1"/>
    </xf>
    <xf numFmtId="0" fontId="55" fillId="2" borderId="11" xfId="271" applyFont="1" applyFill="1" applyBorder="1" applyAlignment="1">
      <alignment horizontal="left" vertical="top" wrapText="1"/>
    </xf>
    <xf numFmtId="0" fontId="32" fillId="0" borderId="11" xfId="271" applyBorder="1" applyAlignment="1" applyProtection="1">
      <alignment vertical="top" wrapText="1"/>
      <protection locked="0"/>
    </xf>
    <xf numFmtId="168" fontId="32" fillId="5" borderId="11" xfId="271" applyNumberFormat="1" applyFill="1" applyBorder="1" applyAlignment="1" applyProtection="1">
      <alignment vertical="top" wrapText="1"/>
      <protection locked="0"/>
    </xf>
    <xf numFmtId="0" fontId="32" fillId="5" borderId="3" xfId="271" applyFill="1" applyBorder="1" applyAlignment="1" applyProtection="1">
      <alignment vertical="top" wrapText="1"/>
      <protection locked="0"/>
    </xf>
    <xf numFmtId="0" fontId="32" fillId="5" borderId="11" xfId="271" applyFill="1" applyBorder="1" applyAlignment="1" applyProtection="1">
      <alignment vertical="top" wrapText="1"/>
      <protection locked="0"/>
    </xf>
    <xf numFmtId="0" fontId="32" fillId="0" borderId="11" xfId="271" applyBorder="1" applyAlignment="1">
      <alignment horizontal="right" vertical="top" wrapText="1"/>
    </xf>
    <xf numFmtId="168" fontId="32" fillId="0" borderId="11" xfId="271" applyNumberFormat="1" applyBorder="1" applyAlignment="1">
      <alignment vertical="top" wrapText="1"/>
    </xf>
    <xf numFmtId="0" fontId="30" fillId="0" borderId="11" xfId="271" applyFont="1" applyBorder="1" applyAlignment="1">
      <alignment horizontal="right" vertical="top" wrapText="1"/>
    </xf>
    <xf numFmtId="0" fontId="32" fillId="5" borderId="11" xfId="271" applyFill="1" applyBorder="1" applyAlignment="1" applyProtection="1">
      <alignment horizontal="right" vertical="top" wrapText="1"/>
      <protection locked="0"/>
    </xf>
    <xf numFmtId="168" fontId="30" fillId="0" borderId="11" xfId="271" applyNumberFormat="1" applyFont="1" applyBorder="1" applyAlignment="1">
      <alignment vertical="top" wrapText="1"/>
    </xf>
    <xf numFmtId="0" fontId="40" fillId="0" borderId="11" xfId="271" applyFont="1" applyBorder="1" applyAlignment="1">
      <alignment horizontal="right" vertical="top" wrapText="1"/>
    </xf>
    <xf numFmtId="0" fontId="37" fillId="0" borderId="0" xfId="271" applyFont="1" applyAlignment="1" applyProtection="1">
      <alignment vertical="top" wrapText="1"/>
      <protection locked="0"/>
    </xf>
    <xf numFmtId="0" fontId="32" fillId="0" borderId="5" xfId="271" applyBorder="1" applyAlignment="1" applyProtection="1">
      <alignment vertical="top" wrapText="1"/>
      <protection locked="0"/>
    </xf>
    <xf numFmtId="0" fontId="30" fillId="0" borderId="3" xfId="271" applyFont="1" applyBorder="1" applyAlignment="1">
      <alignment horizontal="left" vertical="top"/>
    </xf>
    <xf numFmtId="0" fontId="32" fillId="0" borderId="4" xfId="271" applyBorder="1" applyAlignment="1" applyProtection="1">
      <alignment horizontal="left" vertical="top"/>
      <protection locked="0"/>
    </xf>
    <xf numFmtId="0" fontId="32" fillId="0" borderId="4" xfId="271" applyBorder="1" applyAlignment="1" applyProtection="1">
      <alignment vertical="top" wrapText="1"/>
      <protection locked="0"/>
    </xf>
    <xf numFmtId="0" fontId="37" fillId="0" borderId="0" xfId="271" applyFont="1" applyAlignment="1">
      <alignment vertical="top" wrapText="1"/>
    </xf>
    <xf numFmtId="0" fontId="32" fillId="0" borderId="4" xfId="271" applyBorder="1" applyAlignment="1">
      <alignment vertical="top" wrapText="1"/>
    </xf>
    <xf numFmtId="0" fontId="55" fillId="2" borderId="11" xfId="271" applyFont="1" applyFill="1" applyBorder="1" applyAlignment="1" applyProtection="1">
      <alignment horizontal="left" vertical="top" wrapText="1"/>
      <protection locked="0"/>
    </xf>
    <xf numFmtId="0" fontId="59" fillId="0" borderId="11" xfId="0" applyFont="1" applyBorder="1" applyAlignment="1">
      <alignment horizontal="right" vertical="top" wrapText="1"/>
    </xf>
    <xf numFmtId="0" fontId="32" fillId="8" borderId="0" xfId="542" quotePrefix="1" applyFont="1" applyFill="1" applyAlignment="1">
      <alignment horizontal="left"/>
    </xf>
    <xf numFmtId="0" fontId="32" fillId="8" borderId="0" xfId="542" applyFont="1" applyFill="1"/>
    <xf numFmtId="0" fontId="40" fillId="8" borderId="0" xfId="542" applyFont="1" applyFill="1"/>
    <xf numFmtId="0" fontId="59" fillId="0" borderId="11" xfId="271" applyFont="1" applyBorder="1" applyAlignment="1">
      <alignment horizontal="right" vertical="top"/>
    </xf>
    <xf numFmtId="0" fontId="59" fillId="0" borderId="11" xfId="271" applyFont="1" applyBorder="1" applyAlignment="1">
      <alignment horizontal="right" vertical="top" wrapText="1"/>
    </xf>
    <xf numFmtId="0" fontId="32" fillId="0" borderId="0" xfId="271" applyAlignment="1">
      <alignment horizontal="left" vertical="top"/>
    </xf>
    <xf numFmtId="0" fontId="30" fillId="0" borderId="0" xfId="271" applyFont="1" applyAlignment="1">
      <alignment horizontal="right"/>
    </xf>
    <xf numFmtId="0" fontId="31" fillId="0" borderId="0" xfId="271" applyFont="1" applyAlignment="1">
      <alignment horizontal="center"/>
    </xf>
    <xf numFmtId="5" fontId="32" fillId="0" borderId="0" xfId="542" applyNumberFormat="1" applyFont="1"/>
    <xf numFmtId="1" fontId="32" fillId="0" borderId="15" xfId="271" applyNumberFormat="1" applyBorder="1"/>
    <xf numFmtId="1" fontId="32" fillId="0" borderId="14" xfId="271" applyNumberFormat="1" applyBorder="1"/>
    <xf numFmtId="0" fontId="31" fillId="0" borderId="6" xfId="271" applyFont="1" applyBorder="1" applyAlignment="1">
      <alignment horizontal="left"/>
    </xf>
    <xf numFmtId="0" fontId="31" fillId="0" borderId="6" xfId="271" applyFont="1" applyBorder="1" applyAlignment="1">
      <alignment horizontal="right"/>
    </xf>
    <xf numFmtId="165" fontId="32" fillId="0" borderId="0" xfId="271" applyNumberFormat="1"/>
    <xf numFmtId="170" fontId="32" fillId="0" borderId="14" xfId="271" applyNumberFormat="1" applyBorder="1"/>
    <xf numFmtId="1" fontId="30" fillId="0" borderId="11" xfId="271" applyNumberFormat="1" applyFont="1" applyBorder="1"/>
    <xf numFmtId="165" fontId="30" fillId="0" borderId="11" xfId="271" applyNumberFormat="1" applyFont="1" applyBorder="1"/>
    <xf numFmtId="3" fontId="62" fillId="0" borderId="11" xfId="0" applyNumberFormat="1" applyFont="1" applyBorder="1" applyAlignment="1">
      <alignment vertical="top" wrapText="1"/>
    </xf>
    <xf numFmtId="166" fontId="32" fillId="0" borderId="0" xfId="0" applyNumberFormat="1" applyFont="1"/>
    <xf numFmtId="0" fontId="0" fillId="0" borderId="0" xfId="0" applyProtection="1">
      <protection locked="0"/>
    </xf>
    <xf numFmtId="0" fontId="28" fillId="0" borderId="0" xfId="0" applyFont="1" applyProtection="1">
      <protection locked="0"/>
    </xf>
    <xf numFmtId="0" fontId="28" fillId="0" borderId="0" xfId="271" applyFont="1" applyProtection="1">
      <protection locked="0"/>
    </xf>
    <xf numFmtId="168" fontId="28" fillId="0" borderId="0" xfId="271" applyNumberFormat="1" applyFont="1" applyProtection="1">
      <protection locked="0"/>
    </xf>
    <xf numFmtId="0" fontId="36" fillId="0" borderId="1" xfId="0" applyFont="1" applyBorder="1"/>
    <xf numFmtId="0" fontId="23" fillId="0" borderId="2" xfId="0" applyFont="1" applyBorder="1" applyAlignment="1">
      <alignment horizontal="left"/>
    </xf>
    <xf numFmtId="0" fontId="23" fillId="0" borderId="2" xfId="0" applyFont="1" applyBorder="1"/>
    <xf numFmtId="0" fontId="36" fillId="0" borderId="8" xfId="0" applyFont="1" applyBorder="1"/>
    <xf numFmtId="0" fontId="36" fillId="0" borderId="9" xfId="0" applyFont="1" applyBorder="1"/>
    <xf numFmtId="0" fontId="30" fillId="0" borderId="0" xfId="0" applyFont="1" applyAlignment="1">
      <alignment horizontal="left" vertical="top"/>
    </xf>
    <xf numFmtId="0" fontId="80" fillId="0" borderId="0" xfId="0" applyFont="1" applyAlignment="1">
      <alignment vertical="center" wrapText="1"/>
    </xf>
    <xf numFmtId="0" fontId="80" fillId="0" borderId="0" xfId="0" applyFont="1" applyAlignment="1">
      <alignment vertical="center"/>
    </xf>
    <xf numFmtId="0" fontId="80" fillId="0" borderId="0" xfId="0" applyFont="1" applyAlignment="1">
      <alignment horizontal="left" vertical="center" indent="1"/>
    </xf>
    <xf numFmtId="172" fontId="32" fillId="5" borderId="0" xfId="0" applyNumberFormat="1" applyFont="1" applyFill="1" applyAlignment="1">
      <alignment horizontal="center"/>
    </xf>
    <xf numFmtId="0" fontId="81" fillId="0" borderId="0" xfId="0" applyFont="1" applyAlignment="1">
      <alignment horizontal="left" vertical="center"/>
    </xf>
    <xf numFmtId="0" fontId="42" fillId="0" borderId="2" xfId="543" applyFont="1" applyBorder="1" applyAlignment="1">
      <alignment horizontal="center" vertical="top" wrapText="1"/>
    </xf>
    <xf numFmtId="49" fontId="53" fillId="0" borderId="0" xfId="0" applyNumberFormat="1" applyFont="1" applyAlignment="1">
      <alignment horizontal="center"/>
    </xf>
    <xf numFmtId="0" fontId="59" fillId="0" borderId="0" xfId="0" applyFont="1"/>
    <xf numFmtId="5" fontId="85" fillId="0" borderId="11" xfId="541" applyNumberFormat="1" applyFont="1" applyBorder="1" applyAlignment="1" applyProtection="1">
      <alignment horizontal="center"/>
    </xf>
    <xf numFmtId="5" fontId="85" fillId="42" borderId="11" xfId="541" applyNumberFormat="1" applyFont="1" applyFill="1" applyBorder="1" applyAlignment="1" applyProtection="1">
      <alignment horizontal="center"/>
    </xf>
    <xf numFmtId="5" fontId="85" fillId="2" borderId="11" xfId="541" applyNumberFormat="1" applyFont="1" applyFill="1" applyBorder="1" applyAlignment="1" applyProtection="1">
      <alignment horizontal="center"/>
    </xf>
    <xf numFmtId="0" fontId="59" fillId="0" borderId="0" xfId="0" applyFont="1" applyAlignment="1">
      <alignment vertical="top" wrapText="1"/>
    </xf>
    <xf numFmtId="0" fontId="59" fillId="0" borderId="0" xfId="0" applyFont="1" applyAlignment="1">
      <alignment vertical="top"/>
    </xf>
    <xf numFmtId="0" fontId="59" fillId="2" borderId="0" xfId="0" applyFont="1" applyFill="1" applyAlignment="1">
      <alignment vertical="top" wrapText="1"/>
    </xf>
    <xf numFmtId="0" fontId="87" fillId="0" borderId="13" xfId="0" applyFont="1" applyBorder="1" applyAlignment="1">
      <alignment vertical="top" wrapText="1"/>
    </xf>
    <xf numFmtId="0" fontId="37" fillId="0" borderId="0" xfId="0" applyFont="1" applyAlignment="1">
      <alignment vertical="top" wrapText="1"/>
    </xf>
    <xf numFmtId="0" fontId="87" fillId="2" borderId="13" xfId="0" applyFont="1" applyFill="1" applyBorder="1" applyAlignment="1">
      <alignment vertical="top" wrapText="1"/>
    </xf>
    <xf numFmtId="0" fontId="87" fillId="0" borderId="0" xfId="0" applyFont="1" applyAlignment="1">
      <alignment vertical="top" wrapText="1"/>
    </xf>
    <xf numFmtId="0" fontId="87" fillId="2" borderId="0" xfId="0" applyFont="1" applyFill="1" applyAlignment="1">
      <alignment vertical="top" wrapText="1"/>
    </xf>
    <xf numFmtId="0" fontId="59" fillId="0" borderId="0" xfId="0" applyFont="1" applyAlignment="1">
      <alignment horizontal="right" vertical="top" wrapText="1"/>
    </xf>
    <xf numFmtId="168" fontId="59" fillId="5" borderId="6" xfId="0" applyNumberFormat="1" applyFont="1" applyFill="1" applyBorder="1" applyAlignment="1" applyProtection="1">
      <alignment horizontal="right" vertical="top" wrapText="1"/>
      <protection locked="0"/>
    </xf>
    <xf numFmtId="168" fontId="59" fillId="0" borderId="6" xfId="0" applyNumberFormat="1" applyFont="1" applyBorder="1" applyAlignment="1">
      <alignment horizontal="right" vertical="top" wrapText="1"/>
    </xf>
    <xf numFmtId="0" fontId="30" fillId="0" borderId="0" xfId="0" applyFont="1" applyAlignment="1">
      <alignment horizontal="left" vertical="top" wrapText="1"/>
    </xf>
    <xf numFmtId="0" fontId="32" fillId="0" borderId="0" xfId="0" applyFont="1" applyAlignment="1">
      <alignment horizontal="right" vertical="top" wrapText="1"/>
    </xf>
    <xf numFmtId="10" fontId="32" fillId="5" borderId="6" xfId="0" applyNumberFormat="1" applyFont="1" applyFill="1" applyBorder="1" applyAlignment="1" applyProtection="1">
      <alignment horizontal="center" vertical="top" wrapText="1"/>
      <protection locked="0"/>
    </xf>
    <xf numFmtId="0" fontId="70" fillId="0" borderId="0" xfId="0" applyFont="1" applyAlignment="1">
      <alignment horizontal="left" vertical="center"/>
    </xf>
    <xf numFmtId="0" fontId="30" fillId="0" borderId="2" xfId="543" applyFont="1" applyBorder="1" applyAlignment="1">
      <alignment horizontal="center"/>
    </xf>
    <xf numFmtId="0" fontId="0" fillId="0" borderId="0" xfId="543" applyFont="1"/>
    <xf numFmtId="0" fontId="24" fillId="0" borderId="0" xfId="244" quotePrefix="1" applyAlignment="1" applyProtection="1">
      <alignment horizontal="left"/>
    </xf>
    <xf numFmtId="168" fontId="59" fillId="0" borderId="11" xfId="0" applyNumberFormat="1" applyFont="1" applyBorder="1" applyAlignment="1">
      <alignment vertical="top" wrapText="1"/>
    </xf>
    <xf numFmtId="168" fontId="59" fillId="4" borderId="11" xfId="0" applyNumberFormat="1" applyFont="1" applyFill="1" applyBorder="1" applyAlignment="1">
      <alignment vertical="top" wrapText="1"/>
    </xf>
    <xf numFmtId="0" fontId="111" fillId="0" borderId="0" xfId="0" applyFont="1" applyAlignment="1">
      <alignment horizontal="left" vertical="top"/>
    </xf>
    <xf numFmtId="0" fontId="112" fillId="0" borderId="0" xfId="0" applyFont="1" applyAlignment="1">
      <alignment horizontal="left" vertical="top"/>
    </xf>
    <xf numFmtId="0" fontId="80" fillId="0" borderId="0" xfId="0" applyFont="1"/>
    <xf numFmtId="0" fontId="30" fillId="8" borderId="11" xfId="542" applyFont="1" applyFill="1" applyBorder="1" applyAlignment="1">
      <alignment horizontal="left"/>
    </xf>
    <xf numFmtId="0" fontId="30" fillId="8" borderId="11" xfId="542" applyFont="1" applyFill="1" applyBorder="1" applyAlignment="1">
      <alignment horizontal="center"/>
    </xf>
    <xf numFmtId="0" fontId="69" fillId="8" borderId="11" xfId="542" applyFont="1" applyFill="1" applyBorder="1" applyAlignment="1">
      <alignment horizontal="left"/>
    </xf>
    <xf numFmtId="0" fontId="69" fillId="0" borderId="11" xfId="542" applyFont="1" applyBorder="1" applyAlignment="1">
      <alignment horizontal="left"/>
    </xf>
    <xf numFmtId="0" fontId="30" fillId="0" borderId="0" xfId="271" applyFont="1" applyAlignment="1" applyProtection="1">
      <alignment horizontal="center" wrapText="1"/>
      <protection locked="0"/>
    </xf>
    <xf numFmtId="0" fontId="32" fillId="0" borderId="0" xfId="271" applyAlignment="1" applyProtection="1">
      <alignment vertical="top" wrapText="1"/>
      <protection locked="0"/>
    </xf>
    <xf numFmtId="0" fontId="30" fillId="0" borderId="0" xfId="271" applyFont="1" applyAlignment="1" applyProtection="1">
      <alignment vertical="top" wrapText="1"/>
      <protection locked="0"/>
    </xf>
    <xf numFmtId="0" fontId="23" fillId="0" borderId="0" xfId="0" applyFont="1" applyAlignment="1">
      <alignment horizontal="center"/>
    </xf>
    <xf numFmtId="0" fontId="37" fillId="0" borderId="8" xfId="569" applyFont="1" applyBorder="1" applyAlignment="1">
      <alignment vertical="top" wrapText="1"/>
    </xf>
    <xf numFmtId="0" fontId="37" fillId="0" borderId="0" xfId="569" applyFont="1" applyAlignment="1">
      <alignment vertical="top" wrapText="1"/>
    </xf>
    <xf numFmtId="0" fontId="61" fillId="2" borderId="11" xfId="569" applyFont="1" applyFill="1" applyBorder="1" applyAlignment="1">
      <alignment horizontal="left" vertical="top" wrapText="1"/>
    </xf>
    <xf numFmtId="6" fontId="59" fillId="4" borderId="11" xfId="569" applyNumberFormat="1" applyFont="1" applyFill="1" applyBorder="1" applyAlignment="1">
      <alignment vertical="top" wrapText="1"/>
    </xf>
    <xf numFmtId="0" fontId="59" fillId="0" borderId="8" xfId="569" applyFont="1" applyBorder="1" applyAlignment="1">
      <alignment vertical="top" wrapText="1"/>
    </xf>
    <xf numFmtId="0" fontId="59" fillId="0" borderId="0" xfId="569" applyFont="1" applyAlignment="1">
      <alignment vertical="top" wrapText="1"/>
    </xf>
    <xf numFmtId="6" fontId="59" fillId="0" borderId="11" xfId="569" applyNumberFormat="1" applyFont="1" applyBorder="1" applyAlignment="1">
      <alignment vertical="top" wrapText="1"/>
    </xf>
    <xf numFmtId="6" fontId="59" fillId="5" borderId="11" xfId="569" applyNumberFormat="1" applyFont="1" applyFill="1" applyBorder="1" applyAlignment="1" applyProtection="1">
      <alignment vertical="top" wrapText="1"/>
      <protection locked="0"/>
    </xf>
    <xf numFmtId="6" fontId="59" fillId="6" borderId="11" xfId="569" applyNumberFormat="1" applyFont="1" applyFill="1" applyBorder="1" applyAlignment="1">
      <alignment horizontal="center" vertical="top" wrapText="1"/>
    </xf>
    <xf numFmtId="0" fontId="59" fillId="0" borderId="11" xfId="569" applyFont="1" applyBorder="1" applyAlignment="1">
      <alignment horizontal="right" vertical="top" wrapText="1"/>
    </xf>
    <xf numFmtId="0" fontId="60" fillId="0" borderId="11" xfId="569" applyFont="1" applyBorder="1" applyAlignment="1">
      <alignment horizontal="right" vertical="top" wrapText="1"/>
    </xf>
    <xf numFmtId="0" fontId="59" fillId="0" borderId="11" xfId="569" applyFont="1" applyBorder="1" applyAlignment="1">
      <alignment horizontal="right" vertical="top"/>
    </xf>
    <xf numFmtId="6" fontId="60" fillId="0" borderId="11" xfId="569" applyNumberFormat="1" applyFont="1" applyBorder="1" applyAlignment="1">
      <alignment vertical="top" wrapText="1"/>
    </xf>
    <xf numFmtId="0" fontId="60" fillId="0" borderId="8" xfId="569" applyFont="1" applyBorder="1" applyAlignment="1">
      <alignment vertical="top" wrapText="1"/>
    </xf>
    <xf numFmtId="0" fontId="60" fillId="0" borderId="0" xfId="569" applyFont="1" applyAlignment="1">
      <alignment vertical="top" wrapText="1"/>
    </xf>
    <xf numFmtId="0" fontId="26" fillId="0" borderId="11" xfId="569" applyFont="1" applyBorder="1" applyAlignment="1">
      <alignment horizontal="right" vertical="top" wrapText="1"/>
    </xf>
    <xf numFmtId="0" fontId="60" fillId="0" borderId="0" xfId="569" applyFont="1" applyAlignment="1">
      <alignment horizontal="left" vertical="top"/>
    </xf>
    <xf numFmtId="6" fontId="59" fillId="0" borderId="0" xfId="569" applyNumberFormat="1" applyFont="1" applyAlignment="1">
      <alignment horizontal="left" vertical="top"/>
    </xf>
    <xf numFmtId="0" fontId="112" fillId="0" borderId="0" xfId="569" applyFont="1" applyAlignment="1">
      <alignment horizontal="left" vertical="top"/>
    </xf>
    <xf numFmtId="6" fontId="59" fillId="0" borderId="0" xfId="569" applyNumberFormat="1" applyFont="1" applyAlignment="1">
      <alignment vertical="top" wrapText="1"/>
    </xf>
    <xf numFmtId="0" fontId="59" fillId="0" borderId="0" xfId="569" applyFont="1" applyAlignment="1">
      <alignment horizontal="left" vertical="top"/>
    </xf>
    <xf numFmtId="0" fontId="59" fillId="0" borderId="12" xfId="569" applyFont="1" applyBorder="1" applyAlignment="1">
      <alignment vertical="top" wrapText="1"/>
    </xf>
    <xf numFmtId="0" fontId="30" fillId="0" borderId="0" xfId="569" applyFont="1" applyAlignment="1">
      <alignment horizontal="left" vertical="top"/>
    </xf>
    <xf numFmtId="0" fontId="115" fillId="0" borderId="0" xfId="569" applyFont="1" applyAlignment="1">
      <alignment horizontal="left" vertical="top"/>
    </xf>
    <xf numFmtId="0" fontId="70" fillId="0" borderId="0" xfId="569" applyFont="1" applyAlignment="1">
      <alignment horizontal="left" vertical="center"/>
    </xf>
    <xf numFmtId="0" fontId="38" fillId="0" borderId="0" xfId="569" applyFont="1" applyAlignment="1">
      <alignment vertical="top" wrapText="1"/>
    </xf>
    <xf numFmtId="0" fontId="38" fillId="0" borderId="12" xfId="569" applyFont="1" applyBorder="1" applyAlignment="1">
      <alignment vertical="top" wrapText="1"/>
    </xf>
    <xf numFmtId="0" fontId="38" fillId="0" borderId="8" xfId="569" applyFont="1" applyBorder="1" applyAlignment="1">
      <alignment vertical="top" wrapText="1"/>
    </xf>
    <xf numFmtId="0" fontId="59" fillId="0" borderId="0" xfId="569" applyFont="1" applyAlignment="1">
      <alignment vertical="top"/>
    </xf>
    <xf numFmtId="168" fontId="59" fillId="0" borderId="0" xfId="569" applyNumberFormat="1" applyFont="1" applyAlignment="1" applyProtection="1">
      <alignment horizontal="right" vertical="top" wrapText="1"/>
      <protection locked="0"/>
    </xf>
    <xf numFmtId="0" fontId="23" fillId="0" borderId="0" xfId="569" applyAlignment="1">
      <alignment vertical="top" wrapText="1"/>
    </xf>
    <xf numFmtId="0" fontId="23" fillId="0" borderId="0" xfId="569" applyAlignment="1">
      <alignment vertical="top"/>
    </xf>
    <xf numFmtId="0" fontId="59" fillId="0" borderId="0" xfId="569" applyFont="1" applyAlignment="1">
      <alignment horizontal="right" vertical="top" wrapText="1"/>
    </xf>
    <xf numFmtId="0" fontId="30" fillId="0" borderId="0" xfId="569" applyFont="1" applyAlignment="1">
      <alignment horizontal="left" vertical="top" wrapText="1"/>
    </xf>
    <xf numFmtId="168" fontId="59" fillId="0" borderId="0" xfId="569" applyNumberFormat="1" applyFont="1" applyAlignment="1">
      <alignment horizontal="right" vertical="top" wrapText="1"/>
    </xf>
    <xf numFmtId="0" fontId="23" fillId="0" borderId="0" xfId="569" applyAlignment="1" applyProtection="1">
      <alignment horizontal="left" vertical="top" wrapText="1"/>
      <protection locked="0"/>
    </xf>
    <xf numFmtId="0" fontId="23" fillId="0" borderId="0" xfId="569" applyAlignment="1">
      <alignment horizontal="right" vertical="top" wrapText="1"/>
    </xf>
    <xf numFmtId="0" fontId="23" fillId="0" borderId="0" xfId="569" applyAlignment="1">
      <alignment horizontal="left" vertical="top"/>
    </xf>
    <xf numFmtId="0" fontId="87" fillId="0" borderId="0" xfId="569" applyFont="1" applyAlignment="1">
      <alignment vertical="top" wrapText="1"/>
    </xf>
    <xf numFmtId="0" fontId="87" fillId="0" borderId="12" xfId="569" applyFont="1" applyBorder="1" applyAlignment="1">
      <alignment vertical="top" wrapText="1"/>
    </xf>
    <xf numFmtId="0" fontId="87" fillId="0" borderId="8" xfId="569" applyFont="1" applyBorder="1" applyAlignment="1">
      <alignment vertical="top" wrapText="1"/>
    </xf>
    <xf numFmtId="0" fontId="37" fillId="0" borderId="0" xfId="569" applyFont="1" applyAlignment="1">
      <alignment horizontal="right" vertical="top" wrapText="1"/>
    </xf>
    <xf numFmtId="0" fontId="87" fillId="0" borderId="0" xfId="569" applyFont="1" applyAlignment="1">
      <alignment horizontal="right" vertical="top" wrapText="1"/>
    </xf>
    <xf numFmtId="0" fontId="60" fillId="0" borderId="3" xfId="569" applyFont="1" applyBorder="1" applyAlignment="1">
      <alignment horizontal="left"/>
    </xf>
    <xf numFmtId="0" fontId="60" fillId="0" borderId="13" xfId="569" applyFont="1" applyBorder="1" applyAlignment="1">
      <alignment horizontal="center" wrapText="1"/>
    </xf>
    <xf numFmtId="0" fontId="60" fillId="0" borderId="8" xfId="569" applyFont="1" applyBorder="1" applyAlignment="1">
      <alignment horizontal="center" wrapText="1"/>
    </xf>
    <xf numFmtId="0" fontId="60" fillId="0" borderId="0" xfId="569" applyFont="1" applyAlignment="1">
      <alignment horizontal="center" wrapText="1"/>
    </xf>
    <xf numFmtId="0" fontId="23" fillId="0" borderId="0" xfId="569"/>
    <xf numFmtId="0" fontId="29" fillId="0" borderId="0" xfId="569" applyFont="1" applyAlignment="1">
      <alignment horizontal="center" vertical="center"/>
    </xf>
    <xf numFmtId="0" fontId="30" fillId="0" borderId="0" xfId="569" applyFont="1"/>
    <xf numFmtId="0" fontId="23" fillId="0" borderId="1" xfId="569" applyBorder="1"/>
    <xf numFmtId="0" fontId="23" fillId="0" borderId="2" xfId="569" applyBorder="1"/>
    <xf numFmtId="0" fontId="23" fillId="0" borderId="8" xfId="569" applyBorder="1"/>
    <xf numFmtId="0" fontId="23" fillId="0" borderId="9" xfId="569" applyBorder="1"/>
    <xf numFmtId="0" fontId="23" fillId="0" borderId="6" xfId="569" applyBorder="1"/>
    <xf numFmtId="0" fontId="31" fillId="0" borderId="0" xfId="569" applyFont="1"/>
    <xf numFmtId="0" fontId="23" fillId="0" borderId="7" xfId="569" applyBorder="1"/>
    <xf numFmtId="0" fontId="23" fillId="0" borderId="12" xfId="569" applyBorder="1"/>
    <xf numFmtId="0" fontId="23" fillId="0" borderId="10" xfId="569" applyBorder="1"/>
    <xf numFmtId="0" fontId="31" fillId="0" borderId="0" xfId="569" applyFont="1" applyAlignment="1">
      <alignment vertical="top" wrapText="1"/>
    </xf>
    <xf numFmtId="0" fontId="23" fillId="0" borderId="0" xfId="569" applyAlignment="1">
      <alignment horizontal="right"/>
    </xf>
    <xf numFmtId="0" fontId="23" fillId="0" borderId="0" xfId="569" applyAlignment="1">
      <alignment wrapText="1"/>
    </xf>
    <xf numFmtId="0" fontId="23" fillId="0" borderId="0" xfId="569" applyAlignment="1">
      <alignment vertical="center"/>
    </xf>
    <xf numFmtId="0" fontId="47" fillId="0" borderId="0" xfId="569" applyFont="1" applyAlignment="1">
      <alignment vertical="center" wrapText="1"/>
    </xf>
    <xf numFmtId="0" fontId="41" fillId="0" borderId="0" xfId="569" applyFont="1" applyAlignment="1">
      <alignment vertical="top" wrapText="1"/>
    </xf>
    <xf numFmtId="0" fontId="30" fillId="0" borderId="0" xfId="569" applyFont="1" applyAlignment="1">
      <alignment vertical="top" wrapText="1"/>
    </xf>
    <xf numFmtId="0" fontId="31" fillId="0" borderId="0" xfId="569" applyFont="1" applyAlignment="1">
      <alignment horizontal="left" vertical="top" wrapText="1"/>
    </xf>
    <xf numFmtId="164" fontId="23" fillId="0" borderId="0" xfId="569" applyNumberFormat="1" applyAlignment="1">
      <alignment horizontal="right"/>
    </xf>
    <xf numFmtId="168" fontId="23" fillId="0" borderId="0" xfId="569" applyNumberFormat="1" applyAlignment="1">
      <alignment horizontal="right"/>
    </xf>
    <xf numFmtId="0" fontId="113" fillId="0" borderId="0" xfId="569" applyFont="1" applyAlignment="1">
      <alignment horizontal="left" vertical="top" wrapText="1"/>
    </xf>
    <xf numFmtId="168" fontId="23" fillId="0" borderId="0" xfId="569" applyNumberFormat="1" applyAlignment="1">
      <alignment wrapText="1"/>
    </xf>
    <xf numFmtId="0" fontId="28" fillId="0" borderId="11" xfId="253" applyFont="1" applyBorder="1" applyAlignment="1">
      <alignment horizontal="center" wrapText="1"/>
    </xf>
    <xf numFmtId="0" fontId="28" fillId="0" borderId="0" xfId="253" applyFont="1" applyAlignment="1">
      <alignment horizontal="center" wrapText="1"/>
    </xf>
    <xf numFmtId="3" fontId="28" fillId="0" borderId="11" xfId="271" applyNumberFormat="1" applyFont="1" applyBorder="1"/>
    <xf numFmtId="3" fontId="28" fillId="0" borderId="0" xfId="271" applyNumberFormat="1" applyFont="1"/>
    <xf numFmtId="0" fontId="71" fillId="0" borderId="0" xfId="271" applyFont="1" applyAlignment="1">
      <alignment horizontal="left"/>
    </xf>
    <xf numFmtId="0" fontId="71" fillId="0" borderId="0" xfId="271" applyFont="1" applyAlignment="1">
      <alignment horizontal="right"/>
    </xf>
    <xf numFmtId="168" fontId="28" fillId="0" borderId="11" xfId="271" applyNumberFormat="1" applyFont="1" applyBorder="1"/>
    <xf numFmtId="168" fontId="28" fillId="0" borderId="0" xfId="271" applyNumberFormat="1" applyFont="1"/>
    <xf numFmtId="0" fontId="59" fillId="0" borderId="0" xfId="569" applyFont="1" applyAlignment="1">
      <alignment horizontal="left"/>
    </xf>
    <xf numFmtId="0" fontId="23" fillId="0" borderId="3" xfId="569" applyBorder="1"/>
    <xf numFmtId="0" fontId="114" fillId="0" borderId="0" xfId="1834"/>
    <xf numFmtId="0" fontId="0" fillId="0" borderId="0" xfId="0" applyAlignment="1">
      <alignment horizontal="left" vertical="top"/>
    </xf>
    <xf numFmtId="0" fontId="113" fillId="0" borderId="0" xfId="0" applyFont="1" applyAlignment="1">
      <alignment vertical="top" wrapText="1"/>
    </xf>
    <xf numFmtId="0" fontId="59" fillId="0" borderId="0" xfId="271" applyFont="1" applyAlignment="1">
      <alignment vertical="top" wrapText="1"/>
    </xf>
    <xf numFmtId="4" fontId="23" fillId="0" borderId="0" xfId="1192" applyNumberFormat="1" applyAlignment="1">
      <alignment horizontal="left" vertical="top" wrapText="1"/>
    </xf>
    <xf numFmtId="0" fontId="23" fillId="0" borderId="0" xfId="0" applyFont="1" applyAlignment="1">
      <alignment horizontal="left" vertical="top" wrapText="1"/>
    </xf>
    <xf numFmtId="0" fontId="30" fillId="0" borderId="12" xfId="543" applyFont="1" applyBorder="1" applyAlignment="1">
      <alignment horizontal="right"/>
    </xf>
    <xf numFmtId="0" fontId="42" fillId="0" borderId="0" xfId="543" applyFont="1" applyAlignment="1">
      <alignment horizontal="center"/>
    </xf>
    <xf numFmtId="4" fontId="23" fillId="0" borderId="0" xfId="569" applyNumberFormat="1" applyAlignment="1">
      <alignment horizontal="left"/>
    </xf>
    <xf numFmtId="0" fontId="23" fillId="0" borderId="0" xfId="569" applyAlignment="1">
      <alignment horizontal="left" vertical="top" wrapText="1"/>
    </xf>
    <xf numFmtId="0" fontId="23" fillId="0" borderId="0" xfId="569" applyAlignment="1">
      <alignment horizontal="left"/>
    </xf>
    <xf numFmtId="0" fontId="23" fillId="0" borderId="0" xfId="1192" applyAlignment="1">
      <alignment horizontal="left"/>
    </xf>
    <xf numFmtId="0" fontId="30" fillId="0" borderId="0" xfId="569" applyFont="1" applyAlignment="1">
      <alignment horizontal="left"/>
    </xf>
    <xf numFmtId="0" fontId="52" fillId="0" borderId="0" xfId="1192" applyFont="1"/>
    <xf numFmtId="0" fontId="59" fillId="0" borderId="11" xfId="0" applyFont="1" applyBorder="1" applyAlignment="1">
      <alignment horizontal="right" vertical="center"/>
    </xf>
    <xf numFmtId="0" fontId="23" fillId="0" borderId="0" xfId="1192" applyAlignment="1">
      <alignment horizontal="left" vertical="top" wrapText="1"/>
    </xf>
    <xf numFmtId="0" fontId="52" fillId="0" borderId="0" xfId="0" applyFont="1" applyAlignment="1">
      <alignment vertical="top" wrapText="1"/>
    </xf>
    <xf numFmtId="0" fontId="52" fillId="0" borderId="0" xfId="0" applyFont="1" applyAlignment="1">
      <alignment horizontal="left" vertical="top" wrapText="1"/>
    </xf>
    <xf numFmtId="6" fontId="60" fillId="0" borderId="0" xfId="569" applyNumberFormat="1" applyFont="1" applyAlignment="1">
      <alignment horizontal="right" vertical="top"/>
    </xf>
    <xf numFmtId="0" fontId="23" fillId="0" borderId="0" xfId="0" applyFont="1" applyAlignment="1">
      <alignment vertical="top" wrapText="1"/>
    </xf>
    <xf numFmtId="168" fontId="32" fillId="0" borderId="0" xfId="0" applyNumberFormat="1" applyFont="1" applyAlignment="1">
      <alignment horizontal="right"/>
    </xf>
    <xf numFmtId="168" fontId="32" fillId="0" borderId="28" xfId="540" applyNumberFormat="1" applyBorder="1" applyAlignment="1" applyProtection="1">
      <alignment horizontal="center"/>
    </xf>
    <xf numFmtId="168" fontId="32" fillId="0" borderId="29" xfId="540" applyNumberFormat="1" applyBorder="1" applyAlignment="1" applyProtection="1">
      <alignment horizontal="center"/>
    </xf>
    <xf numFmtId="168" fontId="32" fillId="0" borderId="30" xfId="540" applyNumberFormat="1" applyBorder="1" applyAlignment="1" applyProtection="1">
      <alignment horizontal="center"/>
    </xf>
    <xf numFmtId="168" fontId="32" fillId="0" borderId="31" xfId="540" applyNumberFormat="1" applyBorder="1" applyAlignment="1" applyProtection="1">
      <alignment horizontal="center"/>
    </xf>
    <xf numFmtId="168" fontId="32" fillId="0" borderId="32" xfId="540" applyNumberFormat="1" applyBorder="1" applyAlignment="1" applyProtection="1">
      <alignment horizontal="center"/>
    </xf>
    <xf numFmtId="168" fontId="32" fillId="0" borderId="33" xfId="540" applyNumberFormat="1" applyBorder="1" applyAlignment="1" applyProtection="1">
      <alignment horizontal="center"/>
    </xf>
    <xf numFmtId="168" fontId="32" fillId="0" borderId="34" xfId="540" applyNumberFormat="1" applyBorder="1" applyAlignment="1" applyProtection="1">
      <alignment horizontal="center"/>
    </xf>
    <xf numFmtId="168" fontId="32" fillId="0" borderId="35" xfId="540" applyNumberFormat="1" applyBorder="1" applyAlignment="1" applyProtection="1">
      <alignment horizontal="center"/>
    </xf>
    <xf numFmtId="168" fontId="32" fillId="0" borderId="36" xfId="540" applyNumberFormat="1" applyBorder="1" applyAlignment="1" applyProtection="1">
      <alignment horizontal="center"/>
    </xf>
    <xf numFmtId="168" fontId="32" fillId="0" borderId="37" xfId="540" applyNumberFormat="1" applyBorder="1" applyAlignment="1" applyProtection="1">
      <alignment horizontal="center"/>
    </xf>
    <xf numFmtId="168" fontId="32" fillId="0" borderId="38" xfId="540" applyNumberFormat="1" applyBorder="1" applyAlignment="1" applyProtection="1">
      <alignment horizontal="center"/>
    </xf>
    <xf numFmtId="168" fontId="32" fillId="0" borderId="39" xfId="540" applyNumberFormat="1" applyBorder="1" applyAlignment="1" applyProtection="1">
      <alignment horizontal="center"/>
    </xf>
    <xf numFmtId="168" fontId="32" fillId="0" borderId="40" xfId="540" applyNumberFormat="1" applyBorder="1" applyAlignment="1" applyProtection="1">
      <alignment horizontal="center"/>
    </xf>
    <xf numFmtId="168" fontId="32" fillId="0" borderId="0" xfId="540" applyNumberFormat="1" applyAlignment="1" applyProtection="1">
      <alignment horizontal="center"/>
    </xf>
    <xf numFmtId="168" fontId="32" fillId="0" borderId="14" xfId="540" applyNumberFormat="1" applyBorder="1" applyAlignment="1" applyProtection="1">
      <alignment horizontal="center"/>
    </xf>
    <xf numFmtId="168" fontId="32" fillId="0" borderId="41" xfId="540" applyNumberFormat="1" applyBorder="1" applyAlignment="1" applyProtection="1">
      <alignment horizontal="center"/>
    </xf>
    <xf numFmtId="168" fontId="32" fillId="0" borderId="42" xfId="540" applyNumberFormat="1" applyBorder="1" applyAlignment="1" applyProtection="1">
      <alignment horizontal="center"/>
    </xf>
    <xf numFmtId="168" fontId="32" fillId="0" borderId="43" xfId="540" applyNumberFormat="1" applyBorder="1" applyAlignment="1" applyProtection="1">
      <alignment horizontal="center"/>
    </xf>
    <xf numFmtId="168" fontId="32" fillId="0" borderId="44" xfId="540" applyNumberFormat="1" applyBorder="1" applyAlignment="1" applyProtection="1">
      <alignment horizontal="center"/>
    </xf>
    <xf numFmtId="0" fontId="23" fillId="0" borderId="0" xfId="1192"/>
    <xf numFmtId="0" fontId="23" fillId="0" borderId="0" xfId="0" applyFont="1" applyAlignment="1">
      <alignment wrapText="1"/>
    </xf>
    <xf numFmtId="0" fontId="52" fillId="0" borderId="0" xfId="0" applyFont="1" applyAlignment="1">
      <alignment horizontal="left" vertical="top"/>
    </xf>
    <xf numFmtId="0" fontId="52" fillId="0" borderId="0" xfId="0" applyFont="1" applyAlignment="1">
      <alignment vertical="top"/>
    </xf>
    <xf numFmtId="0" fontId="23" fillId="0" borderId="0" xfId="569" applyAlignment="1">
      <alignment horizontal="center"/>
    </xf>
    <xf numFmtId="0" fontId="41" fillId="0" borderId="0" xfId="569" applyFont="1" applyAlignment="1">
      <alignment horizontal="left"/>
    </xf>
    <xf numFmtId="0" fontId="41" fillId="0" borderId="0" xfId="569" applyFont="1" applyAlignment="1">
      <alignment horizontal="center"/>
    </xf>
    <xf numFmtId="49" fontId="30" fillId="0" borderId="0" xfId="569" applyNumberFormat="1" applyFont="1" applyAlignment="1">
      <alignment horizontal="center"/>
    </xf>
    <xf numFmtId="0" fontId="57" fillId="0" borderId="0" xfId="569" applyFont="1" applyAlignment="1">
      <alignment horizontal="center"/>
    </xf>
    <xf numFmtId="0" fontId="23" fillId="5" borderId="6" xfId="569" applyFill="1" applyBorder="1" applyProtection="1">
      <protection locked="0"/>
    </xf>
    <xf numFmtId="0" fontId="24" fillId="0" borderId="0" xfId="244" applyAlignment="1" applyProtection="1">
      <alignment horizontal="center"/>
    </xf>
    <xf numFmtId="49" fontId="23" fillId="0" borderId="0" xfId="569" applyNumberFormat="1" applyAlignment="1">
      <alignment horizontal="center"/>
    </xf>
    <xf numFmtId="0" fontId="23" fillId="0" borderId="0" xfId="569" applyAlignment="1">
      <alignment horizontal="center" vertical="center"/>
    </xf>
    <xf numFmtId="0" fontId="23" fillId="0" borderId="0" xfId="1192" applyAlignment="1">
      <alignment horizontal="center"/>
    </xf>
    <xf numFmtId="0" fontId="30" fillId="0" borderId="0" xfId="569" applyFont="1" applyAlignment="1">
      <alignment horizontal="center"/>
    </xf>
    <xf numFmtId="0" fontId="23" fillId="0" borderId="0" xfId="569" applyAlignment="1">
      <alignment horizontal="left" indent="4"/>
    </xf>
    <xf numFmtId="0" fontId="23" fillId="0" borderId="0" xfId="569" quotePrefix="1" applyAlignment="1">
      <alignment horizontal="left"/>
    </xf>
    <xf numFmtId="0" fontId="41" fillId="0" borderId="0" xfId="569" applyFont="1"/>
    <xf numFmtId="0" fontId="23" fillId="0" borderId="0" xfId="1192" applyAlignment="1" applyProtection="1">
      <alignment horizontal="left"/>
      <protection locked="0"/>
    </xf>
    <xf numFmtId="0" fontId="23" fillId="0" borderId="0" xfId="569" applyAlignment="1" applyProtection="1">
      <alignment horizontal="left"/>
      <protection locked="0"/>
    </xf>
    <xf numFmtId="49" fontId="23" fillId="0" borderId="0" xfId="1192" applyNumberFormat="1" applyAlignment="1">
      <alignment horizontal="center"/>
    </xf>
    <xf numFmtId="0" fontId="57" fillId="0" borderId="0" xfId="1192" applyFont="1" applyAlignment="1">
      <alignment horizontal="center"/>
    </xf>
    <xf numFmtId="0" fontId="30" fillId="0" borderId="0" xfId="1192" applyFont="1" applyAlignment="1">
      <alignment horizontal="left"/>
    </xf>
    <xf numFmtId="4" fontId="23" fillId="0" borderId="0" xfId="1192" applyNumberFormat="1" applyAlignment="1">
      <alignment horizontal="left"/>
    </xf>
    <xf numFmtId="0" fontId="30" fillId="0" borderId="0" xfId="569" quotePrefix="1" applyFont="1" applyAlignment="1">
      <alignment horizontal="center"/>
    </xf>
    <xf numFmtId="49" fontId="23" fillId="0" borderId="0" xfId="569" applyNumberFormat="1"/>
    <xf numFmtId="0" fontId="55" fillId="0" borderId="0" xfId="569" applyFont="1" applyAlignment="1">
      <alignment horizontal="left"/>
    </xf>
    <xf numFmtId="4" fontId="57" fillId="0" borderId="0" xfId="569" applyNumberFormat="1" applyFont="1" applyAlignment="1">
      <alignment horizontal="center"/>
    </xf>
    <xf numFmtId="4" fontId="23" fillId="0" borderId="0" xfId="569" applyNumberFormat="1" applyAlignment="1">
      <alignment horizontal="center"/>
    </xf>
    <xf numFmtId="4" fontId="23" fillId="0" borderId="0" xfId="569" applyNumberFormat="1"/>
    <xf numFmtId="0" fontId="53" fillId="0" borderId="0" xfId="569" applyFont="1" applyAlignment="1">
      <alignment horizontal="left"/>
    </xf>
    <xf numFmtId="0" fontId="24" fillId="0" borderId="0" xfId="244" applyNumberFormat="1" applyFill="1" applyAlignment="1" applyProtection="1">
      <alignment horizontal="left"/>
      <protection locked="0"/>
    </xf>
    <xf numFmtId="0" fontId="59" fillId="0" borderId="11" xfId="0" applyFont="1" applyBorder="1" applyAlignment="1" applyProtection="1">
      <alignment horizontal="right" vertical="top" wrapText="1"/>
      <protection locked="0"/>
    </xf>
    <xf numFmtId="168" fontId="62" fillId="44" borderId="11" xfId="0" applyNumberFormat="1" applyFont="1" applyFill="1" applyBorder="1" applyAlignment="1">
      <alignment vertical="top" wrapText="1"/>
    </xf>
    <xf numFmtId="0" fontId="23" fillId="0" borderId="11" xfId="271" applyFont="1" applyBorder="1" applyAlignment="1">
      <alignment horizontal="right" vertical="top" wrapText="1"/>
    </xf>
    <xf numFmtId="0" fontId="31" fillId="0" borderId="0" xfId="569" applyFont="1" applyAlignment="1">
      <alignment horizontal="left"/>
    </xf>
    <xf numFmtId="0" fontId="111" fillId="0" borderId="0" xfId="0" applyFont="1"/>
    <xf numFmtId="0" fontId="122" fillId="0" borderId="0" xfId="0" applyFont="1" applyAlignment="1">
      <alignment horizontal="left" vertical="top"/>
    </xf>
    <xf numFmtId="0" fontId="123" fillId="0" borderId="0" xfId="0" applyFont="1" applyAlignment="1">
      <alignment horizontal="left" vertical="top"/>
    </xf>
    <xf numFmtId="168" fontId="31" fillId="0" borderId="0" xfId="0" applyNumberFormat="1" applyFont="1" applyAlignment="1">
      <alignment horizontal="left" vertical="top" wrapText="1"/>
    </xf>
    <xf numFmtId="168" fontId="59" fillId="5" borderId="11" xfId="0" applyNumberFormat="1" applyFont="1" applyFill="1" applyBorder="1" applyAlignment="1">
      <alignment vertical="top" wrapText="1"/>
    </xf>
    <xf numFmtId="0" fontId="23" fillId="0" borderId="0" xfId="271" applyFont="1" applyAlignment="1">
      <alignment horizontal="left" vertical="top"/>
    </xf>
    <xf numFmtId="0" fontId="59" fillId="0" borderId="0" xfId="569" applyFont="1"/>
    <xf numFmtId="0" fontId="23" fillId="0" borderId="0" xfId="0" applyFont="1" applyAlignment="1">
      <alignment horizontal="left" vertical="top"/>
    </xf>
    <xf numFmtId="4" fontId="23" fillId="0" borderId="0" xfId="1192" applyNumberFormat="1" applyAlignment="1">
      <alignment vertical="top" wrapText="1"/>
    </xf>
    <xf numFmtId="0" fontId="30" fillId="0" borderId="16" xfId="271" applyFont="1" applyBorder="1"/>
    <xf numFmtId="0" fontId="66" fillId="0" borderId="0" xfId="569" applyFont="1"/>
    <xf numFmtId="0" fontId="47" fillId="0" borderId="0" xfId="569" applyFont="1"/>
    <xf numFmtId="0" fontId="23" fillId="0" borderId="0" xfId="1192" applyAlignment="1">
      <alignment vertical="top" wrapText="1"/>
    </xf>
    <xf numFmtId="49" fontId="23" fillId="0" borderId="0" xfId="1192" applyNumberFormat="1" applyAlignment="1">
      <alignment vertical="top" wrapText="1"/>
    </xf>
    <xf numFmtId="0" fontId="61" fillId="0" borderId="9" xfId="543" applyFont="1" applyBorder="1" applyAlignment="1">
      <alignment vertical="top"/>
    </xf>
    <xf numFmtId="0" fontId="23" fillId="0" borderId="0" xfId="0" applyFont="1" applyAlignment="1">
      <alignment vertical="center"/>
    </xf>
    <xf numFmtId="0" fontId="124" fillId="0" borderId="0" xfId="0" applyFont="1"/>
    <xf numFmtId="3" fontId="111" fillId="0" borderId="0" xfId="0" applyNumberFormat="1" applyFont="1"/>
    <xf numFmtId="0" fontId="111" fillId="0" borderId="0" xfId="0" applyFont="1" applyAlignment="1">
      <alignment horizontal="left"/>
    </xf>
    <xf numFmtId="168" fontId="125" fillId="0" borderId="0" xfId="0" applyNumberFormat="1" applyFont="1" applyAlignment="1">
      <alignment horizontal="left" vertical="top"/>
    </xf>
    <xf numFmtId="0" fontId="111" fillId="0" borderId="0" xfId="0" applyFont="1" applyAlignment="1">
      <alignment horizontal="left" vertical="center"/>
    </xf>
    <xf numFmtId="0" fontId="127" fillId="0" borderId="0" xfId="0" applyFont="1"/>
    <xf numFmtId="172" fontId="23" fillId="0" borderId="8" xfId="543" applyNumberFormat="1" applyBorder="1"/>
    <xf numFmtId="0" fontId="23" fillId="0" borderId="8" xfId="4495" applyFont="1" applyBorder="1"/>
    <xf numFmtId="0" fontId="23" fillId="0" borderId="0" xfId="4495" applyFont="1"/>
    <xf numFmtId="0" fontId="29" fillId="0" borderId="0" xfId="4495" applyFont="1" applyAlignment="1">
      <alignment horizontal="center" vertical="center"/>
    </xf>
    <xf numFmtId="0" fontId="30" fillId="0" borderId="0" xfId="4495" applyFont="1" applyAlignment="1">
      <alignment horizontal="left"/>
    </xf>
    <xf numFmtId="0" fontId="30" fillId="0" borderId="0" xfId="4495" applyFont="1"/>
    <xf numFmtId="0" fontId="33" fillId="0" borderId="0" xfId="4495" applyFont="1" applyAlignment="1">
      <alignment horizontal="center" vertical="center"/>
    </xf>
    <xf numFmtId="0" fontId="33" fillId="0" borderId="27" xfId="4495" applyFont="1" applyBorder="1" applyAlignment="1">
      <alignment horizontal="center" vertical="center"/>
    </xf>
    <xf numFmtId="0" fontId="33" fillId="0" borderId="46" xfId="4495" applyFont="1" applyBorder="1" applyAlignment="1">
      <alignment horizontal="center" vertical="center"/>
    </xf>
    <xf numFmtId="0" fontId="30" fillId="0" borderId="0" xfId="4495" applyFont="1" applyAlignment="1">
      <alignment horizontal="right"/>
    </xf>
    <xf numFmtId="0" fontId="23" fillId="0" borderId="0" xfId="1192" quotePrefix="1" applyAlignment="1">
      <alignment horizontal="center"/>
    </xf>
    <xf numFmtId="0" fontId="53" fillId="0" borderId="0" xfId="4495" applyFont="1" applyAlignment="1">
      <alignment horizontal="left" vertical="center"/>
    </xf>
    <xf numFmtId="49" fontId="31" fillId="0" borderId="0" xfId="4495" applyNumberFormat="1" applyFont="1" applyAlignment="1">
      <alignment horizontal="left" vertical="top"/>
    </xf>
    <xf numFmtId="0" fontId="23" fillId="0" borderId="47" xfId="4495" applyFont="1" applyBorder="1" applyAlignment="1">
      <alignment horizontal="left" vertical="center"/>
    </xf>
    <xf numFmtId="0" fontId="33" fillId="0" borderId="48" xfId="4495" applyFont="1" applyBorder="1" applyAlignment="1">
      <alignment horizontal="center" vertical="center"/>
    </xf>
    <xf numFmtId="0" fontId="31" fillId="0" borderId="0" xfId="4495" applyFont="1"/>
    <xf numFmtId="0" fontId="31" fillId="0" borderId="0" xfId="4495" applyFont="1" applyAlignment="1">
      <alignment horizontal="left" vertical="top"/>
    </xf>
    <xf numFmtId="0" fontId="128" fillId="0" borderId="0" xfId="4496" applyFont="1" applyAlignment="1">
      <alignment horizontal="left" vertical="top" wrapText="1"/>
    </xf>
    <xf numFmtId="0" fontId="128" fillId="0" borderId="54" xfId="4496" applyFont="1" applyBorder="1" applyAlignment="1">
      <alignment horizontal="left" vertical="top" wrapText="1"/>
    </xf>
    <xf numFmtId="0" fontId="23" fillId="0" borderId="0" xfId="4495" applyFont="1" applyAlignment="1">
      <alignment horizontal="left" vertical="center"/>
    </xf>
    <xf numFmtId="0" fontId="129" fillId="0" borderId="0" xfId="4496" applyFont="1" applyAlignment="1">
      <alignment vertical="center"/>
    </xf>
    <xf numFmtId="0" fontId="128" fillId="0" borderId="0" xfId="4496" applyFont="1"/>
    <xf numFmtId="0" fontId="128" fillId="0" borderId="0" xfId="4496" applyFont="1" applyAlignment="1">
      <alignment vertical="center"/>
    </xf>
    <xf numFmtId="0" fontId="130" fillId="0" borderId="0" xfId="4496" applyFont="1" applyAlignment="1">
      <alignment vertical="center"/>
    </xf>
    <xf numFmtId="0" fontId="23" fillId="0" borderId="0" xfId="4496" applyFont="1" applyAlignment="1">
      <alignment vertical="center"/>
    </xf>
    <xf numFmtId="0" fontId="31" fillId="0" borderId="3" xfId="4495" applyFont="1" applyBorder="1" applyAlignment="1">
      <alignment vertical="top" wrapText="1"/>
    </xf>
    <xf numFmtId="0" fontId="31" fillId="0" borderId="4" xfId="4495" applyFont="1" applyBorder="1" applyAlignment="1">
      <alignment vertical="top" wrapText="1"/>
    </xf>
    <xf numFmtId="164" fontId="126" fillId="0" borderId="4" xfId="4495" applyNumberFormat="1" applyBorder="1" applyAlignment="1">
      <alignment horizontal="right"/>
    </xf>
    <xf numFmtId="0" fontId="31" fillId="0" borderId="4" xfId="4495" applyFont="1" applyBorder="1"/>
    <xf numFmtId="0" fontId="30" fillId="0" borderId="5" xfId="4495" applyFont="1" applyBorder="1" applyAlignment="1">
      <alignment horizontal="right"/>
    </xf>
    <xf numFmtId="0" fontId="23" fillId="0" borderId="16" xfId="4495" applyFont="1" applyBorder="1"/>
    <xf numFmtId="0" fontId="23" fillId="0" borderId="16" xfId="4495" applyFont="1" applyBorder="1" applyAlignment="1">
      <alignment horizontal="left" vertical="top"/>
    </xf>
    <xf numFmtId="0" fontId="31" fillId="0" borderId="16" xfId="4495" applyFont="1" applyBorder="1" applyAlignment="1">
      <alignment horizontal="left" vertical="top" wrapText="1"/>
    </xf>
    <xf numFmtId="0" fontId="31" fillId="0" borderId="45" xfId="4495" applyFont="1" applyBorder="1" applyAlignment="1">
      <alignment horizontal="left" vertical="top" wrapText="1"/>
    </xf>
    <xf numFmtId="0" fontId="126" fillId="0" borderId="0" xfId="4495"/>
    <xf numFmtId="0" fontId="24" fillId="0" borderId="0" xfId="244" applyFill="1" applyBorder="1" applyAlignment="1" applyProtection="1">
      <alignment horizontal="left" vertical="top"/>
    </xf>
    <xf numFmtId="0" fontId="24" fillId="0" borderId="0" xfId="244" applyFill="1" applyBorder="1" applyAlignment="1" applyProtection="1">
      <alignment horizontal="left" vertical="top" wrapText="1"/>
    </xf>
    <xf numFmtId="0" fontId="31" fillId="0" borderId="0" xfId="4495" applyFont="1" applyAlignment="1">
      <alignment horizontal="left" vertical="top" wrapText="1"/>
    </xf>
    <xf numFmtId="0" fontId="31" fillId="0" borderId="0" xfId="4495" applyFont="1" applyAlignment="1">
      <alignment horizontal="right" vertical="top"/>
    </xf>
    <xf numFmtId="0" fontId="23" fillId="0" borderId="0" xfId="4495" applyFont="1" applyAlignment="1">
      <alignment vertical="center" wrapText="1"/>
    </xf>
    <xf numFmtId="0" fontId="128" fillId="0" borderId="53" xfId="4496" applyFont="1" applyBorder="1" applyAlignment="1">
      <alignment vertical="top" wrapText="1"/>
    </xf>
    <xf numFmtId="0" fontId="128" fillId="0" borderId="0" xfId="4496" applyFont="1" applyAlignment="1">
      <alignment vertical="top" wrapText="1"/>
    </xf>
    <xf numFmtId="10" fontId="128" fillId="0" borderId="0" xfId="4496" applyNumberFormat="1" applyFont="1" applyAlignment="1">
      <alignment vertical="top" wrapText="1"/>
    </xf>
    <xf numFmtId="0" fontId="128" fillId="0" borderId="54" xfId="4496" applyFont="1" applyBorder="1" applyAlignment="1">
      <alignment vertical="top" wrapText="1"/>
    </xf>
    <xf numFmtId="0" fontId="128" fillId="0" borderId="0" xfId="4496" applyFont="1" applyAlignment="1">
      <alignment vertical="top"/>
    </xf>
    <xf numFmtId="165" fontId="128" fillId="0" borderId="0" xfId="4496" applyNumberFormat="1" applyFont="1" applyAlignment="1">
      <alignment vertical="top" wrapText="1"/>
    </xf>
    <xf numFmtId="0" fontId="30" fillId="0" borderId="57" xfId="4495" applyFont="1" applyBorder="1"/>
    <xf numFmtId="0" fontId="30" fillId="0" borderId="58" xfId="4495" applyFont="1" applyBorder="1"/>
    <xf numFmtId="0" fontId="30" fillId="0" borderId="58" xfId="4495" applyFont="1" applyBorder="1" applyAlignment="1">
      <alignment horizontal="right"/>
    </xf>
    <xf numFmtId="0" fontId="30" fillId="0" borderId="59" xfId="4495" applyFont="1" applyBorder="1" applyAlignment="1">
      <alignment horizontal="right"/>
    </xf>
    <xf numFmtId="0" fontId="128" fillId="0" borderId="53" xfId="4496" applyFont="1" applyBorder="1" applyAlignment="1">
      <alignment horizontal="left" vertical="top" wrapText="1"/>
    </xf>
    <xf numFmtId="0" fontId="128" fillId="0" borderId="0" xfId="4496" applyFont="1" applyAlignment="1">
      <alignment horizontal="left" vertical="top"/>
    </xf>
    <xf numFmtId="0" fontId="33" fillId="0" borderId="57" xfId="4495" applyFont="1" applyBorder="1" applyAlignment="1">
      <alignment horizontal="center" vertical="center"/>
    </xf>
    <xf numFmtId="0" fontId="33" fillId="0" borderId="58" xfId="4495" applyFont="1" applyBorder="1" applyAlignment="1">
      <alignment horizontal="center" vertical="center"/>
    </xf>
    <xf numFmtId="0" fontId="33" fillId="0" borderId="59" xfId="4495" applyFont="1" applyBorder="1" applyAlignment="1">
      <alignment horizontal="center" vertical="center"/>
    </xf>
    <xf numFmtId="0" fontId="30" fillId="0" borderId="0" xfId="4495" applyFont="1" applyAlignment="1">
      <alignment horizontal="center"/>
    </xf>
    <xf numFmtId="0" fontId="30" fillId="0" borderId="8" xfId="4495" applyFont="1" applyBorder="1"/>
    <xf numFmtId="0" fontId="31" fillId="0" borderId="0" xfId="4495" applyFont="1" applyAlignment="1">
      <alignment horizontal="left"/>
    </xf>
    <xf numFmtId="0" fontId="30" fillId="0" borderId="0" xfId="4495" applyFont="1" applyAlignment="1">
      <alignment horizontal="center" vertical="top"/>
    </xf>
    <xf numFmtId="0" fontId="23" fillId="0" borderId="0" xfId="4495" applyFont="1" applyAlignment="1">
      <alignment horizontal="center"/>
    </xf>
    <xf numFmtId="0" fontId="39" fillId="0" borderId="0" xfId="4495" applyFont="1"/>
    <xf numFmtId="0" fontId="31" fillId="0" borderId="8" xfId="4495" applyFont="1" applyBorder="1"/>
    <xf numFmtId="0" fontId="59" fillId="0" borderId="8" xfId="4495" applyFont="1" applyBorder="1"/>
    <xf numFmtId="1" fontId="23" fillId="0" borderId="0" xfId="1192" applyNumberFormat="1"/>
    <xf numFmtId="0" fontId="23" fillId="0" borderId="3" xfId="4495" applyFont="1" applyBorder="1"/>
    <xf numFmtId="0" fontId="23" fillId="0" borderId="4" xfId="4495" applyFont="1" applyBorder="1"/>
    <xf numFmtId="0" fontId="23" fillId="0" borderId="0" xfId="1192" applyAlignment="1">
      <alignment wrapText="1"/>
    </xf>
    <xf numFmtId="0" fontId="31" fillId="0" borderId="0" xfId="4495" applyFont="1" applyAlignment="1">
      <alignment vertical="top" wrapText="1"/>
    </xf>
    <xf numFmtId="0" fontId="31" fillId="0" borderId="0" xfId="1192" applyFont="1"/>
    <xf numFmtId="0" fontId="23" fillId="0" borderId="0" xfId="4495" applyFont="1" applyAlignment="1">
      <alignment horizontal="left"/>
    </xf>
    <xf numFmtId="0" fontId="31" fillId="0" borderId="3" xfId="4495" applyFont="1" applyBorder="1"/>
    <xf numFmtId="0" fontId="23" fillId="0" borderId="4" xfId="4495" applyFont="1" applyBorder="1" applyAlignment="1">
      <alignment horizontal="right"/>
    </xf>
    <xf numFmtId="1" fontId="23" fillId="0" borderId="0" xfId="4495" applyNumberFormat="1" applyFont="1" applyAlignment="1">
      <alignment horizontal="center"/>
    </xf>
    <xf numFmtId="0" fontId="59" fillId="0" borderId="0" xfId="4495" applyFont="1"/>
    <xf numFmtId="0" fontId="23" fillId="0" borderId="0" xfId="4495" applyFont="1" applyAlignment="1">
      <alignment horizontal="right"/>
    </xf>
    <xf numFmtId="0" fontId="31" fillId="0" borderId="0" xfId="4495" applyFont="1" applyAlignment="1">
      <alignment vertical="top"/>
    </xf>
    <xf numFmtId="0" fontId="31" fillId="0" borderId="27" xfId="4495" applyFont="1" applyBorder="1"/>
    <xf numFmtId="0" fontId="30" fillId="0" borderId="0" xfId="4495" applyFont="1" applyAlignment="1">
      <alignment vertical="top"/>
    </xf>
    <xf numFmtId="0" fontId="41" fillId="0" borderId="0" xfId="4495" applyFont="1" applyAlignment="1">
      <alignment vertical="top" wrapText="1"/>
    </xf>
    <xf numFmtId="0" fontId="30" fillId="0" borderId="0" xfId="4495" applyFont="1" applyAlignment="1">
      <alignment horizontal="left" vertical="top" wrapText="1"/>
    </xf>
    <xf numFmtId="0" fontId="23" fillId="0" borderId="0" xfId="4495" applyFont="1" applyAlignment="1">
      <alignment horizontal="left" vertical="top"/>
    </xf>
    <xf numFmtId="0" fontId="41" fillId="0" borderId="0" xfId="4495" applyFont="1" applyAlignment="1">
      <alignment vertical="top"/>
    </xf>
    <xf numFmtId="0" fontId="23" fillId="0" borderId="10" xfId="4495" applyFont="1" applyBorder="1" applyAlignment="1">
      <alignment horizontal="center"/>
    </xf>
    <xf numFmtId="0" fontId="23" fillId="0" borderId="16" xfId="4495" applyFont="1" applyBorder="1" applyAlignment="1">
      <alignment horizontal="center"/>
    </xf>
    <xf numFmtId="0" fontId="39" fillId="0" borderId="16" xfId="4495" applyFont="1" applyBorder="1"/>
    <xf numFmtId="0" fontId="31" fillId="0" borderId="16" xfId="4495" applyFont="1" applyBorder="1"/>
    <xf numFmtId="0" fontId="23" fillId="0" borderId="0" xfId="4496" applyFont="1" applyAlignment="1">
      <alignment vertical="top" wrapText="1"/>
    </xf>
    <xf numFmtId="0" fontId="30" fillId="0" borderId="0" xfId="1192" applyFont="1" applyAlignment="1">
      <alignment horizontal="right"/>
    </xf>
    <xf numFmtId="0" fontId="23" fillId="0" borderId="0" xfId="4496" applyFont="1"/>
    <xf numFmtId="0" fontId="23" fillId="0" borderId="0" xfId="4496" applyFont="1" applyAlignment="1">
      <alignment horizontal="left"/>
    </xf>
    <xf numFmtId="0" fontId="23" fillId="0" borderId="0" xfId="4496" applyFont="1" applyAlignment="1">
      <alignment horizontal="right"/>
    </xf>
    <xf numFmtId="0" fontId="31" fillId="0" borderId="0" xfId="4496" applyFont="1" applyAlignment="1">
      <alignment vertical="top" wrapText="1"/>
    </xf>
    <xf numFmtId="0" fontId="23" fillId="0" borderId="4" xfId="4496" applyFont="1" applyBorder="1"/>
    <xf numFmtId="0" fontId="30" fillId="0" borderId="4" xfId="4496" applyFont="1" applyBorder="1" applyAlignment="1">
      <alignment horizontal="right"/>
    </xf>
    <xf numFmtId="0" fontId="31" fillId="0" borderId="27" xfId="4495" applyFont="1" applyBorder="1" applyAlignment="1">
      <alignment horizontal="left" vertical="top"/>
    </xf>
    <xf numFmtId="0" fontId="23" fillId="0" borderId="27" xfId="4495" applyFont="1" applyBorder="1" applyAlignment="1">
      <alignment horizontal="left" vertical="top"/>
    </xf>
    <xf numFmtId="0" fontId="30" fillId="0" borderId="27" xfId="4495" applyFont="1" applyBorder="1" applyAlignment="1">
      <alignment horizontal="right"/>
    </xf>
    <xf numFmtId="0" fontId="23" fillId="0" borderId="27" xfId="4495" applyFont="1" applyBorder="1" applyAlignment="1">
      <alignment horizontal="center"/>
    </xf>
    <xf numFmtId="0" fontId="23" fillId="0" borderId="46" xfId="4495" applyFont="1" applyBorder="1" applyAlignment="1">
      <alignment horizontal="center"/>
    </xf>
    <xf numFmtId="164" fontId="31" fillId="0" borderId="0" xfId="4495" applyNumberFormat="1" applyFont="1" applyAlignment="1">
      <alignment horizontal="left" vertical="top" wrapText="1"/>
    </xf>
    <xf numFmtId="0" fontId="34" fillId="0" borderId="0" xfId="4495" applyFont="1"/>
    <xf numFmtId="0" fontId="31" fillId="0" borderId="0" xfId="4495" applyFont="1" applyAlignment="1">
      <alignment horizontal="right"/>
    </xf>
    <xf numFmtId="0" fontId="23" fillId="0" borderId="27" xfId="543" applyBorder="1"/>
    <xf numFmtId="0" fontId="23" fillId="0" borderId="46" xfId="543" applyBorder="1"/>
    <xf numFmtId="0" fontId="30" fillId="0" borderId="0" xfId="4495" applyFont="1" applyAlignment="1">
      <alignment horizontal="left" vertical="top"/>
    </xf>
    <xf numFmtId="1" fontId="126" fillId="0" borderId="0" xfId="4495" applyNumberFormat="1"/>
    <xf numFmtId="0" fontId="23" fillId="0" borderId="0" xfId="4495" applyFont="1" applyAlignment="1">
      <alignment vertical="top" wrapText="1"/>
    </xf>
    <xf numFmtId="0" fontId="23" fillId="0" borderId="0" xfId="4495" applyFont="1" applyAlignment="1">
      <alignment horizontal="left" vertical="top" wrapText="1"/>
    </xf>
    <xf numFmtId="0" fontId="23" fillId="0" borderId="50" xfId="4495" applyFont="1" applyBorder="1" applyAlignment="1">
      <alignment vertical="top"/>
    </xf>
    <xf numFmtId="1" fontId="31" fillId="0" borderId="8" xfId="4495" applyNumberFormat="1" applyFont="1" applyBorder="1"/>
    <xf numFmtId="0" fontId="23" fillId="0" borderId="0" xfId="543" applyAlignment="1">
      <alignment vertical="top"/>
    </xf>
    <xf numFmtId="0" fontId="31" fillId="0" borderId="51" xfId="4495" applyFont="1" applyBorder="1" applyAlignment="1">
      <alignment horizontal="left" vertical="top"/>
    </xf>
    <xf numFmtId="0" fontId="31" fillId="0" borderId="52" xfId="4495" applyFont="1" applyBorder="1" applyAlignment="1">
      <alignment horizontal="left" vertical="top"/>
    </xf>
    <xf numFmtId="0" fontId="126" fillId="0" borderId="0" xfId="4495" applyAlignment="1" applyProtection="1">
      <alignment horizontal="center"/>
      <protection locked="0"/>
    </xf>
    <xf numFmtId="0" fontId="23" fillId="0" borderId="53" xfId="4495" applyFont="1" applyBorder="1" applyAlignment="1">
      <alignment vertical="top"/>
    </xf>
    <xf numFmtId="0" fontId="23" fillId="0" borderId="54" xfId="4495" applyFont="1" applyBorder="1" applyAlignment="1">
      <alignment vertical="top" wrapText="1"/>
    </xf>
    <xf numFmtId="0" fontId="67" fillId="0" borderId="53" xfId="4495" applyFont="1" applyBorder="1"/>
    <xf numFmtId="0" fontId="31" fillId="0" borderId="54" xfId="4495" applyFont="1" applyBorder="1" applyAlignment="1">
      <alignment horizontal="left" vertical="top"/>
    </xf>
    <xf numFmtId="0" fontId="23" fillId="0" borderId="53" xfId="4495" applyFont="1" applyBorder="1" applyAlignment="1">
      <alignment vertical="center" wrapText="1"/>
    </xf>
    <xf numFmtId="0" fontId="67" fillId="0" borderId="57" xfId="4495" applyFont="1" applyBorder="1"/>
    <xf numFmtId="0" fontId="31" fillId="0" borderId="58" xfId="4495" applyFont="1" applyBorder="1" applyAlignment="1">
      <alignment horizontal="left" vertical="top"/>
    </xf>
    <xf numFmtId="0" fontId="31" fillId="0" borderId="12" xfId="4495" applyFont="1" applyBorder="1"/>
    <xf numFmtId="0" fontId="23" fillId="0" borderId="57" xfId="4495" applyFont="1" applyBorder="1" applyAlignment="1">
      <alignment vertical="center"/>
    </xf>
    <xf numFmtId="0" fontId="23" fillId="0" borderId="58" xfId="4495" applyFont="1" applyBorder="1" applyAlignment="1">
      <alignment vertical="top"/>
    </xf>
    <xf numFmtId="0" fontId="23" fillId="0" borderId="59" xfId="4495" applyFont="1" applyBorder="1" applyAlignment="1">
      <alignment vertical="top"/>
    </xf>
    <xf numFmtId="0" fontId="23" fillId="0" borderId="0" xfId="4495" applyFont="1" applyAlignment="1">
      <alignment vertical="top"/>
    </xf>
    <xf numFmtId="0" fontId="31" fillId="0" borderId="4" xfId="4495" applyFont="1" applyBorder="1" applyAlignment="1">
      <alignment horizontal="left" vertical="top"/>
    </xf>
    <xf numFmtId="0" fontId="23" fillId="0" borderId="4" xfId="4495" applyFont="1" applyBorder="1" applyAlignment="1">
      <alignment horizontal="left" vertical="top"/>
    </xf>
    <xf numFmtId="0" fontId="23" fillId="0" borderId="2" xfId="4495" applyFont="1" applyBorder="1"/>
    <xf numFmtId="0" fontId="31" fillId="0" borderId="2" xfId="4495" applyFont="1" applyBorder="1"/>
    <xf numFmtId="0" fontId="23" fillId="0" borderId="2" xfId="4495" applyFont="1" applyBorder="1" applyAlignment="1">
      <alignment horizontal="center"/>
    </xf>
    <xf numFmtId="0" fontId="31" fillId="0" borderId="7" xfId="4495" applyFont="1" applyBorder="1"/>
    <xf numFmtId="0" fontId="39" fillId="0" borderId="0" xfId="4495" applyFont="1" applyAlignment="1">
      <alignment horizontal="right"/>
    </xf>
    <xf numFmtId="0" fontId="131" fillId="0" borderId="0" xfId="4495" applyFont="1" applyAlignment="1">
      <alignment horizontal="left" vertical="top" wrapText="1"/>
    </xf>
    <xf numFmtId="0" fontId="39" fillId="0" borderId="0" xfId="4495" applyFont="1" applyAlignment="1">
      <alignment horizontal="left" vertical="top"/>
    </xf>
    <xf numFmtId="0" fontId="31" fillId="0" borderId="0" xfId="4495" quotePrefix="1" applyFont="1" applyAlignment="1">
      <alignment horizontal="right"/>
    </xf>
    <xf numFmtId="0" fontId="23" fillId="0" borderId="0" xfId="4497"/>
    <xf numFmtId="0" fontId="31" fillId="0" borderId="0" xfId="4495" applyFont="1" applyAlignment="1">
      <alignment horizontal="left" vertical="top" wrapText="1" shrinkToFit="1"/>
    </xf>
    <xf numFmtId="0" fontId="126" fillId="0" borderId="0" xfId="4495" applyAlignment="1">
      <alignment vertical="top" wrapText="1"/>
    </xf>
    <xf numFmtId="0" fontId="31" fillId="0" borderId="4" xfId="4495" applyFont="1" applyBorder="1" applyAlignment="1">
      <alignment horizontal="left" vertical="top" wrapText="1" shrinkToFit="1"/>
    </xf>
    <xf numFmtId="0" fontId="39" fillId="0" borderId="8" xfId="4495" applyFont="1" applyBorder="1"/>
    <xf numFmtId="0" fontId="31" fillId="0" borderId="0" xfId="4495" applyFont="1" applyAlignment="1">
      <alignment horizontal="center"/>
    </xf>
    <xf numFmtId="0" fontId="31" fillId="0" borderId="0" xfId="4495" quotePrefix="1" applyFont="1"/>
    <xf numFmtId="0" fontId="31" fillId="0" borderId="0" xfId="4495" applyFont="1" applyAlignment="1">
      <alignment horizontal="left" vertical="top" shrinkToFit="1"/>
    </xf>
    <xf numFmtId="0" fontId="53" fillId="0" borderId="0" xfId="4495" applyFont="1"/>
    <xf numFmtId="0" fontId="31" fillId="0" borderId="3" xfId="4495" applyFont="1" applyBorder="1" applyAlignment="1">
      <alignment horizontal="center"/>
    </xf>
    <xf numFmtId="0" fontId="126" fillId="0" borderId="8" xfId="4495" applyBorder="1"/>
    <xf numFmtId="0" fontId="30" fillId="0" borderId="8" xfId="4495" applyFont="1" applyBorder="1" applyAlignment="1">
      <alignment vertical="top"/>
    </xf>
    <xf numFmtId="0" fontId="126" fillId="0" borderId="0" xfId="4495" applyAlignment="1">
      <alignment vertical="top"/>
    </xf>
    <xf numFmtId="0" fontId="30" fillId="0" borderId="4" xfId="4495" applyFont="1" applyBorder="1" applyAlignment="1">
      <alignment horizontal="center" vertical="top"/>
    </xf>
    <xf numFmtId="0" fontId="131" fillId="0" borderId="0" xfId="4495" applyFont="1" applyAlignment="1">
      <alignment horizontal="left" vertical="top"/>
    </xf>
    <xf numFmtId="0" fontId="131" fillId="0" borderId="4" xfId="4495" applyFont="1" applyBorder="1" applyAlignment="1">
      <alignment horizontal="left" vertical="top"/>
    </xf>
    <xf numFmtId="168" fontId="23" fillId="0" borderId="0" xfId="4497" applyNumberFormat="1"/>
    <xf numFmtId="1" fontId="31" fillId="0" borderId="0" xfId="4495" applyNumberFormat="1" applyFont="1" applyAlignment="1">
      <alignment horizontal="center" vertical="top"/>
    </xf>
    <xf numFmtId="0" fontId="135" fillId="0" borderId="0" xfId="4495" applyFont="1" applyAlignment="1">
      <alignment vertical="top" wrapText="1"/>
    </xf>
    <xf numFmtId="0" fontId="135" fillId="0" borderId="0" xfId="4495" applyFont="1" applyAlignment="1">
      <alignment horizontal="left" vertical="top" wrapText="1"/>
    </xf>
    <xf numFmtId="0" fontId="31" fillId="0" borderId="6" xfId="4495" applyFont="1" applyBorder="1"/>
    <xf numFmtId="1" fontId="31" fillId="0" borderId="8" xfId="4495" applyNumberFormat="1" applyFont="1" applyBorder="1" applyAlignment="1">
      <alignment horizontal="center" vertical="top"/>
    </xf>
    <xf numFmtId="0" fontId="126" fillId="0" borderId="12" xfId="4495" applyBorder="1"/>
    <xf numFmtId="0" fontId="31" fillId="0" borderId="9" xfId="4495" applyFont="1" applyBorder="1"/>
    <xf numFmtId="0" fontId="126" fillId="0" borderId="10" xfId="4495" applyBorder="1"/>
    <xf numFmtId="0" fontId="39" fillId="0" borderId="3" xfId="4495" applyFont="1" applyBorder="1"/>
    <xf numFmtId="0" fontId="30" fillId="0" borderId="4" xfId="4495" applyFont="1" applyBorder="1"/>
    <xf numFmtId="0" fontId="126" fillId="0" borderId="12" xfId="4495" applyBorder="1" applyAlignment="1">
      <alignment vertical="top"/>
    </xf>
    <xf numFmtId="0" fontId="39" fillId="0" borderId="1" xfId="4495" applyFont="1" applyBorder="1"/>
    <xf numFmtId="0" fontId="135" fillId="0" borderId="2" xfId="4495" applyFont="1" applyBorder="1" applyAlignment="1">
      <alignment horizontal="left" wrapText="1"/>
    </xf>
    <xf numFmtId="0" fontId="135" fillId="0" borderId="2" xfId="4495" applyFont="1" applyBorder="1" applyAlignment="1">
      <alignment horizontal="left"/>
    </xf>
    <xf numFmtId="0" fontId="135" fillId="0" borderId="7" xfId="4495" applyFont="1" applyBorder="1" applyAlignment="1">
      <alignment horizontal="left" wrapText="1"/>
    </xf>
    <xf numFmtId="0" fontId="135" fillId="0" borderId="0" xfId="4495" applyFont="1" applyAlignment="1">
      <alignment horizontal="left" wrapText="1"/>
    </xf>
    <xf numFmtId="0" fontId="39" fillId="0" borderId="9" xfId="4495" applyFont="1" applyBorder="1"/>
    <xf numFmtId="0" fontId="31" fillId="0" borderId="10" xfId="4495" applyFont="1" applyBorder="1"/>
    <xf numFmtId="0" fontId="135" fillId="0" borderId="0" xfId="4495" applyFont="1" applyAlignment="1">
      <alignment wrapText="1"/>
    </xf>
    <xf numFmtId="0" fontId="39" fillId="0" borderId="9" xfId="4495" applyFont="1" applyBorder="1" applyAlignment="1">
      <alignment horizontal="center"/>
    </xf>
    <xf numFmtId="0" fontId="30" fillId="0" borderId="10" xfId="4495" applyFont="1" applyBorder="1"/>
    <xf numFmtId="0" fontId="41" fillId="0" borderId="0" xfId="4495" applyFont="1"/>
    <xf numFmtId="0" fontId="31" fillId="0" borderId="50" xfId="4495" applyFont="1" applyBorder="1"/>
    <xf numFmtId="0" fontId="31" fillId="0" borderId="51" xfId="4495" applyFont="1" applyBorder="1"/>
    <xf numFmtId="1" fontId="31" fillId="0" borderId="51" xfId="4495" quotePrefix="1" applyNumberFormat="1" applyFont="1" applyBorder="1" applyAlignment="1">
      <alignment horizontal="center" vertical="top"/>
    </xf>
    <xf numFmtId="0" fontId="30" fillId="0" borderId="51" xfId="4495" applyFont="1" applyBorder="1"/>
    <xf numFmtId="0" fontId="30" fillId="0" borderId="52" xfId="4495" applyFont="1" applyBorder="1" applyAlignment="1">
      <alignment horizontal="center"/>
    </xf>
    <xf numFmtId="0" fontId="23" fillId="0" borderId="53" xfId="4495" applyFont="1" applyBorder="1"/>
    <xf numFmtId="1" fontId="31" fillId="0" borderId="0" xfId="4495" quotePrefix="1" applyNumberFormat="1" applyFont="1" applyAlignment="1">
      <alignment horizontal="center" vertical="top"/>
    </xf>
    <xf numFmtId="0" fontId="30" fillId="0" borderId="54" xfId="4495" applyFont="1" applyBorder="1" applyAlignment="1">
      <alignment horizontal="center"/>
    </xf>
    <xf numFmtId="0" fontId="39" fillId="0" borderId="0" xfId="4495" applyFont="1" applyAlignment="1">
      <alignment vertical="top"/>
    </xf>
    <xf numFmtId="0" fontId="31" fillId="0" borderId="61" xfId="4495" applyFont="1" applyBorder="1"/>
    <xf numFmtId="0" fontId="126" fillId="0" borderId="58" xfId="4495" applyBorder="1" applyAlignment="1">
      <alignment horizontal="center"/>
    </xf>
    <xf numFmtId="1" fontId="31" fillId="0" borderId="58" xfId="4495" quotePrefix="1" applyNumberFormat="1" applyFont="1" applyBorder="1" applyAlignment="1">
      <alignment horizontal="center" vertical="top"/>
    </xf>
    <xf numFmtId="0" fontId="39" fillId="0" borderId="58" xfId="4495" applyFont="1" applyBorder="1" applyAlignment="1">
      <alignment vertical="top"/>
    </xf>
    <xf numFmtId="0" fontId="31" fillId="0" borderId="58" xfId="4495" applyFont="1" applyBorder="1" applyAlignment="1">
      <alignment vertical="top" wrapText="1"/>
    </xf>
    <xf numFmtId="0" fontId="31" fillId="0" borderId="58" xfId="4495" applyFont="1" applyBorder="1"/>
    <xf numFmtId="0" fontId="30" fillId="0" borderId="58" xfId="4495" applyFont="1" applyBorder="1" applyAlignment="1">
      <alignment horizontal="center"/>
    </xf>
    <xf numFmtId="0" fontId="126" fillId="0" borderId="61" xfId="4495" applyBorder="1"/>
    <xf numFmtId="0" fontId="126" fillId="0" borderId="0" xfId="4495" applyAlignment="1">
      <alignment horizontal="center"/>
    </xf>
    <xf numFmtId="0" fontId="23" fillId="0" borderId="53" xfId="543" applyBorder="1"/>
    <xf numFmtId="0" fontId="31" fillId="0" borderId="54" xfId="4495" applyFont="1" applyBorder="1"/>
    <xf numFmtId="0" fontId="23" fillId="0" borderId="58" xfId="543" applyBorder="1"/>
    <xf numFmtId="1" fontId="31" fillId="0" borderId="58" xfId="4495" applyNumberFormat="1" applyFont="1" applyBorder="1" applyAlignment="1">
      <alignment horizontal="center" vertical="top"/>
    </xf>
    <xf numFmtId="0" fontId="39" fillId="0" borderId="58" xfId="4495" applyFont="1" applyBorder="1" applyAlignment="1">
      <alignment vertical="center"/>
    </xf>
    <xf numFmtId="0" fontId="126" fillId="0" borderId="58" xfId="4495" applyBorder="1" applyAlignment="1">
      <alignment vertical="top" wrapText="1"/>
    </xf>
    <xf numFmtId="0" fontId="23" fillId="0" borderId="58" xfId="4495" applyFont="1" applyBorder="1"/>
    <xf numFmtId="0" fontId="39" fillId="0" borderId="0" xfId="4495" applyFont="1" applyAlignment="1">
      <alignment vertical="center"/>
    </xf>
    <xf numFmtId="0" fontId="31" fillId="0" borderId="53" xfId="4495" applyFont="1" applyBorder="1"/>
    <xf numFmtId="0" fontId="23" fillId="0" borderId="57" xfId="543" applyBorder="1"/>
    <xf numFmtId="0" fontId="31" fillId="0" borderId="58" xfId="4495" applyFont="1" applyBorder="1" applyAlignment="1">
      <alignment vertical="top"/>
    </xf>
    <xf numFmtId="0" fontId="31" fillId="0" borderId="59" xfId="4495" applyFont="1" applyBorder="1"/>
    <xf numFmtId="0" fontId="31" fillId="0" borderId="57" xfId="4495" applyFont="1" applyBorder="1"/>
    <xf numFmtId="0" fontId="23" fillId="0" borderId="51" xfId="4495" applyFont="1" applyBorder="1"/>
    <xf numFmtId="0" fontId="31" fillId="0" borderId="52" xfId="4495" applyFont="1" applyBorder="1"/>
    <xf numFmtId="0" fontId="23" fillId="0" borderId="50" xfId="543" applyBorder="1"/>
    <xf numFmtId="0" fontId="23" fillId="0" borderId="51" xfId="543" applyBorder="1"/>
    <xf numFmtId="0" fontId="23" fillId="0" borderId="52" xfId="543" applyBorder="1"/>
    <xf numFmtId="0" fontId="31" fillId="0" borderId="0" xfId="4495" applyFont="1" applyAlignment="1">
      <alignment wrapText="1"/>
    </xf>
    <xf numFmtId="0" fontId="30" fillId="0" borderId="54" xfId="4495" applyFont="1" applyBorder="1" applyAlignment="1">
      <alignment horizontal="center" vertical="top"/>
    </xf>
    <xf numFmtId="0" fontId="126" fillId="0" borderId="53" xfId="4495" applyBorder="1" applyAlignment="1">
      <alignment horizontal="center"/>
    </xf>
    <xf numFmtId="2" fontId="31" fillId="0" borderId="0" xfId="4495" applyNumberFormat="1" applyFont="1" applyAlignment="1">
      <alignment horizontal="right"/>
    </xf>
    <xf numFmtId="2" fontId="31" fillId="0" borderId="8" xfId="4495" applyNumberFormat="1" applyFont="1" applyBorder="1" applyAlignment="1">
      <alignment horizontal="left"/>
    </xf>
    <xf numFmtId="0" fontId="31" fillId="0" borderId="8" xfId="4495" applyFont="1" applyBorder="1" applyAlignment="1">
      <alignment horizontal="right"/>
    </xf>
    <xf numFmtId="0" fontId="134" fillId="0" borderId="0" xfId="4495" applyFont="1"/>
    <xf numFmtId="0" fontId="126" fillId="0" borderId="57" xfId="4495" applyBorder="1" applyAlignment="1">
      <alignment horizontal="center"/>
    </xf>
    <xf numFmtId="0" fontId="30" fillId="0" borderId="59" xfId="4495" applyFont="1" applyBorder="1" applyAlignment="1">
      <alignment horizontal="center"/>
    </xf>
    <xf numFmtId="9" fontId="31" fillId="0" borderId="0" xfId="4495" applyNumberFormat="1" applyFont="1" applyAlignment="1">
      <alignment horizontal="left"/>
    </xf>
    <xf numFmtId="0" fontId="23" fillId="0" borderId="17" xfId="543" applyBorder="1"/>
    <xf numFmtId="0" fontId="23" fillId="0" borderId="16" xfId="543" applyBorder="1"/>
    <xf numFmtId="0" fontId="23" fillId="0" borderId="51" xfId="4495" quotePrefix="1" applyFont="1" applyBorder="1" applyAlignment="1">
      <alignment horizontal="center" vertical="top"/>
    </xf>
    <xf numFmtId="0" fontId="31" fillId="0" borderId="53" xfId="4495" applyFont="1" applyBorder="1" applyAlignment="1">
      <alignment horizontal="left" vertical="top"/>
    </xf>
    <xf numFmtId="0" fontId="31" fillId="0" borderId="0" xfId="4495" applyFont="1" applyAlignment="1">
      <alignment horizontal="center" vertical="top"/>
    </xf>
    <xf numFmtId="0" fontId="31" fillId="0" borderId="57" xfId="4495" applyFont="1" applyBorder="1" applyAlignment="1">
      <alignment horizontal="left" vertical="top"/>
    </xf>
    <xf numFmtId="0" fontId="31" fillId="0" borderId="58" xfId="4495" applyFont="1" applyBorder="1" applyAlignment="1">
      <alignment horizontal="center" vertical="top"/>
    </xf>
    <xf numFmtId="0" fontId="126" fillId="0" borderId="58" xfId="4495" applyBorder="1"/>
    <xf numFmtId="0" fontId="30" fillId="0" borderId="58" xfId="4495" applyFont="1" applyBorder="1" applyAlignment="1">
      <alignment vertical="top"/>
    </xf>
    <xf numFmtId="0" fontId="30" fillId="0" borderId="58" xfId="4495" applyFont="1" applyBorder="1" applyAlignment="1">
      <alignment horizontal="left" vertical="top"/>
    </xf>
    <xf numFmtId="0" fontId="30" fillId="0" borderId="51" xfId="4495" applyFont="1" applyBorder="1" applyAlignment="1">
      <alignment horizontal="left" vertical="top"/>
    </xf>
    <xf numFmtId="0" fontId="30" fillId="0" borderId="53" xfId="4495" applyFont="1" applyBorder="1" applyAlignment="1">
      <alignment horizontal="left" vertical="top"/>
    </xf>
    <xf numFmtId="0" fontId="59" fillId="0" borderId="0" xfId="4495" applyFont="1" applyAlignment="1">
      <alignment horizontal="left" vertical="top"/>
    </xf>
    <xf numFmtId="0" fontId="31" fillId="0" borderId="0" xfId="4495" quotePrefix="1" applyFont="1" applyAlignment="1">
      <alignment horizontal="center" vertical="top"/>
    </xf>
    <xf numFmtId="0" fontId="60" fillId="0" borderId="0" xfId="4495" applyFont="1" applyAlignment="1">
      <alignment horizontal="center"/>
    </xf>
    <xf numFmtId="0" fontId="60" fillId="0" borderId="0" xfId="4495" applyFont="1" applyAlignment="1">
      <alignment vertical="top"/>
    </xf>
    <xf numFmtId="0" fontId="113" fillId="0" borderId="0" xfId="4495" applyFont="1"/>
    <xf numFmtId="0" fontId="59" fillId="0" borderId="0" xfId="4495" applyFont="1" applyAlignment="1">
      <alignment vertical="top"/>
    </xf>
    <xf numFmtId="0" fontId="39" fillId="0" borderId="53" xfId="4495" applyFont="1" applyBorder="1"/>
    <xf numFmtId="2" fontId="31" fillId="0" borderId="8" xfId="4495" applyNumberFormat="1" applyFont="1" applyBorder="1" applyAlignment="1">
      <alignment horizontal="right"/>
    </xf>
    <xf numFmtId="0" fontId="30" fillId="0" borderId="50" xfId="4495" applyFont="1" applyBorder="1" applyAlignment="1">
      <alignment horizontal="left" vertical="top"/>
    </xf>
    <xf numFmtId="0" fontId="59" fillId="0" borderId="51" xfId="4495" applyFont="1" applyBorder="1" applyAlignment="1">
      <alignment horizontal="left" vertical="top"/>
    </xf>
    <xf numFmtId="0" fontId="126" fillId="0" borderId="53" xfId="4495" applyBorder="1"/>
    <xf numFmtId="0" fontId="113" fillId="0" borderId="0" xfId="4495" applyFont="1" applyAlignment="1">
      <alignment horizontal="left" vertical="top"/>
    </xf>
    <xf numFmtId="1" fontId="30" fillId="0" borderId="58" xfId="4495" applyNumberFormat="1" applyFont="1" applyBorder="1" applyAlignment="1">
      <alignment vertical="top"/>
    </xf>
    <xf numFmtId="172" fontId="30" fillId="0" borderId="8" xfId="543" applyNumberFormat="1" applyFont="1" applyBorder="1"/>
    <xf numFmtId="172" fontId="30" fillId="0" borderId="0" xfId="543" applyNumberFormat="1" applyFont="1"/>
    <xf numFmtId="0" fontId="39" fillId="0" borderId="0" xfId="4495" applyFont="1" applyAlignment="1">
      <alignment wrapText="1"/>
    </xf>
    <xf numFmtId="0" fontId="39" fillId="0" borderId="0" xfId="4495" applyFont="1" applyAlignment="1">
      <alignment horizontal="center"/>
    </xf>
    <xf numFmtId="0" fontId="39" fillId="0" borderId="0" xfId="4495" applyFont="1" applyAlignment="1">
      <alignment vertical="center" wrapText="1"/>
    </xf>
    <xf numFmtId="180" fontId="31" fillId="0" borderId="0" xfId="4495" applyNumberFormat="1" applyFont="1" applyAlignment="1">
      <alignment horizontal="center"/>
    </xf>
    <xf numFmtId="1" fontId="31" fillId="0" borderId="0" xfId="4495" applyNumberFormat="1" applyFont="1" applyAlignment="1">
      <alignment horizontal="center"/>
    </xf>
    <xf numFmtId="0" fontId="30" fillId="0" borderId="51" xfId="4495" applyFont="1" applyBorder="1" applyAlignment="1">
      <alignment horizontal="center"/>
    </xf>
    <xf numFmtId="0" fontId="30" fillId="0" borderId="51" xfId="4495" applyFont="1" applyBorder="1" applyAlignment="1">
      <alignment vertical="top"/>
    </xf>
    <xf numFmtId="0" fontId="30" fillId="0" borderId="53" xfId="4495" applyFont="1" applyBorder="1"/>
    <xf numFmtId="0" fontId="23" fillId="0" borderId="54" xfId="543" applyBorder="1"/>
    <xf numFmtId="49" fontId="31" fillId="0" borderId="0" xfId="4495" applyNumberFormat="1" applyFont="1" applyAlignment="1">
      <alignment horizontal="left" vertical="center" wrapText="1"/>
    </xf>
    <xf numFmtId="0" fontId="23" fillId="0" borderId="57" xfId="4495" applyFont="1" applyBorder="1"/>
    <xf numFmtId="1" fontId="23" fillId="0" borderId="0" xfId="4495" applyNumberFormat="1" applyFont="1" applyAlignment="1">
      <alignment vertical="center"/>
    </xf>
    <xf numFmtId="0" fontId="41" fillId="0" borderId="50" xfId="4495" applyFont="1" applyBorder="1"/>
    <xf numFmtId="0" fontId="31" fillId="0" borderId="51" xfId="4495" applyFont="1" applyBorder="1" applyAlignment="1">
      <alignment horizontal="center" vertical="top"/>
    </xf>
    <xf numFmtId="0" fontId="31" fillId="0" borderId="51" xfId="4495" applyFont="1" applyBorder="1" applyAlignment="1">
      <alignment vertical="top" wrapText="1"/>
    </xf>
    <xf numFmtId="0" fontId="31" fillId="0" borderId="51" xfId="4495" applyFont="1" applyBorder="1" applyAlignment="1">
      <alignment horizontal="left" vertical="top" wrapText="1"/>
    </xf>
    <xf numFmtId="0" fontId="23" fillId="0" borderId="0" xfId="4495" quotePrefix="1" applyFont="1" applyAlignment="1">
      <alignment horizontal="center" vertical="top"/>
    </xf>
    <xf numFmtId="1" fontId="31" fillId="0" borderId="0" xfId="4495" quotePrefix="1" applyNumberFormat="1" applyFont="1" applyAlignment="1">
      <alignment wrapText="1"/>
    </xf>
    <xf numFmtId="0" fontId="31" fillId="0" borderId="6" xfId="4495" applyFont="1" applyBorder="1" applyAlignment="1">
      <alignment horizontal="right"/>
    </xf>
    <xf numFmtId="0" fontId="128" fillId="0" borderId="0" xfId="4496" applyFont="1" applyAlignment="1">
      <alignment wrapText="1"/>
    </xf>
    <xf numFmtId="0" fontId="23" fillId="0" borderId="0" xfId="4496" applyFont="1" applyAlignment="1">
      <alignment wrapText="1"/>
    </xf>
    <xf numFmtId="0" fontId="39" fillId="0" borderId="51" xfId="4495" applyFont="1" applyBorder="1" applyAlignment="1">
      <alignment vertical="top"/>
    </xf>
    <xf numFmtId="0" fontId="23" fillId="0" borderId="51" xfId="4496" applyFont="1" applyBorder="1" applyAlignment="1">
      <alignment wrapText="1"/>
    </xf>
    <xf numFmtId="0" fontId="30" fillId="0" borderId="51" xfId="4495" applyFont="1" applyBorder="1" applyAlignment="1">
      <alignment horizontal="right"/>
    </xf>
    <xf numFmtId="0" fontId="23" fillId="0" borderId="52" xfId="4495" applyFont="1" applyBorder="1" applyAlignment="1">
      <alignment horizontal="center"/>
    </xf>
    <xf numFmtId="0" fontId="23" fillId="0" borderId="53" xfId="4495" applyFont="1" applyBorder="1" applyAlignment="1">
      <alignment horizontal="left" vertical="top"/>
    </xf>
    <xf numFmtId="0" fontId="23" fillId="0" borderId="54" xfId="4495" applyFont="1" applyBorder="1" applyAlignment="1">
      <alignment horizontal="left" vertical="top"/>
    </xf>
    <xf numFmtId="0" fontId="23" fillId="0" borderId="54" xfId="4495" applyFont="1" applyBorder="1" applyAlignment="1">
      <alignment horizontal="center"/>
    </xf>
    <xf numFmtId="0" fontId="23" fillId="0" borderId="59" xfId="4495" applyFont="1" applyBorder="1" applyAlignment="1">
      <alignment horizontal="center"/>
    </xf>
    <xf numFmtId="9" fontId="23" fillId="0" borderId="0" xfId="4496" applyNumberFormat="1" applyFont="1" applyAlignment="1">
      <alignment horizontal="center"/>
    </xf>
    <xf numFmtId="1" fontId="23" fillId="0" borderId="0" xfId="543" applyNumberFormat="1"/>
    <xf numFmtId="0" fontId="31" fillId="0" borderId="1" xfId="4495" applyFont="1" applyBorder="1"/>
    <xf numFmtId="0" fontId="30" fillId="0" borderId="0" xfId="4495" applyFont="1" applyAlignment="1">
      <alignment horizontal="center" wrapText="1"/>
    </xf>
    <xf numFmtId="0" fontId="30" fillId="0" borderId="9" xfId="4495" applyFont="1" applyBorder="1" applyAlignment="1">
      <alignment horizontal="left"/>
    </xf>
    <xf numFmtId="0" fontId="30" fillId="0" borderId="3" xfId="4495" applyFont="1" applyBorder="1" applyAlignment="1">
      <alignment horizontal="left"/>
    </xf>
    <xf numFmtId="0" fontId="30" fillId="0" borderId="4" xfId="4495" applyFont="1" applyBorder="1" applyAlignment="1">
      <alignment horizontal="left"/>
    </xf>
    <xf numFmtId="0" fontId="23" fillId="0" borderId="2" xfId="4495" applyFont="1" applyBorder="1" applyAlignment="1">
      <alignment horizontal="left"/>
    </xf>
    <xf numFmtId="0" fontId="30" fillId="0" borderId="2" xfId="4495" applyFont="1" applyBorder="1" applyAlignment="1">
      <alignment horizontal="left"/>
    </xf>
    <xf numFmtId="0" fontId="30" fillId="0" borderId="5" xfId="4495" applyFont="1" applyBorder="1" applyAlignment="1">
      <alignment horizontal="left"/>
    </xf>
    <xf numFmtId="180" fontId="70" fillId="0" borderId="0" xfId="4495" applyNumberFormat="1" applyFont="1" applyAlignment="1">
      <alignment horizontal="center" vertical="center"/>
    </xf>
    <xf numFmtId="0" fontId="23" fillId="0" borderId="12" xfId="4495" applyFont="1" applyBorder="1" applyAlignment="1">
      <alignment vertical="top"/>
    </xf>
    <xf numFmtId="0" fontId="53" fillId="0" borderId="0" xfId="4495" applyFont="1" applyAlignment="1">
      <alignment vertical="top" wrapText="1"/>
    </xf>
    <xf numFmtId="0" fontId="23" fillId="0" borderId="51" xfId="4495" applyFont="1" applyBorder="1" applyAlignment="1">
      <alignment horizontal="left" vertical="top" wrapText="1"/>
    </xf>
    <xf numFmtId="0" fontId="23" fillId="0" borderId="51" xfId="4495" applyFont="1" applyBorder="1" applyAlignment="1">
      <alignment horizontal="right"/>
    </xf>
    <xf numFmtId="0" fontId="23" fillId="0" borderId="52" xfId="4495" applyFont="1" applyBorder="1" applyAlignment="1">
      <alignment horizontal="right"/>
    </xf>
    <xf numFmtId="0" fontId="23" fillId="0" borderId="54" xfId="4495" applyFont="1" applyBorder="1" applyAlignment="1">
      <alignment horizontal="right"/>
    </xf>
    <xf numFmtId="0" fontId="23" fillId="0" borderId="58" xfId="4495" applyFont="1" applyBorder="1" applyAlignment="1">
      <alignment horizontal="left" vertical="top" wrapText="1"/>
    </xf>
    <xf numFmtId="0" fontId="23" fillId="0" borderId="58" xfId="4495" applyFont="1" applyBorder="1" applyAlignment="1">
      <alignment horizontal="right"/>
    </xf>
    <xf numFmtId="0" fontId="23" fillId="0" borderId="59" xfId="4495" applyFont="1" applyBorder="1" applyAlignment="1">
      <alignment horizontal="right"/>
    </xf>
    <xf numFmtId="0" fontId="53" fillId="0" borderId="0" xfId="4495" applyFont="1" applyAlignment="1">
      <alignment horizontal="left" vertical="top" wrapText="1"/>
    </xf>
    <xf numFmtId="0" fontId="23" fillId="0" borderId="0" xfId="1192" applyAlignment="1">
      <alignment horizontal="left" vertical="top"/>
    </xf>
    <xf numFmtId="0" fontId="41" fillId="0" borderId="0" xfId="1192" applyFont="1" applyAlignment="1">
      <alignment horizontal="left" vertical="top"/>
    </xf>
    <xf numFmtId="0" fontId="23" fillId="0" borderId="0" xfId="1192" applyAlignment="1">
      <alignment vertical="top"/>
    </xf>
    <xf numFmtId="168" fontId="23" fillId="0" borderId="0" xfId="1192" applyNumberFormat="1"/>
    <xf numFmtId="165" fontId="23" fillId="0" borderId="0" xfId="1192" applyNumberFormat="1"/>
    <xf numFmtId="165" fontId="23" fillId="0" borderId="0" xfId="1192" applyNumberFormat="1" applyAlignment="1">
      <alignment horizontal="right"/>
    </xf>
    <xf numFmtId="2" fontId="23" fillId="0" borderId="0" xfId="1192" applyNumberFormat="1"/>
    <xf numFmtId="6" fontId="23" fillId="0" borderId="0" xfId="1192" applyNumberFormat="1"/>
    <xf numFmtId="0" fontId="30" fillId="0" borderId="0" xfId="1192" applyFont="1"/>
    <xf numFmtId="0" fontId="53" fillId="0" borderId="0" xfId="1192" applyFont="1"/>
    <xf numFmtId="168" fontId="23" fillId="0" borderId="0" xfId="4495" applyNumberFormat="1" applyFont="1"/>
    <xf numFmtId="0" fontId="30" fillId="0" borderId="0" xfId="1192" applyFont="1" applyAlignment="1">
      <alignment vertical="center"/>
    </xf>
    <xf numFmtId="0" fontId="124" fillId="0" borderId="0" xfId="1192" applyFont="1" applyAlignment="1">
      <alignment horizontal="left"/>
    </xf>
    <xf numFmtId="0" fontId="121" fillId="0" borderId="0" xfId="1192" applyFont="1" applyAlignment="1">
      <alignment horizontal="left"/>
    </xf>
    <xf numFmtId="0" fontId="121" fillId="0" borderId="0" xfId="1192" applyFont="1" applyAlignment="1">
      <alignment horizontal="center"/>
    </xf>
    <xf numFmtId="168" fontId="23" fillId="0" borderId="0" xfId="1192" applyNumberFormat="1" applyAlignment="1">
      <alignment horizontal="center"/>
    </xf>
    <xf numFmtId="9" fontId="23" fillId="0" borderId="0" xfId="1192" applyNumberFormat="1"/>
    <xf numFmtId="0" fontId="23" fillId="0" borderId="0" xfId="1192" applyAlignment="1">
      <alignment horizontal="right"/>
    </xf>
    <xf numFmtId="0" fontId="23" fillId="0" borderId="53" xfId="4495" applyFont="1" applyBorder="1" applyAlignment="1">
      <alignment horizontal="left"/>
    </xf>
    <xf numFmtId="6" fontId="30" fillId="0" borderId="0" xfId="1192" applyNumberFormat="1" applyFont="1" applyAlignment="1">
      <alignment horizontal="right"/>
    </xf>
    <xf numFmtId="165" fontId="23" fillId="0" borderId="0" xfId="4495" applyNumberFormat="1" applyFont="1"/>
    <xf numFmtId="0" fontId="60" fillId="0" borderId="4" xfId="4495" applyFont="1" applyBorder="1"/>
    <xf numFmtId="0" fontId="43" fillId="0" borderId="0" xfId="543" applyFont="1" applyAlignment="1">
      <alignment vertical="center" wrapText="1"/>
    </xf>
    <xf numFmtId="1" fontId="30" fillId="0" borderId="13" xfId="271" applyNumberFormat="1" applyFont="1" applyBorder="1"/>
    <xf numFmtId="1" fontId="32" fillId="0" borderId="13" xfId="271" applyNumberFormat="1" applyBorder="1"/>
    <xf numFmtId="0" fontId="23" fillId="0" borderId="11" xfId="0" applyFont="1" applyBorder="1"/>
    <xf numFmtId="9" fontId="23" fillId="0" borderId="0" xfId="4495" applyNumberFormat="1" applyFont="1"/>
    <xf numFmtId="165" fontId="128" fillId="0" borderId="0" xfId="4496" applyNumberFormat="1" applyFont="1" applyAlignment="1">
      <alignment horizontal="center" vertical="top" wrapText="1"/>
    </xf>
    <xf numFmtId="168" fontId="128" fillId="0" borderId="0" xfId="4496" applyNumberFormat="1" applyFont="1" applyAlignment="1">
      <alignment vertical="top" wrapText="1"/>
    </xf>
    <xf numFmtId="165" fontId="128" fillId="0" borderId="64" xfId="4496" applyNumberFormat="1" applyFont="1" applyBorder="1" applyAlignment="1">
      <alignment horizontal="center" vertical="top" wrapText="1"/>
    </xf>
    <xf numFmtId="165" fontId="128" fillId="0" borderId="53" xfId="4496" applyNumberFormat="1" applyFont="1" applyBorder="1" applyAlignment="1">
      <alignment horizontal="left" vertical="top"/>
    </xf>
    <xf numFmtId="165" fontId="128" fillId="0" borderId="53" xfId="4496" applyNumberFormat="1" applyFont="1" applyBorder="1" applyAlignment="1">
      <alignment horizontal="center" vertical="top" wrapText="1"/>
    </xf>
    <xf numFmtId="168" fontId="128" fillId="0" borderId="0" xfId="4496" applyNumberFormat="1" applyFont="1" applyAlignment="1">
      <alignment vertical="top"/>
    </xf>
    <xf numFmtId="1" fontId="128" fillId="0" borderId="0" xfId="4496" applyNumberFormat="1" applyFont="1" applyAlignment="1">
      <alignment vertical="top" wrapText="1"/>
    </xf>
    <xf numFmtId="164" fontId="31" fillId="0" borderId="0" xfId="4495" applyNumberFormat="1" applyFont="1"/>
    <xf numFmtId="0" fontId="30" fillId="0" borderId="8" xfId="0" applyFont="1" applyBorder="1" applyAlignment="1">
      <alignment horizontal="center" vertical="center" wrapText="1"/>
    </xf>
    <xf numFmtId="0" fontId="3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6" fillId="0" borderId="50" xfId="1192" applyFont="1" applyBorder="1" applyAlignment="1">
      <alignment horizontal="left"/>
    </xf>
    <xf numFmtId="0" fontId="147" fillId="0" borderId="51" xfId="4495" applyFont="1" applyBorder="1" applyAlignment="1">
      <alignment vertical="top"/>
    </xf>
    <xf numFmtId="0" fontId="146" fillId="0" borderId="51" xfId="4495" applyFont="1" applyBorder="1" applyAlignment="1">
      <alignment vertical="top" wrapText="1"/>
    </xf>
    <xf numFmtId="0" fontId="147" fillId="0" borderId="51" xfId="4495" applyFont="1" applyBorder="1"/>
    <xf numFmtId="0" fontId="147" fillId="0" borderId="53" xfId="1192" applyFont="1" applyBorder="1" applyAlignment="1">
      <alignment horizontal="left"/>
    </xf>
    <xf numFmtId="0" fontId="147" fillId="0" borderId="0" xfId="4495" applyFont="1" applyAlignment="1">
      <alignment vertical="top"/>
    </xf>
    <xf numFmtId="0" fontId="146" fillId="0" borderId="0" xfId="4495" applyFont="1" applyAlignment="1">
      <alignment vertical="top" wrapText="1"/>
    </xf>
    <xf numFmtId="0" fontId="147" fillId="0" borderId="0" xfId="4495" applyFont="1"/>
    <xf numFmtId="0" fontId="146" fillId="0" borderId="53" xfId="1192" applyFont="1" applyBorder="1" applyAlignment="1">
      <alignment horizontal="left"/>
    </xf>
    <xf numFmtId="0" fontId="146" fillId="0" borderId="57" xfId="1192" applyFont="1" applyBorder="1" applyAlignment="1">
      <alignment horizontal="left"/>
    </xf>
    <xf numFmtId="0" fontId="147" fillId="0" borderId="58" xfId="4495" applyFont="1" applyBorder="1" applyAlignment="1">
      <alignment vertical="top"/>
    </xf>
    <xf numFmtId="0" fontId="146" fillId="0" borderId="58" xfId="4495" applyFont="1" applyBorder="1" applyAlignment="1">
      <alignment vertical="top" wrapText="1"/>
    </xf>
    <xf numFmtId="0" fontId="147" fillId="0" borderId="58" xfId="4495" applyFont="1" applyBorder="1"/>
    <xf numFmtId="0" fontId="32" fillId="0" borderId="3" xfId="0" applyFont="1" applyBorder="1" applyAlignment="1">
      <alignment horizontal="center"/>
    </xf>
    <xf numFmtId="0" fontId="32" fillId="0" borderId="4" xfId="0" applyFont="1" applyBorder="1" applyAlignment="1">
      <alignment horizontal="center"/>
    </xf>
    <xf numFmtId="0" fontId="32" fillId="0" borderId="5" xfId="0" applyFont="1" applyBorder="1" applyAlignment="1">
      <alignment horizontal="center"/>
    </xf>
    <xf numFmtId="0" fontId="30" fillId="0" borderId="7" xfId="0" applyFont="1" applyBorder="1" applyAlignment="1">
      <alignment horizontal="right"/>
    </xf>
    <xf numFmtId="0" fontId="0" fillId="0" borderId="0" xfId="0" applyAlignment="1" applyProtection="1">
      <alignment horizontal="left" vertical="top" wrapText="1"/>
      <protection locked="0"/>
    </xf>
    <xf numFmtId="0" fontId="23" fillId="0" borderId="9" xfId="0" applyFont="1" applyBorder="1" applyAlignment="1">
      <alignment horizontal="left"/>
    </xf>
    <xf numFmtId="0" fontId="23" fillId="0" borderId="6" xfId="0" applyFont="1" applyBorder="1"/>
    <xf numFmtId="0" fontId="23" fillId="0" borderId="9" xfId="0" applyFont="1" applyBorder="1"/>
    <xf numFmtId="0" fontId="56" fillId="0" borderId="0" xfId="0" applyFont="1" applyAlignment="1">
      <alignment horizontal="center"/>
    </xf>
    <xf numFmtId="0" fontId="29" fillId="0" borderId="0" xfId="0" applyFont="1" applyAlignment="1">
      <alignment horizontal="center" vertical="center" wrapText="1"/>
    </xf>
    <xf numFmtId="0" fontId="38" fillId="0" borderId="0" xfId="0" applyFont="1" applyAlignment="1">
      <alignment horizontal="center"/>
    </xf>
    <xf numFmtId="0" fontId="31" fillId="0" borderId="0" xfId="0" applyFont="1" applyAlignment="1">
      <alignment horizontal="center"/>
    </xf>
    <xf numFmtId="0" fontId="30" fillId="0" borderId="3" xfId="0" applyFont="1" applyBorder="1"/>
    <xf numFmtId="0" fontId="30" fillId="0" borderId="4" xfId="271" applyFont="1" applyBorder="1"/>
    <xf numFmtId="0" fontId="30" fillId="0" borderId="3" xfId="271" applyFont="1" applyBorder="1"/>
    <xf numFmtId="0" fontId="30" fillId="0" borderId="5" xfId="271" applyFont="1" applyBorder="1"/>
    <xf numFmtId="0" fontId="23" fillId="0" borderId="58" xfId="4495" applyFont="1" applyBorder="1" applyAlignment="1">
      <alignment vertical="center" wrapText="1"/>
    </xf>
    <xf numFmtId="0" fontId="23" fillId="0" borderId="59" xfId="4495" applyFont="1" applyBorder="1" applyAlignment="1">
      <alignment vertical="center" wrapText="1"/>
    </xf>
    <xf numFmtId="0" fontId="23" fillId="0" borderId="0" xfId="4495" applyFont="1" applyAlignment="1">
      <alignment horizontal="left" vertical="center" wrapText="1"/>
    </xf>
    <xf numFmtId="0" fontId="30" fillId="0" borderId="5" xfId="0" applyFont="1" applyBorder="1"/>
    <xf numFmtId="168" fontId="28" fillId="43" borderId="0" xfId="0" applyNumberFormat="1" applyFont="1" applyFill="1"/>
    <xf numFmtId="9" fontId="31" fillId="0" borderId="0" xfId="543" applyNumberFormat="1" applyFont="1" applyAlignment="1">
      <alignment horizontal="center"/>
    </xf>
    <xf numFmtId="171" fontId="23" fillId="0" borderId="0" xfId="543" applyNumberFormat="1"/>
    <xf numFmtId="171" fontId="23" fillId="0" borderId="11" xfId="543" applyNumberFormat="1" applyBorder="1"/>
    <xf numFmtId="1" fontId="23" fillId="0" borderId="11" xfId="543" applyNumberFormat="1" applyBorder="1" applyAlignment="1">
      <alignment horizontal="center"/>
    </xf>
    <xf numFmtId="0" fontId="49" fillId="0" borderId="8" xfId="543" applyFont="1" applyBorder="1" applyAlignment="1">
      <alignment vertical="center" wrapText="1"/>
    </xf>
    <xf numFmtId="0" fontId="49" fillId="0" borderId="0" xfId="543" applyFont="1" applyAlignment="1">
      <alignment vertical="center" wrapText="1"/>
    </xf>
    <xf numFmtId="0" fontId="49" fillId="0" borderId="12" xfId="543" applyFont="1" applyBorder="1" applyAlignment="1">
      <alignment vertical="center" wrapText="1"/>
    </xf>
    <xf numFmtId="0" fontId="49" fillId="0" borderId="9" xfId="543" applyFont="1" applyBorder="1" applyAlignment="1">
      <alignment vertical="center" wrapText="1"/>
    </xf>
    <xf numFmtId="0" fontId="49" fillId="0" borderId="6" xfId="543" applyFont="1" applyBorder="1" applyAlignment="1">
      <alignment vertical="center" wrapText="1"/>
    </xf>
    <xf numFmtId="0" fontId="49" fillId="0" borderId="10" xfId="543" applyFont="1" applyBorder="1" applyAlignment="1">
      <alignment vertical="center" wrapText="1"/>
    </xf>
    <xf numFmtId="0" fontId="50" fillId="0" borderId="8" xfId="543" applyFont="1" applyBorder="1" applyAlignment="1">
      <alignment vertical="center" wrapText="1"/>
    </xf>
    <xf numFmtId="0" fontId="50" fillId="0" borderId="0" xfId="543" applyFont="1" applyAlignment="1">
      <alignment vertical="center" wrapText="1"/>
    </xf>
    <xf numFmtId="0" fontId="50" fillId="0" borderId="12" xfId="543" applyFont="1" applyBorder="1" applyAlignment="1">
      <alignment vertical="center" wrapText="1"/>
    </xf>
    <xf numFmtId="0" fontId="50" fillId="0" borderId="9" xfId="543" applyFont="1" applyBorder="1" applyAlignment="1">
      <alignment vertical="center" wrapText="1"/>
    </xf>
    <xf numFmtId="0" fontId="50" fillId="0" borderId="6" xfId="543" applyFont="1" applyBorder="1" applyAlignment="1">
      <alignment vertical="center" wrapText="1"/>
    </xf>
    <xf numFmtId="0" fontId="50" fillId="0" borderId="10" xfId="543" applyFont="1" applyBorder="1" applyAlignment="1">
      <alignment vertical="center" wrapText="1"/>
    </xf>
    <xf numFmtId="0" fontId="43" fillId="0" borderId="12" xfId="543" applyFont="1" applyBorder="1" applyAlignment="1">
      <alignment horizontal="center" vertical="top"/>
    </xf>
    <xf numFmtId="0" fontId="44" fillId="0" borderId="7" xfId="543" applyFont="1" applyBorder="1"/>
    <xf numFmtId="0" fontId="23" fillId="0" borderId="12" xfId="543" quotePrefix="1" applyBorder="1"/>
    <xf numFmtId="0" fontId="59" fillId="0" borderId="2" xfId="569" applyFont="1" applyBorder="1" applyAlignment="1">
      <alignment vertical="top"/>
    </xf>
    <xf numFmtId="0" fontId="33" fillId="0" borderId="0" xfId="4495" applyFont="1"/>
    <xf numFmtId="0" fontId="23" fillId="0" borderId="0" xfId="4495" applyFont="1" applyAlignment="1">
      <alignment vertical="top" wrapText="1" shrinkToFit="1"/>
    </xf>
    <xf numFmtId="0" fontId="151" fillId="0" borderId="0" xfId="4495" applyFont="1"/>
    <xf numFmtId="164" fontId="23" fillId="0" borderId="0" xfId="1192" applyNumberFormat="1" applyAlignment="1">
      <alignment horizontal="right"/>
    </xf>
    <xf numFmtId="164" fontId="23" fillId="0" borderId="0" xfId="4495" applyNumberFormat="1" applyFont="1" applyAlignment="1">
      <alignment horizontal="right"/>
    </xf>
    <xf numFmtId="0" fontId="23" fillId="0" borderId="0" xfId="4495" applyFont="1" applyAlignment="1">
      <alignment horizontal="left" vertical="top" wrapText="1" shrinkToFit="1"/>
    </xf>
    <xf numFmtId="0" fontId="23" fillId="0" borderId="6" xfId="4495" applyFont="1" applyBorder="1" applyAlignment="1">
      <alignment vertical="top" wrapText="1"/>
    </xf>
    <xf numFmtId="0" fontId="151" fillId="0" borderId="4" xfId="4495" applyFont="1" applyBorder="1"/>
    <xf numFmtId="0" fontId="23" fillId="0" borderId="4" xfId="4495" applyFont="1" applyBorder="1" applyAlignment="1">
      <alignment horizontal="left" vertical="top" wrapText="1" shrinkToFit="1"/>
    </xf>
    <xf numFmtId="0" fontId="33" fillId="0" borderId="0" xfId="4495" applyFont="1" applyAlignment="1">
      <alignment horizontal="left" vertical="top"/>
    </xf>
    <xf numFmtId="0" fontId="23" fillId="0" borderId="0" xfId="4495" applyFont="1" applyAlignment="1">
      <alignment vertical="center" wrapText="1" shrinkToFit="1"/>
    </xf>
    <xf numFmtId="0" fontId="23" fillId="0" borderId="0" xfId="4495" applyFont="1" applyAlignment="1">
      <alignment horizontal="left" vertical="top" shrinkToFit="1"/>
    </xf>
    <xf numFmtId="0" fontId="23" fillId="0" borderId="0" xfId="4495" applyFont="1" applyAlignment="1">
      <alignment horizontal="left" vertical="center" shrinkToFit="1"/>
    </xf>
    <xf numFmtId="0" fontId="33" fillId="0" borderId="4" xfId="4495" applyFont="1" applyBorder="1"/>
    <xf numFmtId="0" fontId="23" fillId="0" borderId="4" xfId="4495" applyFont="1" applyBorder="1" applyAlignment="1">
      <alignment horizontal="left" vertical="top" shrinkToFit="1"/>
    </xf>
    <xf numFmtId="0" fontId="23" fillId="0" borderId="0" xfId="4495" applyFont="1" applyAlignment="1">
      <alignment vertical="center"/>
    </xf>
    <xf numFmtId="0" fontId="29" fillId="0" borderId="0" xfId="4495" applyFont="1"/>
    <xf numFmtId="0" fontId="33" fillId="0" borderId="0" xfId="4495" applyFont="1" applyAlignment="1">
      <alignment horizontal="center"/>
    </xf>
    <xf numFmtId="0" fontId="23" fillId="0" borderId="4" xfId="4495" applyFont="1" applyBorder="1" applyAlignment="1">
      <alignment horizontal="left" vertical="top" wrapText="1"/>
    </xf>
    <xf numFmtId="44" fontId="23" fillId="0" borderId="0" xfId="707" applyFont="1" applyFill="1" applyBorder="1" applyAlignment="1" applyProtection="1">
      <alignment horizontal="left" vertical="top" wrapText="1"/>
    </xf>
    <xf numFmtId="44" fontId="23" fillId="0" borderId="4" xfId="707" applyFont="1" applyFill="1" applyBorder="1" applyAlignment="1" applyProtection="1">
      <alignment horizontal="left" vertical="top" wrapText="1"/>
    </xf>
    <xf numFmtId="164" fontId="41" fillId="0" borderId="0" xfId="4495" applyNumberFormat="1" applyFont="1" applyAlignment="1">
      <alignment horizontal="left"/>
    </xf>
    <xf numFmtId="0" fontId="33" fillId="0" borderId="0" xfId="4495" applyFont="1" applyAlignment="1">
      <alignment horizontal="left"/>
    </xf>
    <xf numFmtId="0" fontId="23" fillId="0" borderId="4" xfId="4495" applyFont="1" applyBorder="1" applyAlignment="1">
      <alignment vertical="top" wrapText="1"/>
    </xf>
    <xf numFmtId="0" fontId="33" fillId="0" borderId="4" xfId="4495" applyFont="1" applyBorder="1" applyAlignment="1">
      <alignment horizontal="left" vertical="top"/>
    </xf>
    <xf numFmtId="0" fontId="23" fillId="0" borderId="0" xfId="4495" applyFont="1" applyAlignment="1">
      <alignment horizontal="left" vertical="center" wrapText="1" shrinkToFit="1"/>
    </xf>
    <xf numFmtId="0" fontId="23" fillId="0" borderId="6" xfId="4495" applyFont="1" applyBorder="1" applyAlignment="1">
      <alignment horizontal="left" vertical="top" wrapText="1"/>
    </xf>
    <xf numFmtId="2" fontId="124" fillId="0" borderId="0" xfId="0" applyNumberFormat="1" applyFont="1" applyAlignment="1">
      <alignment horizontal="center"/>
    </xf>
    <xf numFmtId="9" fontId="23" fillId="0" borderId="0" xfId="4494" applyFont="1" applyAlignment="1">
      <alignment horizontal="center"/>
    </xf>
    <xf numFmtId="3" fontId="23" fillId="0" borderId="0" xfId="0" applyNumberFormat="1" applyFont="1"/>
    <xf numFmtId="10" fontId="23" fillId="0" borderId="0" xfId="0" applyNumberFormat="1" applyFont="1" applyAlignment="1">
      <alignment horizontal="center"/>
    </xf>
    <xf numFmtId="168" fontId="23" fillId="0" borderId="0" xfId="0" applyNumberFormat="1" applyFont="1"/>
    <xf numFmtId="172" fontId="23" fillId="0" borderId="11" xfId="0" applyNumberFormat="1" applyFont="1" applyBorder="1" applyAlignment="1">
      <alignment horizontal="center"/>
    </xf>
    <xf numFmtId="168" fontId="23" fillId="5" borderId="0" xfId="0" applyNumberFormat="1" applyFont="1" applyFill="1"/>
    <xf numFmtId="3" fontId="23" fillId="5" borderId="0" xfId="0" applyNumberFormat="1" applyFont="1" applyFill="1"/>
    <xf numFmtId="0" fontId="23" fillId="5" borderId="0" xfId="0" applyFont="1" applyFill="1"/>
    <xf numFmtId="3" fontId="23" fillId="5" borderId="6" xfId="0" applyNumberFormat="1" applyFont="1" applyFill="1" applyBorder="1"/>
    <xf numFmtId="3" fontId="23" fillId="0" borderId="6" xfId="0" applyNumberFormat="1" applyFont="1" applyBorder="1"/>
    <xf numFmtId="168" fontId="23" fillId="0" borderId="0" xfId="0" applyNumberFormat="1" applyFont="1" applyAlignment="1">
      <alignment horizontal="center"/>
    </xf>
    <xf numFmtId="3" fontId="23" fillId="0" borderId="0" xfId="0" applyNumberFormat="1" applyFont="1" applyAlignment="1">
      <alignment horizontal="center"/>
    </xf>
    <xf numFmtId="0" fontId="23" fillId="0" borderId="50" xfId="4495" applyFont="1" applyBorder="1" applyAlignment="1">
      <alignment vertical="center"/>
    </xf>
    <xf numFmtId="0" fontId="23" fillId="0" borderId="51" xfId="4495" applyFont="1" applyBorder="1" applyAlignment="1">
      <alignment vertical="center"/>
    </xf>
    <xf numFmtId="0" fontId="23" fillId="0" borderId="52" xfId="4495" applyFont="1" applyBorder="1" applyAlignment="1">
      <alignment vertical="center"/>
    </xf>
    <xf numFmtId="0" fontId="23" fillId="0" borderId="54" xfId="4495" applyFont="1" applyBorder="1" applyAlignment="1">
      <alignment vertical="center" wrapText="1"/>
    </xf>
    <xf numFmtId="0" fontId="23" fillId="0" borderId="53" xfId="4495" applyFont="1" applyBorder="1" applyAlignment="1">
      <alignment vertical="top" wrapText="1"/>
    </xf>
    <xf numFmtId="9" fontId="23" fillId="0" borderId="0" xfId="543" applyNumberFormat="1" applyAlignment="1">
      <alignment horizontal="center"/>
    </xf>
    <xf numFmtId="0" fontId="55" fillId="0" borderId="0" xfId="4496" applyFont="1"/>
    <xf numFmtId="168" fontId="59" fillId="5" borderId="11" xfId="0" applyNumberFormat="1" applyFont="1" applyFill="1" applyBorder="1" applyAlignment="1" applyProtection="1">
      <alignment vertical="top" wrapText="1"/>
      <protection locked="0"/>
    </xf>
    <xf numFmtId="0" fontId="23" fillId="0" borderId="0" xfId="0" applyFont="1" applyAlignment="1">
      <alignment horizontal="left" wrapText="1"/>
    </xf>
    <xf numFmtId="4" fontId="41" fillId="0" borderId="0" xfId="0" applyNumberFormat="1" applyFont="1" applyAlignment="1">
      <alignment horizontal="left"/>
    </xf>
    <xf numFmtId="4" fontId="23" fillId="0" borderId="0" xfId="0" applyNumberFormat="1" applyFont="1" applyAlignment="1">
      <alignment horizontal="left" vertical="top" wrapText="1"/>
    </xf>
    <xf numFmtId="0" fontId="30" fillId="0" borderId="4" xfId="0" applyFont="1" applyBorder="1" applyAlignment="1">
      <alignment horizontal="left"/>
    </xf>
    <xf numFmtId="4" fontId="23" fillId="0" borderId="0" xfId="0" applyNumberFormat="1" applyFont="1" applyAlignment="1">
      <alignment horizontal="left"/>
    </xf>
    <xf numFmtId="43" fontId="57" fillId="0" borderId="0" xfId="4503" applyFont="1" applyAlignment="1" applyProtection="1">
      <alignment horizontal="center"/>
    </xf>
    <xf numFmtId="43" fontId="23" fillId="0" borderId="0" xfId="4503" applyFont="1" applyAlignment="1" applyProtection="1">
      <alignment horizontal="center"/>
    </xf>
    <xf numFmtId="43" fontId="23" fillId="0" borderId="0" xfId="4503" applyFont="1" applyProtection="1"/>
    <xf numFmtId="49" fontId="23" fillId="0" borderId="0" xfId="0" applyNumberFormat="1" applyFont="1"/>
    <xf numFmtId="49" fontId="23" fillId="0" borderId="0" xfId="0" applyNumberFormat="1" applyFont="1" applyAlignment="1">
      <alignment horizontal="center"/>
    </xf>
    <xf numFmtId="4" fontId="23" fillId="0" borderId="0" xfId="0" applyNumberFormat="1" applyFont="1" applyAlignment="1">
      <alignment vertical="top" wrapText="1"/>
    </xf>
    <xf numFmtId="0" fontId="23" fillId="0" borderId="0" xfId="0" quotePrefix="1" applyFont="1"/>
    <xf numFmtId="0" fontId="53" fillId="0" borderId="0" xfId="0" applyFont="1" applyAlignment="1">
      <alignment horizontal="left"/>
    </xf>
    <xf numFmtId="0" fontId="23" fillId="0" borderId="4" xfId="0" applyFont="1" applyBorder="1" applyAlignment="1">
      <alignment horizontal="left"/>
    </xf>
    <xf numFmtId="0" fontId="23" fillId="0" borderId="0" xfId="0" quotePrefix="1" applyFont="1" applyAlignment="1">
      <alignment horizontal="left"/>
    </xf>
    <xf numFmtId="0" fontId="23" fillId="0" borderId="0" xfId="0" quotePrefix="1" applyFont="1" applyAlignment="1">
      <alignment horizontal="left" vertical="top"/>
    </xf>
    <xf numFmtId="0" fontId="53" fillId="0" borderId="0" xfId="1192" applyFont="1" applyAlignment="1">
      <alignment horizontal="left"/>
    </xf>
    <xf numFmtId="0" fontId="57" fillId="0" borderId="0" xfId="0" applyFont="1" applyAlignment="1">
      <alignment horizontal="center" vertical="center"/>
    </xf>
    <xf numFmtId="49" fontId="30" fillId="0" borderId="0" xfId="0" applyNumberFormat="1" applyFont="1" applyAlignment="1">
      <alignment horizontal="center" vertical="center"/>
    </xf>
    <xf numFmtId="49" fontId="23" fillId="0" borderId="0" xfId="0" applyNumberFormat="1" applyFont="1" applyAlignment="1">
      <alignment vertical="center"/>
    </xf>
    <xf numFmtId="4" fontId="23" fillId="0" borderId="0" xfId="0" applyNumberFormat="1" applyFont="1" applyAlignment="1">
      <alignment horizontal="center"/>
    </xf>
    <xf numFmtId="4" fontId="23" fillId="0" borderId="0" xfId="0" applyNumberFormat="1" applyFont="1"/>
    <xf numFmtId="10" fontId="23" fillId="0" borderId="0" xfId="4495" applyNumberFormat="1" applyFont="1"/>
    <xf numFmtId="10" fontId="128" fillId="0" borderId="0" xfId="4496" applyNumberFormat="1" applyFont="1" applyAlignment="1">
      <alignment horizontal="center" vertical="top" wrapText="1"/>
    </xf>
    <xf numFmtId="10" fontId="128" fillId="0" borderId="64" xfId="4496" applyNumberFormat="1" applyFont="1" applyBorder="1" applyAlignment="1">
      <alignment horizontal="center" vertical="top" wrapText="1"/>
    </xf>
    <xf numFmtId="10" fontId="12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23" fillId="0" borderId="0" xfId="1192" quotePrefix="1" applyNumberFormat="1" applyAlignment="1">
      <alignment horizontal="center"/>
    </xf>
    <xf numFmtId="0" fontId="128" fillId="0" borderId="0" xfId="4495" applyFont="1"/>
    <xf numFmtId="10" fontId="128" fillId="0" borderId="0" xfId="4495" applyNumberFormat="1" applyFont="1"/>
    <xf numFmtId="172" fontId="23" fillId="0" borderId="0" xfId="4495" applyNumberFormat="1" applyFont="1"/>
    <xf numFmtId="0" fontId="46" fillId="0" borderId="0" xfId="0" applyFont="1" applyAlignment="1">
      <alignment horizontal="center"/>
    </xf>
    <xf numFmtId="0" fontId="42" fillId="0" borderId="0" xfId="0" applyFont="1" applyAlignment="1">
      <alignment horizontal="left"/>
    </xf>
    <xf numFmtId="0" fontId="0" fillId="0" borderId="10" xfId="0" applyBorder="1" applyAlignment="1">
      <alignment horizontal="left"/>
    </xf>
    <xf numFmtId="1" fontId="23" fillId="0" borderId="0" xfId="1192" applyNumberFormat="1" applyAlignment="1">
      <alignment horizontal="center"/>
    </xf>
    <xf numFmtId="0" fontId="126" fillId="0" borderId="63" xfId="4495" applyBorder="1"/>
    <xf numFmtId="0" fontId="59" fillId="0" borderId="0" xfId="271" applyFont="1" applyAlignment="1">
      <alignment vertical="top"/>
    </xf>
    <xf numFmtId="0" fontId="30" fillId="0" borderId="11" xfId="0" applyFont="1" applyBorder="1" applyAlignment="1">
      <alignment horizontal="right" vertical="top" wrapText="1"/>
    </xf>
    <xf numFmtId="0" fontId="32" fillId="0" borderId="11" xfId="271" applyBorder="1" applyAlignment="1" applyProtection="1">
      <alignment horizontal="right" vertical="top" wrapText="1"/>
      <protection locked="0"/>
    </xf>
    <xf numFmtId="0" fontId="23" fillId="0" borderId="54" xfId="4495" applyFont="1" applyBorder="1" applyAlignment="1">
      <alignment vertical="top"/>
    </xf>
    <xf numFmtId="9" fontId="32" fillId="0" borderId="0" xfId="0" applyNumberFormat="1" applyFont="1"/>
    <xf numFmtId="0" fontId="23" fillId="0" borderId="16" xfId="569" applyBorder="1" applyAlignment="1">
      <alignment horizontal="center"/>
    </xf>
    <xf numFmtId="164" fontId="23" fillId="0" borderId="57" xfId="4495" applyNumberFormat="1" applyFont="1" applyBorder="1" applyAlignment="1">
      <alignment vertical="top" wrapText="1"/>
    </xf>
    <xf numFmtId="164" fontId="23" fillId="0" borderId="58" xfId="4495" applyNumberFormat="1" applyFont="1" applyBorder="1" applyAlignment="1">
      <alignment vertical="top" wrapText="1"/>
    </xf>
    <xf numFmtId="164" fontId="23" fillId="0" borderId="59" xfId="4495" applyNumberFormat="1" applyFont="1" applyBorder="1" applyAlignment="1">
      <alignment vertical="top" wrapText="1"/>
    </xf>
    <xf numFmtId="0" fontId="30" fillId="0" borderId="0" xfId="1192" applyFont="1" applyAlignment="1">
      <alignment horizontal="left" vertical="top" wrapText="1"/>
    </xf>
    <xf numFmtId="0" fontId="23" fillId="0" borderId="16" xfId="569" applyBorder="1"/>
    <xf numFmtId="0" fontId="23" fillId="0" borderId="4" xfId="569" applyBorder="1"/>
    <xf numFmtId="0" fontId="30" fillId="0" borderId="4" xfId="569" applyFont="1" applyBorder="1"/>
    <xf numFmtId="49" fontId="23" fillId="0" borderId="4" xfId="569" applyNumberFormat="1" applyBorder="1"/>
    <xf numFmtId="0" fontId="154" fillId="0" borderId="0" xfId="0" applyFont="1"/>
    <xf numFmtId="0" fontId="23" fillId="0" borderId="0" xfId="0" applyFont="1" applyAlignment="1">
      <alignment horizontal="right"/>
    </xf>
    <xf numFmtId="1" fontId="23" fillId="0" borderId="0" xfId="0" applyNumberFormat="1" applyFont="1" applyAlignment="1">
      <alignment horizontal="center"/>
    </xf>
    <xf numFmtId="0" fontId="30" fillId="0" borderId="0" xfId="0" applyFont="1" applyAlignment="1">
      <alignment horizontal="left" vertical="center"/>
    </xf>
    <xf numFmtId="0" fontId="23" fillId="0" borderId="0" xfId="0" applyFont="1" applyAlignment="1">
      <alignment horizontal="left" vertical="center"/>
    </xf>
    <xf numFmtId="0" fontId="30" fillId="0" borderId="0" xfId="569" applyFont="1" applyAlignment="1">
      <alignment vertical="top"/>
    </xf>
    <xf numFmtId="0" fontId="24" fillId="0" borderId="0" xfId="244" applyAlignment="1"/>
    <xf numFmtId="0" fontId="30" fillId="0" borderId="0" xfId="0" applyFont="1" applyAlignment="1">
      <alignment vertical="top" wrapText="1"/>
    </xf>
    <xf numFmtId="49" fontId="30" fillId="0" borderId="0" xfId="0" applyNumberFormat="1" applyFont="1"/>
    <xf numFmtId="49" fontId="30" fillId="0" borderId="0" xfId="0" applyNumberFormat="1" applyFont="1" applyAlignment="1">
      <alignment vertical="top"/>
    </xf>
    <xf numFmtId="0" fontId="46" fillId="0" borderId="11" xfId="0" applyFont="1" applyBorder="1"/>
    <xf numFmtId="175" fontId="23" fillId="0" borderId="0" xfId="543" applyNumberFormat="1" applyAlignment="1">
      <alignment vertical="center"/>
    </xf>
    <xf numFmtId="0" fontId="104" fillId="43" borderId="6" xfId="4496" applyFont="1" applyFill="1" applyBorder="1" applyAlignment="1" applyProtection="1">
      <alignment horizontal="center"/>
      <protection locked="0"/>
    </xf>
    <xf numFmtId="0" fontId="104" fillId="0" borderId="0" xfId="4496" applyFont="1"/>
    <xf numFmtId="0" fontId="104" fillId="0" borderId="0" xfId="4496" applyFont="1" applyAlignment="1">
      <alignment wrapText="1"/>
    </xf>
    <xf numFmtId="0" fontId="142" fillId="0" borderId="0" xfId="4496" applyFont="1"/>
    <xf numFmtId="181" fontId="143" fillId="0" borderId="0" xfId="4498" applyNumberFormat="1" applyFont="1" applyBorder="1" applyProtection="1"/>
    <xf numFmtId="0" fontId="144" fillId="0" borderId="0" xfId="4496" applyFont="1" applyAlignment="1">
      <alignment vertical="center" wrapText="1"/>
    </xf>
    <xf numFmtId="49" fontId="104" fillId="0" borderId="0" xfId="4496" applyNumberFormat="1" applyFont="1" applyAlignment="1">
      <alignment horizontal="center"/>
    </xf>
    <xf numFmtId="182" fontId="104" fillId="0" borderId="6" xfId="4496" applyNumberFormat="1" applyFont="1" applyBorder="1"/>
    <xf numFmtId="0" fontId="104" fillId="0" borderId="0" xfId="4496" applyFont="1" applyAlignment="1">
      <alignment vertical="center"/>
    </xf>
    <xf numFmtId="182" fontId="104" fillId="0" borderId="0" xfId="4496" applyNumberFormat="1" applyFont="1" applyAlignment="1">
      <alignment vertical="center"/>
    </xf>
    <xf numFmtId="175" fontId="104" fillId="0" borderId="0" xfId="4499" applyNumberFormat="1" applyFont="1" applyFill="1" applyBorder="1" applyAlignment="1" applyProtection="1">
      <alignment horizontal="left" vertical="center"/>
    </xf>
    <xf numFmtId="9" fontId="104" fillId="0" borderId="0" xfId="4499" applyFont="1" applyFill="1" applyBorder="1" applyAlignment="1" applyProtection="1">
      <alignment vertical="center"/>
    </xf>
    <xf numFmtId="183" fontId="104" fillId="0" borderId="0" xfId="4496" applyNumberFormat="1" applyFont="1" applyAlignment="1">
      <alignment vertical="center" wrapText="1"/>
    </xf>
    <xf numFmtId="9" fontId="104" fillId="0" borderId="0" xfId="4499" applyFont="1" applyBorder="1" applyAlignment="1" applyProtection="1">
      <alignment vertical="center"/>
    </xf>
    <xf numFmtId="164" fontId="104" fillId="0" borderId="0" xfId="4496" applyNumberFormat="1" applyFont="1" applyAlignment="1">
      <alignment vertical="center" wrapText="1"/>
    </xf>
    <xf numFmtId="0" fontId="104" fillId="0" borderId="0" xfId="4496" applyFont="1" applyAlignment="1">
      <alignment horizontal="center" vertical="center"/>
    </xf>
    <xf numFmtId="182" fontId="104" fillId="0" borderId="11" xfId="8721" applyNumberFormat="1" applyFont="1" applyBorder="1" applyProtection="1"/>
    <xf numFmtId="182" fontId="104" fillId="0" borderId="11" xfId="4496" applyNumberFormat="1" applyFont="1" applyBorder="1"/>
    <xf numFmtId="164" fontId="104" fillId="0" borderId="0" xfId="4496" applyNumberFormat="1" applyFont="1" applyAlignment="1">
      <alignment wrapText="1"/>
    </xf>
    <xf numFmtId="49" fontId="104" fillId="0" borderId="0" xfId="4496" applyNumberFormat="1" applyFont="1" applyAlignment="1">
      <alignment horizontal="left"/>
    </xf>
    <xf numFmtId="0" fontId="145" fillId="0" borderId="0" xfId="4496" applyFont="1"/>
    <xf numFmtId="9" fontId="104" fillId="0" borderId="11" xfId="4494" applyFont="1" applyFill="1" applyBorder="1" applyAlignment="1" applyProtection="1">
      <alignment horizontal="right"/>
    </xf>
    <xf numFmtId="1" fontId="104" fillId="0" borderId="0" xfId="4496" applyNumberFormat="1" applyFont="1"/>
    <xf numFmtId="0" fontId="142" fillId="45" borderId="3" xfId="4496" applyFont="1" applyFill="1" applyBorder="1" applyAlignment="1">
      <alignment horizontal="left" indent="1"/>
    </xf>
    <xf numFmtId="0" fontId="104" fillId="45" borderId="4" xfId="4496" applyFont="1" applyFill="1" applyBorder="1"/>
    <xf numFmtId="2" fontId="104" fillId="45" borderId="5" xfId="4496" applyNumberFormat="1" applyFont="1" applyFill="1" applyBorder="1"/>
    <xf numFmtId="181" fontId="104" fillId="0" borderId="0" xfId="4496" applyNumberFormat="1" applyFont="1"/>
    <xf numFmtId="165" fontId="143" fillId="0" borderId="0" xfId="4499" applyNumberFormat="1" applyFont="1" applyFill="1" applyBorder="1" applyProtection="1"/>
    <xf numFmtId="9" fontId="104" fillId="0" borderId="0" xfId="4494" applyFont="1" applyFill="1" applyProtection="1"/>
    <xf numFmtId="0" fontId="104" fillId="0" borderId="11" xfId="4496" applyFont="1" applyBorder="1" applyAlignment="1">
      <alignment horizontal="center"/>
    </xf>
    <xf numFmtId="2" fontId="104" fillId="0" borderId="11" xfId="4496" applyNumberFormat="1" applyFont="1" applyBorder="1" applyAlignment="1">
      <alignment horizontal="center"/>
    </xf>
    <xf numFmtId="0" fontId="104" fillId="0" borderId="0" xfId="4496" applyFont="1" applyAlignment="1">
      <alignment vertical="top" wrapText="1"/>
    </xf>
    <xf numFmtId="0" fontId="104" fillId="0" borderId="11" xfId="4496" applyFont="1" applyBorder="1" applyAlignment="1">
      <alignment horizontal="center" vertical="top" wrapText="1"/>
    </xf>
    <xf numFmtId="182" fontId="104" fillId="0" borderId="0" xfId="8721" applyNumberFormat="1" applyFont="1" applyBorder="1" applyProtection="1"/>
    <xf numFmtId="0" fontId="104" fillId="0" borderId="0" xfId="4496" applyFont="1" applyAlignment="1">
      <alignment horizontal="left" indent="1"/>
    </xf>
    <xf numFmtId="182" fontId="104" fillId="0" borderId="0" xfId="4496" applyNumberFormat="1" applyFont="1"/>
    <xf numFmtId="184" fontId="104" fillId="0" borderId="0" xfId="4496" applyNumberFormat="1" applyFont="1"/>
    <xf numFmtId="0" fontId="104" fillId="0" borderId="0" xfId="4496" applyFont="1" applyAlignment="1">
      <alignment horizontal="left"/>
    </xf>
    <xf numFmtId="0" fontId="104" fillId="0" borderId="0" xfId="4496" applyFont="1" applyAlignment="1">
      <alignment horizontal="center"/>
    </xf>
    <xf numFmtId="3" fontId="28" fillId="0" borderId="11" xfId="271" applyNumberFormat="1" applyFont="1" applyBorder="1" applyAlignment="1">
      <alignment horizontal="center"/>
    </xf>
    <xf numFmtId="3" fontId="28" fillId="43" borderId="11" xfId="271" applyNumberFormat="1" applyFont="1" applyFill="1" applyBorder="1" applyProtection="1">
      <protection locked="0"/>
    </xf>
    <xf numFmtId="0" fontId="104" fillId="0" borderId="0" xfId="4496" applyFont="1" applyAlignment="1">
      <alignment horizontal="right"/>
    </xf>
    <xf numFmtId="168" fontId="32" fillId="0" borderId="0" xfId="0" applyNumberFormat="1" applyFont="1"/>
    <xf numFmtId="0" fontId="104" fillId="0" borderId="15" xfId="4496" applyFont="1" applyBorder="1" applyAlignment="1">
      <alignment horizontal="center" vertical="top" wrapText="1"/>
    </xf>
    <xf numFmtId="2" fontId="104" fillId="0" borderId="15" xfId="4496" applyNumberFormat="1" applyFont="1" applyBorder="1" applyAlignment="1">
      <alignment horizontal="center"/>
    </xf>
    <xf numFmtId="0" fontId="104" fillId="0" borderId="15" xfId="4496" applyFont="1" applyBorder="1" applyAlignment="1">
      <alignment horizontal="center"/>
    </xf>
    <xf numFmtId="0" fontId="142" fillId="0" borderId="68" xfId="4496" applyFont="1" applyBorder="1" applyAlignment="1">
      <alignment horizontal="center" vertical="top" wrapText="1"/>
    </xf>
    <xf numFmtId="0" fontId="142" fillId="0" borderId="68" xfId="4496" applyFont="1" applyBorder="1" applyAlignment="1">
      <alignment horizontal="center"/>
    </xf>
    <xf numFmtId="0" fontId="156" fillId="0" borderId="0" xfId="4496" applyFont="1" applyAlignment="1">
      <alignment horizontal="right" vertical="center"/>
    </xf>
    <xf numFmtId="175" fontId="104" fillId="0" borderId="0" xfId="4499" applyNumberFormat="1" applyFont="1" applyFill="1" applyBorder="1" applyAlignment="1" applyProtection="1">
      <alignment horizontal="right" vertical="center"/>
    </xf>
    <xf numFmtId="0" fontId="104" fillId="0" borderId="66" xfId="4496" applyFont="1" applyBorder="1" applyAlignment="1">
      <alignment vertical="center"/>
    </xf>
    <xf numFmtId="0" fontId="104" fillId="0" borderId="41" xfId="4496" applyFont="1" applyBorder="1" applyAlignment="1">
      <alignment vertical="center"/>
    </xf>
    <xf numFmtId="182" fontId="104" fillId="0" borderId="73" xfId="4496" applyNumberFormat="1" applyFont="1" applyBorder="1" applyAlignment="1">
      <alignment vertical="center"/>
    </xf>
    <xf numFmtId="175" fontId="104" fillId="0" borderId="42" xfId="4499" applyNumberFormat="1" applyFont="1" applyFill="1" applyBorder="1" applyAlignment="1" applyProtection="1">
      <alignment horizontal="left" vertical="center"/>
    </xf>
    <xf numFmtId="0" fontId="104" fillId="0" borderId="42" xfId="4496" applyFont="1" applyBorder="1" applyAlignment="1">
      <alignment vertical="center"/>
    </xf>
    <xf numFmtId="0" fontId="104" fillId="0" borderId="44" xfId="4496" applyFont="1" applyBorder="1" applyAlignment="1">
      <alignment vertical="center"/>
    </xf>
    <xf numFmtId="49" fontId="104" fillId="0" borderId="0" xfId="4496" applyNumberFormat="1" applyFont="1" applyAlignment="1">
      <alignment horizontal="center" vertical="center"/>
    </xf>
    <xf numFmtId="0" fontId="104" fillId="0" borderId="65" xfId="4496" applyFont="1" applyBorder="1" applyAlignment="1">
      <alignment vertical="center"/>
    </xf>
    <xf numFmtId="0" fontId="104" fillId="0" borderId="29" xfId="4496" applyFont="1" applyBorder="1" applyAlignment="1">
      <alignment vertical="center"/>
    </xf>
    <xf numFmtId="0" fontId="104" fillId="0" borderId="29" xfId="4496" applyFont="1" applyBorder="1" applyAlignment="1">
      <alignment horizontal="right" vertical="center"/>
    </xf>
    <xf numFmtId="5" fontId="104" fillId="0" borderId="29" xfId="4496" applyNumberFormat="1" applyFont="1" applyBorder="1" applyAlignment="1">
      <alignment vertical="center"/>
    </xf>
    <xf numFmtId="0" fontId="104" fillId="0" borderId="31" xfId="4496" applyFont="1" applyBorder="1" applyAlignment="1">
      <alignment vertical="center"/>
    </xf>
    <xf numFmtId="175" fontId="142" fillId="0" borderId="42" xfId="4494" applyNumberFormat="1" applyFont="1" applyFill="1" applyBorder="1" applyAlignment="1" applyProtection="1">
      <alignment horizontal="center" vertical="center"/>
    </xf>
    <xf numFmtId="0" fontId="142" fillId="0" borderId="29" xfId="4496" applyFont="1" applyBorder="1" applyAlignment="1">
      <alignment vertical="center"/>
    </xf>
    <xf numFmtId="0" fontId="142" fillId="0" borderId="0" xfId="4496" applyFont="1" applyAlignment="1">
      <alignment vertical="center"/>
    </xf>
    <xf numFmtId="0" fontId="142" fillId="0" borderId="42" xfId="4496" applyFont="1" applyBorder="1" applyAlignment="1">
      <alignment vertical="center"/>
    </xf>
    <xf numFmtId="9" fontId="142" fillId="0" borderId="42" xfId="4499" applyFont="1" applyFill="1" applyBorder="1" applyAlignment="1" applyProtection="1">
      <alignment vertical="center"/>
    </xf>
    <xf numFmtId="182" fontId="142" fillId="0" borderId="68" xfId="8721" applyNumberFormat="1" applyFont="1" applyBorder="1" applyProtection="1"/>
    <xf numFmtId="182" fontId="142" fillId="0" borderId="68" xfId="4496" applyNumberFormat="1" applyFont="1" applyBorder="1"/>
    <xf numFmtId="0" fontId="156" fillId="0" borderId="0" xfId="4496" applyFont="1" applyAlignment="1">
      <alignment horizontal="right"/>
    </xf>
    <xf numFmtId="0" fontId="104" fillId="0" borderId="0" xfId="4496" applyFont="1" applyAlignment="1">
      <alignment horizontal="right" vertical="top" wrapText="1" indent="1"/>
    </xf>
    <xf numFmtId="182" fontId="104" fillId="0" borderId="6" xfId="8721" applyNumberFormat="1" applyFont="1" applyBorder="1" applyAlignment="1" applyProtection="1">
      <alignment horizontal="center"/>
    </xf>
    <xf numFmtId="0" fontId="104" fillId="0" borderId="0" xfId="4496" applyFont="1" applyAlignment="1">
      <alignment horizontal="right" indent="1"/>
    </xf>
    <xf numFmtId="0" fontId="104" fillId="0" borderId="0" xfId="4496" applyFont="1" applyAlignment="1">
      <alignment horizontal="right" vertical="top"/>
    </xf>
    <xf numFmtId="0" fontId="142" fillId="0" borderId="0" xfId="4496" applyFont="1" applyAlignment="1">
      <alignment horizontal="right"/>
    </xf>
    <xf numFmtId="182" fontId="142" fillId="0" borderId="0" xfId="8721" applyNumberFormat="1" applyFont="1" applyBorder="1" applyAlignment="1" applyProtection="1">
      <alignment horizontal="center"/>
    </xf>
    <xf numFmtId="10" fontId="104" fillId="0" borderId="0" xfId="4494" applyNumberFormat="1" applyFont="1" applyBorder="1" applyAlignment="1" applyProtection="1">
      <alignment horizontal="center"/>
    </xf>
    <xf numFmtId="184" fontId="104" fillId="0" borderId="6" xfId="4496" applyNumberFormat="1" applyFont="1" applyBorder="1"/>
    <xf numFmtId="0" fontId="142" fillId="0" borderId="0" xfId="4496" applyFont="1" applyAlignment="1">
      <alignment horizontal="right" vertical="top"/>
    </xf>
    <xf numFmtId="182" fontId="142" fillId="0" borderId="0" xfId="4496" applyNumberFormat="1" applyFont="1"/>
    <xf numFmtId="182" fontId="104" fillId="0" borderId="6" xfId="8721" applyNumberFormat="1" applyFont="1" applyBorder="1" applyProtection="1"/>
    <xf numFmtId="184" fontId="104" fillId="0" borderId="0" xfId="4496" applyNumberFormat="1" applyFont="1" applyAlignment="1">
      <alignment horizontal="center"/>
    </xf>
    <xf numFmtId="0" fontId="104" fillId="0" borderId="6" xfId="4496" applyFont="1" applyBorder="1" applyAlignment="1">
      <alignment horizontal="right" vertical="top" wrapText="1" indent="1"/>
    </xf>
    <xf numFmtId="0" fontId="104" fillId="0" borderId="67" xfId="4496" applyFont="1" applyBorder="1" applyAlignment="1">
      <alignment horizontal="right" indent="1"/>
    </xf>
    <xf numFmtId="0" fontId="104" fillId="0" borderId="72" xfId="4496" applyFont="1" applyBorder="1" applyAlignment="1">
      <alignment horizontal="right" indent="1"/>
    </xf>
    <xf numFmtId="0" fontId="104" fillId="0" borderId="72" xfId="4496" quotePrefix="1" applyFont="1" applyBorder="1" applyAlignment="1">
      <alignment horizontal="right" indent="1"/>
    </xf>
    <xf numFmtId="0" fontId="104" fillId="0" borderId="69" xfId="4496" applyFont="1" applyBorder="1" applyAlignment="1">
      <alignment horizontal="right" indent="1"/>
    </xf>
    <xf numFmtId="182" fontId="104" fillId="0" borderId="71" xfId="4496" applyNumberFormat="1" applyFont="1" applyBorder="1"/>
    <xf numFmtId="182" fontId="104" fillId="0" borderId="76" xfId="4496" applyNumberFormat="1" applyFont="1" applyBorder="1"/>
    <xf numFmtId="182" fontId="104" fillId="0" borderId="77" xfId="4496" applyNumberFormat="1" applyFont="1" applyBorder="1"/>
    <xf numFmtId="175" fontId="30" fillId="0" borderId="0" xfId="543" applyNumberFormat="1" applyFont="1" applyAlignment="1">
      <alignment vertical="center"/>
    </xf>
    <xf numFmtId="10" fontId="142" fillId="0" borderId="0" xfId="4494" applyNumberFormat="1" applyFont="1" applyProtection="1"/>
    <xf numFmtId="0" fontId="30" fillId="0" borderId="0" xfId="1192" applyFont="1" applyAlignment="1">
      <alignment horizontal="left" indent="1"/>
    </xf>
    <xf numFmtId="168" fontId="104" fillId="0" borderId="11" xfId="4499" applyNumberFormat="1" applyFont="1" applyFill="1" applyBorder="1" applyAlignment="1" applyProtection="1">
      <alignment horizontal="left" vertical="center" indent="1"/>
    </xf>
    <xf numFmtId="168" fontId="142" fillId="0" borderId="68" xfId="4499" applyNumberFormat="1" applyFont="1" applyFill="1" applyBorder="1" applyAlignment="1" applyProtection="1">
      <alignment horizontal="left" vertical="center" indent="1"/>
    </xf>
    <xf numFmtId="182" fontId="104" fillId="0" borderId="13" xfId="4496" applyNumberFormat="1" applyFont="1" applyBorder="1"/>
    <xf numFmtId="182" fontId="104" fillId="0" borderId="70" xfId="4496" applyNumberFormat="1" applyFont="1" applyBorder="1"/>
    <xf numFmtId="0" fontId="41" fillId="0" borderId="0" xfId="4495" applyFont="1" applyAlignment="1">
      <alignment vertical="center"/>
    </xf>
    <xf numFmtId="0" fontId="128" fillId="0" borderId="0" xfId="4496" applyFont="1" applyAlignment="1">
      <alignment vertical="center" wrapText="1"/>
    </xf>
    <xf numFmtId="0" fontId="28" fillId="43" borderId="0" xfId="1192" applyFont="1" applyFill="1"/>
    <xf numFmtId="3" fontId="74" fillId="43" borderId="6" xfId="1192" applyNumberFormat="1" applyFont="1" applyFill="1" applyBorder="1"/>
    <xf numFmtId="0" fontId="158" fillId="0" borderId="0" xfId="0" applyFont="1"/>
    <xf numFmtId="0" fontId="28" fillId="0" borderId="11" xfId="253" applyFont="1" applyBorder="1" applyAlignment="1" applyProtection="1">
      <alignment horizontal="center" wrapText="1"/>
      <protection locked="0"/>
    </xf>
    <xf numFmtId="0" fontId="159" fillId="0" borderId="0" xfId="0" applyFont="1"/>
    <xf numFmtId="0" fontId="160" fillId="0" borderId="0" xfId="0" applyFont="1" applyAlignment="1">
      <alignment horizontal="center"/>
    </xf>
    <xf numFmtId="0" fontId="59" fillId="5" borderId="11" xfId="0" applyFont="1" applyFill="1" applyBorder="1" applyAlignment="1" applyProtection="1">
      <alignment horizontal="right" vertical="top" wrapText="1"/>
      <protection locked="0"/>
    </xf>
    <xf numFmtId="0" fontId="23" fillId="43" borderId="3" xfId="569" applyFill="1" applyBorder="1"/>
    <xf numFmtId="0" fontId="163" fillId="0" borderId="0" xfId="0" applyFont="1" applyAlignment="1">
      <alignment horizontal="right"/>
    </xf>
    <xf numFmtId="1" fontId="31" fillId="0" borderId="0" xfId="4495" applyNumberFormat="1" applyFont="1"/>
    <xf numFmtId="0" fontId="30" fillId="0" borderId="4" xfId="569" applyFont="1" applyBorder="1" applyAlignment="1">
      <alignment horizontal="center"/>
    </xf>
    <xf numFmtId="43" fontId="30" fillId="0" borderId="0" xfId="4503" applyFont="1" applyAlignment="1" applyProtection="1">
      <alignment horizontal="center"/>
    </xf>
    <xf numFmtId="0" fontId="30" fillId="0" borderId="0" xfId="569" applyFont="1" applyAlignment="1">
      <alignment horizontal="center" vertical="center"/>
    </xf>
    <xf numFmtId="0" fontId="30" fillId="0" borderId="16" xfId="569" applyFont="1" applyBorder="1" applyAlignment="1">
      <alignment horizontal="center"/>
    </xf>
    <xf numFmtId="49" fontId="30" fillId="0" borderId="4" xfId="569" applyNumberFormat="1" applyFont="1" applyBorder="1" applyAlignment="1">
      <alignment horizontal="center"/>
    </xf>
    <xf numFmtId="4" fontId="30" fillId="0" borderId="0" xfId="569" applyNumberFormat="1" applyFont="1" applyAlignment="1">
      <alignment horizontal="center"/>
    </xf>
    <xf numFmtId="0" fontId="23" fillId="0" borderId="0" xfId="569" applyAlignment="1">
      <alignment horizontal="center" wrapText="1"/>
    </xf>
    <xf numFmtId="0" fontId="23" fillId="0" borderId="0" xfId="0" applyFont="1" applyAlignment="1">
      <alignment vertical="center" wrapText="1"/>
    </xf>
    <xf numFmtId="3" fontId="28" fillId="43" borderId="11" xfId="271" applyNumberFormat="1" applyFont="1" applyFill="1" applyBorder="1" applyAlignment="1" applyProtection="1">
      <alignment horizontal="left"/>
      <protection locked="0"/>
    </xf>
    <xf numFmtId="0" fontId="104" fillId="43" borderId="6" xfId="4496" applyFont="1" applyFill="1" applyBorder="1" applyProtection="1">
      <protection locked="0"/>
    </xf>
    <xf numFmtId="1" fontId="104" fillId="0" borderId="0" xfId="4496" applyNumberFormat="1" applyFont="1" applyProtection="1">
      <protection locked="0"/>
    </xf>
    <xf numFmtId="182" fontId="168" fillId="0" borderId="11" xfId="4496" applyNumberFormat="1" applyFont="1" applyBorder="1"/>
    <xf numFmtId="44" fontId="104" fillId="0" borderId="0" xfId="4496" applyNumberFormat="1" applyFont="1"/>
    <xf numFmtId="182" fontId="28" fillId="0" borderId="11" xfId="4496" applyNumberFormat="1" applyFont="1" applyBorder="1"/>
    <xf numFmtId="9" fontId="104" fillId="0" borderId="0" xfId="4494" applyFont="1"/>
    <xf numFmtId="182" fontId="104" fillId="43" borderId="6" xfId="8721" applyNumberFormat="1" applyFont="1" applyFill="1" applyBorder="1" applyProtection="1">
      <protection locked="0"/>
    </xf>
    <xf numFmtId="0" fontId="23" fillId="0" borderId="0" xfId="4495" applyFont="1" applyAlignment="1">
      <alignment wrapText="1"/>
    </xf>
    <xf numFmtId="168" fontId="180" fillId="48" borderId="79" xfId="700" applyNumberFormat="1" applyFont="1" applyFill="1" applyBorder="1" applyAlignment="1" applyProtection="1">
      <protection locked="0"/>
    </xf>
    <xf numFmtId="3" fontId="51" fillId="10" borderId="0" xfId="543" applyNumberFormat="1" applyFont="1" applyFill="1" applyAlignment="1">
      <alignment vertical="center" wrapText="1"/>
    </xf>
    <xf numFmtId="0" fontId="187" fillId="0" borderId="0" xfId="543" applyFont="1" applyAlignment="1">
      <alignment horizontal="left" vertical="center"/>
    </xf>
    <xf numFmtId="0" fontId="188" fillId="0" borderId="0" xfId="543" applyFont="1" applyAlignment="1">
      <alignment horizontal="right" vertical="top" wrapText="1"/>
    </xf>
    <xf numFmtId="168" fontId="188" fillId="0" borderId="0" xfId="543" applyNumberFormat="1" applyFont="1" applyAlignment="1">
      <alignment horizontal="center" vertical="center"/>
    </xf>
    <xf numFmtId="0" fontId="189" fillId="0" borderId="0" xfId="543" applyFont="1" applyAlignment="1">
      <alignment horizontal="left" vertical="center"/>
    </xf>
    <xf numFmtId="0" fontId="189" fillId="0" borderId="0" xfId="543" applyFont="1" applyAlignment="1">
      <alignment horizontal="right" vertical="top" wrapText="1"/>
    </xf>
    <xf numFmtId="168" fontId="188" fillId="0" borderId="104" xfId="543" applyNumberFormat="1" applyFont="1" applyBorder="1" applyAlignment="1">
      <alignment horizontal="center" vertical="center"/>
    </xf>
    <xf numFmtId="0" fontId="189" fillId="0" borderId="106" xfId="543" applyFont="1" applyBorder="1" applyAlignment="1">
      <alignment horizontal="right" vertical="top" wrapText="1"/>
    </xf>
    <xf numFmtId="0" fontId="30" fillId="0" borderId="0" xfId="4495" applyFont="1" applyAlignment="1">
      <alignment wrapText="1"/>
    </xf>
    <xf numFmtId="182" fontId="23" fillId="0" borderId="0" xfId="700" applyNumberFormat="1" applyFont="1"/>
    <xf numFmtId="9" fontId="23" fillId="0" borderId="0" xfId="1022" applyFont="1"/>
    <xf numFmtId="168" fontId="23"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8" fillId="52" borderId="113" xfId="0" applyFont="1" applyFill="1" applyBorder="1"/>
    <xf numFmtId="0" fontId="128" fillId="53" borderId="113" xfId="0" applyFont="1" applyFill="1" applyBorder="1"/>
    <xf numFmtId="1" fontId="0" fillId="0" borderId="0" xfId="0" applyNumberFormat="1"/>
    <xf numFmtId="0" fontId="24"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24" fillId="0" borderId="0" xfId="244" applyAlignment="1">
      <alignment horizontal="left" vertical="top"/>
    </xf>
    <xf numFmtId="9" fontId="23" fillId="0" borderId="0" xfId="0" applyNumberFormat="1" applyFont="1"/>
    <xf numFmtId="185" fontId="174" fillId="0" borderId="0" xfId="698" applyNumberFormat="1" applyFont="1"/>
    <xf numFmtId="0" fontId="191" fillId="0" borderId="0" xfId="0" applyFont="1" applyAlignment="1">
      <alignment horizontal="center"/>
    </xf>
    <xf numFmtId="0" fontId="23" fillId="0" borderId="0" xfId="569" quotePrefix="1"/>
    <xf numFmtId="168" fontId="161" fillId="0" borderId="0" xfId="0" applyNumberFormat="1" applyFont="1" applyAlignment="1">
      <alignment vertical="center" wrapText="1"/>
    </xf>
    <xf numFmtId="168" fontId="192" fillId="0" borderId="0" xfId="0" applyNumberFormat="1" applyFont="1" applyAlignment="1">
      <alignment horizontal="center" vertical="center" wrapText="1"/>
    </xf>
    <xf numFmtId="0" fontId="0" fillId="0" borderId="0" xfId="0" applyAlignment="1">
      <alignment vertical="center"/>
    </xf>
    <xf numFmtId="0" fontId="30" fillId="0" borderId="0" xfId="4495" quotePrefix="1" applyFont="1"/>
    <xf numFmtId="0" fontId="30" fillId="0" borderId="0" xfId="4495" applyFont="1" applyAlignment="1">
      <alignment horizontal="left" vertical="center"/>
    </xf>
    <xf numFmtId="0" fontId="30" fillId="0" borderId="0" xfId="4495" applyFont="1" applyAlignment="1">
      <alignment vertical="center"/>
    </xf>
    <xf numFmtId="0" fontId="128" fillId="0" borderId="58" xfId="4496" applyFont="1" applyBorder="1" applyAlignment="1">
      <alignment vertical="center"/>
    </xf>
    <xf numFmtId="0" fontId="30" fillId="0" borderId="5" xfId="4495" applyFont="1" applyBorder="1"/>
    <xf numFmtId="182" fontId="104" fillId="0" borderId="6" xfId="4496" applyNumberFormat="1" applyFont="1" applyBorder="1" applyAlignment="1">
      <alignment vertical="center"/>
    </xf>
    <xf numFmtId="1" fontId="104" fillId="0" borderId="0" xfId="4496" applyNumberFormat="1" applyFont="1" applyAlignment="1">
      <alignment horizontal="right" vertical="top" wrapText="1" indent="1"/>
    </xf>
    <xf numFmtId="3" fontId="104" fillId="43" borderId="6" xfId="4496" applyNumberFormat="1" applyFont="1" applyFill="1" applyBorder="1" applyAlignment="1" applyProtection="1">
      <alignment horizontal="center"/>
      <protection locked="0"/>
    </xf>
    <xf numFmtId="0" fontId="7" fillId="0" borderId="0" xfId="8736"/>
    <xf numFmtId="0" fontId="174" fillId="0" borderId="0" xfId="8736" applyFont="1"/>
    <xf numFmtId="0" fontId="109" fillId="0" borderId="0" xfId="8736" applyFont="1"/>
    <xf numFmtId="0" fontId="7" fillId="47" borderId="66" xfId="8736" applyFill="1" applyBorder="1"/>
    <xf numFmtId="0" fontId="7" fillId="47" borderId="0" xfId="8736" applyFill="1"/>
    <xf numFmtId="0" fontId="108" fillId="47" borderId="0" xfId="8736" applyFont="1" applyFill="1"/>
    <xf numFmtId="9" fontId="7" fillId="44" borderId="3" xfId="1022" applyFont="1" applyFill="1" applyBorder="1" applyAlignment="1">
      <alignment horizontal="centerContinuous"/>
    </xf>
    <xf numFmtId="9" fontId="7" fillId="44" borderId="4" xfId="1022" applyFont="1" applyFill="1" applyBorder="1" applyAlignment="1">
      <alignment horizontal="centerContinuous"/>
    </xf>
    <xf numFmtId="9" fontId="7" fillId="44" borderId="5" xfId="1022" applyFont="1" applyFill="1" applyBorder="1" applyAlignment="1">
      <alignment horizontal="centerContinuous"/>
    </xf>
    <xf numFmtId="0" fontId="108" fillId="47" borderId="41" xfId="8736" applyFont="1" applyFill="1" applyBorder="1" applyAlignment="1">
      <alignment horizontal="center"/>
    </xf>
    <xf numFmtId="182" fontId="179" fillId="47" borderId="0" xfId="8737" applyNumberFormat="1" applyFont="1" applyFill="1" applyBorder="1" applyAlignment="1"/>
    <xf numFmtId="0" fontId="7" fillId="47" borderId="41" xfId="8736" applyFill="1" applyBorder="1"/>
    <xf numFmtId="0" fontId="109" fillId="47" borderId="0" xfId="8736" applyFont="1" applyFill="1"/>
    <xf numFmtId="0" fontId="183" fillId="47" borderId="0" xfId="8736" applyFont="1" applyFill="1"/>
    <xf numFmtId="0" fontId="108" fillId="47" borderId="41" xfId="8736" applyFont="1" applyFill="1" applyBorder="1"/>
    <xf numFmtId="0" fontId="108" fillId="0" borderId="0" xfId="8736" applyFont="1"/>
    <xf numFmtId="0" fontId="171" fillId="0" borderId="0" xfId="8736" applyFont="1"/>
    <xf numFmtId="0" fontId="108" fillId="54" borderId="100" xfId="8736" applyFont="1" applyFill="1" applyBorder="1"/>
    <xf numFmtId="0" fontId="7" fillId="53" borderId="99" xfId="8736" applyFill="1" applyBorder="1"/>
    <xf numFmtId="0" fontId="7" fillId="52" borderId="99" xfId="8736" applyFill="1" applyBorder="1"/>
    <xf numFmtId="0" fontId="108" fillId="45" borderId="65" xfId="8736" applyFont="1" applyFill="1" applyBorder="1"/>
    <xf numFmtId="0" fontId="7" fillId="45" borderId="80" xfId="8736" applyFill="1" applyBorder="1"/>
    <xf numFmtId="0" fontId="7" fillId="45" borderId="79" xfId="8736" applyFill="1" applyBorder="1"/>
    <xf numFmtId="0" fontId="7" fillId="45" borderId="78" xfId="8736" applyFill="1" applyBorder="1"/>
    <xf numFmtId="0" fontId="108" fillId="45" borderId="0" xfId="8736" applyFont="1" applyFill="1"/>
    <xf numFmtId="0" fontId="108" fillId="45" borderId="12" xfId="8736" applyFont="1" applyFill="1" applyBorder="1"/>
    <xf numFmtId="0" fontId="108" fillId="45" borderId="29" xfId="8736" applyFont="1" applyFill="1" applyBorder="1"/>
    <xf numFmtId="0" fontId="108" fillId="45" borderId="80" xfId="8736" applyFont="1" applyFill="1" applyBorder="1"/>
    <xf numFmtId="0" fontId="108" fillId="45" borderId="79" xfId="8736" applyFont="1" applyFill="1" applyBorder="1"/>
    <xf numFmtId="0" fontId="108" fillId="45" borderId="78" xfId="8736" applyFont="1" applyFill="1" applyBorder="1"/>
    <xf numFmtId="0" fontId="108" fillId="45" borderId="93" xfId="8736" applyFont="1" applyFill="1" applyBorder="1"/>
    <xf numFmtId="0" fontId="108" fillId="45" borderId="6" xfId="8736" applyFont="1" applyFill="1" applyBorder="1"/>
    <xf numFmtId="0" fontId="108" fillId="45" borderId="10" xfId="8736" applyFont="1" applyFill="1" applyBorder="1"/>
    <xf numFmtId="0" fontId="174" fillId="44" borderId="0" xfId="8736" applyFont="1" applyFill="1"/>
    <xf numFmtId="10" fontId="174" fillId="44" borderId="0" xfId="1022" applyNumberFormat="1" applyFont="1" applyFill="1"/>
    <xf numFmtId="0" fontId="7" fillId="45" borderId="29" xfId="8736" applyFill="1" applyBorder="1"/>
    <xf numFmtId="0" fontId="7" fillId="45" borderId="31" xfId="8736" applyFill="1" applyBorder="1"/>
    <xf numFmtId="0" fontId="108" fillId="45" borderId="92" xfId="8736" applyFont="1" applyFill="1" applyBorder="1"/>
    <xf numFmtId="0" fontId="108" fillId="45" borderId="74" xfId="8736" applyFont="1" applyFill="1" applyBorder="1"/>
    <xf numFmtId="0" fontId="185" fillId="47" borderId="0" xfId="8736" applyFont="1" applyFill="1"/>
    <xf numFmtId="0" fontId="108" fillId="45" borderId="31" xfId="8736" applyFont="1" applyFill="1" applyBorder="1"/>
    <xf numFmtId="0" fontId="7" fillId="47" borderId="0" xfId="8736" applyFill="1" applyAlignment="1">
      <alignment horizontal="left"/>
    </xf>
    <xf numFmtId="0" fontId="177" fillId="51" borderId="11" xfId="8736" applyFont="1" applyFill="1" applyBorder="1"/>
    <xf numFmtId="0" fontId="177" fillId="51" borderId="76" xfId="8736" applyFont="1" applyFill="1" applyBorder="1"/>
    <xf numFmtId="0" fontId="178" fillId="51" borderId="11" xfId="8736" applyFont="1" applyFill="1" applyBorder="1" applyAlignment="1">
      <alignment horizontal="center"/>
    </xf>
    <xf numFmtId="0" fontId="178" fillId="51" borderId="76" xfId="8736" applyFont="1" applyFill="1" applyBorder="1" applyAlignment="1">
      <alignment horizontal="center"/>
    </xf>
    <xf numFmtId="0" fontId="7" fillId="48" borderId="66" xfId="8736" applyFill="1" applyBorder="1"/>
    <xf numFmtId="0" fontId="7" fillId="48" borderId="0" xfId="8736" applyFill="1"/>
    <xf numFmtId="0" fontId="7" fillId="48" borderId="78" xfId="8736" applyFill="1" applyBorder="1"/>
    <xf numFmtId="0" fontId="108" fillId="47" borderId="66" xfId="8736" applyFont="1" applyFill="1" applyBorder="1"/>
    <xf numFmtId="49" fontId="108" fillId="47" borderId="66" xfId="8736" applyNumberFormat="1" applyFont="1" applyFill="1" applyBorder="1" applyAlignment="1">
      <alignment horizontal="right" vertical="top"/>
    </xf>
    <xf numFmtId="0" fontId="7" fillId="47" borderId="73" xfId="8736" applyFill="1" applyBorder="1"/>
    <xf numFmtId="0" fontId="7" fillId="47" borderId="42" xfId="8736" applyFill="1" applyBorder="1"/>
    <xf numFmtId="0" fontId="7" fillId="47" borderId="44" xfId="8736" applyFill="1" applyBorder="1"/>
    <xf numFmtId="0" fontId="7" fillId="44" borderId="66" xfId="8736" applyFill="1" applyBorder="1"/>
    <xf numFmtId="0" fontId="7" fillId="44" borderId="0" xfId="8736" applyFill="1"/>
    <xf numFmtId="0" fontId="7" fillId="44" borderId="41" xfId="8736" applyFill="1" applyBorder="1"/>
    <xf numFmtId="0" fontId="7" fillId="44" borderId="0" xfId="8736" applyFill="1" applyAlignment="1">
      <alignment horizontal="left"/>
    </xf>
    <xf numFmtId="0" fontId="7" fillId="44" borderId="73" xfId="8736" applyFill="1" applyBorder="1"/>
    <xf numFmtId="0" fontId="7" fillId="44" borderId="42" xfId="8736" applyFill="1" applyBorder="1"/>
    <xf numFmtId="0" fontId="7" fillId="44" borderId="44" xfId="8736" applyFill="1" applyBorder="1"/>
    <xf numFmtId="0" fontId="169" fillId="0" borderId="0" xfId="8736" applyFont="1"/>
    <xf numFmtId="166" fontId="32"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166" fontId="23" fillId="5" borderId="4" xfId="0" applyNumberFormat="1" applyFont="1" applyFill="1" applyBorder="1" applyAlignment="1" applyProtection="1">
      <alignment horizontal="left"/>
      <protection locked="0"/>
    </xf>
    <xf numFmtId="0" fontId="31" fillId="0" borderId="0" xfId="4495" applyFont="1" applyAlignment="1">
      <alignment horizontal="left" vertical="top" wrapText="1"/>
    </xf>
    <xf numFmtId="0" fontId="128" fillId="5" borderId="6" xfId="4496" applyFont="1" applyFill="1" applyBorder="1" applyAlignment="1" applyProtection="1">
      <alignment horizontal="center"/>
      <protection locked="0"/>
    </xf>
    <xf numFmtId="0" fontId="23" fillId="0" borderId="50" xfId="4495" applyFont="1" applyBorder="1" applyAlignment="1">
      <alignment vertical="center" wrapText="1"/>
    </xf>
    <xf numFmtId="0" fontId="23" fillId="0" borderId="51" xfId="4495" applyFont="1" applyBorder="1" applyAlignment="1">
      <alignment vertical="center" wrapText="1"/>
    </xf>
    <xf numFmtId="0" fontId="23" fillId="0" borderId="52" xfId="4495" applyFont="1" applyBorder="1" applyAlignment="1">
      <alignment vertical="center" wrapText="1"/>
    </xf>
    <xf numFmtId="0" fontId="23" fillId="0" borderId="57" xfId="4495" applyFont="1" applyBorder="1" applyAlignment="1">
      <alignment vertical="center" wrapText="1"/>
    </xf>
    <xf numFmtId="0" fontId="23" fillId="0" borderId="58" xfId="4495" applyFont="1" applyBorder="1" applyAlignment="1">
      <alignment vertical="center" wrapText="1"/>
    </xf>
    <xf numFmtId="0" fontId="23" fillId="0" borderId="59" xfId="4495" applyFont="1" applyBorder="1" applyAlignment="1">
      <alignment vertical="center" wrapText="1"/>
    </xf>
    <xf numFmtId="0" fontId="23" fillId="0" borderId="47" xfId="4495" applyFont="1" applyBorder="1" applyAlignment="1">
      <alignment horizontal="left" vertical="center" wrapText="1"/>
    </xf>
    <xf numFmtId="0" fontId="23" fillId="0" borderId="48" xfId="4495" applyFont="1" applyBorder="1" applyAlignment="1">
      <alignment horizontal="left" vertical="center" wrapText="1"/>
    </xf>
    <xf numFmtId="0" fontId="23" fillId="0" borderId="49" xfId="4495" applyFont="1" applyBorder="1" applyAlignment="1">
      <alignment horizontal="left" vertical="center" wrapText="1"/>
    </xf>
    <xf numFmtId="0" fontId="128" fillId="0" borderId="50" xfId="4496" applyFont="1" applyBorder="1" applyAlignment="1">
      <alignment horizontal="left" vertical="top" wrapText="1"/>
    </xf>
    <xf numFmtId="0" fontId="128" fillId="0" borderId="51" xfId="4496" applyFont="1" applyBorder="1" applyAlignment="1">
      <alignment horizontal="left" vertical="top" wrapText="1"/>
    </xf>
    <xf numFmtId="0" fontId="128" fillId="0" borderId="52" xfId="4496" applyFont="1" applyBorder="1" applyAlignment="1">
      <alignment horizontal="left" vertical="top" wrapText="1"/>
    </xf>
    <xf numFmtId="0" fontId="128" fillId="0" borderId="57" xfId="4496" applyFont="1" applyBorder="1" applyAlignment="1">
      <alignment horizontal="left" vertical="top" wrapText="1"/>
    </xf>
    <xf numFmtId="0" fontId="128" fillId="0" borderId="58" xfId="4496" applyFont="1" applyBorder="1" applyAlignment="1">
      <alignment horizontal="left" vertical="top" wrapText="1"/>
    </xf>
    <xf numFmtId="0" fontId="128" fillId="0" borderId="59" xfId="4496" applyFont="1" applyBorder="1" applyAlignment="1">
      <alignment horizontal="left" vertical="top" wrapText="1"/>
    </xf>
    <xf numFmtId="0" fontId="23" fillId="0" borderId="50" xfId="4495" applyFont="1" applyBorder="1" applyAlignment="1">
      <alignment horizontal="left" vertical="center" wrapText="1"/>
    </xf>
    <xf numFmtId="0" fontId="23" fillId="0" borderId="51" xfId="4495" applyFont="1" applyBorder="1" applyAlignment="1">
      <alignment horizontal="left" vertical="center" wrapText="1"/>
    </xf>
    <xf numFmtId="0" fontId="23" fillId="0" borderId="52" xfId="4495" applyFont="1" applyBorder="1" applyAlignment="1">
      <alignment horizontal="left" vertical="center" wrapText="1"/>
    </xf>
    <xf numFmtId="0" fontId="23" fillId="0" borderId="57" xfId="4495" applyFont="1" applyBorder="1" applyAlignment="1">
      <alignment horizontal="left" vertical="center" wrapText="1"/>
    </xf>
    <xf numFmtId="0" fontId="23" fillId="0" borderId="58" xfId="4495" applyFont="1" applyBorder="1" applyAlignment="1">
      <alignment horizontal="left" vertical="center" wrapText="1"/>
    </xf>
    <xf numFmtId="0" fontId="23" fillId="0" borderId="59" xfId="4495" applyFont="1" applyBorder="1" applyAlignment="1">
      <alignment horizontal="left" vertical="center" wrapText="1"/>
    </xf>
    <xf numFmtId="165" fontId="128" fillId="0" borderId="55" xfId="4496" applyNumberFormat="1" applyFont="1" applyBorder="1" applyAlignment="1">
      <alignment horizontal="center" vertical="top" wrapText="1"/>
    </xf>
    <xf numFmtId="165" fontId="128" fillId="0" borderId="6" xfId="4496" applyNumberFormat="1" applyFont="1" applyBorder="1" applyAlignment="1">
      <alignment horizontal="center" vertical="top" wrapText="1"/>
    </xf>
    <xf numFmtId="165" fontId="128" fillId="0" borderId="60" xfId="4496" applyNumberFormat="1" applyFont="1" applyBorder="1" applyAlignment="1">
      <alignment horizontal="center" vertical="top" wrapText="1"/>
    </xf>
    <xf numFmtId="165" fontId="128" fillId="0" borderId="4" xfId="4496" applyNumberFormat="1" applyFont="1" applyBorder="1" applyAlignment="1">
      <alignment horizontal="center" vertical="top" wrapText="1"/>
    </xf>
    <xf numFmtId="0" fontId="128" fillId="5" borderId="60" xfId="4496" applyFont="1" applyFill="1" applyBorder="1" applyAlignment="1" applyProtection="1">
      <alignment horizontal="center"/>
      <protection locked="0"/>
    </xf>
    <xf numFmtId="0" fontId="128" fillId="5" borderId="4" xfId="4496" applyFont="1" applyFill="1" applyBorder="1" applyAlignment="1" applyProtection="1">
      <alignment horizontal="center"/>
      <protection locked="0"/>
    </xf>
    <xf numFmtId="0" fontId="30" fillId="0" borderId="0" xfId="4495" applyFont="1" applyAlignment="1">
      <alignment horizontal="right"/>
    </xf>
    <xf numFmtId="0" fontId="128" fillId="0" borderId="53" xfId="4496" applyFont="1" applyBorder="1" applyAlignment="1">
      <alignment horizontal="left" vertical="top" wrapText="1"/>
    </xf>
    <xf numFmtId="0" fontId="128" fillId="0" borderId="0" xfId="4496" applyFont="1" applyAlignment="1">
      <alignment horizontal="left" vertical="top" wrapText="1"/>
    </xf>
    <xf numFmtId="0" fontId="128" fillId="0" borderId="54" xfId="4496" applyFont="1" applyBorder="1" applyAlignment="1">
      <alignment horizontal="left" vertical="top" wrapText="1"/>
    </xf>
    <xf numFmtId="0" fontId="128" fillId="5" borderId="55" xfId="4496" applyFont="1" applyFill="1" applyBorder="1" applyAlignment="1" applyProtection="1">
      <alignment horizontal="center"/>
      <protection locked="0"/>
    </xf>
    <xf numFmtId="168" fontId="128" fillId="0" borderId="55" xfId="4496" applyNumberFormat="1" applyFont="1" applyBorder="1" applyAlignment="1">
      <alignment horizontal="center" vertical="top"/>
    </xf>
    <xf numFmtId="168" fontId="128" fillId="0" borderId="6" xfId="4496" applyNumberFormat="1" applyFont="1" applyBorder="1" applyAlignment="1">
      <alignment horizontal="center" vertical="top"/>
    </xf>
    <xf numFmtId="0" fontId="29" fillId="3" borderId="2" xfId="4495" applyFont="1" applyFill="1" applyBorder="1" applyAlignment="1">
      <alignment horizontal="center" vertical="center"/>
    </xf>
    <xf numFmtId="0" fontId="29" fillId="3" borderId="16" xfId="4495" applyFont="1" applyFill="1" applyBorder="1" applyAlignment="1">
      <alignment horizontal="center" vertical="center"/>
    </xf>
    <xf numFmtId="0" fontId="30" fillId="0" borderId="48" xfId="4495" applyFont="1" applyBorder="1" applyAlignment="1">
      <alignment horizontal="left" vertical="top"/>
    </xf>
    <xf numFmtId="0" fontId="30" fillId="0" borderId="49" xfId="4495" applyFont="1" applyBorder="1" applyAlignment="1">
      <alignment horizontal="left" vertical="top"/>
    </xf>
    <xf numFmtId="1" fontId="23" fillId="0" borderId="3" xfId="4495" applyNumberFormat="1" applyFont="1" applyBorder="1" applyAlignment="1">
      <alignment horizontal="center"/>
    </xf>
    <xf numFmtId="1" fontId="23" fillId="0" borderId="4" xfId="4495" applyNumberFormat="1" applyFont="1" applyBorder="1" applyAlignment="1">
      <alignment horizontal="center"/>
    </xf>
    <xf numFmtId="1" fontId="23" fillId="0" borderId="5" xfId="4495" applyNumberFormat="1" applyFont="1" applyBorder="1" applyAlignment="1">
      <alignment horizontal="center"/>
    </xf>
    <xf numFmtId="0" fontId="23" fillId="0" borderId="53" xfId="4495" applyFont="1" applyBorder="1" applyAlignment="1">
      <alignment vertical="center" wrapText="1"/>
    </xf>
    <xf numFmtId="0" fontId="23" fillId="0" borderId="0" xfId="4495" applyFont="1" applyAlignment="1">
      <alignment vertical="center" wrapText="1"/>
    </xf>
    <xf numFmtId="0" fontId="23" fillId="0" borderId="54" xfId="4495" applyFont="1" applyBorder="1" applyAlignment="1">
      <alignment vertical="center" wrapText="1"/>
    </xf>
    <xf numFmtId="0" fontId="23" fillId="0" borderId="53" xfId="4495" applyFont="1" applyBorder="1" applyAlignment="1">
      <alignment horizontal="left" vertical="center" wrapText="1"/>
    </xf>
    <xf numFmtId="0" fontId="23" fillId="0" borderId="0" xfId="4495" applyFont="1" applyAlignment="1">
      <alignment horizontal="left" vertical="center" wrapText="1"/>
    </xf>
    <xf numFmtId="0" fontId="23" fillId="0" borderId="54" xfId="4495" applyFont="1" applyBorder="1" applyAlignment="1">
      <alignment horizontal="left" vertical="center" wrapText="1"/>
    </xf>
    <xf numFmtId="10" fontId="128" fillId="0" borderId="3" xfId="4496" applyNumberFormat="1" applyFont="1" applyBorder="1" applyAlignment="1">
      <alignment horizontal="center" vertical="top" wrapText="1"/>
    </xf>
    <xf numFmtId="10" fontId="128" fillId="0" borderId="4" xfId="4496" applyNumberFormat="1" applyFont="1" applyBorder="1" applyAlignment="1">
      <alignment horizontal="center" vertical="top" wrapText="1"/>
    </xf>
    <xf numFmtId="10" fontId="128" fillId="0" borderId="5" xfId="4496" applyNumberFormat="1" applyFont="1" applyBorder="1" applyAlignment="1">
      <alignment horizontal="center" vertical="top" wrapText="1"/>
    </xf>
    <xf numFmtId="0" fontId="128" fillId="0" borderId="55" xfId="4496" applyFont="1" applyBorder="1" applyAlignment="1">
      <alignment horizontal="center" vertical="top" wrapText="1"/>
    </xf>
    <xf numFmtId="0" fontId="128" fillId="0" borderId="6" xfId="4496" applyFont="1" applyBorder="1" applyAlignment="1">
      <alignment horizontal="center" vertical="top" wrapText="1"/>
    </xf>
    <xf numFmtId="168" fontId="23" fillId="0" borderId="0" xfId="1192" applyNumberFormat="1" applyAlignment="1">
      <alignment horizontal="right"/>
    </xf>
    <xf numFmtId="1" fontId="23" fillId="5" borderId="2" xfId="1192" applyNumberFormat="1" applyFill="1" applyBorder="1" applyAlignment="1" applyProtection="1">
      <alignment horizontal="center"/>
      <protection locked="0"/>
    </xf>
    <xf numFmtId="1" fontId="23" fillId="5" borderId="4" xfId="1192" applyNumberFormat="1" applyFill="1" applyBorder="1" applyAlignment="1" applyProtection="1">
      <alignment horizontal="center"/>
      <protection locked="0"/>
    </xf>
    <xf numFmtId="0" fontId="147" fillId="0" borderId="6" xfId="1192" applyFont="1" applyBorder="1" applyAlignment="1">
      <alignment horizontal="center"/>
    </xf>
    <xf numFmtId="1" fontId="128" fillId="0" borderId="55" xfId="4496" applyNumberFormat="1" applyFont="1" applyBorder="1" applyAlignment="1">
      <alignment horizontal="center" vertical="top" wrapText="1"/>
    </xf>
    <xf numFmtId="1" fontId="128" fillId="0" borderId="6" xfId="4496" applyNumberFormat="1" applyFont="1" applyBorder="1" applyAlignment="1">
      <alignment horizontal="center" vertical="top" wrapText="1"/>
    </xf>
    <xf numFmtId="168" fontId="128" fillId="43" borderId="55" xfId="4496" applyNumberFormat="1" applyFont="1" applyFill="1" applyBorder="1" applyAlignment="1" applyProtection="1">
      <alignment horizontal="center" vertical="top" wrapText="1"/>
      <protection locked="0"/>
    </xf>
    <xf numFmtId="168" fontId="128" fillId="43" borderId="6" xfId="4496" applyNumberFormat="1" applyFont="1" applyFill="1" applyBorder="1" applyAlignment="1" applyProtection="1">
      <alignment horizontal="center" vertical="top" wrapText="1"/>
      <protection locked="0"/>
    </xf>
    <xf numFmtId="0" fontId="30" fillId="0" borderId="0" xfId="4495" applyFont="1" applyAlignment="1">
      <alignment horizontal="center" vertical="top"/>
    </xf>
    <xf numFmtId="0" fontId="23" fillId="0" borderId="0" xfId="1192" applyAlignment="1">
      <alignment horizontal="right"/>
    </xf>
    <xf numFmtId="0" fontId="23" fillId="5" borderId="6" xfId="1192" applyFill="1" applyBorder="1" applyAlignment="1" applyProtection="1">
      <alignment horizontal="left"/>
      <protection locked="0"/>
    </xf>
    <xf numFmtId="168" fontId="23" fillId="43" borderId="6" xfId="4495" applyNumberFormat="1" applyFont="1" applyFill="1" applyBorder="1" applyAlignment="1" applyProtection="1">
      <alignment horizontal="right"/>
      <protection locked="0"/>
    </xf>
    <xf numFmtId="9" fontId="23" fillId="0" borderId="6" xfId="1192" applyNumberFormat="1" applyBorder="1" applyAlignment="1">
      <alignment horizontal="center"/>
    </xf>
    <xf numFmtId="9" fontId="23" fillId="0" borderId="6" xfId="1192" quotePrefix="1" applyNumberFormat="1" applyBorder="1" applyAlignment="1">
      <alignment horizontal="center"/>
    </xf>
    <xf numFmtId="9" fontId="23" fillId="0" borderId="0" xfId="1192" quotePrefix="1" applyNumberFormat="1" applyAlignment="1">
      <alignment horizontal="center"/>
    </xf>
    <xf numFmtId="9" fontId="23" fillId="5" borderId="4" xfId="1192" applyNumberFormat="1" applyFill="1" applyBorder="1" applyAlignment="1" applyProtection="1">
      <alignment horizontal="left"/>
      <protection locked="0"/>
    </xf>
    <xf numFmtId="0" fontId="31" fillId="5" borderId="6" xfId="4495" applyFont="1" applyFill="1" applyBorder="1" applyAlignment="1" applyProtection="1">
      <alignment horizontal="left"/>
      <protection locked="0"/>
    </xf>
    <xf numFmtId="0" fontId="23" fillId="0" borderId="0" xfId="4495" applyFont="1" applyAlignment="1">
      <alignment horizontal="left"/>
    </xf>
    <xf numFmtId="0" fontId="23" fillId="5" borderId="6" xfId="4495" applyFont="1" applyFill="1" applyBorder="1" applyAlignment="1" applyProtection="1">
      <alignment horizontal="left"/>
      <protection locked="0"/>
    </xf>
    <xf numFmtId="0" fontId="59" fillId="5" borderId="6" xfId="4495" applyFont="1" applyFill="1" applyBorder="1" applyAlignment="1" applyProtection="1">
      <alignment horizontal="left"/>
      <protection locked="0"/>
    </xf>
    <xf numFmtId="0" fontId="23" fillId="5" borderId="6" xfId="4495" applyFont="1" applyFill="1" applyBorder="1" applyAlignment="1" applyProtection="1">
      <alignment horizontal="center"/>
      <protection locked="0"/>
    </xf>
    <xf numFmtId="0" fontId="23" fillId="44" borderId="6" xfId="4495" applyFont="1" applyFill="1" applyBorder="1" applyAlignment="1">
      <alignment horizontal="left"/>
    </xf>
    <xf numFmtId="1" fontId="23" fillId="0" borderId="11" xfId="4495" applyNumberFormat="1" applyFont="1" applyBorder="1" applyAlignment="1">
      <alignment horizontal="center"/>
    </xf>
    <xf numFmtId="0" fontId="23" fillId="0" borderId="11" xfId="4495" applyFont="1" applyBorder="1" applyAlignment="1">
      <alignment horizontal="center"/>
    </xf>
    <xf numFmtId="0" fontId="23" fillId="0" borderId="53" xfId="4495" applyFont="1" applyBorder="1" applyAlignment="1">
      <alignment horizontal="left" vertical="top" wrapText="1"/>
    </xf>
    <xf numFmtId="0" fontId="23" fillId="0" borderId="0" xfId="4495" applyFont="1" applyAlignment="1">
      <alignment horizontal="left" vertical="top" wrapText="1"/>
    </xf>
    <xf numFmtId="0" fontId="23" fillId="0" borderId="54" xfId="4495" applyFont="1" applyBorder="1" applyAlignment="1">
      <alignment horizontal="left" vertical="top" wrapText="1"/>
    </xf>
    <xf numFmtId="0" fontId="23" fillId="0" borderId="57" xfId="4495" applyFont="1" applyBorder="1" applyAlignment="1">
      <alignment horizontal="left" vertical="top" wrapText="1"/>
    </xf>
    <xf numFmtId="0" fontId="23" fillId="0" borderId="58" xfId="4495" applyFont="1" applyBorder="1" applyAlignment="1">
      <alignment horizontal="left" vertical="top" wrapText="1"/>
    </xf>
    <xf numFmtId="0" fontId="23" fillId="0" borderId="59" xfId="4495" applyFont="1" applyBorder="1" applyAlignment="1">
      <alignment horizontal="left" vertical="top" wrapText="1"/>
    </xf>
    <xf numFmtId="0" fontId="126" fillId="5" borderId="6" xfId="4495" applyFill="1" applyBorder="1" applyAlignment="1" applyProtection="1">
      <alignment horizontal="center"/>
      <protection locked="0"/>
    </xf>
    <xf numFmtId="0" fontId="30" fillId="0" borderId="0" xfId="4495" applyFont="1" applyAlignment="1">
      <alignment horizontal="left" vertical="top"/>
    </xf>
    <xf numFmtId="0" fontId="126" fillId="0" borderId="0" xfId="4495"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8" fontId="23" fillId="0" borderId="6" xfId="4496" applyNumberFormat="1" applyFont="1" applyBorder="1" applyAlignment="1">
      <alignment horizontal="center"/>
    </xf>
    <xf numFmtId="9" fontId="23" fillId="0" borderId="4" xfId="543" applyNumberFormat="1" applyBorder="1" applyAlignment="1">
      <alignment horizontal="center"/>
    </xf>
    <xf numFmtId="0" fontId="23" fillId="0" borderId="4" xfId="4496" applyFont="1" applyBorder="1" applyAlignment="1">
      <alignment horizontal="center"/>
    </xf>
    <xf numFmtId="0" fontId="23" fillId="0" borderId="5" xfId="4496" applyFont="1" applyBorder="1" applyAlignment="1">
      <alignment horizontal="center"/>
    </xf>
    <xf numFmtId="168" fontId="23" fillId="0" borderId="6" xfId="4495" applyNumberFormat="1" applyFont="1" applyBorder="1" applyAlignment="1">
      <alignment horizontal="right"/>
    </xf>
    <xf numFmtId="168" fontId="124" fillId="0" borderId="6" xfId="4495" applyNumberFormat="1" applyFont="1" applyBorder="1" applyAlignment="1">
      <alignment horizontal="right"/>
    </xf>
    <xf numFmtId="6" fontId="23" fillId="0" borderId="3" xfId="1192" applyNumberFormat="1" applyBorder="1" applyAlignment="1">
      <alignment horizontal="right"/>
    </xf>
    <xf numFmtId="6" fontId="23" fillId="0" borderId="4" xfId="1192" applyNumberFormat="1" applyBorder="1" applyAlignment="1">
      <alignment horizontal="right"/>
    </xf>
    <xf numFmtId="6" fontId="23" fillId="0" borderId="5" xfId="1192" applyNumberFormat="1" applyBorder="1" applyAlignment="1">
      <alignment horizontal="right"/>
    </xf>
    <xf numFmtId="168" fontId="23" fillId="0" borderId="4" xfId="4495" applyNumberFormat="1" applyFont="1" applyBorder="1" applyAlignment="1">
      <alignment horizontal="right"/>
    </xf>
    <xf numFmtId="165" fontId="23" fillId="43" borderId="3" xfId="4495" applyNumberFormat="1" applyFont="1" applyFill="1" applyBorder="1" applyAlignment="1" applyProtection="1">
      <alignment horizontal="center"/>
      <protection locked="0"/>
    </xf>
    <xf numFmtId="165" fontId="23" fillId="43" borderId="4" xfId="4495" applyNumberFormat="1" applyFont="1" applyFill="1" applyBorder="1" applyAlignment="1" applyProtection="1">
      <alignment horizontal="center"/>
      <protection locked="0"/>
    </xf>
    <xf numFmtId="165" fontId="23" fillId="43" borderId="5" xfId="4495" applyNumberFormat="1" applyFont="1" applyFill="1" applyBorder="1" applyAlignment="1" applyProtection="1">
      <alignment horizontal="center"/>
      <protection locked="0"/>
    </xf>
    <xf numFmtId="165" fontId="23" fillId="0" borderId="6" xfId="1192" applyNumberFormat="1" applyBorder="1" applyAlignment="1">
      <alignment horizontal="right"/>
    </xf>
    <xf numFmtId="168" fontId="23" fillId="0" borderId="2" xfId="1192" applyNumberFormat="1" applyBorder="1" applyAlignment="1">
      <alignment horizontal="right"/>
    </xf>
    <xf numFmtId="165" fontId="23" fillId="0" borderId="0" xfId="1192" applyNumberFormat="1" applyAlignment="1">
      <alignment horizontal="right"/>
    </xf>
    <xf numFmtId="0" fontId="23" fillId="0" borderId="0" xfId="543" applyAlignment="1">
      <alignment horizontal="center"/>
    </xf>
    <xf numFmtId="0" fontId="23" fillId="0" borderId="50" xfId="4495" applyFont="1" applyBorder="1" applyAlignment="1">
      <alignment horizontal="left" vertical="top" wrapText="1"/>
    </xf>
    <xf numFmtId="0" fontId="23" fillId="0" borderId="51" xfId="4495" applyFont="1" applyBorder="1" applyAlignment="1">
      <alignment horizontal="left" vertical="top" wrapText="1"/>
    </xf>
    <xf numFmtId="0" fontId="23" fillId="0" borderId="52" xfId="4495" applyFont="1" applyBorder="1" applyAlignment="1">
      <alignment horizontal="left" vertical="top" wrapText="1"/>
    </xf>
    <xf numFmtId="0" fontId="30" fillId="0" borderId="0" xfId="4495" applyFont="1"/>
    <xf numFmtId="168" fontId="23" fillId="5" borderId="4" xfId="1192" applyNumberFormat="1" applyFill="1" applyBorder="1" applyAlignment="1" applyProtection="1">
      <alignment horizontal="center"/>
      <protection locked="0"/>
    </xf>
    <xf numFmtId="0" fontId="23" fillId="0" borderId="6" xfId="1192" applyBorder="1" applyAlignment="1">
      <alignment horizontal="left"/>
    </xf>
    <xf numFmtId="2" fontId="23" fillId="0" borderId="0" xfId="1192" applyNumberFormat="1" applyAlignment="1">
      <alignment horizontal="right"/>
    </xf>
    <xf numFmtId="0" fontId="23" fillId="43" borderId="53" xfId="4495" applyFont="1" applyFill="1" applyBorder="1" applyAlignment="1" applyProtection="1">
      <alignment vertical="top" wrapText="1"/>
      <protection locked="0"/>
    </xf>
    <xf numFmtId="0" fontId="23" fillId="43" borderId="0" xfId="4495" applyFont="1" applyFill="1" applyAlignment="1" applyProtection="1">
      <alignment vertical="top" wrapText="1"/>
      <protection locked="0"/>
    </xf>
    <xf numFmtId="0" fontId="23" fillId="43" borderId="54" xfId="4495" applyFont="1" applyFill="1" applyBorder="1" applyAlignment="1" applyProtection="1">
      <alignment vertical="top" wrapText="1"/>
      <protection locked="0"/>
    </xf>
    <xf numFmtId="0" fontId="23" fillId="43" borderId="55" xfId="4495" applyFont="1" applyFill="1" applyBorder="1" applyAlignment="1" applyProtection="1">
      <alignment vertical="top" wrapText="1"/>
      <protection locked="0"/>
    </xf>
    <xf numFmtId="0" fontId="23" fillId="43" borderId="6" xfId="4495" applyFont="1" applyFill="1" applyBorder="1" applyAlignment="1" applyProtection="1">
      <alignment vertical="top" wrapText="1"/>
      <protection locked="0"/>
    </xf>
    <xf numFmtId="0" fontId="23" fillId="43" borderId="56" xfId="4495" applyFont="1" applyFill="1" applyBorder="1" applyAlignment="1" applyProtection="1">
      <alignment vertical="top" wrapText="1"/>
      <protection locked="0"/>
    </xf>
    <xf numFmtId="0" fontId="23" fillId="43" borderId="0" xfId="4495" applyFont="1" applyFill="1" applyAlignment="1" applyProtection="1">
      <alignment horizontal="left" vertical="center" wrapText="1"/>
      <protection locked="0"/>
    </xf>
    <xf numFmtId="0" fontId="23" fillId="43" borderId="54" xfId="4495" applyFont="1" applyFill="1" applyBorder="1" applyAlignment="1" applyProtection="1">
      <alignment horizontal="left" vertical="center" wrapText="1"/>
      <protection locked="0"/>
    </xf>
    <xf numFmtId="0" fontId="23" fillId="43" borderId="6" xfId="4495" applyFont="1" applyFill="1" applyBorder="1" applyAlignment="1" applyProtection="1">
      <alignment horizontal="left" vertical="center" wrapText="1"/>
      <protection locked="0"/>
    </xf>
    <xf numFmtId="0" fontId="23" fillId="43" borderId="56" xfId="4495" applyFont="1" applyFill="1" applyBorder="1" applyAlignment="1" applyProtection="1">
      <alignment horizontal="left" vertical="center" wrapText="1"/>
      <protection locked="0"/>
    </xf>
    <xf numFmtId="0" fontId="135" fillId="0" borderId="0" xfId="4495" applyFont="1" applyAlignment="1">
      <alignment horizontal="left" vertical="top" wrapText="1"/>
    </xf>
    <xf numFmtId="0" fontId="126" fillId="5" borderId="55" xfId="4495" applyFill="1" applyBorder="1" applyAlignment="1" applyProtection="1">
      <alignment horizontal="center"/>
      <protection locked="0"/>
    </xf>
    <xf numFmtId="0" fontId="30" fillId="0" borderId="0" xfId="4495" applyFont="1" applyAlignment="1">
      <alignment horizontal="center"/>
    </xf>
    <xf numFmtId="0" fontId="30" fillId="0" borderId="54" xfId="4495" applyFont="1" applyBorder="1" applyAlignment="1">
      <alignment horizontal="center"/>
    </xf>
    <xf numFmtId="0" fontId="31" fillId="0" borderId="51" xfId="4495" applyFont="1" applyBorder="1" applyAlignment="1">
      <alignment horizontal="left" vertical="top" wrapText="1"/>
    </xf>
    <xf numFmtId="0" fontId="30" fillId="0" borderId="54" xfId="4495" applyFont="1" applyBorder="1" applyAlignment="1">
      <alignment horizontal="center" vertical="top"/>
    </xf>
    <xf numFmtId="0" fontId="126" fillId="5" borderId="62" xfId="4495" applyFill="1" applyBorder="1" applyAlignment="1" applyProtection="1">
      <alignment horizontal="center"/>
      <protection locked="0"/>
    </xf>
    <xf numFmtId="0" fontId="126" fillId="5" borderId="63" xfId="4495" applyFill="1" applyBorder="1" applyAlignment="1" applyProtection="1">
      <alignment horizontal="center"/>
      <protection locked="0"/>
    </xf>
    <xf numFmtId="0" fontId="126" fillId="5" borderId="50" xfId="4495" applyFill="1" applyBorder="1" applyAlignment="1">
      <alignment horizontal="center"/>
    </xf>
    <xf numFmtId="0" fontId="126" fillId="5" borderId="51" xfId="4495" applyFill="1" applyBorder="1" applyAlignment="1">
      <alignment horizontal="center"/>
    </xf>
    <xf numFmtId="0" fontId="59" fillId="0" borderId="51" xfId="4495" applyFont="1" applyBorder="1" applyAlignment="1">
      <alignment horizontal="left" wrapText="1"/>
    </xf>
    <xf numFmtId="0" fontId="59" fillId="0" borderId="0" xfId="4495" applyFont="1" applyAlignment="1">
      <alignment horizontal="left" wrapText="1"/>
    </xf>
    <xf numFmtId="0" fontId="128" fillId="0" borderId="50" xfId="4496" applyFont="1" applyBorder="1" applyAlignment="1">
      <alignment horizontal="left" wrapText="1"/>
    </xf>
    <xf numFmtId="0" fontId="128" fillId="0" borderId="51" xfId="4496" applyFont="1" applyBorder="1" applyAlignment="1">
      <alignment horizontal="left" wrapText="1"/>
    </xf>
    <xf numFmtId="0" fontId="128" fillId="0" borderId="52" xfId="4496" applyFont="1" applyBorder="1" applyAlignment="1">
      <alignment horizontal="left" wrapText="1"/>
    </xf>
    <xf numFmtId="0" fontId="128" fillId="0" borderId="57" xfId="4496" applyFont="1" applyBorder="1" applyAlignment="1">
      <alignment horizontal="left" wrapText="1"/>
    </xf>
    <xf numFmtId="0" fontId="128" fillId="0" borderId="58" xfId="4496" applyFont="1" applyBorder="1" applyAlignment="1">
      <alignment horizontal="left" wrapText="1"/>
    </xf>
    <xf numFmtId="0" fontId="128" fillId="0" borderId="59" xfId="4496" applyFont="1" applyBorder="1" applyAlignment="1">
      <alignment horizontal="left" wrapText="1"/>
    </xf>
    <xf numFmtId="0" fontId="23" fillId="0" borderId="0" xfId="4495" applyFont="1" applyAlignment="1">
      <alignment horizontal="left" vertical="center" wrapText="1" shrinkToFit="1"/>
    </xf>
    <xf numFmtId="0" fontId="23" fillId="5" borderId="6" xfId="4495" applyFont="1" applyFill="1" applyBorder="1" applyAlignment="1" applyProtection="1">
      <alignment horizontal="center" vertical="center" wrapText="1" shrinkToFit="1"/>
      <protection locked="0"/>
    </xf>
    <xf numFmtId="0" fontId="23" fillId="5" borderId="6" xfId="4495" applyFont="1" applyFill="1" applyBorder="1" applyAlignment="1" applyProtection="1">
      <alignment horizontal="left" wrapText="1" shrinkToFit="1"/>
      <protection locked="0"/>
    </xf>
    <xf numFmtId="0" fontId="23" fillId="43" borderId="6" xfId="1192" applyFill="1" applyBorder="1" applyAlignment="1" applyProtection="1">
      <alignment horizontal="left" vertical="top"/>
      <protection locked="0"/>
    </xf>
    <xf numFmtId="0" fontId="162" fillId="0" borderId="0" xfId="0" applyFont="1" applyAlignment="1" applyProtection="1">
      <alignment horizontal="left"/>
      <protection locked="0"/>
    </xf>
    <xf numFmtId="168" fontId="161" fillId="0" borderId="0" xfId="0" applyNumberFormat="1" applyFont="1" applyAlignment="1">
      <alignment horizontal="center" vertical="top" wrapText="1"/>
    </xf>
    <xf numFmtId="168" fontId="161" fillId="0" borderId="12" xfId="0" applyNumberFormat="1" applyFont="1" applyBorder="1" applyAlignment="1">
      <alignment horizontal="center" vertical="top" wrapText="1"/>
    </xf>
    <xf numFmtId="0" fontId="31" fillId="0" borderId="0" xfId="4495" applyFont="1" applyAlignment="1">
      <alignment horizontal="center"/>
    </xf>
    <xf numFmtId="0" fontId="23" fillId="0" borderId="0" xfId="4495" applyFont="1" applyAlignment="1">
      <alignment wrapText="1"/>
    </xf>
    <xf numFmtId="0" fontId="23" fillId="0" borderId="0" xfId="4495" applyFont="1" applyAlignment="1">
      <alignment horizontal="left" vertical="top" wrapText="1" shrinkToFit="1"/>
    </xf>
    <xf numFmtId="44" fontId="23" fillId="0" borderId="0" xfId="707" applyFont="1" applyFill="1" applyBorder="1" applyAlignment="1" applyProtection="1">
      <alignment horizontal="left" vertical="top" wrapText="1"/>
    </xf>
    <xf numFmtId="0" fontId="30" fillId="0" borderId="0" xfId="4495" applyFont="1" applyAlignment="1">
      <alignment horizontal="left" vertical="top" wrapText="1"/>
    </xf>
    <xf numFmtId="0" fontId="23" fillId="45" borderId="11" xfId="4495" applyFont="1" applyFill="1" applyBorder="1" applyAlignment="1">
      <alignment horizontal="center"/>
    </xf>
    <xf numFmtId="0" fontId="135" fillId="0" borderId="0" xfId="4495" applyFont="1" applyAlignment="1">
      <alignment horizontal="left" vertical="center" wrapText="1"/>
    </xf>
    <xf numFmtId="0" fontId="30" fillId="0" borderId="11" xfId="4495" applyFont="1" applyBorder="1" applyAlignment="1">
      <alignment horizontal="center"/>
    </xf>
    <xf numFmtId="0" fontId="31" fillId="0" borderId="58" xfId="4495" applyFont="1" applyBorder="1" applyAlignment="1">
      <alignment horizontal="left" vertical="top" wrapText="1"/>
    </xf>
    <xf numFmtId="0" fontId="30" fillId="0" borderId="4" xfId="4495" applyFont="1" applyBorder="1" applyAlignment="1">
      <alignment horizontal="left"/>
    </xf>
    <xf numFmtId="0" fontId="30" fillId="0" borderId="5" xfId="4495" applyFont="1" applyBorder="1" applyAlignment="1">
      <alignment horizontal="left"/>
    </xf>
    <xf numFmtId="1" fontId="30" fillId="0" borderId="4" xfId="4495" applyNumberFormat="1" applyFont="1" applyBorder="1" applyAlignment="1">
      <alignment horizontal="center" wrapText="1"/>
    </xf>
    <xf numFmtId="0" fontId="30" fillId="0" borderId="4" xfId="4495" applyFont="1" applyBorder="1" applyAlignment="1">
      <alignment horizontal="center" wrapText="1"/>
    </xf>
    <xf numFmtId="0" fontId="30" fillId="0" borderId="5" xfId="4495" applyFont="1" applyBorder="1" applyAlignment="1">
      <alignment horizontal="center" wrapText="1"/>
    </xf>
    <xf numFmtId="0" fontId="30" fillId="0" borderId="3" xfId="4495" applyFont="1" applyBorder="1" applyAlignment="1">
      <alignment horizontal="center" wrapText="1"/>
    </xf>
    <xf numFmtId="0" fontId="23" fillId="0" borderId="50" xfId="4496" applyFont="1" applyBorder="1" applyAlignment="1">
      <alignment horizontal="left" wrapText="1"/>
    </xf>
    <xf numFmtId="0" fontId="23" fillId="0" borderId="51" xfId="4496" applyFont="1" applyBorder="1" applyAlignment="1">
      <alignment horizontal="left" wrapText="1"/>
    </xf>
    <xf numFmtId="0" fontId="23" fillId="0" borderId="52" xfId="4496" applyFont="1" applyBorder="1" applyAlignment="1">
      <alignment horizontal="left" wrapText="1"/>
    </xf>
    <xf numFmtId="0" fontId="23" fillId="0" borderId="53" xfId="4496" applyFont="1" applyBorder="1" applyAlignment="1">
      <alignment horizontal="left" wrapText="1"/>
    </xf>
    <xf numFmtId="0" fontId="23" fillId="0" borderId="0" xfId="4496" applyFont="1" applyAlignment="1">
      <alignment horizontal="left" wrapText="1"/>
    </xf>
    <xf numFmtId="0" fontId="23" fillId="0" borderId="54" xfId="4496" applyFont="1" applyBorder="1" applyAlignment="1">
      <alignment horizontal="left" wrapText="1"/>
    </xf>
    <xf numFmtId="0" fontId="23" fillId="0" borderId="57" xfId="4496" applyFont="1" applyBorder="1" applyAlignment="1">
      <alignment horizontal="left" wrapText="1"/>
    </xf>
    <xf numFmtId="0" fontId="23" fillId="0" borderId="58" xfId="4496" applyFont="1" applyBorder="1" applyAlignment="1">
      <alignment horizontal="left" wrapText="1"/>
    </xf>
    <xf numFmtId="0" fontId="23" fillId="0" borderId="59" xfId="4496" applyFont="1" applyBorder="1" applyAlignment="1">
      <alignment horizontal="left" wrapText="1"/>
    </xf>
    <xf numFmtId="1" fontId="23" fillId="0" borderId="4" xfId="4496" applyNumberFormat="1" applyFont="1" applyBorder="1" applyAlignment="1">
      <alignment horizontal="center"/>
    </xf>
    <xf numFmtId="1" fontId="23" fillId="0" borderId="5" xfId="4496" applyNumberFormat="1" applyFont="1" applyBorder="1" applyAlignment="1">
      <alignment horizontal="center"/>
    </xf>
    <xf numFmtId="49" fontId="29" fillId="3" borderId="2" xfId="4495" applyNumberFormat="1" applyFont="1" applyFill="1" applyBorder="1" applyAlignment="1">
      <alignment horizontal="center" vertical="center" wrapText="1"/>
    </xf>
    <xf numFmtId="49" fontId="29" fillId="3" borderId="2" xfId="4495" applyNumberFormat="1" applyFont="1" applyFill="1" applyBorder="1" applyAlignment="1">
      <alignment horizontal="center" vertical="center"/>
    </xf>
    <xf numFmtId="49" fontId="29" fillId="3" borderId="0" xfId="4495" applyNumberFormat="1" applyFont="1" applyFill="1" applyAlignment="1">
      <alignment horizontal="center" vertical="center"/>
    </xf>
    <xf numFmtId="0" fontId="30" fillId="0" borderId="1" xfId="4495" applyFont="1" applyBorder="1" applyAlignment="1">
      <alignment horizontal="center" wrapText="1"/>
    </xf>
    <xf numFmtId="0" fontId="30" fillId="0" borderId="2" xfId="4495" applyFont="1" applyBorder="1" applyAlignment="1">
      <alignment horizontal="center" wrapText="1"/>
    </xf>
    <xf numFmtId="0" fontId="30" fillId="0" borderId="7" xfId="4495" applyFont="1" applyBorder="1" applyAlignment="1">
      <alignment horizontal="center" wrapText="1"/>
    </xf>
    <xf numFmtId="0" fontId="30" fillId="0" borderId="9" xfId="4495" applyFont="1" applyBorder="1" applyAlignment="1">
      <alignment horizontal="center" wrapText="1"/>
    </xf>
    <xf numFmtId="0" fontId="30" fillId="0" borderId="6" xfId="4495" applyFont="1" applyBorder="1" applyAlignment="1">
      <alignment horizontal="center" wrapText="1"/>
    </xf>
    <xf numFmtId="0" fontId="30" fillId="0" borderId="10" xfId="4495" applyFont="1" applyBorder="1" applyAlignment="1">
      <alignment horizontal="center" wrapText="1"/>
    </xf>
    <xf numFmtId="1" fontId="30" fillId="0" borderId="11" xfId="4495" applyNumberFormat="1" applyFont="1" applyBorder="1" applyAlignment="1">
      <alignment horizontal="center"/>
    </xf>
    <xf numFmtId="0" fontId="23" fillId="0" borderId="4" xfId="4495" applyFont="1" applyBorder="1" applyAlignment="1">
      <alignment horizontal="left"/>
    </xf>
    <xf numFmtId="0" fontId="23" fillId="0" borderId="5" xfId="4495" applyFont="1" applyBorder="1" applyAlignment="1">
      <alignment horizontal="left"/>
    </xf>
    <xf numFmtId="1" fontId="23" fillId="46" borderId="11" xfId="4495" applyNumberFormat="1" applyFont="1" applyFill="1" applyBorder="1" applyAlignment="1">
      <alignment horizontal="center"/>
    </xf>
    <xf numFmtId="0" fontId="23" fillId="5" borderId="11" xfId="4495" applyFont="1" applyFill="1" applyBorder="1" applyAlignment="1" applyProtection="1">
      <alignment horizontal="center"/>
      <protection locked="0"/>
    </xf>
    <xf numFmtId="0" fontId="30" fillId="0" borderId="3" xfId="4495" applyFont="1" applyBorder="1" applyAlignment="1">
      <alignment horizontal="center"/>
    </xf>
    <xf numFmtId="0" fontId="30" fillId="0" borderId="4" xfId="4495" applyFont="1" applyBorder="1" applyAlignment="1">
      <alignment horizontal="center"/>
    </xf>
    <xf numFmtId="0" fontId="30" fillId="0" borderId="5" xfId="4495" applyFont="1" applyBorder="1" applyAlignment="1">
      <alignment horizontal="center"/>
    </xf>
    <xf numFmtId="164" fontId="70" fillId="0" borderId="1" xfId="4495" applyNumberFormat="1" applyFont="1" applyBorder="1" applyAlignment="1">
      <alignment horizontal="right" vertical="center"/>
    </xf>
    <xf numFmtId="164" fontId="70" fillId="0" borderId="2" xfId="4495" applyNumberFormat="1" applyFont="1" applyBorder="1" applyAlignment="1">
      <alignment horizontal="right" vertical="center"/>
    </xf>
    <xf numFmtId="164" fontId="70" fillId="0" borderId="7" xfId="4495" applyNumberFormat="1" applyFont="1" applyBorder="1" applyAlignment="1">
      <alignment horizontal="right" vertical="center"/>
    </xf>
    <xf numFmtId="164" fontId="70" fillId="0" borderId="9" xfId="4495" applyNumberFormat="1" applyFont="1" applyBorder="1" applyAlignment="1">
      <alignment horizontal="right" vertical="center"/>
    </xf>
    <xf numFmtId="164" fontId="70" fillId="0" borderId="6" xfId="4495" applyNumberFormat="1" applyFont="1" applyBorder="1" applyAlignment="1">
      <alignment horizontal="right" vertical="center"/>
    </xf>
    <xf numFmtId="164" fontId="70" fillId="0" borderId="10" xfId="4495" applyNumberFormat="1" applyFont="1" applyBorder="1" applyAlignment="1">
      <alignment horizontal="right" vertical="center"/>
    </xf>
    <xf numFmtId="180" fontId="70" fillId="0" borderId="1" xfId="4495" applyNumberFormat="1" applyFont="1" applyBorder="1" applyAlignment="1">
      <alignment horizontal="center" vertical="center"/>
    </xf>
    <xf numFmtId="180" fontId="70" fillId="0" borderId="2" xfId="4495" applyNumberFormat="1" applyFont="1" applyBorder="1" applyAlignment="1">
      <alignment horizontal="center" vertical="center"/>
    </xf>
    <xf numFmtId="180" fontId="70" fillId="0" borderId="7" xfId="4495" applyNumberFormat="1" applyFont="1" applyBorder="1" applyAlignment="1">
      <alignment horizontal="center" vertical="center"/>
    </xf>
    <xf numFmtId="180" fontId="70" fillId="0" borderId="9" xfId="4495" applyNumberFormat="1" applyFont="1" applyBorder="1" applyAlignment="1">
      <alignment horizontal="center" vertical="center"/>
    </xf>
    <xf numFmtId="180" fontId="70" fillId="0" borderId="6" xfId="4495" applyNumberFormat="1" applyFont="1" applyBorder="1" applyAlignment="1">
      <alignment horizontal="center" vertical="center"/>
    </xf>
    <xf numFmtId="180" fontId="70" fillId="0" borderId="10" xfId="4495" applyNumberFormat="1" applyFont="1" applyBorder="1" applyAlignment="1">
      <alignment horizontal="center" vertical="center"/>
    </xf>
    <xf numFmtId="0" fontId="126" fillId="0" borderId="53" xfId="4495" applyBorder="1" applyAlignment="1">
      <alignment horizontal="center"/>
    </xf>
    <xf numFmtId="0" fontId="126" fillId="0" borderId="0" xfId="4495" applyAlignment="1">
      <alignment horizontal="center"/>
    </xf>
    <xf numFmtId="0" fontId="31" fillId="5" borderId="0" xfId="4495" applyFont="1" applyFill="1" applyAlignment="1">
      <alignment horizontal="left" vertical="top"/>
    </xf>
    <xf numFmtId="0" fontId="126" fillId="5" borderId="53" xfId="4495" applyFill="1" applyBorder="1" applyAlignment="1">
      <alignment horizontal="center"/>
    </xf>
    <xf numFmtId="0" fontId="126" fillId="5" borderId="0" xfId="4495" applyFill="1" applyAlignment="1">
      <alignment horizontal="center"/>
    </xf>
    <xf numFmtId="0" fontId="126" fillId="5" borderId="55" xfId="4495" applyFill="1" applyBorder="1" applyAlignment="1">
      <alignment horizontal="center"/>
    </xf>
    <xf numFmtId="0" fontId="126" fillId="5" borderId="6" xfId="4495" applyFill="1" applyBorder="1" applyAlignment="1">
      <alignment horizontal="center"/>
    </xf>
    <xf numFmtId="0" fontId="31" fillId="5" borderId="0" xfId="4495" applyFont="1" applyFill="1" applyAlignment="1">
      <alignment horizontal="left" vertical="top" wrapText="1"/>
    </xf>
    <xf numFmtId="0" fontId="31" fillId="5" borderId="58" xfId="4495" applyFont="1" applyFill="1" applyBorder="1" applyAlignment="1">
      <alignment horizontal="left" vertical="top" wrapText="1"/>
    </xf>
    <xf numFmtId="0" fontId="30" fillId="0" borderId="51" xfId="4495" applyFont="1" applyBorder="1" applyAlignment="1">
      <alignment horizontal="center" vertical="top"/>
    </xf>
    <xf numFmtId="0" fontId="30" fillId="0" borderId="52" xfId="4495" applyFont="1" applyBorder="1" applyAlignment="1">
      <alignment horizontal="center" vertical="top"/>
    </xf>
    <xf numFmtId="168" fontId="23" fillId="43" borderId="6" xfId="543" applyNumberFormat="1" applyFill="1" applyBorder="1" applyAlignment="1" applyProtection="1">
      <alignment horizontal="center"/>
      <protection locked="0"/>
    </xf>
    <xf numFmtId="0" fontId="23" fillId="0" borderId="6" xfId="1192" applyBorder="1" applyAlignment="1">
      <alignment horizontal="right"/>
    </xf>
    <xf numFmtId="10" fontId="31" fillId="0" borderId="2" xfId="4495" applyNumberFormat="1" applyFont="1" applyBorder="1" applyAlignment="1">
      <alignment horizontal="center"/>
    </xf>
    <xf numFmtId="4" fontId="31" fillId="0" borderId="0" xfId="4495" applyNumberFormat="1" applyFont="1" applyAlignment="1">
      <alignment horizontal="center"/>
    </xf>
    <xf numFmtId="9" fontId="31" fillId="5" borderId="6" xfId="4495" applyNumberFormat="1" applyFont="1" applyFill="1" applyBorder="1" applyAlignment="1">
      <alignment horizontal="left"/>
    </xf>
    <xf numFmtId="0" fontId="39" fillId="42" borderId="2" xfId="4495" applyFont="1" applyFill="1" applyBorder="1" applyAlignment="1">
      <alignment horizontal="center"/>
    </xf>
    <xf numFmtId="0" fontId="39" fillId="42" borderId="6" xfId="4495" applyFont="1" applyFill="1" applyBorder="1" applyAlignment="1">
      <alignment horizontal="center"/>
    </xf>
    <xf numFmtId="168" fontId="23" fillId="0" borderId="4" xfId="4496" applyNumberFormat="1" applyFont="1" applyBorder="1" applyAlignment="1">
      <alignment horizontal="center"/>
    </xf>
    <xf numFmtId="9" fontId="23" fillId="0" borderId="4" xfId="4496" applyNumberFormat="1" applyFont="1" applyBorder="1" applyAlignment="1">
      <alignment horizontal="center"/>
    </xf>
    <xf numFmtId="168" fontId="23" fillId="0" borderId="6" xfId="1192" applyNumberFormat="1" applyBorder="1" applyAlignment="1">
      <alignment horizontal="right"/>
    </xf>
    <xf numFmtId="168" fontId="23" fillId="43" borderId="6" xfId="1192" applyNumberFormat="1" applyFill="1" applyBorder="1" applyAlignment="1" applyProtection="1">
      <alignment horizontal="right"/>
      <protection locked="0"/>
    </xf>
    <xf numFmtId="0" fontId="31" fillId="5" borderId="58" xfId="4495" applyFont="1" applyFill="1" applyBorder="1" applyAlignment="1">
      <alignment horizontal="left"/>
    </xf>
    <xf numFmtId="0" fontId="59" fillId="0" borderId="51" xfId="4495" applyFont="1" applyBorder="1" applyAlignment="1">
      <alignment horizontal="left" vertical="top" wrapText="1"/>
    </xf>
    <xf numFmtId="0" fontId="59" fillId="0" borderId="0" xfId="4495" applyFont="1" applyAlignment="1">
      <alignment horizontal="left" vertical="top" wrapText="1"/>
    </xf>
    <xf numFmtId="9" fontId="31" fillId="5" borderId="58" xfId="4495" applyNumberFormat="1" applyFont="1" applyFill="1" applyBorder="1" applyAlignment="1">
      <alignment horizontal="left"/>
    </xf>
    <xf numFmtId="0" fontId="31" fillId="5" borderId="6" xfId="4495" applyFont="1" applyFill="1" applyBorder="1" applyAlignment="1">
      <alignment horizontal="left"/>
    </xf>
    <xf numFmtId="4" fontId="31" fillId="0" borderId="3" xfId="4495" applyNumberFormat="1" applyFont="1" applyBorder="1" applyAlignment="1">
      <alignment horizontal="center"/>
    </xf>
    <xf numFmtId="4" fontId="31" fillId="0" borderId="4" xfId="4495" applyNumberFormat="1" applyFont="1" applyBorder="1" applyAlignment="1">
      <alignment horizontal="center"/>
    </xf>
    <xf numFmtId="4" fontId="31" fillId="0" borderId="5" xfId="4495" applyNumberFormat="1" applyFont="1" applyBorder="1" applyAlignment="1">
      <alignment horizontal="center"/>
    </xf>
    <xf numFmtId="165" fontId="128" fillId="0" borderId="3" xfId="4496" applyNumberFormat="1" applyFont="1" applyBorder="1" applyAlignment="1">
      <alignment horizontal="center" vertical="top" wrapText="1"/>
    </xf>
    <xf numFmtId="165" fontId="128" fillId="0" borderId="5" xfId="4496" applyNumberFormat="1" applyFont="1" applyBorder="1" applyAlignment="1">
      <alignment horizontal="center" vertical="top" wrapText="1"/>
    </xf>
    <xf numFmtId="3" fontId="23" fillId="43" borderId="6" xfId="1192" applyNumberFormat="1" applyFill="1" applyBorder="1" applyAlignment="1" applyProtection="1">
      <alignment horizontal="right"/>
      <protection locked="0"/>
    </xf>
    <xf numFmtId="0" fontId="147" fillId="0" borderId="0" xfId="1192" applyFont="1" applyAlignment="1">
      <alignment horizontal="center"/>
    </xf>
    <xf numFmtId="4" fontId="31" fillId="0" borderId="6" xfId="4495" applyNumberFormat="1" applyFont="1" applyBorder="1" applyAlignment="1">
      <alignment horizontal="center"/>
    </xf>
    <xf numFmtId="0" fontId="30" fillId="0" borderId="0" xfId="4495" applyFont="1" applyAlignment="1">
      <alignment horizontal="left" wrapText="1"/>
    </xf>
    <xf numFmtId="164" fontId="23" fillId="0" borderId="50" xfId="4495" applyNumberFormat="1" applyFont="1" applyBorder="1" applyAlignment="1">
      <alignment horizontal="left" vertical="top" wrapText="1"/>
    </xf>
    <xf numFmtId="164" fontId="23" fillId="0" borderId="51" xfId="4495" applyNumberFormat="1" applyFont="1" applyBorder="1" applyAlignment="1">
      <alignment horizontal="left" vertical="top" wrapText="1"/>
    </xf>
    <xf numFmtId="164" fontId="23" fillId="0" borderId="52" xfId="4495" applyNumberFormat="1" applyFont="1" applyBorder="1" applyAlignment="1">
      <alignment horizontal="left" vertical="top" wrapText="1"/>
    </xf>
    <xf numFmtId="164" fontId="23" fillId="0" borderId="53" xfId="4495" applyNumberFormat="1" applyFont="1" applyBorder="1" applyAlignment="1">
      <alignment horizontal="left" vertical="top" wrapText="1"/>
    </xf>
    <xf numFmtId="164" fontId="23" fillId="0" borderId="0" xfId="4495" applyNumberFormat="1" applyFont="1" applyAlignment="1">
      <alignment horizontal="left" vertical="top" wrapText="1"/>
    </xf>
    <xf numFmtId="164" fontId="23" fillId="0" borderId="54" xfId="4495" applyNumberFormat="1" applyFont="1" applyBorder="1" applyAlignment="1">
      <alignment horizontal="left" vertical="top" wrapText="1"/>
    </xf>
    <xf numFmtId="164" fontId="23" fillId="0" borderId="57" xfId="4495" applyNumberFormat="1" applyFont="1" applyBorder="1" applyAlignment="1">
      <alignment horizontal="left" vertical="top" wrapText="1"/>
    </xf>
    <xf numFmtId="164" fontId="23" fillId="0" borderId="58" xfId="4495" applyNumberFormat="1" applyFont="1" applyBorder="1" applyAlignment="1">
      <alignment horizontal="left" vertical="top" wrapText="1"/>
    </xf>
    <xf numFmtId="164" fontId="23" fillId="0" borderId="59" xfId="4495" applyNumberFormat="1" applyFont="1" applyBorder="1" applyAlignment="1">
      <alignment horizontal="left" vertical="top" wrapText="1"/>
    </xf>
    <xf numFmtId="168" fontId="23" fillId="0" borderId="4" xfId="1192" applyNumberFormat="1" applyBorder="1" applyAlignment="1">
      <alignment horizontal="right"/>
    </xf>
    <xf numFmtId="0" fontId="124" fillId="0" borderId="4" xfId="1192" applyFont="1" applyBorder="1" applyAlignment="1">
      <alignment horizontal="left"/>
    </xf>
    <xf numFmtId="0" fontId="126" fillId="5" borderId="62" xfId="4495" applyFill="1" applyBorder="1" applyAlignment="1">
      <alignment horizontal="center"/>
    </xf>
    <xf numFmtId="0" fontId="126" fillId="5" borderId="63" xfId="4495" applyFill="1" applyBorder="1" applyAlignment="1">
      <alignment horizontal="center"/>
    </xf>
    <xf numFmtId="0" fontId="29" fillId="3" borderId="0" xfId="0" applyFont="1" applyFill="1" applyAlignment="1">
      <alignment horizontal="center" vertical="center" wrapText="1"/>
    </xf>
    <xf numFmtId="0" fontId="29" fillId="3" borderId="16" xfId="0" applyFont="1" applyFill="1" applyBorder="1" applyAlignment="1">
      <alignment horizontal="center" vertical="center" wrapText="1"/>
    </xf>
    <xf numFmtId="0" fontId="23" fillId="0" borderId="0" xfId="0" applyFont="1" applyAlignment="1">
      <alignment horizontal="left" vertical="top" wrapText="1"/>
    </xf>
    <xf numFmtId="0" fontId="111" fillId="0" borderId="0" xfId="0" applyFont="1" applyAlignment="1">
      <alignment horizontal="left" vertical="top" wrapText="1"/>
    </xf>
    <xf numFmtId="0" fontId="24" fillId="0" borderId="0" xfId="244" applyAlignment="1">
      <alignment horizontal="left" vertical="top"/>
    </xf>
    <xf numFmtId="0" fontId="52" fillId="0" borderId="0" xfId="0" applyFont="1" applyAlignment="1">
      <alignment horizontal="left" vertical="top" wrapText="1"/>
    </xf>
    <xf numFmtId="0" fontId="119" fillId="0" borderId="0" xfId="0" applyFont="1" applyAlignment="1">
      <alignment horizontal="left" wrapText="1"/>
    </xf>
    <xf numFmtId="0" fontId="23" fillId="0" borderId="0" xfId="0" applyFont="1" applyAlignment="1">
      <alignment horizontal="left" wrapText="1"/>
    </xf>
    <xf numFmtId="0" fontId="32" fillId="0" borderId="0" xfId="0" applyFont="1" applyAlignment="1">
      <alignment horizontal="left" wrapText="1"/>
    </xf>
    <xf numFmtId="0" fontId="24" fillId="0" borderId="0" xfId="244" applyAlignment="1" applyProtection="1">
      <alignment horizontal="left"/>
    </xf>
    <xf numFmtId="0" fontId="24" fillId="0" borderId="0" xfId="244"/>
    <xf numFmtId="0" fontId="0" fillId="0" borderId="0" xfId="0"/>
    <xf numFmtId="0" fontId="23" fillId="0" borderId="0" xfId="1192" applyAlignment="1">
      <alignment horizontal="left" vertical="top" wrapText="1"/>
    </xf>
    <xf numFmtId="0" fontId="30" fillId="0" borderId="0" xfId="0" applyFont="1" applyAlignment="1">
      <alignment horizontal="left" vertical="top" wrapText="1"/>
    </xf>
    <xf numFmtId="0" fontId="120" fillId="0" borderId="0" xfId="569" applyFont="1" applyAlignment="1">
      <alignment horizontal="center"/>
    </xf>
    <xf numFmtId="0" fontId="121" fillId="0" borderId="0" xfId="569" applyFont="1"/>
    <xf numFmtId="0" fontId="23" fillId="0" borderId="0" xfId="569" applyAlignment="1">
      <alignment wrapText="1"/>
    </xf>
    <xf numFmtId="0" fontId="30" fillId="0" borderId="0" xfId="569" applyFont="1" applyAlignment="1">
      <alignment wrapText="1"/>
    </xf>
    <xf numFmtId="0" fontId="38" fillId="0" borderId="0" xfId="569" applyFont="1" applyAlignment="1">
      <alignment horizontal="center"/>
    </xf>
    <xf numFmtId="0" fontId="23" fillId="0" borderId="0" xfId="569"/>
    <xf numFmtId="0" fontId="23" fillId="0" borderId="0" xfId="1192" applyAlignment="1">
      <alignment vertical="top" wrapText="1"/>
    </xf>
    <xf numFmtId="0" fontId="23" fillId="0" borderId="0" xfId="0" applyFont="1" applyAlignment="1">
      <alignment horizontal="left" vertical="top"/>
    </xf>
    <xf numFmtId="4" fontId="23" fillId="0" borderId="0" xfId="569" applyNumberFormat="1" applyAlignment="1">
      <alignment horizontal="left"/>
    </xf>
    <xf numFmtId="0" fontId="41" fillId="0" borderId="0" xfId="569" applyFont="1" applyAlignment="1">
      <alignment horizontal="left" vertical="top"/>
    </xf>
    <xf numFmtId="4" fontId="41" fillId="0" borderId="0" xfId="0" applyNumberFormat="1" applyFont="1" applyAlignment="1">
      <alignment horizontal="left"/>
    </xf>
    <xf numFmtId="4" fontId="23" fillId="0" borderId="0" xfId="0" applyNumberFormat="1" applyFont="1" applyAlignment="1">
      <alignment horizontal="left"/>
    </xf>
    <xf numFmtId="0" fontId="30" fillId="0" borderId="4" xfId="0" applyFont="1" applyBorder="1" applyAlignment="1">
      <alignment horizontal="left"/>
    </xf>
    <xf numFmtId="0" fontId="41" fillId="0" borderId="0" xfId="0" applyFont="1" applyAlignment="1">
      <alignment horizontal="left" vertical="top"/>
    </xf>
    <xf numFmtId="49" fontId="23" fillId="0" borderId="0" xfId="0" applyNumberFormat="1" applyFont="1" applyAlignment="1">
      <alignment horizontal="left" vertical="top" wrapText="1"/>
    </xf>
    <xf numFmtId="0" fontId="41" fillId="0" borderId="0" xfId="0" applyFont="1" applyAlignment="1">
      <alignment horizontal="left"/>
    </xf>
    <xf numFmtId="0" fontId="23" fillId="0" borderId="0" xfId="0" applyFont="1" applyAlignment="1">
      <alignment horizontal="left"/>
    </xf>
    <xf numFmtId="0" fontId="30" fillId="0" borderId="0" xfId="0" applyFont="1" applyAlignment="1">
      <alignment vertical="top" wrapText="1"/>
    </xf>
    <xf numFmtId="4" fontId="23" fillId="0" borderId="0" xfId="0" applyNumberFormat="1" applyFont="1" applyAlignment="1">
      <alignment horizontal="left" vertical="top" wrapText="1"/>
    </xf>
    <xf numFmtId="0" fontId="23" fillId="0" borderId="0" xfId="0" applyFont="1" applyAlignment="1">
      <alignment horizontal="left" vertical="center" wrapText="1"/>
    </xf>
    <xf numFmtId="0" fontId="23" fillId="0" borderId="0" xfId="569" applyAlignment="1">
      <alignment horizontal="left" wrapText="1"/>
    </xf>
    <xf numFmtId="0" fontId="23" fillId="0" borderId="0" xfId="0" applyFont="1" applyAlignment="1">
      <alignment vertical="top" wrapText="1"/>
    </xf>
    <xf numFmtId="0" fontId="24" fillId="0" borderId="0" xfId="244" applyFill="1" applyBorder="1" applyAlignment="1">
      <alignment horizontal="left" vertical="top" wrapText="1"/>
    </xf>
    <xf numFmtId="0" fontId="23" fillId="0" borderId="0" xfId="0" applyFont="1" applyAlignment="1">
      <alignment vertical="center" wrapText="1"/>
    </xf>
    <xf numFmtId="0" fontId="30" fillId="0" borderId="0" xfId="1192" applyFont="1" applyAlignment="1">
      <alignment horizontal="left" vertical="top" wrapText="1"/>
    </xf>
    <xf numFmtId="4" fontId="23" fillId="0" borderId="0" xfId="569" applyNumberFormat="1" applyAlignment="1">
      <alignment horizontal="left" vertical="top" wrapText="1"/>
    </xf>
    <xf numFmtId="0" fontId="23" fillId="0" borderId="0" xfId="569" applyAlignment="1">
      <alignment horizontal="left" vertical="top" wrapText="1"/>
    </xf>
    <xf numFmtId="0" fontId="30" fillId="0" borderId="4" xfId="569" applyFont="1" applyBorder="1" applyAlignment="1">
      <alignment horizontal="left"/>
    </xf>
    <xf numFmtId="0" fontId="23" fillId="0" borderId="0" xfId="569" applyAlignment="1">
      <alignment horizontal="left"/>
    </xf>
    <xf numFmtId="0" fontId="41" fillId="0" borderId="0" xfId="569" applyFont="1" applyAlignment="1">
      <alignment horizontal="left"/>
    </xf>
    <xf numFmtId="0" fontId="30" fillId="0" borderId="4" xfId="569" applyFont="1" applyBorder="1" applyAlignment="1">
      <alignment horizontal="left" vertical="top"/>
    </xf>
    <xf numFmtId="0" fontId="24" fillId="0" borderId="0" xfId="244" quotePrefix="1" applyAlignment="1" applyProtection="1">
      <alignment horizontal="left"/>
    </xf>
    <xf numFmtId="0" fontId="23" fillId="0" borderId="0" xfId="569" applyAlignment="1">
      <alignment horizontal="left" vertical="top"/>
    </xf>
    <xf numFmtId="0" fontId="23" fillId="0" borderId="0" xfId="0" quotePrefix="1" applyFont="1" applyAlignment="1">
      <alignment horizontal="left" vertical="top"/>
    </xf>
    <xf numFmtId="0" fontId="41" fillId="0" borderId="0" xfId="0" applyFont="1" applyAlignment="1">
      <alignment horizontal="left" vertical="top" wrapText="1"/>
    </xf>
    <xf numFmtId="0" fontId="23" fillId="0" borderId="0" xfId="0" quotePrefix="1" applyFont="1" applyAlignment="1">
      <alignment horizontal="left" vertical="top" wrapText="1"/>
    </xf>
    <xf numFmtId="0" fontId="23" fillId="0" borderId="0" xfId="1192" applyAlignment="1">
      <alignment horizontal="left"/>
    </xf>
    <xf numFmtId="0" fontId="30" fillId="0" borderId="16" xfId="569" applyFont="1" applyBorder="1" applyAlignment="1">
      <alignment horizontal="left"/>
    </xf>
    <xf numFmtId="4" fontId="41" fillId="0" borderId="0" xfId="569" applyNumberFormat="1" applyFont="1" applyAlignment="1">
      <alignment horizontal="left" vertical="top" wrapText="1"/>
    </xf>
    <xf numFmtId="0" fontId="23" fillId="0" borderId="0" xfId="1192" applyAlignment="1" applyProtection="1">
      <alignment horizontal="left" vertical="top" wrapText="1"/>
      <protection locked="0"/>
    </xf>
    <xf numFmtId="0" fontId="0" fillId="0" borderId="0" xfId="0" applyAlignment="1">
      <alignment horizontal="left" vertical="top" wrapText="1"/>
    </xf>
    <xf numFmtId="0" fontId="41" fillId="0" borderId="0" xfId="1192" applyFont="1" applyAlignment="1">
      <alignment horizontal="left" vertical="top" wrapText="1"/>
    </xf>
    <xf numFmtId="4" fontId="23" fillId="0" borderId="0" xfId="1192" applyNumberFormat="1" applyAlignment="1">
      <alignment horizontal="left" vertical="top" wrapText="1"/>
    </xf>
    <xf numFmtId="0" fontId="23" fillId="0" borderId="0" xfId="569" applyAlignment="1">
      <alignment vertical="top" wrapText="1"/>
    </xf>
    <xf numFmtId="4" fontId="41" fillId="0" borderId="0" xfId="0" applyNumberFormat="1" applyFont="1" applyAlignment="1">
      <alignment horizontal="left" vertical="top" wrapText="1"/>
    </xf>
    <xf numFmtId="0" fontId="30" fillId="0" borderId="4" xfId="0" applyFont="1" applyBorder="1" applyAlignment="1">
      <alignment horizontal="left" vertical="top"/>
    </xf>
    <xf numFmtId="0" fontId="41" fillId="0" borderId="0" xfId="569" applyFont="1" applyAlignment="1">
      <alignment horizontal="left" vertical="top" wrapText="1"/>
    </xf>
    <xf numFmtId="0" fontId="23" fillId="0" borderId="27" xfId="569" applyBorder="1" applyAlignment="1">
      <alignment horizontal="left"/>
    </xf>
    <xf numFmtId="0" fontId="30" fillId="0" borderId="0" xfId="569" applyFont="1" applyAlignment="1">
      <alignment horizontal="center"/>
    </xf>
    <xf numFmtId="0" fontId="24" fillId="0" borderId="0" xfId="244" applyNumberFormat="1" applyFill="1" applyAlignment="1" applyProtection="1">
      <alignment horizontal="left"/>
    </xf>
    <xf numFmtId="0" fontId="41" fillId="0" borderId="0" xfId="569" applyFont="1" applyAlignment="1">
      <alignment horizontal="left" wrapText="1"/>
    </xf>
    <xf numFmtId="0" fontId="41" fillId="0" borderId="0" xfId="569" applyFont="1" applyAlignment="1">
      <alignment horizontal="center" wrapText="1"/>
    </xf>
    <xf numFmtId="49" fontId="23" fillId="0" borderId="0" xfId="1192" applyNumberFormat="1" applyAlignment="1">
      <alignment horizontal="left" vertical="top" wrapText="1"/>
    </xf>
    <xf numFmtId="0" fontId="23" fillId="0" borderId="0" xfId="569" applyAlignment="1">
      <alignment horizontal="left" vertical="center" wrapText="1"/>
    </xf>
    <xf numFmtId="0" fontId="30" fillId="0" borderId="0" xfId="0" applyFont="1" applyAlignment="1">
      <alignment horizontal="left" vertical="top"/>
    </xf>
    <xf numFmtId="0" fontId="30" fillId="0" borderId="0" xfId="569" applyFont="1" applyAlignment="1">
      <alignment horizontal="left"/>
    </xf>
    <xf numFmtId="0" fontId="41" fillId="0" borderId="0" xfId="1192" applyFont="1" applyAlignment="1">
      <alignment horizontal="left"/>
    </xf>
    <xf numFmtId="0" fontId="24" fillId="0" borderId="0" xfId="244" applyAlignment="1" applyProtection="1">
      <alignment horizontal="left" vertical="top" wrapText="1"/>
    </xf>
    <xf numFmtId="0" fontId="41" fillId="0" borderId="0" xfId="569" applyFont="1" applyAlignment="1">
      <alignment horizontal="center"/>
    </xf>
    <xf numFmtId="0" fontId="23" fillId="0" borderId="9" xfId="543" applyBorder="1" applyAlignment="1">
      <alignment horizontal="left" vertical="top" wrapText="1"/>
    </xf>
    <xf numFmtId="0" fontId="23" fillId="0" borderId="6" xfId="543" applyBorder="1" applyAlignment="1">
      <alignment horizontal="left" vertical="top" wrapText="1"/>
    </xf>
    <xf numFmtId="0" fontId="23" fillId="0" borderId="10" xfId="543" applyBorder="1" applyAlignment="1">
      <alignment horizontal="left" vertical="top" wrapText="1"/>
    </xf>
    <xf numFmtId="168" fontId="23" fillId="0" borderId="11" xfId="543" applyNumberFormat="1" applyBorder="1" applyAlignment="1">
      <alignment horizontal="center"/>
    </xf>
    <xf numFmtId="0" fontId="0" fillId="5" borderId="6" xfId="0" applyFill="1" applyBorder="1" applyAlignment="1" applyProtection="1">
      <alignment horizontal="center"/>
      <protection locked="0"/>
    </xf>
    <xf numFmtId="0" fontId="32" fillId="0" borderId="0" xfId="543" applyFont="1" applyAlignment="1">
      <alignment horizontal="center"/>
    </xf>
    <xf numFmtId="0" fontId="0" fillId="0" borderId="0" xfId="0" applyAlignment="1">
      <alignment horizontal="center"/>
    </xf>
    <xf numFmtId="0" fontId="23" fillId="0" borderId="0" xfId="543" applyAlignment="1">
      <alignment wrapText="1"/>
    </xf>
    <xf numFmtId="0" fontId="30" fillId="0" borderId="0" xfId="0" applyFont="1" applyAlignment="1">
      <alignment horizontal="center"/>
    </xf>
    <xf numFmtId="0" fontId="164" fillId="0" borderId="8" xfId="543" applyFont="1" applyBorder="1" applyAlignment="1">
      <alignment horizontal="center" wrapText="1"/>
    </xf>
    <xf numFmtId="0" fontId="164" fillId="0" borderId="0" xfId="543" applyFont="1" applyAlignment="1">
      <alignment horizontal="center" wrapText="1"/>
    </xf>
    <xf numFmtId="0" fontId="164" fillId="0" borderId="12" xfId="543" applyFont="1" applyBorder="1" applyAlignment="1">
      <alignment horizontal="center" wrapText="1"/>
    </xf>
    <xf numFmtId="0" fontId="164" fillId="0" borderId="9" xfId="543" applyFont="1" applyBorder="1" applyAlignment="1">
      <alignment horizontal="center" wrapText="1"/>
    </xf>
    <xf numFmtId="0" fontId="164" fillId="0" borderId="6" xfId="543" applyFont="1" applyBorder="1" applyAlignment="1">
      <alignment horizontal="center" wrapText="1"/>
    </xf>
    <xf numFmtId="0" fontId="164" fillId="0" borderId="10" xfId="543" applyFont="1" applyBorder="1" applyAlignment="1">
      <alignment horizontal="center" wrapText="1"/>
    </xf>
    <xf numFmtId="0" fontId="164" fillId="0" borderId="8" xfId="543" applyFont="1" applyBorder="1" applyAlignment="1">
      <alignment horizontal="center" vertical="top" wrapText="1"/>
    </xf>
    <xf numFmtId="0" fontId="164" fillId="0" borderId="0" xfId="543" applyFont="1" applyAlignment="1">
      <alignment horizontal="center" vertical="top" wrapText="1"/>
    </xf>
    <xf numFmtId="0" fontId="164" fillId="0" borderId="12" xfId="543" applyFont="1" applyBorder="1" applyAlignment="1">
      <alignment horizontal="center" vertical="top" wrapText="1"/>
    </xf>
    <xf numFmtId="0" fontId="164" fillId="0" borderId="9" xfId="543" applyFont="1" applyBorder="1" applyAlignment="1">
      <alignment horizontal="center" vertical="top" wrapText="1"/>
    </xf>
    <xf numFmtId="0" fontId="164" fillId="0" borderId="6" xfId="543" applyFont="1" applyBorder="1" applyAlignment="1">
      <alignment horizontal="center" vertical="top" wrapText="1"/>
    </xf>
    <xf numFmtId="0" fontId="164" fillId="0" borderId="10" xfId="543" applyFont="1" applyBorder="1" applyAlignment="1">
      <alignment horizontal="center" vertical="top" wrapText="1"/>
    </xf>
    <xf numFmtId="0" fontId="161" fillId="0" borderId="0" xfId="0" applyFont="1" applyAlignment="1">
      <alignment horizontal="center" vertical="center" wrapText="1"/>
    </xf>
    <xf numFmtId="1" fontId="32" fillId="5" borderId="3" xfId="0" applyNumberFormat="1" applyFont="1" applyFill="1" applyBorder="1" applyAlignment="1" applyProtection="1">
      <alignment horizontal="center"/>
      <protection locked="0"/>
    </xf>
    <xf numFmtId="1" fontId="32" fillId="5" borderId="4" xfId="0" applyNumberFormat="1" applyFont="1" applyFill="1" applyBorder="1" applyAlignment="1" applyProtection="1">
      <alignment horizontal="center"/>
      <protection locked="0"/>
    </xf>
    <xf numFmtId="1" fontId="3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32" fillId="5" borderId="3" xfId="0" applyFont="1" applyFill="1" applyBorder="1" applyAlignment="1" applyProtection="1">
      <alignment horizontal="center"/>
      <protection locked="0"/>
    </xf>
    <xf numFmtId="0" fontId="32" fillId="5" borderId="4" xfId="0" applyFont="1" applyFill="1" applyBorder="1" applyAlignment="1" applyProtection="1">
      <alignment horizontal="center"/>
      <protection locked="0"/>
    </xf>
    <xf numFmtId="0" fontId="32" fillId="5" borderId="5" xfId="0" applyFont="1" applyFill="1" applyBorder="1" applyAlignment="1" applyProtection="1">
      <alignment horizontal="center"/>
      <protection locked="0"/>
    </xf>
    <xf numFmtId="168" fontId="23" fillId="0" borderId="1" xfId="543" applyNumberFormat="1" applyBorder="1" applyAlignment="1">
      <alignment horizontal="center" vertical="center"/>
    </xf>
    <xf numFmtId="168" fontId="23" fillId="0" borderId="2" xfId="543" applyNumberFormat="1" applyBorder="1" applyAlignment="1">
      <alignment horizontal="center" vertical="center"/>
    </xf>
    <xf numFmtId="168" fontId="23" fillId="0" borderId="7" xfId="543" applyNumberFormat="1" applyBorder="1" applyAlignment="1">
      <alignment horizontal="center" vertical="center"/>
    </xf>
    <xf numFmtId="168" fontId="23" fillId="0" borderId="8" xfId="543" applyNumberFormat="1" applyBorder="1" applyAlignment="1">
      <alignment horizontal="center" vertical="center"/>
    </xf>
    <xf numFmtId="168" fontId="23" fillId="0" borderId="0" xfId="543" applyNumberFormat="1" applyAlignment="1">
      <alignment horizontal="center" vertical="center"/>
    </xf>
    <xf numFmtId="168" fontId="23" fillId="0" borderId="12" xfId="543" applyNumberFormat="1" applyBorder="1" applyAlignment="1">
      <alignment horizontal="center" vertical="center"/>
    </xf>
    <xf numFmtId="168" fontId="23" fillId="0" borderId="9" xfId="543" applyNumberFormat="1" applyBorder="1" applyAlignment="1">
      <alignment horizontal="center" vertical="center"/>
    </xf>
    <xf numFmtId="168" fontId="23" fillId="0" borderId="6" xfId="543" applyNumberFormat="1" applyBorder="1" applyAlignment="1">
      <alignment horizontal="center" vertical="center"/>
    </xf>
    <xf numFmtId="168" fontId="23"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23" fillId="5" borderId="3" xfId="0" applyNumberFormat="1" applyFont="1" applyFill="1" applyBorder="1" applyAlignment="1" applyProtection="1">
      <alignment horizontal="right"/>
      <protection locked="0"/>
    </xf>
    <xf numFmtId="168" fontId="23" fillId="5" borderId="4" xfId="0" applyNumberFormat="1" applyFont="1" applyFill="1" applyBorder="1" applyAlignment="1" applyProtection="1">
      <alignment horizontal="right"/>
      <protection locked="0"/>
    </xf>
    <xf numFmtId="168" fontId="23" fillId="5" borderId="5" xfId="0" applyNumberFormat="1" applyFont="1" applyFill="1" applyBorder="1" applyAlignment="1" applyProtection="1">
      <alignment horizontal="right"/>
      <protection locked="0"/>
    </xf>
    <xf numFmtId="0" fontId="23" fillId="5" borderId="3" xfId="0" applyFont="1" applyFill="1" applyBorder="1" applyAlignment="1" applyProtection="1">
      <alignment horizontal="left"/>
      <protection locked="0"/>
    </xf>
    <xf numFmtId="0" fontId="23" fillId="5" borderId="4" xfId="0" applyFont="1" applyFill="1" applyBorder="1" applyAlignment="1" applyProtection="1">
      <alignment horizontal="left"/>
      <protection locked="0"/>
    </xf>
    <xf numFmtId="0" fontId="23" fillId="5" borderId="5" xfId="0" applyFont="1" applyFill="1" applyBorder="1" applyAlignment="1" applyProtection="1">
      <alignment horizontal="left"/>
      <protection locked="0"/>
    </xf>
    <xf numFmtId="0" fontId="59" fillId="5" borderId="3" xfId="0" applyFont="1" applyFill="1" applyBorder="1" applyAlignment="1" applyProtection="1">
      <alignment horizontal="right"/>
      <protection locked="0"/>
    </xf>
    <xf numFmtId="0" fontId="59" fillId="5" borderId="4" xfId="0" applyFont="1" applyFill="1" applyBorder="1" applyAlignment="1" applyProtection="1">
      <alignment horizontal="right"/>
      <protection locked="0"/>
    </xf>
    <xf numFmtId="0" fontId="59" fillId="5" borderId="5" xfId="0" applyFont="1" applyFill="1" applyBorder="1" applyAlignment="1" applyProtection="1">
      <alignment horizontal="right"/>
      <protection locked="0"/>
    </xf>
    <xf numFmtId="182" fontId="31"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23" fillId="10" borderId="3" xfId="543" applyNumberFormat="1" applyFill="1" applyBorder="1" applyAlignment="1">
      <alignment horizontal="center"/>
    </xf>
    <xf numFmtId="168" fontId="23" fillId="10" borderId="4" xfId="543" applyNumberFormat="1" applyFill="1" applyBorder="1" applyAlignment="1">
      <alignment horizontal="center"/>
    </xf>
    <xf numFmtId="168" fontId="23" fillId="10" borderId="5" xfId="543" applyNumberFormat="1" applyFill="1" applyBorder="1" applyAlignment="1">
      <alignment horizontal="center"/>
    </xf>
    <xf numFmtId="0" fontId="31" fillId="5" borderId="3" xfId="543" applyFont="1" applyFill="1" applyBorder="1" applyAlignment="1" applyProtection="1">
      <alignment horizontal="left" vertical="top" wrapText="1"/>
      <protection locked="0"/>
    </xf>
    <xf numFmtId="0" fontId="31" fillId="5" borderId="4" xfId="543" applyFont="1" applyFill="1" applyBorder="1" applyAlignment="1" applyProtection="1">
      <alignment horizontal="left" vertical="top" wrapText="1"/>
      <protection locked="0"/>
    </xf>
    <xf numFmtId="0" fontId="31" fillId="5" borderId="5" xfId="543" applyFont="1" applyFill="1" applyBorder="1" applyAlignment="1" applyProtection="1">
      <alignment horizontal="left" vertical="top" wrapText="1"/>
      <protection locked="0"/>
    </xf>
    <xf numFmtId="0" fontId="23" fillId="2" borderId="3" xfId="543" applyFill="1" applyBorder="1" applyAlignment="1">
      <alignment horizontal="center"/>
    </xf>
    <xf numFmtId="0" fontId="23" fillId="2" borderId="4" xfId="543" applyFill="1" applyBorder="1" applyAlignment="1">
      <alignment horizontal="center"/>
    </xf>
    <xf numFmtId="0" fontId="23" fillId="2" borderId="5" xfId="543" applyFill="1" applyBorder="1" applyAlignment="1">
      <alignment horizontal="center"/>
    </xf>
    <xf numFmtId="0" fontId="31" fillId="0" borderId="0" xfId="0" applyFont="1" applyAlignment="1">
      <alignment horizontal="center"/>
    </xf>
    <xf numFmtId="168" fontId="32" fillId="0" borderId="4" xfId="0" applyNumberFormat="1" applyFont="1" applyBorder="1" applyAlignment="1">
      <alignment horizontal="center"/>
    </xf>
    <xf numFmtId="168" fontId="32" fillId="5" borderId="3" xfId="0" applyNumberFormat="1" applyFont="1" applyFill="1" applyBorder="1" applyAlignment="1" applyProtection="1">
      <alignment horizontal="center"/>
      <protection locked="0"/>
    </xf>
    <xf numFmtId="168" fontId="32" fillId="5" borderId="4" xfId="0" applyNumberFormat="1" applyFont="1" applyFill="1" applyBorder="1" applyAlignment="1" applyProtection="1">
      <alignment horizontal="center"/>
      <protection locked="0"/>
    </xf>
    <xf numFmtId="168" fontId="32" fillId="5" borderId="5" xfId="0" applyNumberFormat="1" applyFont="1" applyFill="1" applyBorder="1" applyAlignment="1" applyProtection="1">
      <alignment horizontal="center"/>
      <protection locked="0"/>
    </xf>
    <xf numFmtId="168" fontId="32" fillId="0" borderId="3" xfId="0" applyNumberFormat="1" applyFont="1" applyBorder="1" applyAlignment="1">
      <alignment horizontal="center"/>
    </xf>
    <xf numFmtId="168" fontId="32" fillId="0" borderId="5" xfId="0" applyNumberFormat="1" applyFont="1" applyBorder="1" applyAlignment="1">
      <alignment horizontal="center"/>
    </xf>
    <xf numFmtId="9" fontId="32" fillId="5" borderId="3" xfId="0" applyNumberFormat="1" applyFont="1" applyFill="1" applyBorder="1" applyAlignment="1" applyProtection="1">
      <alignment horizontal="center"/>
      <protection locked="0"/>
    </xf>
    <xf numFmtId="9" fontId="32" fillId="5" borderId="4" xfId="0" applyNumberFormat="1" applyFont="1" applyFill="1" applyBorder="1" applyAlignment="1" applyProtection="1">
      <alignment horizontal="center"/>
      <protection locked="0"/>
    </xf>
    <xf numFmtId="9" fontId="32"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32" fillId="0" borderId="1" xfId="0" applyFont="1" applyBorder="1" applyAlignment="1">
      <alignment horizontal="center" vertical="top" wrapText="1"/>
    </xf>
    <xf numFmtId="0" fontId="32" fillId="0" borderId="2" xfId="0" applyFont="1" applyBorder="1" applyAlignment="1">
      <alignment horizontal="center" vertical="top" wrapText="1"/>
    </xf>
    <xf numFmtId="0" fontId="32" fillId="0" borderId="7" xfId="0" applyFont="1" applyBorder="1" applyAlignment="1">
      <alignment horizontal="center" vertical="top" wrapText="1"/>
    </xf>
    <xf numFmtId="0" fontId="32" fillId="0" borderId="8" xfId="0" applyFont="1" applyBorder="1" applyAlignment="1">
      <alignment horizontal="center" vertical="top" wrapText="1"/>
    </xf>
    <xf numFmtId="0" fontId="32" fillId="0" borderId="0" xfId="0" applyFont="1" applyAlignment="1">
      <alignment horizontal="center" vertical="top" wrapText="1"/>
    </xf>
    <xf numFmtId="0" fontId="32" fillId="0" borderId="12" xfId="0" applyFont="1" applyBorder="1" applyAlignment="1">
      <alignment horizontal="center" vertical="top" wrapText="1"/>
    </xf>
    <xf numFmtId="0" fontId="32" fillId="0" borderId="9" xfId="0" applyFont="1" applyBorder="1" applyAlignment="1">
      <alignment horizontal="center" vertical="top" wrapText="1"/>
    </xf>
    <xf numFmtId="0" fontId="32" fillId="0" borderId="6" xfId="0" applyFont="1" applyBorder="1" applyAlignment="1">
      <alignment horizontal="center" vertical="top" wrapText="1"/>
    </xf>
    <xf numFmtId="0" fontId="32" fillId="0" borderId="10" xfId="0" applyFont="1" applyBorder="1" applyAlignment="1">
      <alignment horizontal="center" vertical="top" wrapText="1"/>
    </xf>
    <xf numFmtId="165" fontId="32" fillId="0" borderId="1" xfId="0" applyNumberFormat="1" applyFont="1" applyBorder="1" applyAlignment="1">
      <alignment horizontal="right"/>
    </xf>
    <xf numFmtId="165" fontId="32" fillId="0" borderId="2" xfId="0" applyNumberFormat="1" applyFont="1" applyBorder="1" applyAlignment="1">
      <alignment horizontal="right"/>
    </xf>
    <xf numFmtId="165" fontId="32" fillId="0" borderId="7" xfId="0" applyNumberFormat="1" applyFont="1" applyBorder="1" applyAlignment="1">
      <alignment horizontal="right"/>
    </xf>
    <xf numFmtId="0" fontId="30" fillId="0" borderId="1" xfId="543" applyFont="1" applyBorder="1" applyAlignment="1">
      <alignment horizontal="left" vertical="center" wrapText="1"/>
    </xf>
    <xf numFmtId="0" fontId="30" fillId="0" borderId="2" xfId="543" applyFont="1" applyBorder="1" applyAlignment="1">
      <alignment horizontal="left" vertical="center" wrapText="1"/>
    </xf>
    <xf numFmtId="0" fontId="30" fillId="0" borderId="7" xfId="543" applyFont="1" applyBorder="1" applyAlignment="1">
      <alignment horizontal="left" vertical="center" wrapText="1"/>
    </xf>
    <xf numFmtId="0" fontId="23" fillId="5" borderId="3" xfId="543" applyFill="1" applyBorder="1" applyAlignment="1" applyProtection="1">
      <alignment horizontal="left" vertical="top" wrapText="1"/>
      <protection locked="0"/>
    </xf>
    <xf numFmtId="0" fontId="32" fillId="5" borderId="4" xfId="543" applyFont="1" applyFill="1" applyBorder="1" applyAlignment="1" applyProtection="1">
      <alignment horizontal="left" vertical="top" wrapText="1"/>
      <protection locked="0"/>
    </xf>
    <xf numFmtId="0" fontId="32" fillId="5" borderId="5" xfId="543" applyFont="1" applyFill="1" applyBorder="1" applyAlignment="1" applyProtection="1">
      <alignment horizontal="left" vertical="top" wrapText="1"/>
      <protection locked="0"/>
    </xf>
    <xf numFmtId="0" fontId="23" fillId="0" borderId="8" xfId="543" applyBorder="1" applyAlignment="1">
      <alignment horizontal="left" vertical="center" wrapText="1"/>
    </xf>
    <xf numFmtId="0" fontId="23" fillId="0" borderId="0" xfId="543" applyAlignment="1">
      <alignment horizontal="left" vertical="center" wrapText="1"/>
    </xf>
    <xf numFmtId="0" fontId="23" fillId="0" borderId="12" xfId="543" applyBorder="1" applyAlignment="1">
      <alignment horizontal="left" vertical="center" wrapText="1"/>
    </xf>
    <xf numFmtId="0" fontId="23" fillId="0" borderId="9" xfId="543" applyBorder="1" applyAlignment="1">
      <alignment horizontal="left" vertical="center" wrapText="1"/>
    </xf>
    <xf numFmtId="0" fontId="23" fillId="0" borderId="6" xfId="543" applyBorder="1" applyAlignment="1">
      <alignment horizontal="left" vertical="center" wrapText="1"/>
    </xf>
    <xf numFmtId="0" fontId="23" fillId="0" borderId="10" xfId="543" applyBorder="1" applyAlignment="1">
      <alignment horizontal="left" vertical="center" wrapText="1"/>
    </xf>
    <xf numFmtId="0" fontId="23"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32" fillId="5" borderId="4" xfId="0" applyFont="1" applyFill="1" applyBorder="1" applyAlignment="1" applyProtection="1">
      <alignment wrapText="1"/>
      <protection locked="0"/>
    </xf>
    <xf numFmtId="1" fontId="32" fillId="5" borderId="11" xfId="0" applyNumberFormat="1" applyFont="1" applyFill="1" applyBorder="1" applyAlignment="1" applyProtection="1">
      <alignment horizontal="center"/>
      <protection locked="0"/>
    </xf>
    <xf numFmtId="0" fontId="32" fillId="0" borderId="11" xfId="0" applyFont="1" applyBorder="1" applyAlignment="1">
      <alignment horizontal="center" vertical="top" wrapText="1"/>
    </xf>
    <xf numFmtId="0" fontId="0" fillId="5" borderId="6" xfId="0"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6" xfId="0" applyBorder="1" applyAlignment="1">
      <alignment horizontal="left"/>
    </xf>
    <xf numFmtId="0" fontId="0" fillId="5" borderId="4" xfId="0" applyFill="1" applyBorder="1" applyAlignment="1" applyProtection="1">
      <alignment horizontal="lef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6" fontId="32" fillId="5" borderId="4" xfId="0" applyNumberFormat="1" applyFon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31" fillId="5" borderId="3" xfId="0" applyFont="1" applyFill="1" applyBorder="1" applyAlignment="1" applyProtection="1">
      <alignment horizontal="center"/>
      <protection locked="0"/>
    </xf>
    <xf numFmtId="0" fontId="31" fillId="5" borderId="4" xfId="0" applyFont="1" applyFill="1" applyBorder="1" applyAlignment="1" applyProtection="1">
      <alignment horizontal="center"/>
      <protection locked="0"/>
    </xf>
    <xf numFmtId="0" fontId="31"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56" fillId="0" borderId="0" xfId="0" applyFont="1" applyAlignment="1">
      <alignment horizontal="center"/>
    </xf>
    <xf numFmtId="0" fontId="23" fillId="0" borderId="0" xfId="0" applyFont="1" applyAlignment="1">
      <alignment horizontal="center"/>
    </xf>
    <xf numFmtId="0" fontId="38" fillId="0" borderId="0" xfId="0" applyFont="1" applyAlignment="1">
      <alignment horizontal="center"/>
    </xf>
    <xf numFmtId="0" fontId="23" fillId="0" borderId="0" xfId="0" applyFont="1" applyAlignment="1">
      <alignment wrapText="1"/>
    </xf>
    <xf numFmtId="0" fontId="23" fillId="0" borderId="0" xfId="0" applyFont="1" applyAlignment="1">
      <alignment horizontal="center" vertical="top"/>
    </xf>
    <xf numFmtId="0" fontId="32" fillId="0" borderId="0" xfId="0" applyFont="1" applyAlignment="1">
      <alignment horizontal="left" vertical="top" wrapText="1"/>
    </xf>
    <xf numFmtId="0" fontId="23" fillId="5" borderId="6" xfId="0" applyFont="1" applyFill="1" applyBorder="1" applyAlignment="1" applyProtection="1">
      <alignment horizontal="left"/>
      <protection locked="0"/>
    </xf>
    <xf numFmtId="0" fontId="32" fillId="5" borderId="6" xfId="0" applyFont="1" applyFill="1" applyBorder="1" applyAlignment="1" applyProtection="1">
      <alignment horizontal="left"/>
      <protection locked="0"/>
    </xf>
    <xf numFmtId="168" fontId="32" fillId="0" borderId="6" xfId="0" applyNumberFormat="1" applyFont="1" applyBorder="1" applyAlignment="1">
      <alignment horizontal="center"/>
    </xf>
    <xf numFmtId="0" fontId="23" fillId="5" borderId="6" xfId="0" applyFont="1" applyFill="1" applyBorder="1" applyAlignment="1" applyProtection="1">
      <alignment horizontal="left" wrapText="1"/>
      <protection locked="0"/>
    </xf>
    <xf numFmtId="0" fontId="32" fillId="5" borderId="6" xfId="0" applyFont="1" applyFill="1" applyBorder="1" applyAlignment="1" applyProtection="1">
      <alignment horizontal="left" wrapText="1"/>
      <protection locked="0"/>
    </xf>
    <xf numFmtId="0" fontId="29" fillId="3" borderId="0" xfId="0" applyFont="1" applyFill="1" applyAlignment="1">
      <alignment horizontal="center" vertical="center"/>
    </xf>
    <xf numFmtId="166" fontId="32" fillId="5" borderId="6" xfId="0" applyNumberFormat="1" applyFont="1" applyFill="1" applyBorder="1" applyAlignment="1" applyProtection="1">
      <alignment horizontal="left"/>
      <protection locked="0"/>
    </xf>
    <xf numFmtId="0" fontId="30" fillId="0" borderId="2"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2"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10" xfId="0" applyFont="1" applyBorder="1" applyAlignment="1">
      <alignment horizontal="center" vertical="center" wrapText="1"/>
    </xf>
    <xf numFmtId="0" fontId="32" fillId="5" borderId="4" xfId="0" applyFont="1" applyFill="1" applyBorder="1" applyAlignment="1" applyProtection="1">
      <alignment horizontal="left"/>
      <protection locked="0"/>
    </xf>
    <xf numFmtId="175" fontId="23" fillId="43" borderId="3" xfId="0" applyNumberFormat="1" applyFont="1" applyFill="1" applyBorder="1" applyAlignment="1" applyProtection="1">
      <alignment horizontal="center"/>
      <protection locked="0"/>
    </xf>
    <xf numFmtId="175" fontId="23" fillId="43" borderId="4" xfId="0" applyNumberFormat="1" applyFont="1" applyFill="1" applyBorder="1" applyAlignment="1" applyProtection="1">
      <alignment horizontal="center"/>
      <protection locked="0"/>
    </xf>
    <xf numFmtId="175" fontId="23" fillId="43" borderId="5" xfId="0" applyNumberFormat="1" applyFont="1" applyFill="1" applyBorder="1" applyAlignment="1" applyProtection="1">
      <alignment horizontal="center"/>
      <protection locked="0"/>
    </xf>
    <xf numFmtId="1" fontId="32" fillId="5" borderId="3" xfId="0" applyNumberFormat="1" applyFont="1" applyFill="1" applyBorder="1" applyAlignment="1" applyProtection="1">
      <alignment horizontal="right" vertical="top"/>
      <protection locked="0"/>
    </xf>
    <xf numFmtId="1" fontId="32" fillId="5" borderId="4" xfId="0" applyNumberFormat="1" applyFont="1" applyFill="1" applyBorder="1" applyAlignment="1" applyProtection="1">
      <alignment horizontal="right" vertical="top"/>
      <protection locked="0"/>
    </xf>
    <xf numFmtId="1" fontId="32" fillId="5" borderId="5" xfId="0" applyNumberFormat="1" applyFont="1" applyFill="1" applyBorder="1" applyAlignment="1" applyProtection="1">
      <alignment horizontal="right" vertical="top"/>
      <protection locked="0"/>
    </xf>
    <xf numFmtId="168" fontId="23" fillId="43" borderId="3" xfId="0" applyNumberFormat="1" applyFont="1" applyFill="1" applyBorder="1" applyAlignment="1" applyProtection="1">
      <alignment horizontal="center" vertical="center"/>
      <protection locked="0"/>
    </xf>
    <xf numFmtId="168" fontId="23" fillId="43" borderId="4" xfId="0" applyNumberFormat="1" applyFont="1" applyFill="1" applyBorder="1" applyAlignment="1" applyProtection="1">
      <alignment horizontal="center" vertical="center"/>
      <protection locked="0"/>
    </xf>
    <xf numFmtId="168" fontId="23" fillId="43" borderId="5" xfId="0" applyNumberFormat="1" applyFont="1" applyFill="1" applyBorder="1" applyAlignment="1" applyProtection="1">
      <alignment horizontal="center" vertical="center"/>
      <protection locked="0"/>
    </xf>
    <xf numFmtId="0" fontId="32" fillId="5" borderId="9" xfId="0" applyFont="1" applyFill="1" applyBorder="1" applyAlignment="1" applyProtection="1">
      <alignment horizontal="center"/>
      <protection locked="0"/>
    </xf>
    <xf numFmtId="0" fontId="32" fillId="5" borderId="6" xfId="0" applyFont="1"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23" fillId="43" borderId="3" xfId="0" applyNumberFormat="1" applyFont="1" applyFill="1" applyBorder="1" applyAlignment="1" applyProtection="1">
      <alignment horizontal="center" vertical="center"/>
      <protection locked="0"/>
    </xf>
    <xf numFmtId="175" fontId="23" fillId="43" borderId="4" xfId="0" applyNumberFormat="1" applyFont="1" applyFill="1" applyBorder="1" applyAlignment="1" applyProtection="1">
      <alignment horizontal="center" vertical="center"/>
      <protection locked="0"/>
    </xf>
    <xf numFmtId="175" fontId="23" fillId="43" borderId="5" xfId="0" applyNumberFormat="1" applyFont="1" applyFill="1" applyBorder="1" applyAlignment="1" applyProtection="1">
      <alignment horizontal="center" vertical="center"/>
      <protection locked="0"/>
    </xf>
    <xf numFmtId="0" fontId="23" fillId="5" borderId="11" xfId="0" applyFont="1" applyFill="1" applyBorder="1" applyAlignment="1" applyProtection="1">
      <alignment vertical="center" wrapText="1"/>
      <protection locked="0"/>
    </xf>
    <xf numFmtId="168" fontId="0" fillId="5" borderId="11" xfId="0" applyNumberFormat="1" applyFill="1" applyBorder="1" applyAlignment="1" applyProtection="1">
      <alignment horizontal="right"/>
      <protection locked="0"/>
    </xf>
    <xf numFmtId="0" fontId="0" fillId="0" borderId="11" xfId="0" applyBorder="1" applyAlignment="1">
      <alignment horizontal="center"/>
    </xf>
    <xf numFmtId="0" fontId="30" fillId="0" borderId="3" xfId="0" applyFont="1" applyBorder="1" applyAlignment="1">
      <alignment horizontal="right"/>
    </xf>
    <xf numFmtId="0" fontId="30" fillId="0" borderId="4" xfId="0" applyFont="1" applyBorder="1" applyAlignment="1">
      <alignment horizontal="right"/>
    </xf>
    <xf numFmtId="0" fontId="30" fillId="0" borderId="5" xfId="0" applyFont="1" applyBorder="1" applyAlignment="1">
      <alignment horizontal="right"/>
    </xf>
    <xf numFmtId="180" fontId="0" fillId="0" borderId="6" xfId="0" applyNumberFormat="1" applyBorder="1" applyAlignment="1">
      <alignment horizontal="center"/>
    </xf>
    <xf numFmtId="14" fontId="3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30" fillId="0" borderId="11" xfId="0" applyFont="1" applyBorder="1" applyAlignment="1">
      <alignment horizontal="center" vertical="center" wrapText="1"/>
    </xf>
    <xf numFmtId="0" fontId="32" fillId="45" borderId="11" xfId="0" applyFont="1" applyFill="1" applyBorder="1" applyAlignment="1">
      <alignment horizontal="center"/>
    </xf>
    <xf numFmtId="0" fontId="32" fillId="2" borderId="11" xfId="0" applyFont="1" applyFill="1" applyBorder="1" applyAlignment="1">
      <alignment horizontal="center"/>
    </xf>
    <xf numFmtId="0" fontId="32" fillId="45" borderId="3" xfId="0" applyFont="1" applyFill="1" applyBorder="1" applyAlignment="1">
      <alignment horizontal="center"/>
    </xf>
    <xf numFmtId="0" fontId="32" fillId="45" borderId="4" xfId="0" applyFont="1" applyFill="1" applyBorder="1" applyAlignment="1">
      <alignment horizontal="center"/>
    </xf>
    <xf numFmtId="0" fontId="32" fillId="45" borderId="5" xfId="0" applyFont="1" applyFill="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5" xfId="0" applyFont="1" applyBorder="1" applyAlignment="1">
      <alignment horizontal="center"/>
    </xf>
    <xf numFmtId="0" fontId="23" fillId="0" borderId="11" xfId="0" applyFont="1" applyBorder="1" applyAlignment="1">
      <alignment horizontal="center"/>
    </xf>
    <xf numFmtId="0" fontId="46" fillId="0" borderId="3" xfId="0" applyFont="1" applyBorder="1" applyAlignment="1">
      <alignment horizontal="center"/>
    </xf>
    <xf numFmtId="0" fontId="46" fillId="0" borderId="4" xfId="0" applyFont="1" applyBorder="1" applyAlignment="1">
      <alignment horizontal="center"/>
    </xf>
    <xf numFmtId="0" fontId="46" fillId="0" borderId="5" xfId="0" applyFont="1" applyBorder="1" applyAlignment="1">
      <alignment horizontal="center"/>
    </xf>
    <xf numFmtId="0" fontId="23" fillId="0" borderId="11" xfId="543" applyBorder="1" applyAlignment="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42" fillId="5" borderId="3" xfId="0" applyNumberFormat="1" applyFont="1" applyFill="1" applyBorder="1" applyAlignment="1" applyProtection="1">
      <alignment horizontal="left"/>
      <protection locked="0"/>
    </xf>
    <xf numFmtId="164" fontId="42" fillId="5" borderId="4" xfId="0" applyNumberFormat="1" applyFont="1" applyFill="1" applyBorder="1" applyAlignment="1" applyProtection="1">
      <alignment horizontal="left"/>
      <protection locked="0"/>
    </xf>
    <xf numFmtId="164" fontId="42" fillId="5" borderId="5" xfId="0" applyNumberFormat="1" applyFont="1" applyFill="1" applyBorder="1" applyAlignment="1" applyProtection="1">
      <alignment horizontal="left"/>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1" fontId="23" fillId="0" borderId="3" xfId="543" applyNumberFormat="1" applyBorder="1" applyAlignment="1">
      <alignment horizontal="center"/>
    </xf>
    <xf numFmtId="1" fontId="23" fillId="0" borderId="4" xfId="543" applyNumberFormat="1" applyBorder="1" applyAlignment="1">
      <alignment horizontal="center"/>
    </xf>
    <xf numFmtId="1" fontId="23" fillId="0" borderId="5" xfId="543" applyNumberFormat="1" applyBorder="1" applyAlignment="1">
      <alignment horizontal="center"/>
    </xf>
    <xf numFmtId="0" fontId="43" fillId="0" borderId="4" xfId="543" applyFont="1" applyBorder="1" applyAlignment="1">
      <alignment horizontal="right" vertical="top" wrapText="1"/>
    </xf>
    <xf numFmtId="0" fontId="43" fillId="0" borderId="5" xfId="543" applyFont="1" applyBorder="1" applyAlignment="1">
      <alignment horizontal="right" vertical="top" wrapText="1"/>
    </xf>
    <xf numFmtId="0" fontId="30" fillId="0" borderId="8" xfId="543" applyFont="1" applyBorder="1" applyAlignment="1">
      <alignment horizontal="left" vertical="center" wrapText="1"/>
    </xf>
    <xf numFmtId="0" fontId="30" fillId="0" borderId="0" xfId="543" applyFont="1" applyAlignment="1">
      <alignment horizontal="left" vertical="center" wrapText="1"/>
    </xf>
    <xf numFmtId="0" fontId="30" fillId="0" borderId="12" xfId="543" applyFont="1" applyBorder="1" applyAlignment="1">
      <alignment horizontal="left" vertical="center" wrapText="1"/>
    </xf>
    <xf numFmtId="0" fontId="23" fillId="0" borderId="8" xfId="543" applyBorder="1" applyAlignment="1">
      <alignment horizontal="left" vertical="top" wrapText="1"/>
    </xf>
    <xf numFmtId="0" fontId="23" fillId="0" borderId="0" xfId="543" applyAlignment="1">
      <alignment horizontal="left" vertical="top" wrapText="1"/>
    </xf>
    <xf numFmtId="0" fontId="23" fillId="0" borderId="12" xfId="543" applyBorder="1" applyAlignment="1">
      <alignment horizontal="left" vertical="top" wrapText="1"/>
    </xf>
    <xf numFmtId="0" fontId="31" fillId="0" borderId="3" xfId="543" applyFont="1" applyBorder="1" applyAlignment="1">
      <alignment horizontal="center"/>
    </xf>
    <xf numFmtId="0" fontId="31" fillId="0" borderId="5" xfId="543" applyFont="1" applyBorder="1" applyAlignment="1">
      <alignment horizontal="center"/>
    </xf>
    <xf numFmtId="1" fontId="31" fillId="0" borderId="3" xfId="543" applyNumberFormat="1" applyFont="1" applyBorder="1" applyAlignment="1">
      <alignment horizontal="center"/>
    </xf>
    <xf numFmtId="1" fontId="31" fillId="0" borderId="5" xfId="543" applyNumberFormat="1" applyFont="1" applyBorder="1" applyAlignment="1">
      <alignment horizontal="center"/>
    </xf>
    <xf numFmtId="0" fontId="42" fillId="0" borderId="3" xfId="543" applyFont="1" applyBorder="1" applyAlignment="1">
      <alignment horizontal="center"/>
    </xf>
    <xf numFmtId="0" fontId="42" fillId="0" borderId="5" xfId="543" applyFont="1" applyBorder="1" applyAlignment="1">
      <alignment horizontal="center"/>
    </xf>
    <xf numFmtId="0" fontId="42" fillId="5" borderId="3" xfId="543" applyFont="1" applyFill="1" applyBorder="1" applyAlignment="1" applyProtection="1">
      <alignment horizontal="center"/>
      <protection locked="0"/>
    </xf>
    <xf numFmtId="0" fontId="42" fillId="5" borderId="5" xfId="543" applyFont="1" applyFill="1" applyBorder="1" applyAlignment="1" applyProtection="1">
      <alignment horizontal="center"/>
      <protection locked="0"/>
    </xf>
    <xf numFmtId="0" fontId="44" fillId="0" borderId="3" xfId="543" applyFont="1" applyBorder="1" applyAlignment="1">
      <alignment horizontal="center"/>
    </xf>
    <xf numFmtId="0" fontId="44" fillId="0" borderId="4" xfId="543" applyFont="1" applyBorder="1" applyAlignment="1">
      <alignment horizontal="center"/>
    </xf>
    <xf numFmtId="0" fontId="44" fillId="0" borderId="5" xfId="543" applyFont="1" applyBorder="1" applyAlignment="1">
      <alignment horizontal="center"/>
    </xf>
    <xf numFmtId="0" fontId="31" fillId="5" borderId="3" xfId="0" applyFont="1" applyFill="1" applyBorder="1" applyAlignment="1" applyProtection="1">
      <alignment horizontal="left"/>
      <protection locked="0"/>
    </xf>
    <xf numFmtId="0" fontId="31" fillId="5" borderId="4" xfId="0" applyFont="1" applyFill="1" applyBorder="1" applyAlignment="1" applyProtection="1">
      <alignment horizontal="left"/>
      <protection locked="0"/>
    </xf>
    <xf numFmtId="0" fontId="31" fillId="5" borderId="5" xfId="0" applyFont="1" applyFill="1" applyBorder="1" applyAlignment="1" applyProtection="1">
      <alignment horizontal="left"/>
      <protection locked="0"/>
    </xf>
    <xf numFmtId="0" fontId="23" fillId="0" borderId="3" xfId="543" applyBorder="1" applyAlignment="1">
      <alignment horizontal="center"/>
    </xf>
    <xf numFmtId="0" fontId="23" fillId="0" borderId="4" xfId="543" applyBorder="1" applyAlignment="1">
      <alignment horizontal="center"/>
    </xf>
    <xf numFmtId="0" fontId="23" fillId="0" borderId="5" xfId="543" applyBorder="1" applyAlignment="1">
      <alignment horizontal="center"/>
    </xf>
    <xf numFmtId="0" fontId="50" fillId="0" borderId="8" xfId="543" applyFont="1" applyBorder="1" applyAlignment="1">
      <alignment horizontal="center" vertical="center" wrapText="1"/>
    </xf>
    <xf numFmtId="0" fontId="50" fillId="0" borderId="0" xfId="543" applyFont="1" applyAlignment="1">
      <alignment horizontal="center" vertical="center" wrapText="1"/>
    </xf>
    <xf numFmtId="0" fontId="50" fillId="0" borderId="12" xfId="543" applyFont="1" applyBorder="1" applyAlignment="1">
      <alignment horizontal="center" vertical="center" wrapText="1"/>
    </xf>
    <xf numFmtId="168" fontId="30" fillId="0" borderId="3" xfId="543" applyNumberFormat="1" applyFont="1" applyBorder="1" applyAlignment="1">
      <alignment horizontal="center" vertical="center"/>
    </xf>
    <xf numFmtId="168" fontId="30" fillId="0" borderId="4" xfId="543" applyNumberFormat="1" applyFont="1" applyBorder="1" applyAlignment="1">
      <alignment horizontal="center" vertical="center"/>
    </xf>
    <xf numFmtId="168" fontId="30" fillId="0" borderId="5" xfId="543" applyNumberFormat="1" applyFont="1" applyBorder="1" applyAlignment="1">
      <alignment horizontal="center" vertical="center"/>
    </xf>
    <xf numFmtId="0" fontId="23" fillId="0" borderId="8" xfId="0" applyFont="1" applyBorder="1" applyAlignment="1">
      <alignment horizontal="left" wrapText="1"/>
    </xf>
    <xf numFmtId="0" fontId="23" fillId="0" borderId="12" xfId="0" applyFont="1" applyBorder="1" applyAlignment="1">
      <alignment horizontal="left" wrapText="1"/>
    </xf>
    <xf numFmtId="0" fontId="23" fillId="0" borderId="9" xfId="0" applyFont="1" applyBorder="1" applyAlignment="1">
      <alignment horizontal="left" wrapText="1"/>
    </xf>
    <xf numFmtId="0" fontId="23" fillId="0" borderId="6" xfId="0" applyFont="1" applyBorder="1" applyAlignment="1">
      <alignment horizontal="left" wrapText="1"/>
    </xf>
    <xf numFmtId="0" fontId="23" fillId="0" borderId="10" xfId="0" applyFont="1" applyBorder="1" applyAlignment="1">
      <alignment horizontal="left" wrapText="1"/>
    </xf>
    <xf numFmtId="0" fontId="42" fillId="5" borderId="9" xfId="543" applyFont="1" applyFill="1" applyBorder="1" applyAlignment="1" applyProtection="1">
      <alignment horizontal="center"/>
      <protection locked="0"/>
    </xf>
    <xf numFmtId="0" fontId="42" fillId="5" borderId="10" xfId="543" applyFont="1" applyFill="1" applyBorder="1" applyAlignment="1" applyProtection="1">
      <alignment horizontal="center"/>
      <protection locked="0"/>
    </xf>
    <xf numFmtId="168" fontId="2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30" fillId="10" borderId="3" xfId="543" applyFont="1" applyFill="1" applyBorder="1" applyAlignment="1">
      <alignment horizontal="center"/>
    </xf>
    <xf numFmtId="0" fontId="30" fillId="10" borderId="4" xfId="543" applyFont="1" applyFill="1" applyBorder="1" applyAlignment="1">
      <alignment horizontal="center"/>
    </xf>
    <xf numFmtId="0" fontId="30" fillId="10" borderId="5" xfId="543" applyFont="1" applyFill="1" applyBorder="1" applyAlignment="1">
      <alignment horizontal="center"/>
    </xf>
    <xf numFmtId="0" fontId="42" fillId="5" borderId="3" xfId="543" applyFont="1" applyFill="1" applyBorder="1" applyAlignment="1" applyProtection="1">
      <alignment horizontal="center" vertical="top"/>
      <protection locked="0"/>
    </xf>
    <xf numFmtId="0" fontId="42" fillId="5" borderId="5" xfId="543" applyFont="1" applyFill="1" applyBorder="1" applyAlignment="1" applyProtection="1">
      <alignment horizontal="center" vertical="top"/>
      <protection locked="0"/>
    </xf>
    <xf numFmtId="0" fontId="30" fillId="0" borderId="1" xfId="543" applyFont="1" applyBorder="1" applyAlignment="1">
      <alignment horizontal="left" vertical="top" wrapText="1"/>
    </xf>
    <xf numFmtId="0" fontId="30" fillId="0" borderId="2" xfId="543" applyFont="1" applyBorder="1" applyAlignment="1">
      <alignment horizontal="left" vertical="top" wrapText="1"/>
    </xf>
    <xf numFmtId="0" fontId="30" fillId="0" borderId="7" xfId="543" applyFont="1" applyBorder="1" applyAlignment="1">
      <alignment horizontal="left" vertical="top" wrapText="1"/>
    </xf>
    <xf numFmtId="0" fontId="30" fillId="0" borderId="8" xfId="543" applyFont="1" applyBorder="1" applyAlignment="1">
      <alignment horizontal="left" vertical="top" wrapText="1"/>
    </xf>
    <xf numFmtId="0" fontId="30" fillId="0" borderId="0" xfId="543" applyFont="1" applyAlignment="1">
      <alignment horizontal="left" vertical="top" wrapText="1"/>
    </xf>
    <xf numFmtId="0" fontId="30" fillId="0" borderId="12" xfId="543" applyFont="1" applyBorder="1" applyAlignment="1">
      <alignment horizontal="left" vertical="top" wrapText="1"/>
    </xf>
    <xf numFmtId="0" fontId="157" fillId="0" borderId="8" xfId="543" applyFont="1" applyBorder="1" applyAlignment="1">
      <alignment horizontal="center" vertical="center" wrapText="1"/>
    </xf>
    <xf numFmtId="0" fontId="157" fillId="0" borderId="0" xfId="543" applyFont="1" applyAlignment="1">
      <alignment horizontal="center" vertical="center" wrapText="1"/>
    </xf>
    <xf numFmtId="0" fontId="157" fillId="0" borderId="12" xfId="543" applyFont="1" applyBorder="1" applyAlignment="1">
      <alignment horizontal="center" vertical="center" wrapText="1"/>
    </xf>
    <xf numFmtId="0" fontId="0" fillId="0" borderId="9" xfId="0" applyBorder="1" applyAlignment="1">
      <alignment horizontal="left"/>
    </xf>
    <xf numFmtId="0" fontId="0" fillId="0" borderId="3" xfId="0" applyBorder="1"/>
    <xf numFmtId="0" fontId="0" fillId="0" borderId="4" xfId="0" applyBorder="1"/>
    <xf numFmtId="0" fontId="0" fillId="0" borderId="5" xfId="0" applyBorder="1"/>
    <xf numFmtId="0" fontId="43" fillId="0" borderId="1" xfId="543" applyFont="1" applyBorder="1" applyAlignment="1">
      <alignment horizontal="right"/>
    </xf>
    <xf numFmtId="0" fontId="43" fillId="0" borderId="2" xfId="543" applyFont="1" applyBorder="1" applyAlignment="1">
      <alignment horizontal="right"/>
    </xf>
    <xf numFmtId="0" fontId="43" fillId="0" borderId="7" xfId="543" applyFont="1" applyBorder="1" applyAlignment="1">
      <alignment horizontal="right"/>
    </xf>
    <xf numFmtId="0" fontId="30" fillId="0" borderId="3" xfId="543" applyFont="1" applyBorder="1" applyAlignment="1">
      <alignment horizontal="right"/>
    </xf>
    <xf numFmtId="0" fontId="30" fillId="0" borderId="4" xfId="543" applyFont="1" applyBorder="1" applyAlignment="1">
      <alignment horizontal="right"/>
    </xf>
    <xf numFmtId="0" fontId="30" fillId="0" borderId="5" xfId="543" applyFont="1" applyBorder="1" applyAlignment="1">
      <alignment horizontal="right"/>
    </xf>
    <xf numFmtId="165" fontId="30" fillId="0" borderId="3" xfId="271" applyNumberFormat="1" applyFont="1" applyBorder="1" applyAlignment="1">
      <alignment horizontal="center"/>
    </xf>
    <xf numFmtId="165" fontId="30" fillId="0" borderId="4" xfId="271" applyNumberFormat="1" applyFont="1" applyBorder="1" applyAlignment="1">
      <alignment horizontal="center"/>
    </xf>
    <xf numFmtId="165" fontId="30"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0" fillId="0" borderId="8" xfId="0" applyFont="1" applyBorder="1" applyAlignment="1">
      <alignment horizontal="center" wrapText="1"/>
    </xf>
    <xf numFmtId="0" fontId="30" fillId="0" borderId="0" xfId="0" applyFont="1" applyAlignment="1">
      <alignment horizontal="center" wrapText="1"/>
    </xf>
    <xf numFmtId="0" fontId="30" fillId="0" borderId="12" xfId="0" applyFont="1" applyBorder="1" applyAlignment="1">
      <alignment horizontal="center" wrapText="1"/>
    </xf>
    <xf numFmtId="0" fontId="30" fillId="0" borderId="9" xfId="0" applyFont="1" applyBorder="1" applyAlignment="1">
      <alignment horizontal="center" wrapText="1"/>
    </xf>
    <xf numFmtId="0" fontId="30" fillId="0" borderId="6" xfId="0" applyFont="1" applyBorder="1" applyAlignment="1">
      <alignment horizontal="center" wrapText="1"/>
    </xf>
    <xf numFmtId="0" fontId="30" fillId="0" borderId="10" xfId="0" applyFont="1" applyBorder="1" applyAlignment="1">
      <alignment horizontal="center" wrapText="1"/>
    </xf>
    <xf numFmtId="0" fontId="23" fillId="0" borderId="3" xfId="0" applyFont="1" applyBorder="1"/>
    <xf numFmtId="0" fontId="23" fillId="0" borderId="4" xfId="0" applyFont="1" applyBorder="1"/>
    <xf numFmtId="0" fontId="23" fillId="0" borderId="5" xfId="0" applyFont="1" applyBorder="1"/>
    <xf numFmtId="0" fontId="30" fillId="0" borderId="1" xfId="0" applyFont="1" applyBorder="1" applyAlignment="1">
      <alignment horizontal="center" wrapText="1"/>
    </xf>
    <xf numFmtId="0" fontId="30" fillId="0" borderId="2" xfId="0" applyFont="1" applyBorder="1" applyAlignment="1">
      <alignment horizontal="center" wrapText="1"/>
    </xf>
    <xf numFmtId="0" fontId="32" fillId="0" borderId="3" xfId="0" applyFont="1" applyBorder="1" applyAlignment="1">
      <alignment horizontal="left"/>
    </xf>
    <xf numFmtId="0" fontId="0" fillId="0" borderId="4" xfId="0" applyBorder="1" applyAlignment="1">
      <alignment horizontal="left"/>
    </xf>
    <xf numFmtId="168" fontId="0" fillId="5" borderId="11" xfId="0" applyNumberFormat="1" applyFill="1" applyBorder="1" applyAlignment="1" applyProtection="1">
      <alignment horizontal="center"/>
      <protection locked="0"/>
    </xf>
    <xf numFmtId="0" fontId="0" fillId="0" borderId="3" xfId="0" applyBorder="1" applyAlignment="1">
      <alignment horizontal="left"/>
    </xf>
    <xf numFmtId="0" fontId="30" fillId="0" borderId="1" xfId="0" applyFont="1" applyBorder="1" applyAlignment="1">
      <alignment horizontal="center"/>
    </xf>
    <xf numFmtId="0" fontId="30" fillId="0" borderId="2" xfId="0" applyFont="1" applyBorder="1" applyAlignment="1">
      <alignment horizontal="center"/>
    </xf>
    <xf numFmtId="0" fontId="30" fillId="0" borderId="7" xfId="0" applyFont="1" applyBorder="1" applyAlignment="1">
      <alignment horizontal="center"/>
    </xf>
    <xf numFmtId="168" fontId="0" fillId="5" borderId="11" xfId="0" applyNumberFormat="1" applyFill="1" applyBorder="1" applyProtection="1">
      <protection locked="0"/>
    </xf>
    <xf numFmtId="0" fontId="30" fillId="5" borderId="3" xfId="0" applyFont="1" applyFill="1" applyBorder="1" applyAlignment="1" applyProtection="1">
      <alignment horizontal="right"/>
      <protection locked="0"/>
    </xf>
    <xf numFmtId="0" fontId="30" fillId="5" borderId="4" xfId="0" applyFont="1" applyFill="1" applyBorder="1" applyAlignment="1" applyProtection="1">
      <alignment horizontal="right"/>
      <protection locked="0"/>
    </xf>
    <xf numFmtId="0" fontId="30" fillId="5" borderId="5" xfId="0" applyFont="1" applyFill="1" applyBorder="1" applyAlignment="1" applyProtection="1">
      <alignment horizontal="right"/>
      <protection locked="0"/>
    </xf>
    <xf numFmtId="168" fontId="23" fillId="5" borderId="3" xfId="0" applyNumberFormat="1" applyFont="1" applyFill="1" applyBorder="1" applyAlignment="1" applyProtection="1">
      <alignment horizontal="left"/>
      <protection locked="0"/>
    </xf>
    <xf numFmtId="168" fontId="23" fillId="5" borderId="4" xfId="0" applyNumberFormat="1" applyFont="1" applyFill="1" applyBorder="1" applyAlignment="1" applyProtection="1">
      <alignment horizontal="left"/>
      <protection locked="0"/>
    </xf>
    <xf numFmtId="168" fontId="23" fillId="5" borderId="5" xfId="0" applyNumberFormat="1" applyFont="1" applyFill="1" applyBorder="1" applyAlignment="1" applyProtection="1">
      <alignment horizontal="left"/>
      <protection locked="0"/>
    </xf>
    <xf numFmtId="1" fontId="23" fillId="0" borderId="3" xfId="0" applyNumberFormat="1" applyFont="1" applyBorder="1" applyAlignment="1">
      <alignment horizontal="center"/>
    </xf>
    <xf numFmtId="1" fontId="32" fillId="0" borderId="4" xfId="0" applyNumberFormat="1" applyFont="1" applyBorder="1" applyAlignment="1">
      <alignment horizontal="center"/>
    </xf>
    <xf numFmtId="1" fontId="32" fillId="0" borderId="5" xfId="0" applyNumberFormat="1" applyFont="1" applyBorder="1" applyAlignment="1">
      <alignment horizontal="center"/>
    </xf>
    <xf numFmtId="0" fontId="32" fillId="5" borderId="6" xfId="271" applyFill="1" applyBorder="1" applyProtection="1">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30" fillId="0" borderId="6" xfId="0" applyFont="1" applyBorder="1" applyAlignment="1">
      <alignment horizontal="center"/>
    </xf>
    <xf numFmtId="9" fontId="23" fillId="5" borderId="3" xfId="0" applyNumberFormat="1" applyFont="1" applyFill="1" applyBorder="1" applyAlignment="1" applyProtection="1">
      <alignment horizontal="right"/>
      <protection locked="0"/>
    </xf>
    <xf numFmtId="2" fontId="23"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applyAlignment="1">
      <alignment horizontal="center"/>
    </xf>
    <xf numFmtId="0" fontId="30" fillId="0" borderId="7" xfId="0" applyFont="1" applyBorder="1" applyAlignment="1">
      <alignment horizontal="center" wrapText="1"/>
    </xf>
    <xf numFmtId="168" fontId="0" fillId="0" borderId="3" xfId="0" applyNumberFormat="1" applyBorder="1"/>
    <xf numFmtId="168" fontId="0" fillId="0" borderId="4" xfId="0" applyNumberFormat="1" applyBorder="1"/>
    <xf numFmtId="168" fontId="0" fillId="0" borderId="5" xfId="0" applyNumberFormat="1" applyBorder="1"/>
    <xf numFmtId="14" fontId="0" fillId="5" borderId="3" xfId="0" quotePrefix="1" applyNumberFormat="1" applyFill="1" applyBorder="1" applyAlignment="1" applyProtection="1">
      <alignment horizontal="right"/>
      <protection locked="0"/>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0" fontId="32" fillId="5" borderId="3" xfId="0" applyFont="1" applyFill="1" applyBorder="1" applyProtection="1">
      <protection locked="0"/>
    </xf>
    <xf numFmtId="0" fontId="32" fillId="0" borderId="4" xfId="0" applyFont="1" applyBorder="1" applyProtection="1">
      <protection locked="0"/>
    </xf>
    <xf numFmtId="0" fontId="32" fillId="0" borderId="5" xfId="0" applyFont="1" applyBorder="1" applyProtection="1">
      <protection locked="0"/>
    </xf>
    <xf numFmtId="171" fontId="23" fillId="0" borderId="0" xfId="543" applyNumberFormat="1" applyAlignment="1">
      <alignment horizontal="center"/>
    </xf>
    <xf numFmtId="171" fontId="23" fillId="0" borderId="0" xfId="543" applyNumberFormat="1" applyAlignment="1">
      <alignment horizontal="right"/>
    </xf>
    <xf numFmtId="0" fontId="30" fillId="0" borderId="2" xfId="0" applyFont="1" applyBorder="1" applyAlignment="1">
      <alignment horizontal="right"/>
    </xf>
    <xf numFmtId="0" fontId="30" fillId="0" borderId="7" xfId="0" applyFont="1" applyBorder="1" applyAlignment="1">
      <alignment horizontal="right"/>
    </xf>
    <xf numFmtId="9" fontId="23" fillId="0" borderId="0" xfId="543" applyNumberFormat="1" applyAlignment="1">
      <alignment horizontal="center" vertical="center"/>
    </xf>
    <xf numFmtId="0" fontId="30" fillId="0" borderId="11" xfId="0" applyFont="1" applyBorder="1" applyAlignment="1">
      <alignment horizontal="center"/>
    </xf>
    <xf numFmtId="0" fontId="42" fillId="5" borderId="3" xfId="543" applyFont="1" applyFill="1" applyBorder="1" applyAlignment="1">
      <alignment horizontal="center"/>
    </xf>
    <xf numFmtId="0" fontId="42" fillId="5" borderId="4" xfId="543" applyFont="1" applyFill="1" applyBorder="1" applyAlignment="1">
      <alignment horizontal="center"/>
    </xf>
    <xf numFmtId="0" fontId="42" fillId="5" borderId="5" xfId="543" applyFont="1" applyFill="1" applyBorder="1" applyAlignment="1">
      <alignment horizontal="center"/>
    </xf>
    <xf numFmtId="49" fontId="23" fillId="5" borderId="3" xfId="543" applyNumberFormat="1" applyFill="1" applyBorder="1" applyAlignment="1">
      <alignment horizontal="center"/>
    </xf>
    <xf numFmtId="49" fontId="23" fillId="5" borderId="5" xfId="543" applyNumberFormat="1" applyFill="1" applyBorder="1" applyAlignment="1">
      <alignment horizontal="center"/>
    </xf>
    <xf numFmtId="0" fontId="23" fillId="0" borderId="1" xfId="0" applyFont="1" applyBorder="1" applyAlignment="1">
      <alignment horizontal="center" vertical="top" wrapText="1"/>
    </xf>
    <xf numFmtId="0" fontId="30" fillId="0" borderId="9" xfId="0" applyFont="1" applyBorder="1" applyAlignment="1">
      <alignment horizontal="right"/>
    </xf>
    <xf numFmtId="0" fontId="30" fillId="0" borderId="6" xfId="0" applyFont="1" applyBorder="1" applyAlignment="1">
      <alignment horizontal="right"/>
    </xf>
    <xf numFmtId="0" fontId="30" fillId="0" borderId="10" xfId="0" applyFont="1" applyBorder="1" applyAlignment="1">
      <alignment horizontal="right"/>
    </xf>
    <xf numFmtId="0" fontId="23" fillId="5" borderId="11" xfId="0" applyFont="1" applyFill="1" applyBorder="1" applyAlignment="1" applyProtection="1">
      <alignment horizontal="left" wrapText="1"/>
      <protection locked="0"/>
    </xf>
    <xf numFmtId="0" fontId="23" fillId="5" borderId="4" xfId="0" applyFont="1" applyFill="1" applyBorder="1" applyAlignment="1" applyProtection="1">
      <alignment wrapText="1"/>
      <protection locked="0"/>
    </xf>
    <xf numFmtId="180" fontId="31" fillId="43" borderId="3" xfId="0" applyNumberFormat="1" applyFont="1" applyFill="1" applyBorder="1" applyAlignment="1" applyProtection="1">
      <alignment horizontal="center" vertical="center"/>
      <protection locked="0"/>
    </xf>
    <xf numFmtId="180" fontId="31" fillId="43" borderId="4" xfId="0" applyNumberFormat="1" applyFont="1" applyFill="1" applyBorder="1" applyAlignment="1" applyProtection="1">
      <alignment horizontal="center" vertical="center"/>
      <protection locked="0"/>
    </xf>
    <xf numFmtId="180" fontId="31" fillId="43" borderId="5" xfId="0" applyNumberFormat="1" applyFon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6" fontId="23" fillId="5" borderId="4" xfId="0" applyNumberFormat="1" applyFont="1" applyFill="1" applyBorder="1" applyAlignment="1" applyProtection="1">
      <alignment horizontal="left"/>
      <protection locked="0"/>
    </xf>
    <xf numFmtId="0" fontId="60" fillId="0" borderId="1" xfId="0" applyFont="1" applyBorder="1" applyAlignment="1">
      <alignment horizontal="center" vertical="center" wrapText="1"/>
    </xf>
    <xf numFmtId="0" fontId="60" fillId="0" borderId="2" xfId="0" applyFont="1" applyBorder="1" applyAlignment="1">
      <alignment horizontal="center" vertical="center" wrapText="1"/>
    </xf>
    <xf numFmtId="0" fontId="60" fillId="0" borderId="7" xfId="0" applyFont="1" applyBorder="1" applyAlignment="1">
      <alignment horizontal="center" vertical="center" wrapText="1"/>
    </xf>
    <xf numFmtId="0" fontId="60" fillId="0" borderId="8" xfId="0" applyFont="1" applyBorder="1" applyAlignment="1">
      <alignment horizontal="center" vertical="center" wrapText="1"/>
    </xf>
    <xf numFmtId="0" fontId="60" fillId="0" borderId="0" xfId="0" applyFont="1" applyAlignment="1">
      <alignment horizontal="center" vertical="center" wrapText="1"/>
    </xf>
    <xf numFmtId="0" fontId="60" fillId="0" borderId="12" xfId="0" applyFont="1" applyBorder="1" applyAlignment="1">
      <alignment horizontal="center" vertical="center" wrapText="1"/>
    </xf>
    <xf numFmtId="0" fontId="60" fillId="0" borderId="9" xfId="0" applyFont="1" applyBorder="1" applyAlignment="1">
      <alignment horizontal="center" vertical="center" wrapText="1"/>
    </xf>
    <xf numFmtId="0" fontId="60" fillId="0" borderId="6" xfId="0" applyFont="1" applyBorder="1" applyAlignment="1">
      <alignment horizontal="center" vertical="center" wrapText="1"/>
    </xf>
    <xf numFmtId="0" fontId="60" fillId="0" borderId="10" xfId="0" applyFont="1" applyBorder="1" applyAlignment="1">
      <alignment horizontal="center" vertical="center" wrapText="1"/>
    </xf>
    <xf numFmtId="0" fontId="30" fillId="0" borderId="11" xfId="0" applyFont="1" applyBorder="1" applyAlignment="1">
      <alignment horizontal="center" vertical="center"/>
    </xf>
    <xf numFmtId="0" fontId="30" fillId="0" borderId="1"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9" xfId="0" applyFont="1" applyBorder="1" applyAlignment="1">
      <alignment horizontal="center" vertical="center" wrapText="1"/>
    </xf>
    <xf numFmtId="0" fontId="23" fillId="5" borderId="11" xfId="0" applyFont="1" applyFill="1" applyBorder="1" applyAlignment="1" applyProtection="1">
      <alignment horizontal="left" vertical="center" wrapText="1"/>
      <protection locked="0"/>
    </xf>
    <xf numFmtId="172" fontId="30" fillId="0" borderId="11" xfId="0" applyNumberFormat="1" applyFont="1" applyBorder="1" applyAlignment="1">
      <alignment horizontal="center" vertical="center" wrapText="1"/>
    </xf>
    <xf numFmtId="0" fontId="39" fillId="0" borderId="1" xfId="0" applyFont="1" applyBorder="1" applyAlignment="1">
      <alignment horizontal="center" vertical="center" wrapText="1"/>
    </xf>
    <xf numFmtId="0" fontId="39" fillId="0" borderId="2" xfId="0" applyFont="1" applyBorder="1" applyAlignment="1">
      <alignment horizontal="center" vertical="center" wrapText="1"/>
    </xf>
    <xf numFmtId="0" fontId="39" fillId="0" borderId="7" xfId="0" applyFont="1" applyBorder="1" applyAlignment="1">
      <alignment horizontal="center" vertical="center" wrapText="1"/>
    </xf>
    <xf numFmtId="0" fontId="39" fillId="0" borderId="8" xfId="0" applyFont="1" applyBorder="1" applyAlignment="1">
      <alignment horizontal="center" vertical="center" wrapText="1"/>
    </xf>
    <xf numFmtId="0" fontId="39" fillId="0" borderId="0" xfId="0" applyFont="1" applyAlignment="1">
      <alignment horizontal="center" vertical="center" wrapText="1"/>
    </xf>
    <xf numFmtId="0" fontId="39" fillId="0" borderId="12" xfId="0" applyFont="1" applyBorder="1" applyAlignment="1">
      <alignment horizontal="center" vertical="center" wrapText="1"/>
    </xf>
    <xf numFmtId="0" fontId="39" fillId="0" borderId="9" xfId="0" applyFont="1" applyBorder="1" applyAlignment="1">
      <alignment horizontal="center" vertical="center" wrapText="1"/>
    </xf>
    <xf numFmtId="0" fontId="39" fillId="0" borderId="6" xfId="0" applyFont="1" applyBorder="1" applyAlignment="1">
      <alignment horizontal="center" vertical="center" wrapText="1"/>
    </xf>
    <xf numFmtId="0" fontId="39" fillId="0" borderId="10" xfId="0" applyFont="1" applyBorder="1" applyAlignment="1">
      <alignment horizontal="center" vertical="center" wrapText="1"/>
    </xf>
    <xf numFmtId="0" fontId="2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68" fontId="0" fillId="0" borderId="11" xfId="0" applyNumberFormat="1" applyBorder="1"/>
    <xf numFmtId="14" fontId="0" fillId="5" borderId="4" xfId="0" applyNumberFormat="1" applyFill="1" applyBorder="1" applyAlignment="1" applyProtection="1">
      <alignment horizontal="center"/>
      <protection locked="0"/>
    </xf>
    <xf numFmtId="168" fontId="23" fillId="5" borderId="10" xfId="0" applyNumberFormat="1" applyFont="1" applyFill="1" applyBorder="1" applyAlignment="1" applyProtection="1">
      <alignment horizontal="right"/>
      <protection locked="0"/>
    </xf>
    <xf numFmtId="168" fontId="23" fillId="5" borderId="13" xfId="0" applyNumberFormat="1" applyFont="1" applyFill="1" applyBorder="1" applyAlignment="1" applyProtection="1">
      <alignment horizontal="right"/>
      <protection locked="0"/>
    </xf>
    <xf numFmtId="168" fontId="0" fillId="0" borderId="11" xfId="0" applyNumberFormat="1" applyBorder="1" applyAlignment="1">
      <alignment horizontal="right"/>
    </xf>
    <xf numFmtId="168" fontId="161" fillId="0" borderId="0" xfId="0" applyNumberFormat="1" applyFont="1" applyAlignment="1">
      <alignment horizontal="center" vertical="center" wrapText="1"/>
    </xf>
    <xf numFmtId="0" fontId="30"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32" fillId="0" borderId="11" xfId="0" applyFont="1" applyBorder="1" applyAlignment="1">
      <alignment horizontal="center"/>
    </xf>
    <xf numFmtId="0" fontId="30" fillId="0" borderId="0" xfId="0" applyFont="1" applyAlignment="1">
      <alignment horizontal="center" vertical="center"/>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23" fillId="0" borderId="3" xfId="0" applyFont="1" applyBorder="1" applyAlignment="1">
      <alignment horizontal="left"/>
    </xf>
    <xf numFmtId="0" fontId="23" fillId="0" borderId="4" xfId="0" applyFont="1" applyBorder="1" applyAlignment="1">
      <alignment horizontal="left"/>
    </xf>
    <xf numFmtId="0" fontId="23" fillId="0" borderId="5" xfId="0" applyFont="1" applyBorder="1" applyAlignment="1">
      <alignment horizontal="left"/>
    </xf>
    <xf numFmtId="0" fontId="0" fillId="0" borderId="5" xfId="0" applyBorder="1" applyAlignment="1">
      <alignment horizontal="left"/>
    </xf>
    <xf numFmtId="10" fontId="32" fillId="0" borderId="11" xfId="0" applyNumberFormat="1" applyFont="1" applyBorder="1" applyAlignment="1">
      <alignment horizontal="center"/>
    </xf>
    <xf numFmtId="0" fontId="32" fillId="5" borderId="11" xfId="0" applyFont="1" applyFill="1" applyBorder="1" applyAlignment="1" applyProtection="1">
      <alignment horizontal="center"/>
      <protection locked="0"/>
    </xf>
    <xf numFmtId="0" fontId="23" fillId="43" borderId="4" xfId="0" applyFont="1" applyFill="1" applyBorder="1" applyAlignment="1" applyProtection="1">
      <alignment horizontal="left" wrapText="1"/>
      <protection locked="0"/>
    </xf>
    <xf numFmtId="0" fontId="0" fillId="43" borderId="6" xfId="0" applyFill="1" applyBorder="1" applyAlignment="1" applyProtection="1">
      <alignment horizontal="left"/>
      <protection locked="0"/>
    </xf>
    <xf numFmtId="168" fontId="32" fillId="5" borderId="6" xfId="0" applyNumberFormat="1" applyFont="1"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10" fontId="32" fillId="5" borderId="4" xfId="0" applyNumberFormat="1" applyFont="1" applyFill="1" applyBorder="1" applyAlignment="1" applyProtection="1">
      <alignment horizontal="right"/>
      <protection locked="0"/>
    </xf>
    <xf numFmtId="1" fontId="32" fillId="5" borderId="11" xfId="0" quotePrefix="1" applyNumberFormat="1" applyFont="1" applyFill="1" applyBorder="1" applyAlignment="1" applyProtection="1">
      <alignment horizontal="center"/>
      <protection locked="0"/>
    </xf>
    <xf numFmtId="0" fontId="23" fillId="43" borderId="6" xfId="0" applyFont="1" applyFill="1" applyBorder="1" applyAlignment="1" applyProtection="1">
      <alignment horizontal="left"/>
      <protection locked="0"/>
    </xf>
    <xf numFmtId="0" fontId="30" fillId="0" borderId="3" xfId="0" applyFont="1" applyBorder="1" applyAlignment="1">
      <alignment horizontal="center"/>
    </xf>
    <xf numFmtId="0" fontId="30" fillId="0" borderId="4" xfId="0" applyFont="1" applyBorder="1" applyAlignment="1">
      <alignment horizontal="center"/>
    </xf>
    <xf numFmtId="0" fontId="30" fillId="0" borderId="5" xfId="0" applyFont="1" applyBorder="1" applyAlignment="1">
      <alignment horizontal="center"/>
    </xf>
    <xf numFmtId="0" fontId="23" fillId="0" borderId="3" xfId="271" applyFont="1" applyBorder="1" applyAlignment="1">
      <alignment horizontal="left"/>
    </xf>
    <xf numFmtId="0" fontId="23" fillId="0" borderId="4" xfId="271" applyFont="1" applyBorder="1" applyAlignment="1">
      <alignment horizontal="left"/>
    </xf>
    <xf numFmtId="0" fontId="23" fillId="0" borderId="5" xfId="271" applyFont="1" applyBorder="1" applyAlignment="1">
      <alignment horizontal="left"/>
    </xf>
    <xf numFmtId="168" fontId="32" fillId="0" borderId="3" xfId="0" applyNumberFormat="1" applyFont="1" applyBorder="1" applyAlignment="1">
      <alignment horizontal="left" vertical="top"/>
    </xf>
    <xf numFmtId="168" fontId="32" fillId="0" borderId="4" xfId="0" applyNumberFormat="1" applyFont="1" applyBorder="1" applyAlignment="1">
      <alignment horizontal="left" vertical="top"/>
    </xf>
    <xf numFmtId="168" fontId="32" fillId="0" borderId="5" xfId="0" applyNumberFormat="1" applyFont="1" applyBorder="1" applyAlignment="1">
      <alignment horizontal="left" vertical="top"/>
    </xf>
    <xf numFmtId="168" fontId="23" fillId="0" borderId="3" xfId="0" applyNumberFormat="1" applyFont="1" applyBorder="1" applyAlignment="1">
      <alignment horizontal="left" vertical="top"/>
    </xf>
    <xf numFmtId="168" fontId="59" fillId="0" borderId="2" xfId="0" applyNumberFormat="1" applyFont="1" applyBorder="1" applyAlignment="1">
      <alignment horizontal="left" vertical="top" wrapText="1"/>
    </xf>
    <xf numFmtId="168" fontId="59" fillId="0" borderId="0" xfId="0" applyNumberFormat="1" applyFont="1" applyAlignment="1">
      <alignment horizontal="left" vertical="top" wrapText="1"/>
    </xf>
    <xf numFmtId="166" fontId="23" fillId="5" borderId="6" xfId="0" applyNumberFormat="1" applyFont="1" applyFill="1" applyBorder="1" applyAlignment="1" applyProtection="1">
      <alignment horizontal="left"/>
      <protection locked="0"/>
    </xf>
    <xf numFmtId="3" fontId="32" fillId="5" borderId="11" xfId="0" applyNumberFormat="1" applyFont="1" applyFill="1" applyBorder="1" applyAlignment="1" applyProtection="1">
      <alignment horizontal="center"/>
      <protection locked="0"/>
    </xf>
    <xf numFmtId="2" fontId="0" fillId="0" borderId="6" xfId="0" applyNumberFormat="1" applyBorder="1" applyAlignment="1">
      <alignment horizontal="center"/>
    </xf>
    <xf numFmtId="1" fontId="32" fillId="5" borderId="6" xfId="0" applyNumberFormat="1" applyFont="1" applyFill="1" applyBorder="1" applyAlignment="1" applyProtection="1">
      <alignment horizontal="right"/>
      <protection locked="0"/>
    </xf>
    <xf numFmtId="0" fontId="0" fillId="43" borderId="6" xfId="0" applyFill="1" applyBorder="1" applyAlignment="1" applyProtection="1">
      <alignment horizontal="center"/>
      <protection locked="0"/>
    </xf>
    <xf numFmtId="0" fontId="23" fillId="5" borderId="6" xfId="244" applyFont="1" applyFill="1" applyBorder="1" applyAlignment="1" applyProtection="1">
      <alignment horizontal="left"/>
      <protection locked="0"/>
    </xf>
    <xf numFmtId="0" fontId="32" fillId="0" borderId="6" xfId="0" applyFont="1" applyBorder="1" applyAlignment="1">
      <alignment horizontal="left"/>
    </xf>
    <xf numFmtId="166" fontId="32" fillId="5" borderId="6" xfId="271" applyNumberFormat="1" applyFill="1" applyBorder="1" applyAlignment="1" applyProtection="1">
      <alignment horizontal="left"/>
      <protection locked="0"/>
    </xf>
    <xf numFmtId="166" fontId="32" fillId="5" borderId="4" xfId="271" applyNumberFormat="1" applyFill="1" applyBorder="1" applyAlignment="1" applyProtection="1">
      <alignment horizontal="left"/>
      <protection locked="0"/>
    </xf>
    <xf numFmtId="0" fontId="23" fillId="5" borderId="0"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23" fillId="0" borderId="0" xfId="271" applyFont="1" applyAlignment="1">
      <alignment horizontal="left" vertical="top" wrapText="1"/>
    </xf>
    <xf numFmtId="0" fontId="2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32"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23" fillId="0" borderId="0" xfId="0" applyFont="1" applyAlignment="1" applyProtection="1">
      <alignment horizontal="left"/>
      <protection locked="0"/>
    </xf>
    <xf numFmtId="9" fontId="31" fillId="0" borderId="3" xfId="4494" applyFont="1" applyBorder="1" applyAlignment="1" applyProtection="1">
      <alignment horizontal="center"/>
    </xf>
    <xf numFmtId="9" fontId="31" fillId="0" borderId="5" xfId="4494" applyFont="1" applyBorder="1" applyAlignment="1" applyProtection="1">
      <alignment horizontal="center"/>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31" fillId="43" borderId="6" xfId="0" applyFont="1" applyFill="1" applyBorder="1" applyAlignment="1" applyProtection="1">
      <alignment horizontal="left"/>
      <protection locked="0"/>
    </xf>
    <xf numFmtId="0" fontId="158" fillId="0" borderId="0" xfId="0" applyFont="1" applyAlignment="1" applyProtection="1">
      <alignment horizontal="left" vertical="top" wrapText="1"/>
      <protection locked="0"/>
    </xf>
    <xf numFmtId="0" fontId="23" fillId="0" borderId="6" xfId="0" applyFont="1" applyBorder="1" applyAlignment="1" applyProtection="1">
      <alignment horizontal="left"/>
      <protection locked="0"/>
    </xf>
    <xf numFmtId="0" fontId="24" fillId="0" borderId="0" xfId="244" applyFill="1" applyAlignment="1" applyProtection="1">
      <alignment horizontal="left"/>
      <protection locked="0"/>
    </xf>
    <xf numFmtId="168" fontId="23"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0" fillId="5" borderId="6" xfId="0" applyFill="1" applyBorder="1" applyProtection="1">
      <protection locked="0"/>
    </xf>
    <xf numFmtId="0" fontId="32" fillId="0" borderId="4" xfId="0" applyFont="1" applyBorder="1" applyAlignment="1" applyProtection="1">
      <alignment horizontal="left"/>
      <protection locked="0"/>
    </xf>
    <xf numFmtId="0" fontId="23" fillId="43" borderId="6" xfId="0" applyFont="1" applyFill="1" applyBorder="1" applyAlignment="1" applyProtection="1">
      <alignment vertical="center"/>
      <protection locked="0"/>
    </xf>
    <xf numFmtId="0" fontId="32" fillId="43" borderId="6" xfId="0" applyFont="1" applyFill="1" applyBorder="1" applyAlignment="1" applyProtection="1">
      <alignment horizontal="left"/>
      <protection locked="0"/>
    </xf>
    <xf numFmtId="0" fontId="23" fillId="0" borderId="6" xfId="0" applyFont="1" applyBorder="1" applyAlignment="1">
      <alignment horizontal="left"/>
    </xf>
    <xf numFmtId="173" fontId="0" fillId="5" borderId="6" xfId="0" applyNumberFormat="1" applyFill="1" applyBorder="1" applyAlignment="1" applyProtection="1">
      <alignment horizontal="center"/>
      <protection locked="0"/>
    </xf>
    <xf numFmtId="168" fontId="32" fillId="0" borderId="11" xfId="0" applyNumberFormat="1" applyFont="1" applyBorder="1" applyAlignment="1">
      <alignment horizontal="center"/>
    </xf>
    <xf numFmtId="0" fontId="32" fillId="5" borderId="0" xfId="0" applyFont="1" applyFill="1" applyAlignment="1" applyProtection="1">
      <alignment horizontal="left" vertical="top" wrapText="1"/>
      <protection locked="0"/>
    </xf>
    <xf numFmtId="0" fontId="32" fillId="5" borderId="6" xfId="0" applyFont="1" applyFill="1" applyBorder="1" applyAlignment="1" applyProtection="1">
      <alignment horizontal="left" vertical="top" wrapText="1"/>
      <protection locked="0"/>
    </xf>
    <xf numFmtId="168" fontId="32" fillId="5" borderId="4" xfId="0" applyNumberFormat="1" applyFont="1" applyFill="1" applyBorder="1" applyAlignment="1" applyProtection="1">
      <alignment horizontal="right"/>
      <protection locked="0"/>
    </xf>
    <xf numFmtId="168" fontId="23" fillId="5" borderId="3" xfId="0" applyNumberFormat="1" applyFont="1" applyFill="1" applyBorder="1" applyAlignment="1" applyProtection="1">
      <alignment horizontal="left" vertical="top"/>
      <protection locked="0"/>
    </xf>
    <xf numFmtId="168" fontId="32" fillId="5" borderId="4" xfId="0" applyNumberFormat="1" applyFont="1" applyFill="1" applyBorder="1" applyAlignment="1" applyProtection="1">
      <alignment horizontal="left" vertical="top"/>
      <protection locked="0"/>
    </xf>
    <xf numFmtId="168" fontId="32" fillId="5" borderId="5" xfId="0" applyNumberFormat="1" applyFont="1" applyFill="1" applyBorder="1" applyAlignment="1" applyProtection="1">
      <alignment horizontal="left" vertical="top"/>
      <protection locked="0"/>
    </xf>
    <xf numFmtId="168" fontId="23" fillId="0" borderId="4" xfId="0" applyNumberFormat="1" applyFont="1" applyBorder="1" applyAlignment="1">
      <alignment horizontal="left" vertical="top"/>
    </xf>
    <xf numFmtId="168" fontId="23" fillId="0" borderId="5" xfId="0" applyNumberFormat="1" applyFont="1" applyBorder="1" applyAlignment="1">
      <alignment horizontal="left" vertical="top"/>
    </xf>
    <xf numFmtId="0" fontId="0" fillId="5" borderId="6"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32" fillId="5" borderId="4" xfId="0" applyFont="1" applyFill="1" applyBorder="1" applyAlignment="1" applyProtection="1">
      <alignment horizontal="right"/>
      <protection locked="0"/>
    </xf>
    <xf numFmtId="178" fontId="32" fillId="5" borderId="4" xfId="0" applyNumberFormat="1" applyFont="1" applyFill="1" applyBorder="1" applyAlignment="1" applyProtection="1">
      <alignment horizontal="right"/>
      <protection locked="0"/>
    </xf>
    <xf numFmtId="0" fontId="0" fillId="0" borderId="12" xfId="0" applyBorder="1" applyAlignment="1">
      <alignment horizontal="center"/>
    </xf>
    <xf numFmtId="0" fontId="3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5" fontId="32" fillId="5" borderId="3" xfId="0" applyNumberFormat="1" applyFont="1" applyFill="1" applyBorder="1" applyAlignment="1" applyProtection="1">
      <alignment horizontal="center"/>
      <protection locked="0"/>
    </xf>
    <xf numFmtId="165" fontId="32" fillId="5" borderId="4" xfId="0" applyNumberFormat="1" applyFont="1" applyFill="1" applyBorder="1" applyAlignment="1" applyProtection="1">
      <alignment horizontal="center"/>
      <protection locked="0"/>
    </xf>
    <xf numFmtId="165" fontId="32" fillId="5" borderId="5" xfId="0" applyNumberFormat="1" applyFon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0" fontId="42"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3" fontId="3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30" fillId="0" borderId="9"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30" fillId="0" borderId="10" xfId="0" applyFont="1" applyBorder="1" applyAlignment="1">
      <alignment horizontal="center"/>
    </xf>
    <xf numFmtId="168" fontId="189" fillId="0" borderId="105" xfId="543" applyNumberFormat="1" applyFont="1" applyBorder="1" applyAlignment="1">
      <alignment horizontal="right" vertical="center" wrapText="1"/>
    </xf>
    <xf numFmtId="175" fontId="189" fillId="0" borderId="107" xfId="543" applyNumberFormat="1" applyFont="1" applyBorder="1" applyAlignment="1">
      <alignment horizontal="center" vertical="center" wrapText="1"/>
    </xf>
    <xf numFmtId="175" fontId="189" fillId="0" borderId="108" xfId="543" applyNumberFormat="1" applyFont="1" applyBorder="1" applyAlignment="1">
      <alignment horizontal="center" vertical="center" wrapText="1"/>
    </xf>
    <xf numFmtId="175" fontId="189" fillId="0" borderId="109" xfId="543" applyNumberFormat="1" applyFont="1" applyBorder="1" applyAlignment="1">
      <alignment horizontal="center" vertical="center" wrapText="1"/>
    </xf>
    <xf numFmtId="0" fontId="188"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5" borderId="4" xfId="0" applyFill="1" applyBorder="1" applyAlignment="1" applyProtection="1">
      <alignment horizontal="left" wrapText="1"/>
      <protection locked="0"/>
    </xf>
    <xf numFmtId="0" fontId="64" fillId="2" borderId="3" xfId="0" applyFont="1" applyFill="1" applyBorder="1" applyAlignment="1">
      <alignment horizontal="center" vertical="top"/>
    </xf>
    <xf numFmtId="0" fontId="64" fillId="2" borderId="4" xfId="0" applyFont="1" applyFill="1" applyBorder="1" applyAlignment="1">
      <alignment horizontal="center" vertical="top"/>
    </xf>
    <xf numFmtId="0" fontId="64" fillId="2" borderId="5" xfId="0" applyFont="1" applyFill="1" applyBorder="1" applyAlignment="1">
      <alignment horizontal="center" vertical="top"/>
    </xf>
    <xf numFmtId="0" fontId="32" fillId="0" borderId="6" xfId="0" applyFont="1" applyBorder="1" applyAlignment="1">
      <alignment vertical="top" wrapText="1"/>
    </xf>
    <xf numFmtId="177" fontId="32" fillId="5" borderId="6" xfId="0" applyNumberFormat="1" applyFont="1" applyFill="1" applyBorder="1" applyAlignment="1" applyProtection="1">
      <alignment horizontal="left" vertical="top" wrapText="1"/>
      <protection locked="0"/>
    </xf>
    <xf numFmtId="0" fontId="32" fillId="0" borderId="2" xfId="0" applyFont="1" applyBorder="1" applyAlignment="1">
      <alignment vertical="top" wrapText="1"/>
    </xf>
    <xf numFmtId="0" fontId="59" fillId="0" borderId="0" xfId="0" applyFont="1" applyAlignment="1">
      <alignment vertical="top" wrapText="1"/>
    </xf>
    <xf numFmtId="0" fontId="32" fillId="0" borderId="2" xfId="0" applyFont="1" applyBorder="1" applyAlignment="1">
      <alignment horizontal="left" vertical="top" wrapText="1"/>
    </xf>
    <xf numFmtId="0" fontId="60" fillId="0" borderId="0" xfId="0" applyFont="1" applyAlignment="1">
      <alignment vertical="top" wrapText="1"/>
    </xf>
    <xf numFmtId="0" fontId="32" fillId="0" borderId="0" xfId="0" applyFont="1" applyAlignment="1">
      <alignment vertical="top" wrapText="1"/>
    </xf>
    <xf numFmtId="0" fontId="32" fillId="0" borderId="6" xfId="0" applyFont="1" applyBorder="1" applyAlignment="1">
      <alignment horizontal="right" vertical="top" wrapText="1"/>
    </xf>
    <xf numFmtId="0" fontId="60" fillId="0" borderId="0" xfId="569" applyFont="1" applyAlignment="1">
      <alignment vertical="top" wrapText="1"/>
    </xf>
    <xf numFmtId="0" fontId="23" fillId="0" borderId="0" xfId="569" applyAlignment="1">
      <alignment horizontal="right" vertical="top" wrapText="1"/>
    </xf>
    <xf numFmtId="0" fontId="29" fillId="3" borderId="3" xfId="0" applyFont="1" applyFill="1" applyBorder="1" applyAlignment="1">
      <alignment horizontal="left" vertical="top"/>
    </xf>
    <xf numFmtId="0" fontId="29" fillId="3" borderId="4" xfId="0" applyFont="1" applyFill="1" applyBorder="1" applyAlignment="1">
      <alignment horizontal="left" vertical="top"/>
    </xf>
    <xf numFmtId="0" fontId="29" fillId="3" borderId="5" xfId="0" applyFont="1" applyFill="1" applyBorder="1" applyAlignment="1">
      <alignment horizontal="left" vertical="top"/>
    </xf>
    <xf numFmtId="0" fontId="7" fillId="45" borderId="3" xfId="8736" applyFill="1" applyBorder="1" applyAlignment="1">
      <alignment horizontal="center"/>
    </xf>
    <xf numFmtId="0" fontId="7" fillId="45" borderId="4" xfId="8736" applyFill="1" applyBorder="1" applyAlignment="1">
      <alignment horizontal="center"/>
    </xf>
    <xf numFmtId="0" fontId="7" fillId="45" borderId="5" xfId="8736" applyFill="1" applyBorder="1" applyAlignment="1">
      <alignment horizontal="center"/>
    </xf>
    <xf numFmtId="0" fontId="174" fillId="44" borderId="80" xfId="8736" applyFont="1" applyFill="1" applyBorder="1" applyAlignment="1">
      <alignment horizontal="left"/>
    </xf>
    <xf numFmtId="0" fontId="174" fillId="44" borderId="79" xfId="8736" applyFont="1" applyFill="1" applyBorder="1" applyAlignment="1">
      <alignment horizontal="left"/>
    </xf>
    <xf numFmtId="0" fontId="174" fillId="44" borderId="78" xfId="8736" applyFont="1" applyFill="1" applyBorder="1" applyAlignment="1">
      <alignment horizontal="left"/>
    </xf>
    <xf numFmtId="0" fontId="175" fillId="45" borderId="11" xfId="8736" applyFont="1" applyFill="1" applyBorder="1" applyAlignment="1">
      <alignment horizontal="right"/>
    </xf>
    <xf numFmtId="1" fontId="174" fillId="48" borderId="11" xfId="8736" applyNumberFormat="1" applyFont="1" applyFill="1" applyBorder="1" applyAlignment="1" applyProtection="1">
      <alignment horizontal="center"/>
      <protection locked="0"/>
    </xf>
    <xf numFmtId="0" fontId="186" fillId="51" borderId="65" xfId="8736" applyFont="1" applyFill="1" applyBorder="1" applyAlignment="1">
      <alignment horizontal="center"/>
    </xf>
    <xf numFmtId="0" fontId="186" fillId="51" borderId="29" xfId="8736" applyFont="1" applyFill="1" applyBorder="1" applyAlignment="1">
      <alignment horizontal="center"/>
    </xf>
    <xf numFmtId="0" fontId="186" fillId="51" borderId="31" xfId="8736" applyFont="1" applyFill="1" applyBorder="1" applyAlignment="1">
      <alignment horizontal="center"/>
    </xf>
    <xf numFmtId="0" fontId="171" fillId="48" borderId="66" xfId="8736" applyFont="1" applyFill="1" applyBorder="1" applyAlignment="1">
      <alignment horizontal="center"/>
    </xf>
    <xf numFmtId="0" fontId="171" fillId="48" borderId="0" xfId="8736" applyFont="1" applyFill="1" applyAlignment="1">
      <alignment horizontal="center"/>
    </xf>
    <xf numFmtId="0" fontId="171" fillId="48" borderId="41" xfId="8736" applyFont="1" applyFill="1" applyBorder="1" applyAlignment="1">
      <alignment horizontal="center"/>
    </xf>
    <xf numFmtId="0" fontId="171" fillId="45" borderId="3" xfId="8736" applyFont="1" applyFill="1" applyBorder="1" applyAlignment="1">
      <alignment horizontal="center"/>
    </xf>
    <xf numFmtId="0" fontId="171" fillId="45" borderId="4" xfId="8736" applyFont="1" applyFill="1" applyBorder="1" applyAlignment="1">
      <alignment horizontal="center"/>
    </xf>
    <xf numFmtId="0" fontId="171" fillId="45" borderId="5" xfId="8736" applyFont="1" applyFill="1" applyBorder="1" applyAlignment="1">
      <alignment horizontal="center"/>
    </xf>
    <xf numFmtId="0" fontId="181" fillId="45" borderId="11" xfId="8736" applyFont="1" applyFill="1" applyBorder="1" applyAlignment="1">
      <alignment horizontal="right"/>
    </xf>
    <xf numFmtId="14" fontId="174" fillId="48" borderId="11" xfId="8736" applyNumberFormat="1"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0" fontId="7" fillId="44" borderId="80" xfId="8736" applyFill="1" applyBorder="1" applyAlignment="1">
      <alignment horizontal="center"/>
    </xf>
    <xf numFmtId="0" fontId="7" fillId="44" borderId="79" xfId="8736" applyFill="1" applyBorder="1" applyAlignment="1">
      <alignment horizontal="center"/>
    </xf>
    <xf numFmtId="0" fontId="7" fillId="44" borderId="78" xfId="8736" applyFill="1" applyBorder="1" applyAlignment="1">
      <alignment horizontal="center"/>
    </xf>
    <xf numFmtId="0" fontId="108" fillId="45" borderId="80" xfId="8736" applyFont="1" applyFill="1" applyBorder="1" applyAlignment="1">
      <alignment horizontal="center"/>
    </xf>
    <xf numFmtId="0" fontId="108" fillId="45" borderId="79" xfId="8736" applyFont="1" applyFill="1" applyBorder="1" applyAlignment="1">
      <alignment horizontal="center"/>
    </xf>
    <xf numFmtId="0" fontId="108" fillId="45" borderId="78" xfId="8736" applyFont="1" applyFill="1" applyBorder="1" applyAlignment="1">
      <alignment horizontal="center"/>
    </xf>
    <xf numFmtId="0" fontId="174" fillId="48" borderId="80" xfId="8736" applyFont="1" applyFill="1" applyBorder="1" applyAlignment="1" applyProtection="1">
      <alignment horizontal="center"/>
      <protection locked="0"/>
    </xf>
    <xf numFmtId="0" fontId="174" fillId="48" borderId="79" xfId="8736" applyFont="1" applyFill="1" applyBorder="1" applyAlignment="1" applyProtection="1">
      <alignment horizontal="center"/>
      <protection locked="0"/>
    </xf>
    <xf numFmtId="0" fontId="174" fillId="48" borderId="78" xfId="8736" applyFont="1" applyFill="1" applyBorder="1" applyAlignment="1" applyProtection="1">
      <alignment horizontal="center"/>
      <protection locked="0"/>
    </xf>
    <xf numFmtId="0" fontId="178" fillId="45" borderId="11" xfId="8736" applyFont="1" applyFill="1" applyBorder="1" applyAlignment="1">
      <alignment horizontal="right"/>
    </xf>
    <xf numFmtId="1" fontId="7" fillId="44" borderId="11" xfId="8736" applyNumberFormat="1" applyFill="1" applyBorder="1" applyAlignment="1">
      <alignment horizontal="center"/>
    </xf>
    <xf numFmtId="0" fontId="7" fillId="44" borderId="11" xfId="8736" applyFill="1" applyBorder="1" applyAlignment="1">
      <alignment horizontal="center"/>
    </xf>
    <xf numFmtId="0" fontId="175" fillId="45" borderId="11" xfId="8736" applyFont="1" applyFill="1" applyBorder="1" applyAlignment="1">
      <alignment horizontal="right" wrapText="1"/>
    </xf>
    <xf numFmtId="14" fontId="174" fillId="48" borderId="11" xfId="8736" applyNumberFormat="1" applyFont="1" applyFill="1" applyBorder="1" applyAlignment="1" applyProtection="1">
      <alignment horizontal="center" vertical="center"/>
      <protection locked="0"/>
    </xf>
    <xf numFmtId="0" fontId="174" fillId="48" borderId="11" xfId="8736" applyFont="1" applyFill="1" applyBorder="1" applyAlignment="1" applyProtection="1">
      <alignment horizontal="center" vertical="center"/>
      <protection locked="0"/>
    </xf>
    <xf numFmtId="168" fontId="179" fillId="44" borderId="11" xfId="8737" applyNumberFormat="1" applyFont="1" applyFill="1" applyBorder="1" applyAlignment="1" applyProtection="1">
      <alignment horizontal="left"/>
    </xf>
    <xf numFmtId="0" fontId="108" fillId="45" borderId="80" xfId="8736" applyFont="1" applyFill="1" applyBorder="1" applyAlignment="1">
      <alignment horizontal="right"/>
    </xf>
    <xf numFmtId="0" fontId="108" fillId="45" borderId="79" xfId="8736" applyFont="1" applyFill="1" applyBorder="1" applyAlignment="1">
      <alignment horizontal="right"/>
    </xf>
    <xf numFmtId="0" fontId="108" fillId="45" borderId="103" xfId="8736" applyFont="1" applyFill="1" applyBorder="1" applyAlignment="1">
      <alignment horizontal="right"/>
    </xf>
    <xf numFmtId="0" fontId="7" fillId="44" borderId="84" xfId="8736" applyFill="1" applyBorder="1" applyAlignment="1">
      <alignment horizontal="center"/>
    </xf>
    <xf numFmtId="0" fontId="7" fillId="44" borderId="102" xfId="8736" applyFill="1" applyBorder="1" applyAlignment="1">
      <alignment horizontal="center"/>
    </xf>
    <xf numFmtId="0" fontId="171" fillId="45" borderId="93" xfId="8736" applyFont="1" applyFill="1" applyBorder="1" applyAlignment="1">
      <alignment horizontal="center"/>
    </xf>
    <xf numFmtId="0" fontId="171" fillId="45" borderId="92" xfId="8736" applyFont="1" applyFill="1" applyBorder="1" applyAlignment="1">
      <alignment horizontal="center"/>
    </xf>
    <xf numFmtId="0" fontId="171" fillId="45" borderId="91" xfId="8736" applyFont="1" applyFill="1" applyBorder="1" applyAlignment="1">
      <alignment horizontal="center"/>
    </xf>
    <xf numFmtId="0" fontId="178" fillId="45" borderId="97" xfId="8736" applyFont="1" applyFill="1" applyBorder="1" applyAlignment="1">
      <alignment horizontal="center"/>
    </xf>
    <xf numFmtId="0" fontId="178" fillId="45" borderId="2" xfId="8736" applyFont="1" applyFill="1" applyBorder="1" applyAlignment="1">
      <alignment horizontal="center"/>
    </xf>
    <xf numFmtId="0" fontId="178" fillId="45" borderId="7" xfId="8736" applyFont="1" applyFill="1" applyBorder="1" applyAlignment="1">
      <alignment horizontal="center"/>
    </xf>
    <xf numFmtId="0" fontId="178" fillId="45" borderId="3" xfId="8736" applyFont="1" applyFill="1" applyBorder="1" applyAlignment="1">
      <alignment horizontal="center"/>
    </xf>
    <xf numFmtId="0" fontId="178" fillId="45" borderId="4" xfId="8736" applyFont="1" applyFill="1" applyBorder="1" applyAlignment="1">
      <alignment horizontal="center"/>
    </xf>
    <xf numFmtId="0" fontId="178" fillId="45" borderId="5" xfId="8736" applyFont="1" applyFill="1" applyBorder="1" applyAlignment="1">
      <alignment horizontal="center"/>
    </xf>
    <xf numFmtId="0" fontId="178" fillId="45" borderId="81" xfId="8736" applyFont="1" applyFill="1" applyBorder="1" applyAlignment="1">
      <alignment horizontal="center"/>
    </xf>
    <xf numFmtId="9" fontId="177" fillId="48" borderId="90" xfId="8736" applyNumberFormat="1" applyFont="1" applyFill="1" applyBorder="1" applyAlignment="1" applyProtection="1">
      <alignment horizontal="center"/>
      <protection locked="0"/>
    </xf>
    <xf numFmtId="9" fontId="177" fillId="48" borderId="4" xfId="8736" applyNumberFormat="1" applyFont="1" applyFill="1" applyBorder="1" applyAlignment="1" applyProtection="1">
      <alignment horizontal="center"/>
      <protection locked="0"/>
    </xf>
    <xf numFmtId="9" fontId="177" fillId="48" borderId="5" xfId="8736" applyNumberFormat="1" applyFont="1" applyFill="1" applyBorder="1" applyAlignment="1" applyProtection="1">
      <alignment horizontal="center"/>
      <protection locked="0"/>
    </xf>
    <xf numFmtId="0" fontId="177" fillId="44" borderId="3" xfId="8736" applyFont="1" applyFill="1" applyBorder="1" applyAlignment="1">
      <alignment horizontal="center"/>
    </xf>
    <xf numFmtId="0" fontId="177" fillId="44" borderId="4" xfId="8736" applyFont="1" applyFill="1" applyBorder="1" applyAlignment="1">
      <alignment horizontal="center"/>
    </xf>
    <xf numFmtId="0" fontId="177" fillId="44" borderId="5" xfId="8736" applyFont="1" applyFill="1" applyBorder="1" applyAlignment="1">
      <alignment horizontal="center"/>
    </xf>
    <xf numFmtId="10" fontId="178" fillId="44" borderId="3" xfId="8736" applyNumberFormat="1" applyFont="1" applyFill="1" applyBorder="1" applyAlignment="1">
      <alignment horizontal="center"/>
    </xf>
    <xf numFmtId="10" fontId="178" fillId="44" borderId="4" xfId="8736" applyNumberFormat="1" applyFont="1" applyFill="1" applyBorder="1" applyAlignment="1">
      <alignment horizontal="center"/>
    </xf>
    <xf numFmtId="10" fontId="178" fillId="44" borderId="81" xfId="8736" applyNumberFormat="1" applyFont="1" applyFill="1" applyBorder="1" applyAlignment="1">
      <alignment horizontal="center"/>
    </xf>
    <xf numFmtId="0" fontId="177" fillId="48" borderId="3" xfId="8736" applyFont="1" applyFill="1" applyBorder="1" applyAlignment="1" applyProtection="1">
      <alignment horizontal="center"/>
      <protection locked="0"/>
    </xf>
    <xf numFmtId="0" fontId="177" fillId="48" borderId="4" xfId="8736" applyFont="1" applyFill="1" applyBorder="1" applyAlignment="1" applyProtection="1">
      <alignment horizontal="center"/>
      <protection locked="0"/>
    </xf>
    <xf numFmtId="0" fontId="177" fillId="48" borderId="5" xfId="8736" applyFont="1" applyFill="1" applyBorder="1" applyAlignment="1" applyProtection="1">
      <alignment horizontal="center"/>
      <protection locked="0"/>
    </xf>
    <xf numFmtId="0" fontId="178" fillId="44" borderId="87" xfId="8736" applyFont="1" applyFill="1" applyBorder="1" applyAlignment="1">
      <alignment horizontal="center"/>
    </xf>
    <xf numFmtId="0" fontId="178" fillId="44" borderId="86" xfId="8736" applyFont="1" applyFill="1" applyBorder="1" applyAlignment="1">
      <alignment horizontal="center"/>
    </xf>
    <xf numFmtId="0" fontId="178" fillId="44" borderId="95" xfId="8736" applyFont="1" applyFill="1" applyBorder="1" applyAlignment="1">
      <alignment horizontal="center"/>
    </xf>
    <xf numFmtId="0" fontId="177" fillId="44" borderId="94" xfId="8736" applyFont="1" applyFill="1" applyBorder="1" applyAlignment="1">
      <alignment horizontal="center"/>
    </xf>
    <xf numFmtId="0" fontId="177" fillId="44" borderId="86" xfId="8736" applyFont="1" applyFill="1" applyBorder="1" applyAlignment="1">
      <alignment horizontal="center"/>
    </xf>
    <xf numFmtId="0" fontId="177" fillId="44" borderId="95" xfId="8736" applyFont="1" applyFill="1" applyBorder="1" applyAlignment="1">
      <alignment horizontal="center"/>
    </xf>
    <xf numFmtId="10" fontId="178" fillId="44" borderId="94" xfId="8736" applyNumberFormat="1" applyFont="1" applyFill="1" applyBorder="1" applyAlignment="1">
      <alignment horizontal="center"/>
    </xf>
    <xf numFmtId="10" fontId="178" fillId="44" borderId="86" xfId="8736" applyNumberFormat="1" applyFont="1" applyFill="1" applyBorder="1" applyAlignment="1">
      <alignment horizontal="center"/>
    </xf>
    <xf numFmtId="10" fontId="178" fillId="44" borderId="85" xfId="8736" applyNumberFormat="1" applyFont="1" applyFill="1" applyBorder="1" applyAlignment="1">
      <alignment horizontal="center"/>
    </xf>
    <xf numFmtId="0" fontId="178" fillId="44" borderId="101" xfId="8736" applyFont="1" applyFill="1" applyBorder="1" applyAlignment="1">
      <alignment horizontal="center"/>
    </xf>
    <xf numFmtId="0" fontId="178" fillId="44" borderId="42" xfId="8736" applyFont="1" applyFill="1" applyBorder="1" applyAlignment="1">
      <alignment horizontal="center"/>
    </xf>
    <xf numFmtId="0" fontId="178" fillId="44" borderId="96" xfId="8736" applyFont="1" applyFill="1" applyBorder="1" applyAlignment="1">
      <alignment horizontal="center"/>
    </xf>
    <xf numFmtId="9" fontId="178" fillId="44" borderId="101" xfId="1022" applyFont="1" applyFill="1" applyBorder="1" applyAlignment="1">
      <alignment horizontal="center"/>
    </xf>
    <xf numFmtId="9" fontId="178" fillId="44" borderId="42" xfId="1022" applyFont="1" applyFill="1" applyBorder="1" applyAlignment="1">
      <alignment horizontal="center"/>
    </xf>
    <xf numFmtId="9" fontId="178" fillId="44" borderId="44" xfId="1022" applyFont="1" applyFill="1" applyBorder="1" applyAlignment="1">
      <alignment horizontal="center"/>
    </xf>
    <xf numFmtId="0" fontId="171" fillId="45" borderId="80" xfId="8736" applyFont="1" applyFill="1" applyBorder="1" applyAlignment="1">
      <alignment horizontal="center"/>
    </xf>
    <xf numFmtId="0" fontId="171" fillId="45" borderId="79" xfId="8736" applyFont="1" applyFill="1" applyBorder="1" applyAlignment="1">
      <alignment horizontal="center"/>
    </xf>
    <xf numFmtId="0" fontId="171" fillId="45" borderId="78" xfId="8736" applyFont="1" applyFill="1" applyBorder="1" applyAlignment="1">
      <alignment horizontal="center"/>
    </xf>
    <xf numFmtId="0" fontId="170" fillId="45" borderId="98" xfId="8736" applyFont="1" applyFill="1" applyBorder="1" applyAlignment="1">
      <alignment horizontal="center" vertical="center" wrapText="1"/>
    </xf>
    <xf numFmtId="0" fontId="170" fillId="45" borderId="13" xfId="8736" applyFont="1" applyFill="1" applyBorder="1" applyAlignment="1">
      <alignment horizontal="center" vertical="center"/>
    </xf>
    <xf numFmtId="0" fontId="170" fillId="45" borderId="72" xfId="8736" applyFont="1" applyFill="1" applyBorder="1" applyAlignment="1">
      <alignment horizontal="center" vertical="center"/>
    </xf>
    <xf numFmtId="0" fontId="170" fillId="45" borderId="11" xfId="8736" applyFont="1" applyFill="1" applyBorder="1" applyAlignment="1">
      <alignment horizontal="center" vertical="center"/>
    </xf>
    <xf numFmtId="0" fontId="178" fillId="45" borderId="13" xfId="8736" applyFont="1" applyFill="1" applyBorder="1" applyAlignment="1">
      <alignment horizontal="center" vertical="center" wrapText="1"/>
    </xf>
    <xf numFmtId="0" fontId="178" fillId="45" borderId="13" xfId="8736" applyFont="1" applyFill="1" applyBorder="1" applyAlignment="1">
      <alignment horizontal="center" vertical="center"/>
    </xf>
    <xf numFmtId="0" fontId="178" fillId="45" borderId="11" xfId="8736" applyFont="1" applyFill="1" applyBorder="1" applyAlignment="1">
      <alignment horizontal="center" vertical="center"/>
    </xf>
    <xf numFmtId="0" fontId="178" fillId="45" borderId="9" xfId="8736" applyFont="1" applyFill="1" applyBorder="1" applyAlignment="1">
      <alignment horizontal="center" vertical="center"/>
    </xf>
    <xf numFmtId="0" fontId="178" fillId="45" borderId="3" xfId="8736" applyFont="1" applyFill="1" applyBorder="1" applyAlignment="1">
      <alignment horizontal="center" vertical="center"/>
    </xf>
    <xf numFmtId="0" fontId="170" fillId="45" borderId="80" xfId="8736" applyFont="1" applyFill="1" applyBorder="1" applyAlignment="1">
      <alignment horizontal="center"/>
    </xf>
    <xf numFmtId="0" fontId="170" fillId="45" borderId="79" xfId="8736" applyFont="1" applyFill="1" applyBorder="1" applyAlignment="1">
      <alignment horizontal="center"/>
    </xf>
    <xf numFmtId="0" fontId="170" fillId="45" borderId="78" xfId="8736" applyFont="1" applyFill="1" applyBorder="1" applyAlignment="1">
      <alignment horizontal="center"/>
    </xf>
    <xf numFmtId="0" fontId="170" fillId="45" borderId="65" xfId="8736" applyFont="1" applyFill="1" applyBorder="1" applyAlignment="1">
      <alignment horizontal="center" vertical="center" wrapText="1"/>
    </xf>
    <xf numFmtId="0" fontId="170" fillId="45" borderId="29" xfId="8736" applyFont="1" applyFill="1" applyBorder="1" applyAlignment="1">
      <alignment horizontal="center" vertical="center" wrapText="1"/>
    </xf>
    <xf numFmtId="0" fontId="170" fillId="45" borderId="31" xfId="8736" applyFont="1" applyFill="1" applyBorder="1" applyAlignment="1">
      <alignment horizontal="center" vertical="center" wrapText="1"/>
    </xf>
    <xf numFmtId="0" fontId="170" fillId="45" borderId="73" xfId="8736" applyFont="1" applyFill="1" applyBorder="1" applyAlignment="1">
      <alignment horizontal="center" vertical="center" wrapText="1"/>
    </xf>
    <xf numFmtId="0" fontId="170" fillId="45" borderId="42" xfId="8736" applyFont="1" applyFill="1" applyBorder="1" applyAlignment="1">
      <alignment horizontal="center" vertical="center" wrapText="1"/>
    </xf>
    <xf numFmtId="0" fontId="170" fillId="45" borderId="44" xfId="8736" applyFont="1" applyFill="1" applyBorder="1" applyAlignment="1">
      <alignment horizontal="center" vertical="center" wrapText="1"/>
    </xf>
    <xf numFmtId="9" fontId="178" fillId="48" borderId="13" xfId="8736" applyNumberFormat="1" applyFont="1" applyFill="1" applyBorder="1" applyAlignment="1" applyProtection="1">
      <alignment horizontal="center"/>
      <protection locked="0"/>
    </xf>
    <xf numFmtId="0" fontId="178" fillId="44" borderId="73" xfId="8736" applyFont="1" applyFill="1" applyBorder="1" applyAlignment="1">
      <alignment horizontal="center"/>
    </xf>
    <xf numFmtId="0" fontId="170" fillId="44" borderId="9" xfId="8736" applyFont="1" applyFill="1" applyBorder="1" applyAlignment="1">
      <alignment horizontal="center"/>
    </xf>
    <xf numFmtId="0" fontId="170" fillId="44" borderId="6" xfId="8736" applyFont="1" applyFill="1" applyBorder="1" applyAlignment="1">
      <alignment horizontal="center"/>
    </xf>
    <xf numFmtId="0" fontId="170" fillId="44" borderId="82" xfId="8736" applyFont="1" applyFill="1" applyBorder="1" applyAlignment="1">
      <alignment horizontal="center"/>
    </xf>
    <xf numFmtId="9" fontId="178" fillId="48" borderId="9" xfId="8736" applyNumberFormat="1" applyFont="1" applyFill="1" applyBorder="1" applyAlignment="1" applyProtection="1">
      <alignment horizontal="center"/>
      <protection locked="0"/>
    </xf>
    <xf numFmtId="9" fontId="178" fillId="48" borderId="6" xfId="8736" applyNumberFormat="1" applyFont="1" applyFill="1" applyBorder="1" applyAlignment="1" applyProtection="1">
      <alignment horizontal="center"/>
      <protection locked="0"/>
    </xf>
    <xf numFmtId="9" fontId="178" fillId="48" borderId="10" xfId="8736" applyNumberFormat="1" applyFont="1" applyFill="1" applyBorder="1" applyAlignment="1" applyProtection="1">
      <alignment horizontal="center"/>
      <protection locked="0"/>
    </xf>
    <xf numFmtId="9" fontId="170" fillId="48" borderId="9" xfId="8736" applyNumberFormat="1" applyFont="1" applyFill="1" applyBorder="1" applyAlignment="1" applyProtection="1">
      <alignment horizontal="center"/>
      <protection locked="0"/>
    </xf>
    <xf numFmtId="9" fontId="170" fillId="48" borderId="6" xfId="8736" applyNumberFormat="1" applyFont="1" applyFill="1" applyBorder="1" applyAlignment="1" applyProtection="1">
      <alignment horizontal="center"/>
      <protection locked="0"/>
    </xf>
    <xf numFmtId="9" fontId="170" fillId="48" borderId="10" xfId="8736" applyNumberFormat="1" applyFont="1" applyFill="1" applyBorder="1" applyAlignment="1" applyProtection="1">
      <alignment horizontal="center"/>
      <protection locked="0"/>
    </xf>
    <xf numFmtId="0" fontId="170" fillId="44" borderId="10" xfId="8736" applyFont="1" applyFill="1" applyBorder="1" applyAlignment="1">
      <alignment horizontal="center"/>
    </xf>
    <xf numFmtId="1" fontId="182" fillId="48" borderId="3" xfId="8736" applyNumberFormat="1" applyFont="1" applyFill="1" applyBorder="1" applyAlignment="1" applyProtection="1">
      <alignment horizontal="center"/>
      <protection locked="0"/>
    </xf>
    <xf numFmtId="1" fontId="182" fillId="48" borderId="4" xfId="8736" applyNumberFormat="1" applyFont="1" applyFill="1" applyBorder="1" applyAlignment="1" applyProtection="1">
      <alignment horizontal="center"/>
      <protection locked="0"/>
    </xf>
    <xf numFmtId="1" fontId="182" fillId="48" borderId="5" xfId="8736" applyNumberFormat="1" applyFont="1" applyFill="1" applyBorder="1" applyAlignment="1" applyProtection="1">
      <alignment horizontal="center"/>
      <protection locked="0"/>
    </xf>
    <xf numFmtId="1" fontId="170" fillId="44" borderId="3" xfId="8736" applyNumberFormat="1" applyFont="1" applyFill="1" applyBorder="1" applyAlignment="1">
      <alignment horizontal="center"/>
    </xf>
    <xf numFmtId="1" fontId="170" fillId="44" borderId="4" xfId="8736" applyNumberFormat="1" applyFont="1" applyFill="1" applyBorder="1" applyAlignment="1">
      <alignment horizontal="center"/>
    </xf>
    <xf numFmtId="1" fontId="170" fillId="44" borderId="5" xfId="8736" applyNumberFormat="1" applyFont="1" applyFill="1" applyBorder="1" applyAlignment="1">
      <alignment horizontal="center"/>
    </xf>
    <xf numFmtId="9" fontId="170" fillId="44" borderId="3" xfId="8738" applyFont="1" applyFill="1" applyBorder="1" applyAlignment="1">
      <alignment horizontal="center"/>
    </xf>
    <xf numFmtId="9" fontId="170" fillId="44" borderId="4" xfId="8738" applyFont="1" applyFill="1" applyBorder="1" applyAlignment="1">
      <alignment horizontal="center"/>
    </xf>
    <xf numFmtId="9" fontId="170" fillId="44" borderId="81" xfId="8738" applyFont="1" applyFill="1" applyBorder="1" applyAlignment="1">
      <alignment horizontal="center"/>
    </xf>
    <xf numFmtId="0" fontId="179" fillId="48" borderId="72" xfId="8736" applyFont="1" applyFill="1" applyBorder="1" applyAlignment="1" applyProtection="1">
      <alignment horizontal="right"/>
      <protection locked="0"/>
    </xf>
    <xf numFmtId="0" fontId="179" fillId="48" borderId="11" xfId="8736" applyFont="1" applyFill="1" applyBorder="1" applyAlignment="1" applyProtection="1">
      <alignment horizontal="right"/>
      <protection locked="0"/>
    </xf>
    <xf numFmtId="0" fontId="182" fillId="48" borderId="11" xfId="8736" applyFont="1" applyFill="1" applyBorder="1" applyAlignment="1" applyProtection="1">
      <alignment horizontal="center"/>
      <protection locked="0"/>
    </xf>
    <xf numFmtId="1" fontId="182" fillId="48" borderId="11" xfId="8736" applyNumberFormat="1" applyFont="1" applyFill="1" applyBorder="1" applyAlignment="1" applyProtection="1">
      <alignment horizontal="center"/>
      <protection locked="0"/>
    </xf>
    <xf numFmtId="0" fontId="177" fillId="48" borderId="72" xfId="8736" applyFont="1" applyFill="1" applyBorder="1" applyAlignment="1" applyProtection="1">
      <alignment horizontal="right"/>
      <protection locked="0"/>
    </xf>
    <xf numFmtId="0" fontId="177" fillId="48" borderId="11" xfId="8736" applyFont="1" applyFill="1" applyBorder="1" applyAlignment="1" applyProtection="1">
      <alignment horizontal="right"/>
      <protection locked="0"/>
    </xf>
    <xf numFmtId="0" fontId="177" fillId="48" borderId="69" xfId="8736" applyFont="1" applyFill="1" applyBorder="1" applyAlignment="1" applyProtection="1">
      <alignment horizontal="right"/>
      <protection locked="0"/>
    </xf>
    <xf numFmtId="0" fontId="177" fillId="48" borderId="70" xfId="8736" applyFont="1" applyFill="1" applyBorder="1" applyAlignment="1" applyProtection="1">
      <alignment horizontal="right"/>
      <protection locked="0"/>
    </xf>
    <xf numFmtId="0" fontId="182" fillId="48" borderId="70" xfId="8736" applyFont="1" applyFill="1" applyBorder="1" applyAlignment="1" applyProtection="1">
      <alignment horizontal="center"/>
      <protection locked="0"/>
    </xf>
    <xf numFmtId="1" fontId="182" fillId="48" borderId="70" xfId="8736" applyNumberFormat="1" applyFont="1" applyFill="1" applyBorder="1" applyAlignment="1" applyProtection="1">
      <alignment horizontal="center"/>
      <protection locked="0"/>
    </xf>
    <xf numFmtId="9" fontId="170" fillId="44" borderId="94" xfId="8738" applyFont="1" applyFill="1" applyBorder="1" applyAlignment="1">
      <alignment horizontal="center"/>
    </xf>
    <xf numFmtId="9" fontId="170" fillId="44" borderId="86" xfId="8738" applyFont="1" applyFill="1" applyBorder="1" applyAlignment="1">
      <alignment horizontal="center"/>
    </xf>
    <xf numFmtId="9" fontId="170" fillId="44" borderId="85" xfId="8738" applyFont="1" applyFill="1" applyBorder="1" applyAlignment="1">
      <alignment horizontal="center"/>
    </xf>
    <xf numFmtId="1" fontId="182" fillId="48" borderId="94" xfId="8736" applyNumberFormat="1" applyFont="1" applyFill="1" applyBorder="1" applyAlignment="1" applyProtection="1">
      <alignment horizontal="center"/>
      <protection locked="0"/>
    </xf>
    <xf numFmtId="1" fontId="182" fillId="48" borderId="86" xfId="8736" applyNumberFormat="1" applyFont="1" applyFill="1" applyBorder="1" applyAlignment="1" applyProtection="1">
      <alignment horizontal="center"/>
      <protection locked="0"/>
    </xf>
    <xf numFmtId="1" fontId="182" fillId="48" borderId="95" xfId="8736" applyNumberFormat="1" applyFont="1" applyFill="1" applyBorder="1" applyAlignment="1" applyProtection="1">
      <alignment horizontal="center"/>
      <protection locked="0"/>
    </xf>
    <xf numFmtId="0" fontId="171" fillId="45" borderId="67" xfId="8736" applyFont="1" applyFill="1" applyBorder="1" applyAlignment="1">
      <alignment horizontal="center"/>
    </xf>
    <xf numFmtId="0" fontId="171" fillId="45" borderId="68" xfId="8736" applyFont="1" applyFill="1" applyBorder="1" applyAlignment="1">
      <alignment horizontal="center"/>
    </xf>
    <xf numFmtId="0" fontId="171" fillId="45" borderId="71" xfId="8736" applyFont="1" applyFill="1" applyBorder="1" applyAlignment="1">
      <alignment horizontal="center"/>
    </xf>
    <xf numFmtId="0" fontId="178" fillId="45" borderId="72" xfId="8736" applyFont="1" applyFill="1" applyBorder="1" applyAlignment="1">
      <alignment horizontal="center"/>
    </xf>
    <xf numFmtId="0" fontId="178" fillId="45" borderId="11" xfId="8736" applyFont="1" applyFill="1" applyBorder="1" applyAlignment="1">
      <alignment horizontal="center"/>
    </xf>
    <xf numFmtId="0" fontId="170" fillId="45" borderId="11" xfId="8736" applyFont="1" applyFill="1" applyBorder="1" applyAlignment="1">
      <alignment horizontal="center" vertical="center" wrapText="1"/>
    </xf>
    <xf numFmtId="0" fontId="170" fillId="45" borderId="76" xfId="8736" applyFont="1" applyFill="1" applyBorder="1" applyAlignment="1">
      <alignment horizontal="center" vertical="center" wrapText="1"/>
    </xf>
    <xf numFmtId="0" fontId="177" fillId="48" borderId="11" xfId="8736" applyFont="1" applyFill="1" applyBorder="1" applyAlignment="1" applyProtection="1">
      <alignment horizontal="center"/>
      <protection locked="0"/>
    </xf>
    <xf numFmtId="168" fontId="177" fillId="48" borderId="11" xfId="8737" applyNumberFormat="1"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7" fillId="48" borderId="11" xfId="700" applyNumberFormat="1" applyFont="1" applyFill="1" applyBorder="1" applyAlignment="1" applyProtection="1">
      <alignment horizontal="left"/>
      <protection locked="0"/>
    </xf>
    <xf numFmtId="0" fontId="177" fillId="48" borderId="76" xfId="700" applyNumberFormat="1" applyFont="1" applyFill="1" applyBorder="1" applyAlignment="1" applyProtection="1">
      <alignment horizontal="left"/>
      <protection locked="0"/>
    </xf>
    <xf numFmtId="0" fontId="171" fillId="45" borderId="65" xfId="8736" applyFont="1" applyFill="1" applyBorder="1" applyAlignment="1">
      <alignment horizontal="center"/>
    </xf>
    <xf numFmtId="0" fontId="171" fillId="45" borderId="29" xfId="8736" applyFont="1" applyFill="1" applyBorder="1" applyAlignment="1">
      <alignment horizontal="center"/>
    </xf>
    <xf numFmtId="0" fontId="171" fillId="45" borderId="31" xfId="8736" applyFont="1" applyFill="1" applyBorder="1" applyAlignment="1">
      <alignment horizontal="center"/>
    </xf>
    <xf numFmtId="0" fontId="177" fillId="44" borderId="72" xfId="8736" applyFont="1" applyFill="1" applyBorder="1" applyAlignment="1" applyProtection="1">
      <alignment horizontal="right"/>
      <protection locked="0"/>
    </xf>
    <xf numFmtId="0" fontId="177" fillId="44" borderId="11" xfId="8736" applyFont="1" applyFill="1" applyBorder="1" applyAlignment="1" applyProtection="1">
      <alignment horizontal="right"/>
      <protection locked="0"/>
    </xf>
    <xf numFmtId="0" fontId="177" fillId="44" borderId="76" xfId="8736" applyFont="1" applyFill="1" applyBorder="1" applyAlignment="1" applyProtection="1">
      <alignment horizontal="right"/>
      <protection locked="0"/>
    </xf>
    <xf numFmtId="0" fontId="177" fillId="48" borderId="5" xfId="8736" applyFont="1" applyFill="1" applyBorder="1" applyAlignment="1" applyProtection="1">
      <alignment horizontal="left" wrapText="1"/>
      <protection locked="0"/>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8" fillId="45" borderId="69" xfId="8736" applyFont="1" applyFill="1" applyBorder="1" applyAlignment="1">
      <alignment horizontal="center"/>
    </xf>
    <xf numFmtId="0" fontId="178" fillId="45" borderId="70" xfId="8736" applyFont="1" applyFill="1" applyBorder="1" applyAlignment="1">
      <alignment horizontal="center"/>
    </xf>
    <xf numFmtId="168" fontId="178" fillId="45" borderId="70" xfId="8737" applyNumberFormat="1" applyFont="1" applyFill="1" applyBorder="1" applyAlignment="1">
      <alignment horizontal="center"/>
    </xf>
    <xf numFmtId="1" fontId="178" fillId="45" borderId="70" xfId="8737" applyNumberFormat="1" applyFont="1" applyFill="1" applyBorder="1" applyAlignment="1">
      <alignment horizontal="center"/>
    </xf>
    <xf numFmtId="0" fontId="178" fillId="45" borderId="70" xfId="8737" applyNumberFormat="1" applyFont="1" applyFill="1" applyBorder="1" applyAlignment="1">
      <alignment horizontal="center"/>
    </xf>
    <xf numFmtId="0" fontId="178" fillId="45" borderId="77" xfId="8737" applyNumberFormat="1" applyFont="1" applyFill="1" applyBorder="1" applyAlignment="1">
      <alignment horizontal="center"/>
    </xf>
    <xf numFmtId="0" fontId="174" fillId="48" borderId="74" xfId="8736" applyFont="1" applyFill="1" applyBorder="1" applyAlignment="1" applyProtection="1">
      <alignment horizontal="left"/>
      <protection locked="0"/>
    </xf>
    <xf numFmtId="0" fontId="174" fillId="48" borderId="68" xfId="8736" applyFont="1" applyFill="1" applyBorder="1" applyAlignment="1" applyProtection="1">
      <alignment horizontal="left"/>
      <protection locked="0"/>
    </xf>
    <xf numFmtId="0" fontId="174" fillId="48" borderId="71" xfId="8736" applyFont="1" applyFill="1" applyBorder="1" applyAlignment="1" applyProtection="1">
      <alignment horizontal="left"/>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1" fillId="45" borderId="81" xfId="8736" applyFont="1" applyFill="1" applyBorder="1" applyAlignment="1">
      <alignment horizontal="center"/>
    </xf>
    <xf numFmtId="0" fontId="108" fillId="45" borderId="69" xfId="8736" applyFont="1" applyFill="1" applyBorder="1" applyAlignment="1">
      <alignment horizontal="center"/>
    </xf>
    <xf numFmtId="0" fontId="108" fillId="45" borderId="70" xfId="8736" applyFont="1" applyFill="1" applyBorder="1" applyAlignment="1">
      <alignment horizontal="center"/>
    </xf>
    <xf numFmtId="0" fontId="177" fillId="48" borderId="5" xfId="8736" applyFont="1" applyFill="1" applyBorder="1" applyAlignment="1" applyProtection="1">
      <alignment horizontal="left"/>
      <protection locked="0"/>
    </xf>
    <xf numFmtId="0" fontId="177" fillId="44" borderId="69" xfId="8736" applyFont="1" applyFill="1" applyBorder="1" applyAlignment="1" applyProtection="1">
      <alignment horizontal="right"/>
      <protection locked="0"/>
    </xf>
    <xf numFmtId="0" fontId="177" fillId="44" borderId="70" xfId="8736" applyFont="1" applyFill="1" applyBorder="1" applyAlignment="1" applyProtection="1">
      <alignment horizontal="right"/>
      <protection locked="0"/>
    </xf>
    <xf numFmtId="0" fontId="177" fillId="44" borderId="77" xfId="8736" applyFont="1" applyFill="1" applyBorder="1" applyAlignment="1" applyProtection="1">
      <alignment horizontal="right"/>
      <protection locked="0"/>
    </xf>
    <xf numFmtId="0" fontId="177" fillId="48" borderId="95" xfId="8736" applyFont="1" applyFill="1" applyBorder="1" applyAlignment="1" applyProtection="1">
      <alignment horizontal="left"/>
      <protection locked="0"/>
    </xf>
    <xf numFmtId="0" fontId="177" fillId="48" borderId="70" xfId="8736" applyFont="1" applyFill="1" applyBorder="1" applyAlignment="1" applyProtection="1">
      <alignment horizontal="left"/>
      <protection locked="0"/>
    </xf>
    <xf numFmtId="0" fontId="177" fillId="48" borderId="77" xfId="8736" applyFont="1" applyFill="1" applyBorder="1" applyAlignment="1" applyProtection="1">
      <alignment horizontal="left"/>
      <protection locked="0"/>
    </xf>
    <xf numFmtId="168" fontId="179" fillId="48" borderId="11" xfId="700" applyNumberFormat="1" applyFont="1" applyFill="1" applyBorder="1" applyAlignment="1" applyProtection="1">
      <alignment horizontal="left"/>
      <protection locked="0"/>
    </xf>
    <xf numFmtId="168" fontId="179" fillId="48" borderId="76" xfId="700" applyNumberFormat="1" applyFont="1" applyFill="1" applyBorder="1" applyAlignment="1" applyProtection="1">
      <alignment horizontal="left"/>
      <protection locked="0"/>
    </xf>
    <xf numFmtId="0" fontId="177" fillId="48" borderId="68" xfId="8736" applyFont="1" applyFill="1" applyBorder="1" applyAlignment="1" applyProtection="1">
      <alignment horizontal="left"/>
      <protection locked="0"/>
    </xf>
    <xf numFmtId="0" fontId="177" fillId="48" borderId="71" xfId="8736" applyFont="1" applyFill="1" applyBorder="1" applyAlignment="1" applyProtection="1">
      <alignment horizontal="left"/>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08" fillId="45" borderId="67" xfId="8736" applyFont="1" applyFill="1" applyBorder="1" applyAlignment="1">
      <alignment horizontal="center"/>
    </xf>
    <xf numFmtId="0" fontId="108" fillId="45" borderId="68" xfId="8736" applyFont="1" applyFill="1" applyBorder="1" applyAlignment="1">
      <alignment horizontal="center"/>
    </xf>
    <xf numFmtId="0" fontId="171" fillId="45" borderId="98" xfId="8736" applyFont="1" applyFill="1" applyBorder="1" applyAlignment="1">
      <alignment horizontal="center"/>
    </xf>
    <xf numFmtId="0" fontId="171" fillId="45" borderId="13" xfId="8736" applyFont="1" applyFill="1" applyBorder="1" applyAlignment="1">
      <alignment horizontal="center"/>
    </xf>
    <xf numFmtId="0" fontId="177" fillId="48" borderId="72" xfId="8736" applyFont="1" applyFill="1" applyBorder="1" applyAlignment="1" applyProtection="1">
      <alignment horizontal="left" vertical="top" wrapText="1"/>
      <protection locked="0"/>
    </xf>
    <xf numFmtId="0" fontId="177" fillId="48" borderId="11" xfId="8736" applyFont="1" applyFill="1" applyBorder="1" applyAlignment="1" applyProtection="1">
      <alignment horizontal="left" vertical="top"/>
      <protection locked="0"/>
    </xf>
    <xf numFmtId="0" fontId="177" fillId="48" borderId="76" xfId="8736" applyFont="1" applyFill="1" applyBorder="1" applyAlignment="1" applyProtection="1">
      <alignment horizontal="left" vertical="top"/>
      <protection locked="0"/>
    </xf>
    <xf numFmtId="0" fontId="177" fillId="48" borderId="72" xfId="8736" applyFont="1" applyFill="1" applyBorder="1" applyAlignment="1" applyProtection="1">
      <alignment horizontal="left" vertical="top"/>
      <protection locked="0"/>
    </xf>
    <xf numFmtId="0" fontId="177" fillId="48" borderId="69" xfId="8736" applyFont="1" applyFill="1" applyBorder="1" applyAlignment="1" applyProtection="1">
      <alignment horizontal="left" vertical="top"/>
      <protection locked="0"/>
    </xf>
    <xf numFmtId="0" fontId="177" fillId="48" borderId="70" xfId="8736" applyFont="1" applyFill="1" applyBorder="1" applyAlignment="1" applyProtection="1">
      <alignment horizontal="left" vertical="top"/>
      <protection locked="0"/>
    </xf>
    <xf numFmtId="0" fontId="177" fillId="48" borderId="77" xfId="8736" applyFont="1" applyFill="1" applyBorder="1" applyAlignment="1" applyProtection="1">
      <alignment horizontal="left" vertical="top"/>
      <protection locked="0"/>
    </xf>
    <xf numFmtId="0" fontId="177" fillId="48" borderId="72" xfId="8736" applyFont="1" applyFill="1" applyBorder="1" applyAlignment="1" applyProtection="1">
      <alignment horizontal="center"/>
      <protection locked="0"/>
    </xf>
    <xf numFmtId="0" fontId="171" fillId="45" borderId="89" xfId="8736" applyFont="1" applyFill="1" applyBorder="1" applyAlignment="1">
      <alignment horizontal="right"/>
    </xf>
    <xf numFmtId="0" fontId="171" fillId="45" borderId="43" xfId="8736" applyFont="1" applyFill="1" applyBorder="1" applyAlignment="1">
      <alignment horizontal="right"/>
    </xf>
    <xf numFmtId="168" fontId="171" fillId="45" borderId="43" xfId="8736" applyNumberFormat="1" applyFont="1" applyFill="1" applyBorder="1" applyAlignment="1">
      <alignment horizontal="left"/>
    </xf>
    <xf numFmtId="168" fontId="171" fillId="45" borderId="88" xfId="8736" applyNumberFormat="1" applyFont="1" applyFill="1" applyBorder="1" applyAlignment="1">
      <alignment horizontal="left"/>
    </xf>
    <xf numFmtId="0" fontId="5" fillId="48" borderId="9" xfId="8736" applyFont="1" applyFill="1" applyBorder="1" applyAlignment="1" applyProtection="1">
      <alignment horizontal="center"/>
      <protection locked="0"/>
    </xf>
    <xf numFmtId="0" fontId="7" fillId="48" borderId="6" xfId="8736" applyFill="1" applyBorder="1" applyAlignment="1" applyProtection="1">
      <alignment horizontal="center"/>
      <protection locked="0"/>
    </xf>
    <xf numFmtId="0" fontId="7" fillId="48" borderId="82" xfId="8736" applyFill="1" applyBorder="1" applyAlignment="1" applyProtection="1">
      <alignment horizontal="center"/>
      <protection locked="0"/>
    </xf>
    <xf numFmtId="0" fontId="108" fillId="45" borderId="67" xfId="8736" applyFont="1" applyFill="1" applyBorder="1" applyAlignment="1">
      <alignment horizontal="center" wrapText="1"/>
    </xf>
    <xf numFmtId="0" fontId="108" fillId="45" borderId="68" xfId="8736" applyFont="1" applyFill="1" applyBorder="1" applyAlignment="1">
      <alignment horizontal="center" wrapText="1"/>
    </xf>
    <xf numFmtId="0" fontId="108" fillId="45" borderId="71" xfId="8736" applyFont="1" applyFill="1" applyBorder="1" applyAlignment="1">
      <alignment horizontal="center" wrapText="1"/>
    </xf>
    <xf numFmtId="0" fontId="108" fillId="45" borderId="67" xfId="8736" applyFont="1" applyFill="1" applyBorder="1" applyAlignment="1">
      <alignment horizontal="left" wrapText="1"/>
    </xf>
    <xf numFmtId="0" fontId="108" fillId="45" borderId="68" xfId="8736" applyFont="1" applyFill="1" applyBorder="1" applyAlignment="1">
      <alignment horizontal="left" wrapText="1"/>
    </xf>
    <xf numFmtId="0" fontId="108" fillId="45" borderId="72" xfId="8736" applyFont="1" applyFill="1" applyBorder="1" applyAlignment="1">
      <alignment horizontal="left" wrapText="1"/>
    </xf>
    <xf numFmtId="0" fontId="108" fillId="45" borderId="11" xfId="8736" applyFont="1" applyFill="1" applyBorder="1" applyAlignment="1">
      <alignment horizontal="left" wrapText="1"/>
    </xf>
    <xf numFmtId="0" fontId="174" fillId="48" borderId="68" xfId="8736" applyFont="1" applyFill="1" applyBorder="1" applyAlignment="1" applyProtection="1">
      <alignment horizontal="left" wrapText="1"/>
      <protection locked="0"/>
    </xf>
    <xf numFmtId="0" fontId="174" fillId="48" borderId="71" xfId="8736" applyFont="1" applyFill="1" applyBorder="1" applyAlignment="1" applyProtection="1">
      <alignment horizontal="left" wrapText="1"/>
      <protection locked="0"/>
    </xf>
    <xf numFmtId="0" fontId="174" fillId="48" borderId="11" xfId="8736" applyFont="1" applyFill="1" applyBorder="1" applyAlignment="1" applyProtection="1">
      <alignment horizontal="left" wrapText="1"/>
      <protection locked="0"/>
    </xf>
    <xf numFmtId="0" fontId="174" fillId="48" borderId="76" xfId="8736" applyFont="1" applyFill="1" applyBorder="1" applyAlignment="1" applyProtection="1">
      <alignment horizontal="left" wrapText="1"/>
      <protection locked="0"/>
    </xf>
    <xf numFmtId="0" fontId="178" fillId="45" borderId="11" xfId="8736" applyFont="1" applyFill="1" applyBorder="1" applyAlignment="1">
      <alignment horizontal="center" wrapText="1"/>
    </xf>
    <xf numFmtId="0" fontId="170" fillId="45" borderId="11" xfId="8736" applyFont="1" applyFill="1" applyBorder="1" applyAlignment="1">
      <alignment horizontal="center"/>
    </xf>
    <xf numFmtId="0" fontId="170" fillId="45" borderId="76" xfId="8736" applyFont="1" applyFill="1" applyBorder="1" applyAlignment="1">
      <alignment horizontal="center"/>
    </xf>
    <xf numFmtId="0" fontId="7" fillId="48" borderId="70" xfId="8736" applyFill="1" applyBorder="1" applyAlignment="1" applyProtection="1">
      <alignment horizontal="center"/>
      <protection locked="0"/>
    </xf>
    <xf numFmtId="0" fontId="7" fillId="48" borderId="77" xfId="8736" applyFill="1" applyBorder="1" applyAlignment="1" applyProtection="1">
      <alignment horizontal="center"/>
      <protection locked="0"/>
    </xf>
    <xf numFmtId="0" fontId="7" fillId="48" borderId="11" xfId="8736" applyFill="1" applyBorder="1" applyAlignment="1" applyProtection="1">
      <alignment horizontal="center"/>
      <protection locked="0"/>
    </xf>
    <xf numFmtId="0" fontId="7" fillId="48" borderId="76" xfId="8736" applyFill="1" applyBorder="1" applyAlignment="1" applyProtection="1">
      <alignment horizontal="center"/>
      <protection locked="0"/>
    </xf>
    <xf numFmtId="0" fontId="3" fillId="48" borderId="11" xfId="8736" applyFont="1" applyFill="1" applyBorder="1" applyAlignment="1" applyProtection="1">
      <alignment horizontal="center"/>
      <protection locked="0"/>
    </xf>
    <xf numFmtId="0" fontId="174" fillId="48" borderId="3" xfId="8736" applyFont="1" applyFill="1" applyBorder="1" applyAlignment="1" applyProtection="1">
      <alignment horizontal="center"/>
      <protection locked="0"/>
    </xf>
    <xf numFmtId="0" fontId="174" fillId="48" borderId="4" xfId="8736" applyFont="1" applyFill="1" applyBorder="1" applyAlignment="1" applyProtection="1">
      <alignment horizontal="center"/>
      <protection locked="0"/>
    </xf>
    <xf numFmtId="0" fontId="174" fillId="48" borderId="81" xfId="8736" applyFont="1" applyFill="1" applyBorder="1" applyAlignment="1" applyProtection="1">
      <alignment horizontal="center"/>
      <protection locked="0"/>
    </xf>
    <xf numFmtId="0" fontId="108" fillId="45" borderId="71" xfId="8736" applyFont="1" applyFill="1" applyBorder="1" applyAlignment="1">
      <alignment horizontal="center"/>
    </xf>
    <xf numFmtId="0" fontId="108" fillId="45" borderId="67" xfId="8736" applyFont="1" applyFill="1" applyBorder="1" applyAlignment="1" applyProtection="1">
      <alignment horizontal="left" vertical="center" wrapText="1"/>
      <protection locked="0"/>
    </xf>
    <xf numFmtId="0" fontId="108" fillId="45" borderId="68" xfId="8736" applyFont="1" applyFill="1" applyBorder="1" applyAlignment="1" applyProtection="1">
      <alignment horizontal="left" vertical="center" wrapText="1"/>
      <protection locked="0"/>
    </xf>
    <xf numFmtId="0" fontId="108" fillId="45" borderId="72" xfId="8736" applyFont="1" applyFill="1" applyBorder="1" applyAlignment="1" applyProtection="1">
      <alignment horizontal="left" vertical="center" wrapText="1"/>
      <protection locked="0"/>
    </xf>
    <xf numFmtId="0" fontId="108" fillId="45" borderId="11" xfId="8736" applyFont="1" applyFill="1" applyBorder="1" applyAlignment="1" applyProtection="1">
      <alignment horizontal="left" vertical="center" wrapText="1"/>
      <protection locked="0"/>
    </xf>
    <xf numFmtId="0" fontId="174" fillId="48" borderId="68" xfId="8736" applyFont="1" applyFill="1" applyBorder="1" applyAlignment="1" applyProtection="1">
      <alignment horizontal="left" vertical="center" wrapText="1"/>
      <protection locked="0"/>
    </xf>
    <xf numFmtId="0" fontId="174" fillId="48" borderId="71" xfId="8736" applyFont="1" applyFill="1" applyBorder="1" applyAlignment="1" applyProtection="1">
      <alignment horizontal="left" vertical="center" wrapText="1"/>
      <protection locked="0"/>
    </xf>
    <xf numFmtId="0" fontId="174" fillId="48" borderId="11" xfId="8736" applyFont="1" applyFill="1" applyBorder="1" applyAlignment="1" applyProtection="1">
      <alignment horizontal="left" vertical="center" wrapText="1"/>
      <protection locked="0"/>
    </xf>
    <xf numFmtId="0" fontId="174" fillId="48" borderId="76" xfId="8736" applyFont="1" applyFill="1" applyBorder="1" applyAlignment="1" applyProtection="1">
      <alignment horizontal="left" vertical="center" wrapText="1"/>
      <protection locked="0"/>
    </xf>
    <xf numFmtId="0" fontId="177" fillId="48" borderId="11" xfId="8736" applyFont="1" applyFill="1" applyBorder="1" applyAlignment="1" applyProtection="1">
      <alignment horizontal="left" vertical="top" wrapText="1"/>
      <protection locked="0"/>
    </xf>
    <xf numFmtId="0" fontId="177" fillId="48" borderId="69" xfId="8736" applyFont="1" applyFill="1" applyBorder="1" applyAlignment="1" applyProtection="1">
      <alignment horizontal="left" vertical="top" wrapText="1"/>
      <protection locked="0"/>
    </xf>
    <xf numFmtId="0" fontId="177" fillId="48" borderId="70" xfId="8736" applyFont="1" applyFill="1" applyBorder="1" applyAlignment="1" applyProtection="1">
      <alignment horizontal="left" vertical="top" wrapText="1"/>
      <protection locked="0"/>
    </xf>
    <xf numFmtId="0" fontId="174" fillId="48" borderId="11" xfId="8736" applyFont="1" applyFill="1" applyBorder="1" applyAlignment="1" applyProtection="1">
      <alignment horizontal="center" vertical="center" wrapText="1"/>
      <protection locked="0"/>
    </xf>
    <xf numFmtId="0" fontId="174" fillId="48" borderId="76" xfId="8736" applyFont="1" applyFill="1" applyBorder="1" applyAlignment="1" applyProtection="1">
      <alignment horizontal="center" vertical="center" wrapText="1"/>
      <protection locked="0"/>
    </xf>
    <xf numFmtId="0" fontId="174" fillId="48" borderId="70" xfId="8736" applyFont="1" applyFill="1" applyBorder="1" applyAlignment="1" applyProtection="1">
      <alignment horizontal="center" vertical="center" wrapText="1"/>
      <protection locked="0"/>
    </xf>
    <xf numFmtId="0" fontId="174" fillId="48" borderId="77" xfId="8736" applyFont="1" applyFill="1" applyBorder="1" applyAlignment="1" applyProtection="1">
      <alignment horizontal="center" vertical="center" wrapText="1"/>
      <protection locked="0"/>
    </xf>
    <xf numFmtId="0" fontId="181" fillId="45" borderId="72" xfId="8736" applyFont="1" applyFill="1" applyBorder="1" applyAlignment="1">
      <alignment horizontal="left"/>
    </xf>
    <xf numFmtId="0" fontId="181" fillId="45" borderId="11" xfId="8736" applyFont="1" applyFill="1" applyBorder="1" applyAlignment="1">
      <alignment horizontal="left"/>
    </xf>
    <xf numFmtId="0" fontId="181" fillId="45" borderId="69" xfId="8736" applyFont="1" applyFill="1" applyBorder="1" applyAlignment="1">
      <alignment horizontal="left"/>
    </xf>
    <xf numFmtId="0" fontId="181" fillId="45" borderId="70" xfId="8736" applyFont="1" applyFill="1" applyBorder="1" applyAlignment="1">
      <alignment horizontal="left"/>
    </xf>
    <xf numFmtId="0" fontId="7" fillId="51" borderId="70" xfId="8736" applyFill="1" applyBorder="1" applyAlignment="1" applyProtection="1">
      <alignment horizontal="center"/>
      <protection locked="0"/>
    </xf>
    <xf numFmtId="0" fontId="7" fillId="51" borderId="77" xfId="8736" applyFill="1" applyBorder="1" applyAlignment="1" applyProtection="1">
      <alignment horizontal="center"/>
      <protection locked="0"/>
    </xf>
    <xf numFmtId="0" fontId="108" fillId="45" borderId="71" xfId="8736" applyFont="1" applyFill="1" applyBorder="1" applyAlignment="1">
      <alignment horizontal="left" wrapText="1"/>
    </xf>
    <xf numFmtId="0" fontId="108" fillId="45" borderId="76" xfId="8736" applyFont="1" applyFill="1" applyBorder="1" applyAlignment="1">
      <alignment horizontal="left" wrapText="1"/>
    </xf>
    <xf numFmtId="0" fontId="108" fillId="45" borderId="65" xfId="8736" applyFont="1" applyFill="1" applyBorder="1" applyAlignment="1">
      <alignment horizontal="center"/>
    </xf>
    <xf numFmtId="0" fontId="108" fillId="45" borderId="29" xfId="8736" applyFont="1" applyFill="1" applyBorder="1" applyAlignment="1">
      <alignment horizontal="center"/>
    </xf>
    <xf numFmtId="0" fontId="108" fillId="45" borderId="31" xfId="8736" applyFont="1" applyFill="1" applyBorder="1" applyAlignment="1">
      <alignment horizontal="center"/>
    </xf>
    <xf numFmtId="0" fontId="170" fillId="48" borderId="90" xfId="8736" applyFont="1" applyFill="1" applyBorder="1" applyAlignment="1">
      <alignment horizontal="left"/>
    </xf>
    <xf numFmtId="0" fontId="170" fillId="48" borderId="4" xfId="8736" applyFont="1" applyFill="1" applyBorder="1" applyAlignment="1">
      <alignment horizontal="left"/>
    </xf>
    <xf numFmtId="0" fontId="170" fillId="48" borderId="5" xfId="8736" applyFont="1" applyFill="1" applyBorder="1" applyAlignment="1">
      <alignment horizontal="left"/>
    </xf>
    <xf numFmtId="0" fontId="170" fillId="45" borderId="72" xfId="8736" applyFont="1" applyFill="1" applyBorder="1" applyAlignment="1">
      <alignment horizontal="left"/>
    </xf>
    <xf numFmtId="0" fontId="170" fillId="45" borderId="11" xfId="8736" applyFont="1" applyFill="1" applyBorder="1" applyAlignment="1">
      <alignment horizontal="left"/>
    </xf>
    <xf numFmtId="0" fontId="182" fillId="48" borderId="11" xfId="8736" applyFont="1" applyFill="1" applyBorder="1" applyAlignment="1" applyProtection="1">
      <alignment horizontal="left"/>
      <protection locked="0"/>
    </xf>
    <xf numFmtId="0" fontId="182" fillId="48" borderId="76" xfId="8736" applyFont="1" applyFill="1" applyBorder="1" applyAlignment="1" applyProtection="1">
      <alignment horizontal="left"/>
      <protection locked="0"/>
    </xf>
    <xf numFmtId="0" fontId="179" fillId="48" borderId="72" xfId="8736" applyFont="1" applyFill="1" applyBorder="1" applyAlignment="1" applyProtection="1">
      <alignment horizontal="left" vertical="top" wrapText="1"/>
      <protection locked="0"/>
    </xf>
    <xf numFmtId="0" fontId="179" fillId="48" borderId="11" xfId="8736" applyFont="1" applyFill="1" applyBorder="1" applyAlignment="1" applyProtection="1">
      <alignment horizontal="left" vertical="top"/>
      <protection locked="0"/>
    </xf>
    <xf numFmtId="0" fontId="179" fillId="48" borderId="76" xfId="8736" applyFont="1" applyFill="1" applyBorder="1" applyAlignment="1" applyProtection="1">
      <alignment horizontal="left" vertical="top"/>
      <protection locked="0"/>
    </xf>
    <xf numFmtId="0" fontId="179" fillId="48" borderId="72" xfId="8736" applyFont="1" applyFill="1" applyBorder="1" applyAlignment="1" applyProtection="1">
      <alignment horizontal="left" vertical="top"/>
      <protection locked="0"/>
    </xf>
    <xf numFmtId="0" fontId="179" fillId="48" borderId="69" xfId="8736" applyFont="1" applyFill="1" applyBorder="1" applyAlignment="1" applyProtection="1">
      <alignment horizontal="left" vertical="top"/>
      <protection locked="0"/>
    </xf>
    <xf numFmtId="0" fontId="179" fillId="48" borderId="70" xfId="8736" applyFont="1" applyFill="1" applyBorder="1" applyAlignment="1" applyProtection="1">
      <alignment horizontal="left" vertical="top"/>
      <protection locked="0"/>
    </xf>
    <xf numFmtId="0" fontId="179" fillId="48" borderId="77" xfId="8736" applyFont="1" applyFill="1" applyBorder="1" applyAlignment="1" applyProtection="1">
      <alignment horizontal="left" vertical="top"/>
      <protection locked="0"/>
    </xf>
    <xf numFmtId="0" fontId="170" fillId="45" borderId="67" xfId="8736" applyFont="1" applyFill="1" applyBorder="1" applyAlignment="1">
      <alignment horizontal="left"/>
    </xf>
    <xf numFmtId="0" fontId="170" fillId="45" borderId="68" xfId="8736" applyFont="1" applyFill="1" applyBorder="1" applyAlignment="1">
      <alignment horizontal="left"/>
    </xf>
    <xf numFmtId="0" fontId="108" fillId="45" borderId="72" xfId="8736" applyFont="1" applyFill="1" applyBorder="1" applyAlignment="1">
      <alignment horizontal="center"/>
    </xf>
    <xf numFmtId="0" fontId="108" fillId="45" borderId="11" xfId="8736" applyFont="1" applyFill="1" applyBorder="1" applyAlignment="1">
      <alignment horizontal="center"/>
    </xf>
    <xf numFmtId="0" fontId="170" fillId="45" borderId="11" xfId="8736" applyFont="1" applyFill="1" applyBorder="1" applyAlignment="1">
      <alignment horizontal="center" wrapText="1"/>
    </xf>
    <xf numFmtId="0" fontId="170" fillId="45" borderId="76" xfId="8736" applyFont="1" applyFill="1" applyBorder="1" applyAlignment="1">
      <alignment horizontal="center" wrapText="1"/>
    </xf>
    <xf numFmtId="0" fontId="184" fillId="45" borderId="11" xfId="8736" applyFont="1" applyFill="1" applyBorder="1" applyAlignment="1">
      <alignment horizontal="left"/>
    </xf>
    <xf numFmtId="0" fontId="184" fillId="45" borderId="76" xfId="8736" applyFont="1" applyFill="1" applyBorder="1" applyAlignment="1">
      <alignment horizontal="left"/>
    </xf>
    <xf numFmtId="0" fontId="176" fillId="45" borderId="72" xfId="8736" applyFont="1" applyFill="1" applyBorder="1" applyAlignment="1">
      <alignment horizontal="center"/>
    </xf>
    <xf numFmtId="0" fontId="176" fillId="45" borderId="11" xfId="8736" applyFont="1" applyFill="1" applyBorder="1" applyAlignment="1">
      <alignment horizontal="center"/>
    </xf>
    <xf numFmtId="0" fontId="179" fillId="48" borderId="11" xfId="8736" applyFont="1" applyFill="1" applyBorder="1" applyAlignment="1" applyProtection="1">
      <alignment horizontal="center"/>
      <protection locked="0"/>
    </xf>
    <xf numFmtId="14" fontId="177" fillId="48" borderId="11" xfId="8736" applyNumberFormat="1" applyFont="1" applyFill="1" applyBorder="1" applyAlignment="1" applyProtection="1">
      <alignment horizontal="center"/>
      <protection locked="0"/>
    </xf>
    <xf numFmtId="14" fontId="179" fillId="48" borderId="11" xfId="8736" applyNumberFormat="1" applyFont="1" applyFill="1" applyBorder="1" applyAlignment="1" applyProtection="1">
      <alignment horizontal="center"/>
      <protection locked="0"/>
    </xf>
    <xf numFmtId="0" fontId="108" fillId="45" borderId="76" xfId="8736" applyFont="1" applyFill="1" applyBorder="1" applyAlignment="1">
      <alignment horizontal="center"/>
    </xf>
    <xf numFmtId="168" fontId="179" fillId="48" borderId="11" xfId="8737" applyNumberFormat="1" applyFont="1" applyFill="1" applyBorder="1" applyAlignment="1" applyProtection="1">
      <alignment horizontal="center"/>
      <protection locked="0"/>
    </xf>
    <xf numFmtId="168" fontId="179" fillId="48" borderId="76" xfId="8737" applyNumberFormat="1" applyFont="1" applyFill="1" applyBorder="1" applyAlignment="1" applyProtection="1">
      <alignment horizontal="center"/>
      <protection locked="0"/>
    </xf>
    <xf numFmtId="0" fontId="180" fillId="48" borderId="11" xfId="8736" applyFont="1" applyFill="1" applyBorder="1" applyAlignment="1" applyProtection="1">
      <alignment horizontal="left"/>
      <protection locked="0"/>
    </xf>
    <xf numFmtId="0" fontId="176" fillId="45" borderId="69" xfId="8736" applyFont="1" applyFill="1" applyBorder="1" applyAlignment="1">
      <alignment horizontal="center"/>
    </xf>
    <xf numFmtId="0" fontId="176" fillId="45" borderId="70" xfId="8736" applyFont="1" applyFill="1" applyBorder="1" applyAlignment="1">
      <alignment horizontal="center"/>
    </xf>
    <xf numFmtId="0" fontId="180" fillId="48" borderId="70" xfId="8736" applyFont="1" applyFill="1" applyBorder="1" applyAlignment="1" applyProtection="1">
      <alignment horizontal="left"/>
      <protection locked="0"/>
    </xf>
    <xf numFmtId="0" fontId="179" fillId="48" borderId="70" xfId="8736" applyFont="1" applyFill="1" applyBorder="1" applyAlignment="1" applyProtection="1">
      <alignment horizontal="center"/>
      <protection locked="0"/>
    </xf>
    <xf numFmtId="14" fontId="179" fillId="48" borderId="70" xfId="8736" applyNumberFormat="1" applyFont="1" applyFill="1" applyBorder="1" applyAlignment="1" applyProtection="1">
      <alignment horizontal="center"/>
      <protection locked="0"/>
    </xf>
    <xf numFmtId="168" fontId="179" fillId="48" borderId="70" xfId="8737" applyNumberFormat="1" applyFont="1" applyFill="1" applyBorder="1" applyAlignment="1" applyProtection="1">
      <alignment horizontal="center"/>
      <protection locked="0"/>
    </xf>
    <xf numFmtId="168" fontId="179" fillId="48" borderId="77" xfId="8737" applyNumberFormat="1" applyFont="1" applyFill="1" applyBorder="1" applyAlignment="1" applyProtection="1">
      <alignment horizontal="center"/>
      <protection locked="0"/>
    </xf>
    <xf numFmtId="0" fontId="171" fillId="45" borderId="67" xfId="8736" applyFont="1" applyFill="1" applyBorder="1" applyAlignment="1">
      <alignment horizontal="left"/>
    </xf>
    <xf numFmtId="0" fontId="171" fillId="45" borderId="68" xfId="8736" applyFont="1" applyFill="1" applyBorder="1" applyAlignment="1">
      <alignment horizontal="left"/>
    </xf>
    <xf numFmtId="0" fontId="171" fillId="45" borderId="71" xfId="8736" applyFont="1" applyFill="1" applyBorder="1" applyAlignment="1">
      <alignment horizontal="left"/>
    </xf>
    <xf numFmtId="14" fontId="177" fillId="48" borderId="76" xfId="8736" applyNumberFormat="1" applyFont="1" applyFill="1" applyBorder="1" applyAlignment="1" applyProtection="1">
      <alignment horizontal="center"/>
      <protection locked="0"/>
    </xf>
    <xf numFmtId="0" fontId="177" fillId="48" borderId="69" xfId="8736" applyFont="1" applyFill="1" applyBorder="1" applyAlignment="1" applyProtection="1">
      <alignment horizontal="center"/>
      <protection locked="0"/>
    </xf>
    <xf numFmtId="0" fontId="177" fillId="48" borderId="70" xfId="8736" applyFont="1" applyFill="1" applyBorder="1" applyAlignment="1" applyProtection="1">
      <alignment horizontal="center"/>
      <protection locked="0"/>
    </xf>
    <xf numFmtId="14" fontId="177" fillId="48" borderId="70" xfId="8736" applyNumberFormat="1" applyFont="1" applyFill="1" applyBorder="1" applyAlignment="1" applyProtection="1">
      <alignment horizontal="center"/>
      <protection locked="0"/>
    </xf>
    <xf numFmtId="14" fontId="177" fillId="48" borderId="77" xfId="8736" applyNumberFormat="1" applyFont="1" applyFill="1" applyBorder="1" applyAlignment="1" applyProtection="1">
      <alignment horizontal="center"/>
      <protection locked="0"/>
    </xf>
    <xf numFmtId="0" fontId="177" fillId="45" borderId="72" xfId="8736" applyFont="1" applyFill="1" applyBorder="1" applyAlignment="1">
      <alignment horizontal="right"/>
    </xf>
    <xf numFmtId="0" fontId="177" fillId="45" borderId="11" xfId="8736" applyFont="1" applyFill="1" applyBorder="1" applyAlignment="1">
      <alignment horizontal="right"/>
    </xf>
    <xf numFmtId="168" fontId="179" fillId="44" borderId="11" xfId="700" applyNumberFormat="1" applyFont="1" applyFill="1" applyBorder="1" applyAlignment="1">
      <alignment horizontal="left"/>
    </xf>
    <xf numFmtId="0" fontId="108" fillId="45" borderId="65" xfId="8736" applyFont="1" applyFill="1" applyBorder="1" applyAlignment="1">
      <alignment horizontal="left" wrapText="1"/>
    </xf>
    <xf numFmtId="0" fontId="108" fillId="45" borderId="29" xfId="8736" applyFont="1" applyFill="1" applyBorder="1" applyAlignment="1">
      <alignment horizontal="left" wrapText="1"/>
    </xf>
    <xf numFmtId="0" fontId="108" fillId="45" borderId="31" xfId="8736" applyFont="1" applyFill="1" applyBorder="1" applyAlignment="1">
      <alignment horizontal="left" wrapText="1"/>
    </xf>
    <xf numFmtId="0" fontId="108" fillId="45" borderId="73" xfId="8736" applyFont="1" applyFill="1" applyBorder="1" applyAlignment="1">
      <alignment horizontal="left" wrapText="1"/>
    </xf>
    <xf numFmtId="0" fontId="108" fillId="45" borderId="42" xfId="8736" applyFont="1" applyFill="1" applyBorder="1" applyAlignment="1">
      <alignment horizontal="left" wrapText="1"/>
    </xf>
    <xf numFmtId="0" fontId="108" fillId="45" borderId="44" xfId="8736" applyFont="1" applyFill="1" applyBorder="1" applyAlignment="1">
      <alignment horizontal="left" wrapText="1"/>
    </xf>
    <xf numFmtId="168" fontId="177" fillId="48" borderId="11" xfId="700" applyNumberFormat="1" applyFont="1" applyFill="1" applyBorder="1" applyAlignment="1" applyProtection="1">
      <alignment horizontal="left"/>
      <protection locked="0"/>
    </xf>
    <xf numFmtId="43" fontId="174" fillId="50" borderId="72" xfId="698" applyFont="1" applyFill="1" applyBorder="1" applyAlignment="1" applyProtection="1">
      <alignment horizontal="left"/>
      <protection hidden="1"/>
    </xf>
    <xf numFmtId="43" fontId="174" fillId="50" borderId="11" xfId="698" applyFont="1" applyFill="1" applyBorder="1" applyAlignment="1" applyProtection="1">
      <alignment horizontal="left"/>
      <protection hidden="1"/>
    </xf>
    <xf numFmtId="44" fontId="7" fillId="48" borderId="11" xfId="700" applyFont="1" applyFill="1" applyBorder="1" applyAlignment="1" applyProtection="1">
      <alignment horizontal="center"/>
      <protection locked="0"/>
    </xf>
    <xf numFmtId="0" fontId="108" fillId="47" borderId="0" xfId="8736" applyFont="1" applyFill="1" applyAlignment="1">
      <alignment horizontal="center"/>
    </xf>
    <xf numFmtId="0" fontId="178" fillId="51" borderId="11" xfId="8736" applyFont="1" applyFill="1" applyBorder="1" applyAlignment="1">
      <alignment horizontal="center"/>
    </xf>
    <xf numFmtId="0" fontId="178" fillId="51" borderId="76" xfId="8736" applyFont="1" applyFill="1" applyBorder="1" applyAlignment="1">
      <alignment horizontal="center"/>
    </xf>
    <xf numFmtId="0" fontId="179" fillId="45" borderId="72" xfId="8736" applyFont="1" applyFill="1" applyBorder="1" applyAlignment="1">
      <alignment horizontal="right"/>
    </xf>
    <xf numFmtId="0" fontId="179" fillId="45" borderId="11" xfId="8736" applyFont="1" applyFill="1" applyBorder="1" applyAlignment="1">
      <alignment horizontal="right"/>
    </xf>
    <xf numFmtId="168" fontId="177" fillId="44" borderId="11" xfId="700" applyNumberFormat="1" applyFont="1" applyFill="1" applyBorder="1" applyAlignment="1" applyProtection="1">
      <alignment horizontal="left"/>
      <protection locked="0"/>
    </xf>
    <xf numFmtId="0" fontId="7" fillId="48" borderId="3" xfId="8736" applyFill="1" applyBorder="1" applyAlignment="1">
      <alignment horizontal="center"/>
    </xf>
    <xf numFmtId="0" fontId="7" fillId="48" borderId="4" xfId="8736" applyFill="1" applyBorder="1" applyAlignment="1">
      <alignment horizontal="center"/>
    </xf>
    <xf numFmtId="0" fontId="7" fillId="48" borderId="81" xfId="8736" applyFill="1" applyBorder="1" applyAlignment="1">
      <alignment horizontal="center"/>
    </xf>
    <xf numFmtId="43" fontId="171" fillId="50" borderId="111" xfId="698" applyFont="1" applyFill="1" applyBorder="1" applyAlignment="1" applyProtection="1">
      <alignment horizontal="center"/>
      <protection hidden="1"/>
    </xf>
    <xf numFmtId="43" fontId="171" fillId="50" borderId="84" xfId="698" applyFont="1" applyFill="1" applyBorder="1" applyAlignment="1" applyProtection="1">
      <alignment horizontal="center"/>
      <protection hidden="1"/>
    </xf>
    <xf numFmtId="43" fontId="171" fillId="50" borderId="102" xfId="698" applyFont="1" applyFill="1" applyBorder="1" applyAlignment="1" applyProtection="1">
      <alignment horizontal="center"/>
      <protection hidden="1"/>
    </xf>
    <xf numFmtId="43" fontId="174" fillId="50" borderId="98" xfId="698" applyFont="1" applyFill="1" applyBorder="1" applyAlignment="1" applyProtection="1">
      <alignment horizontal="left"/>
      <protection hidden="1"/>
    </xf>
    <xf numFmtId="43" fontId="174" fillId="50" borderId="13" xfId="698" applyFont="1" applyFill="1" applyBorder="1" applyAlignment="1" applyProtection="1">
      <alignment horizontal="left"/>
      <protection hidden="1"/>
    </xf>
    <xf numFmtId="44" fontId="7" fillId="48" borderId="13" xfId="700" applyFont="1" applyFill="1" applyBorder="1" applyAlignment="1" applyProtection="1">
      <alignment horizontal="center"/>
      <protection locked="0"/>
    </xf>
    <xf numFmtId="0" fontId="177" fillId="48" borderId="9" xfId="8736" applyFont="1" applyFill="1" applyBorder="1" applyAlignment="1">
      <alignment horizontal="center"/>
    </xf>
    <xf numFmtId="0" fontId="177" fillId="48" borderId="6" xfId="8736" applyFont="1" applyFill="1" applyBorder="1" applyAlignment="1">
      <alignment horizontal="center"/>
    </xf>
    <xf numFmtId="0" fontId="177" fillId="48" borderId="82" xfId="8736" applyFont="1" applyFill="1" applyBorder="1" applyAlignment="1">
      <alignment horizontal="center"/>
    </xf>
    <xf numFmtId="0" fontId="179" fillId="48" borderId="11" xfId="8736" applyFont="1" applyFill="1" applyBorder="1" applyAlignment="1" applyProtection="1">
      <alignment horizontal="left"/>
      <protection locked="0"/>
    </xf>
    <xf numFmtId="0" fontId="7" fillId="48" borderId="1" xfId="8736" applyFill="1" applyBorder="1" applyAlignment="1">
      <alignment horizontal="center"/>
    </xf>
    <xf numFmtId="0" fontId="7" fillId="48" borderId="2" xfId="8736" applyFill="1" applyBorder="1" applyAlignment="1">
      <alignment horizontal="center"/>
    </xf>
    <xf numFmtId="0" fontId="7" fillId="48" borderId="112" xfId="8736" applyFill="1" applyBorder="1" applyAlignment="1">
      <alignment horizontal="center"/>
    </xf>
    <xf numFmtId="0" fontId="179" fillId="48" borderId="72" xfId="8736" applyFont="1" applyFill="1" applyBorder="1" applyAlignment="1" applyProtection="1">
      <alignment horizontal="center"/>
      <protection locked="0"/>
    </xf>
    <xf numFmtId="43" fontId="174" fillId="50" borderId="72" xfId="698" applyFont="1" applyFill="1" applyBorder="1" applyAlignment="1" applyProtection="1">
      <alignment horizontal="left" wrapText="1"/>
      <protection hidden="1"/>
    </xf>
    <xf numFmtId="43" fontId="174" fillId="50" borderId="11" xfId="698" applyFont="1" applyFill="1" applyBorder="1" applyAlignment="1" applyProtection="1">
      <alignment horizontal="left" wrapText="1"/>
      <protection hidden="1"/>
    </xf>
    <xf numFmtId="44" fontId="7" fillId="48" borderId="11" xfId="700" applyFont="1" applyFill="1" applyBorder="1" applyAlignment="1" applyProtection="1">
      <alignment horizontal="center"/>
      <protection hidden="1"/>
    </xf>
    <xf numFmtId="0" fontId="179" fillId="45" borderId="67" xfId="8736" applyFont="1" applyFill="1" applyBorder="1" applyAlignment="1">
      <alignment horizontal="right"/>
    </xf>
    <xf numFmtId="0" fontId="179" fillId="45" borderId="68" xfId="8736" applyFont="1" applyFill="1" applyBorder="1" applyAlignment="1">
      <alignment horizontal="right"/>
    </xf>
    <xf numFmtId="168" fontId="174" fillId="44" borderId="68" xfId="700" applyNumberFormat="1" applyFont="1" applyFill="1" applyBorder="1" applyAlignment="1">
      <alignment horizontal="left"/>
    </xf>
    <xf numFmtId="168" fontId="174" fillId="44" borderId="71" xfId="700" applyNumberFormat="1" applyFont="1" applyFill="1" applyBorder="1" applyAlignment="1">
      <alignment horizontal="left"/>
    </xf>
    <xf numFmtId="0" fontId="176" fillId="48" borderId="66" xfId="8736" applyFont="1" applyFill="1" applyBorder="1" applyAlignment="1">
      <alignment horizontal="left" wrapText="1"/>
    </xf>
    <xf numFmtId="0" fontId="176" fillId="48" borderId="0" xfId="8736" applyFont="1" applyFill="1" applyAlignment="1">
      <alignment horizontal="left" wrapText="1"/>
    </xf>
    <xf numFmtId="0" fontId="176" fillId="48" borderId="41" xfId="8736" applyFont="1" applyFill="1" applyBorder="1" applyAlignment="1">
      <alignment horizontal="left" wrapText="1"/>
    </xf>
    <xf numFmtId="0" fontId="176" fillId="48" borderId="73" xfId="8736" applyFont="1" applyFill="1" applyBorder="1" applyAlignment="1">
      <alignment horizontal="left" wrapText="1"/>
    </xf>
    <xf numFmtId="0" fontId="176" fillId="48" borderId="42" xfId="8736" applyFont="1" applyFill="1" applyBorder="1" applyAlignment="1">
      <alignment horizontal="left" wrapText="1"/>
    </xf>
    <xf numFmtId="0" fontId="176" fillId="48" borderId="44" xfId="8736" applyFont="1" applyFill="1" applyBorder="1" applyAlignment="1">
      <alignment horizontal="left" wrapText="1"/>
    </xf>
    <xf numFmtId="0" fontId="178" fillId="45" borderId="69" xfId="8736" applyFont="1" applyFill="1" applyBorder="1" applyAlignment="1">
      <alignment horizontal="right"/>
    </xf>
    <xf numFmtId="0" fontId="178" fillId="45" borderId="70" xfId="8736" applyFont="1" applyFill="1" applyBorder="1" applyAlignment="1">
      <alignment horizontal="right"/>
    </xf>
    <xf numFmtId="0" fontId="170" fillId="44" borderId="70" xfId="700" applyNumberFormat="1" applyFont="1" applyFill="1" applyBorder="1" applyAlignment="1">
      <alignment horizontal="left"/>
    </xf>
    <xf numFmtId="168" fontId="170" fillId="44" borderId="70" xfId="700" applyNumberFormat="1" applyFont="1" applyFill="1" applyBorder="1" applyAlignment="1">
      <alignment horizontal="left"/>
    </xf>
    <xf numFmtId="168" fontId="170" fillId="44" borderId="77" xfId="700" applyNumberFormat="1" applyFont="1" applyFill="1" applyBorder="1" applyAlignment="1">
      <alignment horizontal="left"/>
    </xf>
    <xf numFmtId="0" fontId="171" fillId="47" borderId="0" xfId="8736" applyFont="1" applyFill="1" applyAlignment="1">
      <alignment horizontal="right"/>
    </xf>
    <xf numFmtId="168" fontId="175" fillId="47" borderId="0" xfId="700" applyNumberFormat="1" applyFont="1" applyFill="1" applyBorder="1" applyAlignment="1" applyProtection="1">
      <alignment horizontal="left"/>
      <protection locked="0"/>
    </xf>
    <xf numFmtId="0" fontId="177" fillId="48" borderId="87" xfId="8736" applyFont="1" applyFill="1" applyBorder="1" applyAlignment="1" applyProtection="1">
      <alignment horizontal="center"/>
      <protection locked="0"/>
    </xf>
    <xf numFmtId="0" fontId="177" fillId="48" borderId="86" xfId="8736" applyFont="1" applyFill="1" applyBorder="1" applyAlignment="1" applyProtection="1">
      <alignment horizontal="center"/>
      <protection locked="0"/>
    </xf>
    <xf numFmtId="0" fontId="179" fillId="48" borderId="70" xfId="8736" applyFont="1" applyFill="1" applyBorder="1" applyAlignment="1" applyProtection="1">
      <alignment horizontal="left"/>
      <protection locked="0"/>
    </xf>
    <xf numFmtId="0" fontId="179" fillId="48" borderId="77" xfId="8736" applyFont="1" applyFill="1" applyBorder="1" applyAlignment="1" applyProtection="1">
      <alignment horizontal="left"/>
      <protection locked="0"/>
    </xf>
    <xf numFmtId="168" fontId="177" fillId="48" borderId="86" xfId="700" applyNumberFormat="1" applyFont="1" applyFill="1" applyBorder="1" applyAlignment="1" applyProtection="1">
      <alignment horizontal="left"/>
      <protection locked="0"/>
    </xf>
    <xf numFmtId="168" fontId="177" fillId="48" borderId="85" xfId="700" applyNumberFormat="1" applyFont="1" applyFill="1" applyBorder="1" applyAlignment="1" applyProtection="1">
      <alignment horizontal="left"/>
      <protection locked="0"/>
    </xf>
    <xf numFmtId="0" fontId="177" fillId="48" borderId="87" xfId="8736" applyFont="1" applyFill="1" applyBorder="1" applyAlignment="1" applyProtection="1">
      <alignment horizontal="left"/>
      <protection locked="0"/>
    </xf>
    <xf numFmtId="0" fontId="177" fillId="48" borderId="86" xfId="8736" applyFont="1" applyFill="1" applyBorder="1" applyAlignment="1" applyProtection="1">
      <alignment horizontal="left"/>
      <protection locked="0"/>
    </xf>
    <xf numFmtId="0" fontId="177" fillId="48" borderId="85" xfId="8736" applyFont="1" applyFill="1" applyBorder="1" applyAlignment="1" applyProtection="1">
      <alignment horizontal="left"/>
      <protection locked="0"/>
    </xf>
    <xf numFmtId="0" fontId="108" fillId="48" borderId="80" xfId="8736" applyFont="1" applyFill="1" applyBorder="1" applyAlignment="1">
      <alignment horizontal="left"/>
    </xf>
    <xf numFmtId="0" fontId="108" fillId="48" borderId="79" xfId="8736" applyFont="1" applyFill="1" applyBorder="1" applyAlignment="1">
      <alignment horizontal="left"/>
    </xf>
    <xf numFmtId="44" fontId="7" fillId="48" borderId="84" xfId="700" applyFont="1" applyFill="1" applyBorder="1" applyAlignment="1" applyProtection="1">
      <alignment horizontal="center"/>
      <protection locked="0"/>
    </xf>
    <xf numFmtId="0" fontId="177" fillId="45" borderId="11" xfId="8736" applyFont="1" applyFill="1" applyBorder="1" applyAlignment="1">
      <alignment horizontal="left"/>
    </xf>
    <xf numFmtId="182" fontId="7" fillId="48" borderId="11" xfId="700" applyNumberFormat="1" applyFont="1" applyFill="1" applyBorder="1" applyAlignment="1" applyProtection="1">
      <alignment horizontal="center"/>
      <protection locked="0"/>
    </xf>
    <xf numFmtId="10" fontId="177" fillId="48" borderId="11" xfId="1022" applyNumberFormat="1" applyFont="1" applyFill="1" applyBorder="1" applyAlignment="1" applyProtection="1">
      <alignment horizontal="center"/>
      <protection locked="0"/>
    </xf>
    <xf numFmtId="182" fontId="7" fillId="0" borderId="13" xfId="8736" applyNumberFormat="1" applyBorder="1" applyAlignment="1">
      <alignment horizontal="center"/>
    </xf>
    <xf numFmtId="0" fontId="7" fillId="0" borderId="13" xfId="8736" applyBorder="1" applyAlignment="1">
      <alignment horizontal="center"/>
    </xf>
    <xf numFmtId="0" fontId="170" fillId="45" borderId="80" xfId="569" applyFont="1" applyFill="1" applyBorder="1" applyAlignment="1" applyProtection="1">
      <alignment horizontal="center" wrapText="1"/>
      <protection hidden="1"/>
    </xf>
    <xf numFmtId="0" fontId="170" fillId="45" borderId="79" xfId="569" applyFont="1" applyFill="1" applyBorder="1" applyAlignment="1" applyProtection="1">
      <alignment horizontal="center" wrapText="1"/>
      <protection hidden="1"/>
    </xf>
    <xf numFmtId="0" fontId="170" fillId="45" borderId="78" xfId="569" applyFont="1" applyFill="1" applyBorder="1" applyAlignment="1" applyProtection="1">
      <alignment horizontal="center" wrapText="1"/>
      <protection hidden="1"/>
    </xf>
    <xf numFmtId="0" fontId="170" fillId="45" borderId="13" xfId="569" applyFont="1" applyFill="1" applyBorder="1" applyAlignment="1" applyProtection="1">
      <alignment horizontal="left" wrapText="1"/>
      <protection hidden="1"/>
    </xf>
    <xf numFmtId="0" fontId="170" fillId="45" borderId="13" xfId="569" applyFont="1" applyFill="1" applyBorder="1" applyAlignment="1" applyProtection="1">
      <alignment horizontal="center" wrapText="1"/>
      <protection hidden="1"/>
    </xf>
    <xf numFmtId="0" fontId="176" fillId="45" borderId="11" xfId="8736" applyFont="1" applyFill="1" applyBorder="1" applyAlignment="1">
      <alignment horizontal="left" wrapText="1"/>
    </xf>
    <xf numFmtId="43" fontId="171" fillId="45" borderId="80" xfId="698" applyFont="1" applyFill="1" applyBorder="1" applyAlignment="1" applyProtection="1">
      <alignment horizontal="center"/>
      <protection hidden="1"/>
    </xf>
    <xf numFmtId="43" fontId="171" fillId="45" borderId="79" xfId="698" applyFont="1" applyFill="1" applyBorder="1" applyAlignment="1" applyProtection="1">
      <alignment horizontal="center"/>
      <protection hidden="1"/>
    </xf>
    <xf numFmtId="43" fontId="171" fillId="45" borderId="78" xfId="698" applyFont="1" applyFill="1" applyBorder="1" applyAlignment="1" applyProtection="1">
      <alignment horizontal="center"/>
      <protection hidden="1"/>
    </xf>
    <xf numFmtId="43" fontId="175" fillId="49" borderId="66" xfId="698" applyFont="1" applyFill="1" applyBorder="1" applyAlignment="1" applyProtection="1">
      <alignment horizontal="center" wrapText="1"/>
      <protection hidden="1"/>
    </xf>
    <xf numFmtId="43" fontId="175" fillId="49" borderId="0" xfId="698" applyFont="1" applyFill="1" applyBorder="1" applyAlignment="1" applyProtection="1">
      <alignment horizontal="center" wrapText="1"/>
      <protection hidden="1"/>
    </xf>
    <xf numFmtId="43" fontId="175" fillId="49" borderId="12" xfId="698" applyFont="1" applyFill="1" applyBorder="1" applyAlignment="1" applyProtection="1">
      <alignment horizontal="center" wrapText="1"/>
      <protection hidden="1"/>
    </xf>
    <xf numFmtId="43" fontId="175" fillId="49" borderId="83" xfId="698" applyFont="1" applyFill="1" applyBorder="1" applyAlignment="1" applyProtection="1">
      <alignment horizontal="center" wrapText="1"/>
      <protection hidden="1"/>
    </xf>
    <xf numFmtId="43" fontId="175" fillId="49" borderId="6" xfId="698" applyFont="1" applyFill="1" applyBorder="1" applyAlignment="1" applyProtection="1">
      <alignment horizontal="center" wrapText="1"/>
      <protection hidden="1"/>
    </xf>
    <xf numFmtId="43" fontId="175" fillId="49" borderId="10" xfId="698" applyFont="1" applyFill="1" applyBorder="1" applyAlignment="1" applyProtection="1">
      <alignment horizontal="center" wrapText="1"/>
      <protection hidden="1"/>
    </xf>
    <xf numFmtId="43" fontId="175" fillId="49" borderId="8" xfId="698" applyFont="1" applyFill="1" applyBorder="1" applyAlignment="1" applyProtection="1">
      <alignment horizontal="center" wrapText="1"/>
      <protection hidden="1"/>
    </xf>
    <xf numFmtId="43" fontId="175" fillId="49" borderId="9" xfId="698" applyFont="1" applyFill="1" applyBorder="1" applyAlignment="1" applyProtection="1">
      <alignment horizontal="center" wrapText="1"/>
      <protection hidden="1"/>
    </xf>
    <xf numFmtId="14" fontId="175" fillId="0" borderId="8" xfId="700" applyNumberFormat="1" applyFont="1" applyFill="1" applyBorder="1" applyAlignment="1" applyProtection="1">
      <alignment horizontal="center" wrapText="1"/>
      <protection hidden="1"/>
    </xf>
    <xf numFmtId="14" fontId="175" fillId="0" borderId="0" xfId="700" applyNumberFormat="1" applyFont="1" applyFill="1" applyBorder="1" applyAlignment="1" applyProtection="1">
      <alignment horizontal="center" wrapText="1"/>
      <protection hidden="1"/>
    </xf>
    <xf numFmtId="14" fontId="175" fillId="0" borderId="12" xfId="700" applyNumberFormat="1" applyFont="1" applyFill="1" applyBorder="1" applyAlignment="1" applyProtection="1">
      <alignment horizontal="center" wrapText="1"/>
      <protection hidden="1"/>
    </xf>
    <xf numFmtId="14" fontId="175" fillId="0" borderId="9" xfId="700" applyNumberFormat="1" applyFont="1" applyFill="1" applyBorder="1" applyAlignment="1" applyProtection="1">
      <alignment horizontal="center" wrapText="1"/>
      <protection hidden="1"/>
    </xf>
    <xf numFmtId="14" fontId="175" fillId="0" borderId="6" xfId="700" applyNumberFormat="1" applyFont="1" applyFill="1" applyBorder="1" applyAlignment="1" applyProtection="1">
      <alignment horizontal="center" wrapText="1"/>
      <protection hidden="1"/>
    </xf>
    <xf numFmtId="14" fontId="175" fillId="0" borderId="10" xfId="700" applyNumberFormat="1" applyFont="1" applyFill="1" applyBorder="1" applyAlignment="1" applyProtection="1">
      <alignment horizontal="center" wrapText="1"/>
      <protection hidden="1"/>
    </xf>
    <xf numFmtId="44" fontId="175" fillId="0" borderId="8" xfId="700" applyFont="1" applyBorder="1" applyAlignment="1" applyProtection="1">
      <alignment horizontal="center" wrapText="1"/>
      <protection hidden="1"/>
    </xf>
    <xf numFmtId="44" fontId="175" fillId="0" borderId="0" xfId="700" applyFont="1" applyBorder="1" applyAlignment="1" applyProtection="1">
      <alignment horizontal="center" wrapText="1"/>
      <protection hidden="1"/>
    </xf>
    <xf numFmtId="44" fontId="175" fillId="0" borderId="12" xfId="700" applyFont="1" applyBorder="1" applyAlignment="1" applyProtection="1">
      <alignment horizontal="center" wrapText="1"/>
      <protection hidden="1"/>
    </xf>
    <xf numFmtId="44" fontId="175" fillId="0" borderId="9" xfId="700" applyFont="1" applyBorder="1" applyAlignment="1" applyProtection="1">
      <alignment horizontal="center" wrapText="1"/>
      <protection hidden="1"/>
    </xf>
    <xf numFmtId="44" fontId="175" fillId="0" borderId="6" xfId="700" applyFont="1" applyBorder="1" applyAlignment="1" applyProtection="1">
      <alignment horizontal="center" wrapText="1"/>
      <protection hidden="1"/>
    </xf>
    <xf numFmtId="44" fontId="175" fillId="0" borderId="10" xfId="700" applyFont="1" applyBorder="1" applyAlignment="1" applyProtection="1">
      <alignment horizontal="center" wrapText="1"/>
      <protection hidden="1"/>
    </xf>
    <xf numFmtId="43" fontId="175" fillId="49" borderId="41" xfId="698" applyFont="1" applyFill="1" applyBorder="1" applyAlignment="1" applyProtection="1">
      <alignment horizontal="center" wrapText="1"/>
      <protection hidden="1"/>
    </xf>
    <xf numFmtId="43" fontId="175" fillId="49" borderId="82" xfId="698" applyFont="1" applyFill="1" applyBorder="1" applyAlignment="1" applyProtection="1">
      <alignment horizontal="center" wrapText="1"/>
      <protection hidden="1"/>
    </xf>
    <xf numFmtId="0" fontId="173" fillId="50" borderId="3" xfId="698" applyNumberFormat="1" applyFont="1" applyFill="1" applyBorder="1" applyAlignment="1" applyProtection="1">
      <alignment horizontal="center"/>
      <protection locked="0"/>
    </xf>
    <xf numFmtId="0" fontId="173" fillId="50" borderId="4" xfId="698" applyNumberFormat="1" applyFont="1" applyFill="1" applyBorder="1" applyAlignment="1" applyProtection="1">
      <alignment horizontal="center"/>
      <protection locked="0"/>
    </xf>
    <xf numFmtId="0" fontId="173" fillId="50" borderId="81" xfId="698" applyNumberFormat="1" applyFont="1" applyFill="1" applyBorder="1" applyAlignment="1" applyProtection="1">
      <alignment horizontal="center"/>
      <protection locked="0"/>
    </xf>
    <xf numFmtId="0" fontId="174" fillId="49" borderId="72" xfId="698" applyNumberFormat="1" applyFont="1" applyFill="1" applyBorder="1" applyAlignment="1" applyProtection="1">
      <alignment horizontal="center"/>
      <protection hidden="1"/>
    </xf>
    <xf numFmtId="0" fontId="174" fillId="49" borderId="11" xfId="698" applyNumberFormat="1" applyFont="1" applyFill="1" applyBorder="1" applyAlignment="1" applyProtection="1">
      <alignment horizontal="center"/>
      <protection hidden="1"/>
    </xf>
    <xf numFmtId="0" fontId="174" fillId="48" borderId="11" xfId="569" applyFont="1" applyFill="1" applyBorder="1" applyAlignment="1" applyProtection="1">
      <alignment horizontal="center"/>
      <protection locked="0"/>
    </xf>
    <xf numFmtId="14" fontId="173" fillId="48" borderId="11" xfId="700" applyNumberFormat="1" applyFont="1" applyFill="1" applyBorder="1" applyAlignment="1" applyProtection="1">
      <alignment horizontal="center"/>
      <protection locked="0"/>
    </xf>
    <xf numFmtId="168" fontId="174" fillId="48" borderId="11" xfId="700" applyNumberFormat="1" applyFont="1" applyFill="1" applyBorder="1" applyAlignment="1" applyProtection="1">
      <alignment horizontal="center"/>
      <protection locked="0"/>
    </xf>
    <xf numFmtId="9" fontId="174" fillId="48" borderId="11" xfId="1022" applyFont="1" applyFill="1" applyBorder="1" applyAlignment="1" applyProtection="1">
      <alignment horizontal="center"/>
      <protection locked="0"/>
    </xf>
    <xf numFmtId="44" fontId="173" fillId="48" borderId="11" xfId="700" applyFont="1" applyFill="1" applyBorder="1" applyAlignment="1" applyProtection="1">
      <alignment horizontal="center"/>
      <protection locked="0"/>
    </xf>
    <xf numFmtId="0" fontId="172" fillId="47" borderId="65" xfId="8736" applyFont="1" applyFill="1" applyBorder="1" applyAlignment="1">
      <alignment horizontal="center"/>
    </xf>
    <xf numFmtId="0" fontId="172" fillId="47" borderId="29" xfId="8736" applyFont="1" applyFill="1" applyBorder="1" applyAlignment="1">
      <alignment horizontal="center"/>
    </xf>
    <xf numFmtId="0" fontId="172" fillId="47" borderId="31" xfId="8736" applyFont="1" applyFill="1" applyBorder="1" applyAlignment="1">
      <alignment horizontal="center"/>
    </xf>
    <xf numFmtId="0" fontId="7" fillId="47" borderId="66" xfId="8736" applyFill="1" applyBorder="1" applyAlignment="1">
      <alignment horizontal="center"/>
    </xf>
    <xf numFmtId="0" fontId="7" fillId="47" borderId="0" xfId="8736" applyFill="1" applyAlignment="1">
      <alignment horizontal="center"/>
    </xf>
    <xf numFmtId="0" fontId="7" fillId="47" borderId="41" xfId="8736" applyFill="1" applyBorder="1" applyAlignment="1">
      <alignment horizontal="center"/>
    </xf>
    <xf numFmtId="0" fontId="171" fillId="47" borderId="66" xfId="8736" applyFont="1" applyFill="1" applyBorder="1" applyAlignment="1">
      <alignment horizontal="center"/>
    </xf>
    <xf numFmtId="0" fontId="171" fillId="47" borderId="0" xfId="8736" applyFont="1" applyFill="1" applyAlignment="1">
      <alignment horizontal="center"/>
    </xf>
    <xf numFmtId="0" fontId="171" fillId="47" borderId="41" xfId="8736" applyFont="1" applyFill="1" applyBorder="1" applyAlignment="1">
      <alignment horizontal="center"/>
    </xf>
    <xf numFmtId="0" fontId="108" fillId="47" borderId="66" xfId="8736" applyFont="1" applyFill="1" applyBorder="1" applyAlignment="1">
      <alignment horizontal="center"/>
    </xf>
    <xf numFmtId="0" fontId="108" fillId="47" borderId="41" xfId="8736" applyFont="1" applyFill="1" applyBorder="1" applyAlignment="1">
      <alignment horizontal="center"/>
    </xf>
    <xf numFmtId="0" fontId="108" fillId="47" borderId="0" xfId="8736" applyFont="1" applyFill="1" applyAlignment="1">
      <alignment horizontal="left"/>
    </xf>
    <xf numFmtId="43" fontId="171" fillId="49" borderId="72" xfId="698" applyFont="1" applyFill="1" applyBorder="1" applyAlignment="1" applyProtection="1">
      <alignment horizontal="right"/>
      <protection hidden="1"/>
    </xf>
    <xf numFmtId="43" fontId="171" fillId="49" borderId="11" xfId="698" applyFont="1" applyFill="1" applyBorder="1" applyAlignment="1" applyProtection="1">
      <alignment horizontal="right"/>
      <protection hidden="1"/>
    </xf>
    <xf numFmtId="44" fontId="171" fillId="0" borderId="11" xfId="700" applyFont="1" applyBorder="1" applyAlignment="1" applyProtection="1">
      <alignment horizontal="center"/>
      <protection hidden="1"/>
    </xf>
    <xf numFmtId="168" fontId="171" fillId="0" borderId="11" xfId="700" applyNumberFormat="1" applyFont="1" applyBorder="1" applyAlignment="1" applyProtection="1">
      <alignment horizontal="center"/>
      <protection hidden="1"/>
    </xf>
    <xf numFmtId="9" fontId="171" fillId="0" borderId="11" xfId="1022" applyFont="1" applyBorder="1" applyAlignment="1" applyProtection="1">
      <alignment horizontal="center"/>
      <protection hidden="1"/>
    </xf>
    <xf numFmtId="43" fontId="171" fillId="49" borderId="3" xfId="698" applyFont="1" applyFill="1" applyBorder="1" applyAlignment="1" applyProtection="1">
      <alignment horizontal="center"/>
      <protection hidden="1"/>
    </xf>
    <xf numFmtId="43" fontId="171" fillId="49" borderId="4" xfId="698" applyFont="1" applyFill="1" applyBorder="1" applyAlignment="1" applyProtection="1">
      <alignment horizontal="center"/>
      <protection hidden="1"/>
    </xf>
    <xf numFmtId="43" fontId="171" fillId="49" borderId="81" xfId="698" applyFont="1" applyFill="1" applyBorder="1" applyAlignment="1" applyProtection="1">
      <alignment horizontal="center"/>
      <protection hidden="1"/>
    </xf>
    <xf numFmtId="0" fontId="108" fillId="44" borderId="0" xfId="8736" applyFont="1" applyFill="1" applyAlignment="1">
      <alignment horizontal="left"/>
    </xf>
    <xf numFmtId="0" fontId="4" fillId="48" borderId="80" xfId="8736" applyFont="1" applyFill="1" applyBorder="1" applyAlignment="1" applyProtection="1">
      <alignment horizontal="left"/>
      <protection locked="0"/>
    </xf>
    <xf numFmtId="0" fontId="7" fillId="48" borderId="79" xfId="8736" applyFill="1" applyBorder="1" applyAlignment="1" applyProtection="1">
      <alignment horizontal="left"/>
      <protection locked="0"/>
    </xf>
    <xf numFmtId="0" fontId="7" fillId="48" borderId="78" xfId="8736" applyFill="1" applyBorder="1" applyAlignment="1" applyProtection="1">
      <alignment horizontal="left"/>
      <protection locked="0"/>
    </xf>
    <xf numFmtId="0" fontId="170" fillId="44" borderId="0" xfId="8736" applyFont="1" applyFill="1" applyAlignment="1">
      <alignment horizontal="left" vertical="top"/>
    </xf>
    <xf numFmtId="0" fontId="108" fillId="44" borderId="0" xfId="8730" applyFont="1" applyFill="1" applyBorder="1" applyAlignment="1">
      <alignment horizontal="left" vertical="top"/>
    </xf>
    <xf numFmtId="14" fontId="7" fillId="48" borderId="80" xfId="8736" applyNumberFormat="1" applyFill="1" applyBorder="1" applyAlignment="1" applyProtection="1">
      <alignment horizontal="center"/>
      <protection locked="0"/>
    </xf>
    <xf numFmtId="14" fontId="7" fillId="48" borderId="79" xfId="8736" applyNumberFormat="1" applyFill="1" applyBorder="1" applyAlignment="1" applyProtection="1">
      <alignment horizontal="center"/>
      <protection locked="0"/>
    </xf>
    <xf numFmtId="14" fontId="7" fillId="48" borderId="78" xfId="8736" applyNumberFormat="1" applyFill="1" applyBorder="1" applyAlignment="1" applyProtection="1">
      <alignment horizontal="center"/>
      <protection locked="0"/>
    </xf>
    <xf numFmtId="0" fontId="171" fillId="47" borderId="0" xfId="8736" applyFont="1" applyFill="1" applyAlignment="1">
      <alignment horizontal="left" vertical="top" wrapText="1"/>
    </xf>
    <xf numFmtId="0" fontId="108" fillId="47" borderId="42" xfId="8736" applyFont="1" applyFill="1" applyBorder="1" applyAlignment="1">
      <alignment horizontal="center"/>
    </xf>
    <xf numFmtId="0" fontId="7" fillId="48" borderId="80" xfId="8736" applyFill="1" applyBorder="1" applyAlignment="1" applyProtection="1">
      <alignment horizontal="center"/>
      <protection locked="0"/>
    </xf>
    <xf numFmtId="0" fontId="7" fillId="48" borderId="79" xfId="8736" applyFill="1" applyBorder="1" applyAlignment="1" applyProtection="1">
      <alignment horizontal="center"/>
      <protection locked="0"/>
    </xf>
    <xf numFmtId="0" fontId="7" fillId="48" borderId="78" xfId="8736" applyFill="1" applyBorder="1" applyAlignment="1" applyProtection="1">
      <alignment horizontal="center"/>
      <protection locked="0"/>
    </xf>
    <xf numFmtId="168" fontId="23" fillId="0" borderId="11" xfId="569" applyNumberFormat="1" applyBorder="1"/>
    <xf numFmtId="168" fontId="23" fillId="0" borderId="3" xfId="569" applyNumberFormat="1" applyBorder="1"/>
    <xf numFmtId="168" fontId="23" fillId="0" borderId="4" xfId="569" applyNumberFormat="1" applyBorder="1"/>
    <xf numFmtId="168" fontId="23" fillId="0" borderId="5" xfId="569" applyNumberFormat="1" applyBorder="1"/>
    <xf numFmtId="168" fontId="23" fillId="0" borderId="11" xfId="569" applyNumberFormat="1" applyBorder="1" applyAlignment="1">
      <alignment wrapText="1"/>
    </xf>
    <xf numFmtId="168" fontId="23" fillId="0" borderId="11" xfId="569" applyNumberFormat="1" applyBorder="1" applyAlignment="1">
      <alignment horizontal="right"/>
    </xf>
    <xf numFmtId="9" fontId="23" fillId="0" borderId="15" xfId="569" applyNumberFormat="1" applyBorder="1" applyAlignment="1">
      <alignment horizontal="center"/>
    </xf>
    <xf numFmtId="168" fontId="23" fillId="0" borderId="11" xfId="569" applyNumberFormat="1" applyBorder="1" applyAlignment="1">
      <alignment horizontal="center"/>
    </xf>
    <xf numFmtId="0" fontId="23" fillId="0" borderId="11" xfId="569" applyBorder="1" applyAlignment="1">
      <alignment horizontal="center"/>
    </xf>
    <xf numFmtId="176" fontId="23" fillId="5" borderId="3" xfId="569" applyNumberFormat="1" applyFill="1" applyBorder="1" applyAlignment="1" applyProtection="1">
      <alignment horizontal="right"/>
      <protection locked="0"/>
    </xf>
    <xf numFmtId="176" fontId="23" fillId="5" borderId="4" xfId="569" applyNumberFormat="1" applyFill="1" applyBorder="1" applyAlignment="1" applyProtection="1">
      <alignment horizontal="right"/>
      <protection locked="0"/>
    </xf>
    <xf numFmtId="176" fontId="23" fillId="5" borderId="5" xfId="569" applyNumberFormat="1" applyFill="1" applyBorder="1" applyAlignment="1" applyProtection="1">
      <alignment horizontal="right"/>
      <protection locked="0"/>
    </xf>
    <xf numFmtId="0" fontId="113" fillId="0" borderId="0" xfId="0" applyFont="1" applyAlignment="1">
      <alignment horizontal="left" vertical="top" wrapText="1"/>
    </xf>
    <xf numFmtId="0" fontId="30" fillId="0" borderId="3" xfId="569" applyFont="1" applyBorder="1" applyAlignment="1">
      <alignment horizontal="right"/>
    </xf>
    <xf numFmtId="0" fontId="30" fillId="0" borderId="4" xfId="569" applyFont="1" applyBorder="1" applyAlignment="1">
      <alignment horizontal="right"/>
    </xf>
    <xf numFmtId="0" fontId="30" fillId="0" borderId="5" xfId="569" applyFont="1" applyBorder="1" applyAlignment="1">
      <alignment horizontal="right"/>
    </xf>
    <xf numFmtId="0" fontId="30" fillId="0" borderId="6" xfId="569" applyFont="1" applyBorder="1" applyAlignment="1">
      <alignment horizontal="center"/>
    </xf>
    <xf numFmtId="168" fontId="23" fillId="0" borderId="3" xfId="569" applyNumberFormat="1" applyBorder="1" applyAlignment="1">
      <alignment horizontal="center"/>
    </xf>
    <xf numFmtId="0" fontId="23" fillId="0" borderId="4" xfId="569" applyBorder="1" applyAlignment="1">
      <alignment horizontal="center"/>
    </xf>
    <xf numFmtId="0" fontId="23" fillId="0" borderId="5" xfId="569" applyBorder="1" applyAlignment="1">
      <alignment horizontal="center"/>
    </xf>
    <xf numFmtId="0" fontId="113" fillId="0" borderId="0" xfId="569" applyFont="1" applyAlignment="1">
      <alignment horizontal="left" wrapText="1"/>
    </xf>
    <xf numFmtId="168" fontId="23" fillId="0" borderId="3" xfId="569" applyNumberFormat="1" applyBorder="1" applyAlignment="1">
      <alignment horizontal="right"/>
    </xf>
    <xf numFmtId="168" fontId="23" fillId="0" borderId="4" xfId="569" applyNumberFormat="1" applyBorder="1" applyAlignment="1">
      <alignment horizontal="right"/>
    </xf>
    <xf numFmtId="168" fontId="23" fillId="0" borderId="5" xfId="569" applyNumberFormat="1" applyBorder="1" applyAlignment="1">
      <alignment horizontal="right"/>
    </xf>
    <xf numFmtId="0" fontId="30" fillId="0" borderId="16" xfId="271" applyFont="1" applyBorder="1" applyAlignment="1">
      <alignment horizontal="center"/>
    </xf>
    <xf numFmtId="168" fontId="23" fillId="0" borderId="4" xfId="569" applyNumberFormat="1" applyBorder="1" applyAlignment="1">
      <alignment horizontal="center"/>
    </xf>
    <xf numFmtId="168" fontId="23" fillId="0" borderId="5" xfId="569" applyNumberFormat="1" applyBorder="1" applyAlignment="1">
      <alignment horizontal="center"/>
    </xf>
    <xf numFmtId="0" fontId="30" fillId="0" borderId="11" xfId="569" applyFont="1" applyBorder="1" applyAlignment="1">
      <alignment horizontal="center" wrapText="1"/>
    </xf>
    <xf numFmtId="0" fontId="30" fillId="0" borderId="11" xfId="569" applyFont="1" applyBorder="1" applyAlignment="1">
      <alignment horizontal="center"/>
    </xf>
    <xf numFmtId="165" fontId="23" fillId="0" borderId="11" xfId="569" applyNumberFormat="1" applyBorder="1" applyAlignment="1" applyProtection="1">
      <alignment horizontal="center"/>
      <protection locked="0"/>
    </xf>
    <xf numFmtId="0" fontId="59" fillId="0" borderId="0" xfId="569" applyFont="1" applyAlignment="1">
      <alignment horizontal="left"/>
    </xf>
    <xf numFmtId="5" fontId="23" fillId="0" borderId="5" xfId="569" applyNumberFormat="1" applyBorder="1" applyAlignment="1">
      <alignment horizontal="center"/>
    </xf>
    <xf numFmtId="5" fontId="23" fillId="0" borderId="11" xfId="569" applyNumberFormat="1" applyBorder="1" applyAlignment="1">
      <alignment horizontal="center"/>
    </xf>
    <xf numFmtId="5" fontId="23" fillId="0" borderId="3" xfId="569" applyNumberFormat="1" applyBorder="1" applyAlignment="1">
      <alignment horizontal="center"/>
    </xf>
    <xf numFmtId="5" fontId="23" fillId="0" borderId="4" xfId="569" applyNumberFormat="1" applyBorder="1" applyAlignment="1">
      <alignment horizontal="center"/>
    </xf>
    <xf numFmtId="168" fontId="23" fillId="5" borderId="5" xfId="569" applyNumberFormat="1" applyFill="1" applyBorder="1" applyAlignment="1" applyProtection="1">
      <alignment horizontal="center"/>
      <protection locked="0"/>
    </xf>
    <xf numFmtId="168" fontId="23" fillId="5" borderId="11" xfId="569" applyNumberFormat="1" applyFill="1" applyBorder="1" applyAlignment="1" applyProtection="1">
      <alignment horizontal="center"/>
      <protection locked="0"/>
    </xf>
    <xf numFmtId="9" fontId="23" fillId="0" borderId="5" xfId="569" applyNumberFormat="1" applyBorder="1" applyAlignment="1">
      <alignment horizontal="center"/>
    </xf>
    <xf numFmtId="9" fontId="23" fillId="0" borderId="11" xfId="569" applyNumberFormat="1" applyBorder="1" applyAlignment="1">
      <alignment horizontal="center"/>
    </xf>
    <xf numFmtId="9" fontId="23" fillId="0" borderId="9" xfId="569" applyNumberFormat="1" applyBorder="1" applyAlignment="1">
      <alignment horizontal="center" vertical="center"/>
    </xf>
    <xf numFmtId="9" fontId="23" fillId="0" borderId="6" xfId="569" applyNumberFormat="1" applyBorder="1" applyAlignment="1">
      <alignment horizontal="center" vertical="center"/>
    </xf>
    <xf numFmtId="9" fontId="23" fillId="0" borderId="10" xfId="569" applyNumberFormat="1" applyBorder="1" applyAlignment="1">
      <alignment horizontal="center" vertical="center"/>
    </xf>
    <xf numFmtId="168" fontId="23" fillId="2" borderId="3" xfId="569" applyNumberFormat="1" applyFill="1" applyBorder="1" applyAlignment="1">
      <alignment horizontal="center"/>
    </xf>
    <xf numFmtId="168" fontId="23" fillId="2" borderId="4" xfId="569" applyNumberFormat="1" applyFill="1" applyBorder="1" applyAlignment="1">
      <alignment horizontal="center"/>
    </xf>
    <xf numFmtId="168" fontId="23" fillId="2" borderId="5" xfId="569" applyNumberFormat="1" applyFill="1" applyBorder="1" applyAlignment="1">
      <alignment horizontal="center"/>
    </xf>
    <xf numFmtId="168" fontId="23" fillId="5" borderId="10" xfId="569" applyNumberFormat="1" applyFill="1" applyBorder="1" applyAlignment="1" applyProtection="1">
      <alignment horizontal="center"/>
      <protection locked="0"/>
    </xf>
    <xf numFmtId="168" fontId="23" fillId="5" borderId="13" xfId="569" applyNumberFormat="1" applyFill="1" applyBorder="1" applyAlignment="1" applyProtection="1">
      <alignment horizontal="center"/>
      <protection locked="0"/>
    </xf>
    <xf numFmtId="0" fontId="29" fillId="3" borderId="2" xfId="569" applyFont="1" applyFill="1" applyBorder="1" applyAlignment="1">
      <alignment horizontal="center" vertical="center"/>
    </xf>
    <xf numFmtId="0" fontId="29" fillId="3" borderId="16" xfId="569" applyFont="1" applyFill="1" applyBorder="1" applyAlignment="1">
      <alignment horizontal="center" vertical="center"/>
    </xf>
    <xf numFmtId="168" fontId="23" fillId="0" borderId="7" xfId="569" applyNumberFormat="1" applyBorder="1" applyAlignment="1">
      <alignment horizontal="center"/>
    </xf>
    <xf numFmtId="168" fontId="23" fillId="0" borderId="15" xfId="569" applyNumberFormat="1" applyBorder="1" applyAlignment="1">
      <alignment horizontal="center"/>
    </xf>
    <xf numFmtId="0" fontId="30" fillId="0" borderId="3" xfId="569" applyFont="1" applyBorder="1" applyAlignment="1">
      <alignment horizontal="left"/>
    </xf>
    <xf numFmtId="0" fontId="30" fillId="0" borderId="5" xfId="569" applyFont="1" applyBorder="1" applyAlignment="1">
      <alignment horizontal="left"/>
    </xf>
    <xf numFmtId="0" fontId="31" fillId="0" borderId="4" xfId="569" applyFont="1" applyBorder="1" applyAlignment="1">
      <alignment horizontal="left"/>
    </xf>
    <xf numFmtId="0" fontId="31" fillId="0" borderId="5" xfId="569" applyFont="1" applyBorder="1" applyAlignment="1">
      <alignment horizontal="left"/>
    </xf>
    <xf numFmtId="179" fontId="30" fillId="0" borderId="0" xfId="569" applyNumberFormat="1" applyFont="1" applyAlignment="1">
      <alignment horizontal="center" wrapText="1"/>
    </xf>
    <xf numFmtId="164" fontId="30" fillId="0" borderId="0" xfId="569" applyNumberFormat="1" applyFont="1" applyAlignment="1">
      <alignment horizontal="center" wrapText="1"/>
    </xf>
    <xf numFmtId="0" fontId="23" fillId="0" borderId="3" xfId="569" applyBorder="1" applyAlignment="1">
      <alignment horizontal="right"/>
    </xf>
    <xf numFmtId="0" fontId="23" fillId="0" borderId="4" xfId="569" applyBorder="1" applyAlignment="1">
      <alignment horizontal="right"/>
    </xf>
    <xf numFmtId="0" fontId="23" fillId="0" borderId="5" xfId="569" applyBorder="1" applyAlignment="1">
      <alignment horizontal="right"/>
    </xf>
    <xf numFmtId="0" fontId="31" fillId="0" borderId="3" xfId="569" applyFont="1" applyBorder="1" applyAlignment="1">
      <alignment horizontal="right"/>
    </xf>
    <xf numFmtId="0" fontId="31" fillId="0" borderId="4" xfId="569" applyFont="1" applyBorder="1" applyAlignment="1">
      <alignment horizontal="right"/>
    </xf>
    <xf numFmtId="0" fontId="31" fillId="0" borderId="5" xfId="569" applyFont="1" applyBorder="1" applyAlignment="1">
      <alignment horizontal="right"/>
    </xf>
    <xf numFmtId="0" fontId="104" fillId="0" borderId="3" xfId="4496" applyFont="1" applyBorder="1"/>
    <xf numFmtId="0" fontId="104" fillId="0" borderId="81" xfId="4496" applyFont="1" applyBorder="1"/>
    <xf numFmtId="0" fontId="104" fillId="0" borderId="94" xfId="4496" applyFont="1" applyBorder="1"/>
    <xf numFmtId="0" fontId="104" fillId="0" borderId="85" xfId="4496" applyFont="1" applyBorder="1"/>
    <xf numFmtId="49" fontId="104" fillId="45" borderId="15" xfId="4496" applyNumberFormat="1" applyFont="1" applyFill="1" applyBorder="1" applyAlignment="1">
      <alignment horizontal="center" vertical="center" wrapText="1"/>
    </xf>
    <xf numFmtId="49" fontId="104" fillId="45" borderId="13" xfId="4496" applyNumberFormat="1" applyFont="1" applyFill="1" applyBorder="1" applyAlignment="1">
      <alignment horizontal="center" vertical="center" wrapText="1"/>
    </xf>
    <xf numFmtId="0" fontId="104" fillId="0" borderId="93" xfId="4496" applyFont="1" applyBorder="1" applyAlignment="1">
      <alignment horizontal="right"/>
    </xf>
    <xf numFmtId="0" fontId="104" fillId="0" borderId="74" xfId="4496" applyFont="1" applyBorder="1" applyAlignment="1">
      <alignment horizontal="right"/>
    </xf>
    <xf numFmtId="0" fontId="104" fillId="0" borderId="75" xfId="4496" applyFont="1" applyBorder="1"/>
    <xf numFmtId="0" fontId="104" fillId="0" borderId="91" xfId="4496" applyFont="1" applyBorder="1"/>
    <xf numFmtId="0" fontId="104" fillId="0" borderId="90" xfId="4496" applyFont="1" applyBorder="1" applyAlignment="1">
      <alignment horizontal="right"/>
    </xf>
    <xf numFmtId="0" fontId="104" fillId="0" borderId="5" xfId="4496" applyFont="1" applyBorder="1" applyAlignment="1">
      <alignment horizontal="right"/>
    </xf>
    <xf numFmtId="0" fontId="104" fillId="0" borderId="69" xfId="4496" applyFont="1" applyBorder="1" applyAlignment="1">
      <alignment horizontal="right"/>
    </xf>
    <xf numFmtId="0" fontId="104" fillId="0" borderId="70" xfId="4496" applyFont="1" applyBorder="1" applyAlignment="1">
      <alignment horizontal="right"/>
    </xf>
    <xf numFmtId="168" fontId="104" fillId="0" borderId="11" xfId="4499" applyNumberFormat="1" applyFont="1" applyFill="1" applyBorder="1" applyAlignment="1" applyProtection="1">
      <alignment horizontal="left" vertical="center" indent="1"/>
    </xf>
    <xf numFmtId="0" fontId="142" fillId="0" borderId="68" xfId="4496" applyFont="1" applyBorder="1" applyAlignment="1">
      <alignment horizontal="left" indent="1"/>
    </xf>
    <xf numFmtId="168" fontId="104" fillId="0" borderId="70" xfId="4499" applyNumberFormat="1" applyFont="1" applyFill="1" applyBorder="1" applyAlignment="1" applyProtection="1">
      <alignment horizontal="left" vertical="center" indent="1"/>
    </xf>
    <xf numFmtId="49" fontId="141" fillId="3" borderId="0" xfId="1192" applyNumberFormat="1" applyFont="1" applyFill="1" applyAlignment="1">
      <alignment horizontal="center" vertical="center"/>
    </xf>
    <xf numFmtId="0" fontId="104" fillId="0" borderId="11" xfId="4496" applyFont="1" applyBorder="1" applyAlignment="1">
      <alignment horizontal="left" indent="1"/>
    </xf>
    <xf numFmtId="0" fontId="104" fillId="0" borderId="11" xfId="4496" applyFont="1" applyBorder="1" applyAlignment="1">
      <alignment horizontal="left" indent="2"/>
    </xf>
    <xf numFmtId="0" fontId="142" fillId="45" borderId="3" xfId="4496" applyFont="1" applyFill="1" applyBorder="1" applyAlignment="1">
      <alignment horizontal="center" vertical="center"/>
    </xf>
    <xf numFmtId="0" fontId="142" fillId="45" borderId="4" xfId="4496" applyFont="1" applyFill="1" applyBorder="1" applyAlignment="1">
      <alignment horizontal="center" vertical="center"/>
    </xf>
    <xf numFmtId="0" fontId="142" fillId="45" borderId="5" xfId="4496" applyFont="1" applyFill="1" applyBorder="1" applyAlignment="1">
      <alignment horizontal="center" vertical="center"/>
    </xf>
    <xf numFmtId="9" fontId="142" fillId="45" borderId="3" xfId="4499" applyFont="1" applyFill="1" applyBorder="1" applyAlignment="1" applyProtection="1">
      <alignment horizontal="center" vertical="center"/>
    </xf>
    <xf numFmtId="9" fontId="142" fillId="45" borderId="4" xfId="4499" applyFont="1" applyFill="1" applyBorder="1" applyAlignment="1" applyProtection="1">
      <alignment horizontal="center" vertical="center"/>
    </xf>
    <xf numFmtId="9" fontId="142" fillId="45" borderId="5" xfId="4499" applyFont="1" applyFill="1" applyBorder="1" applyAlignment="1" applyProtection="1">
      <alignment horizontal="center" vertical="center"/>
    </xf>
    <xf numFmtId="168" fontId="104" fillId="0" borderId="13" xfId="4499" applyNumberFormat="1" applyFont="1" applyFill="1" applyBorder="1" applyAlignment="1" applyProtection="1">
      <alignment horizontal="left" vertical="center" indent="1"/>
    </xf>
    <xf numFmtId="0" fontId="104" fillId="0" borderId="3" xfId="4496" applyFont="1" applyBorder="1" applyAlignment="1">
      <alignment horizontal="left" indent="1"/>
    </xf>
    <xf numFmtId="0" fontId="104" fillId="0" borderId="4" xfId="4496" applyFont="1" applyBorder="1" applyAlignment="1">
      <alignment horizontal="left" indent="1"/>
    </xf>
    <xf numFmtId="0" fontId="104" fillId="0" borderId="5" xfId="4496" applyFont="1" applyBorder="1" applyAlignment="1">
      <alignment horizontal="left" indent="1"/>
    </xf>
    <xf numFmtId="0" fontId="104" fillId="0" borderId="3" xfId="4496" applyFont="1" applyBorder="1" applyAlignment="1">
      <alignment horizontal="left" indent="2"/>
    </xf>
    <xf numFmtId="0" fontId="104" fillId="0" borderId="4" xfId="4496" applyFont="1" applyBorder="1" applyAlignment="1">
      <alignment horizontal="left" indent="2"/>
    </xf>
    <xf numFmtId="0" fontId="104" fillId="0" borderId="5" xfId="4496" applyFont="1" applyBorder="1" applyAlignment="1">
      <alignment horizontal="left" indent="2"/>
    </xf>
    <xf numFmtId="0" fontId="104" fillId="0" borderId="0" xfId="4496" applyFont="1" applyAlignment="1">
      <alignment wrapText="1"/>
    </xf>
    <xf numFmtId="0" fontId="142" fillId="0" borderId="75" xfId="4496" applyFont="1" applyBorder="1" applyAlignment="1">
      <alignment horizontal="center" vertical="top" wrapText="1"/>
    </xf>
    <xf numFmtId="0" fontId="142" fillId="0" borderId="74" xfId="4496" applyFont="1" applyBorder="1" applyAlignment="1">
      <alignment horizontal="center" vertical="top" wrapText="1"/>
    </xf>
    <xf numFmtId="0" fontId="104" fillId="0" borderId="0" xfId="4496" applyFont="1" applyAlignment="1">
      <alignment horizontal="left" wrapText="1"/>
    </xf>
    <xf numFmtId="0" fontId="104" fillId="0" borderId="0" xfId="4496" applyFont="1" applyAlignment="1">
      <alignment horizontal="center" vertical="center" wrapText="1"/>
    </xf>
    <xf numFmtId="0" fontId="104" fillId="43" borderId="0" xfId="4496" applyFont="1" applyFill="1" applyAlignment="1" applyProtection="1">
      <alignment horizontal="left" vertical="top" wrapText="1"/>
      <protection locked="0"/>
    </xf>
    <xf numFmtId="0" fontId="104" fillId="43" borderId="6" xfId="4496" applyFont="1" applyFill="1" applyBorder="1" applyAlignment="1" applyProtection="1">
      <alignment horizontal="left" vertical="top" wrapText="1"/>
      <protection locked="0"/>
    </xf>
    <xf numFmtId="0" fontId="104" fillId="0" borderId="0" xfId="4496" applyFont="1" applyAlignment="1">
      <alignment horizontal="left" wrapText="1" indent="1"/>
    </xf>
    <xf numFmtId="0" fontId="28" fillId="0" borderId="6" xfId="271" applyFont="1" applyBorder="1" applyAlignment="1">
      <alignment horizontal="center"/>
    </xf>
    <xf numFmtId="0" fontId="28" fillId="0" borderId="0" xfId="0" applyFont="1" applyAlignment="1" applyProtection="1">
      <alignment wrapText="1"/>
      <protection locked="0"/>
    </xf>
    <xf numFmtId="3" fontId="23" fillId="0" borderId="0" xfId="0" applyNumberFormat="1" applyFont="1" applyAlignment="1">
      <alignment horizontal="left" vertical="top" wrapText="1"/>
    </xf>
    <xf numFmtId="3" fontId="32" fillId="0" borderId="0" xfId="0" applyNumberFormat="1" applyFont="1" applyAlignment="1">
      <alignment horizontal="left" vertical="top" wrapText="1"/>
    </xf>
    <xf numFmtId="0" fontId="23" fillId="43" borderId="0" xfId="0" applyFont="1" applyFill="1" applyAlignment="1">
      <alignment horizontal="left"/>
    </xf>
  </cellXfs>
  <cellStyles count="55252">
    <cellStyle name="20% - Accent1" xfId="1" builtinId="30" customBuiltin="1"/>
    <cellStyle name="20% - Accent1 10" xfId="4504" xr:uid="{00000000-0005-0000-0000-000001000000}"/>
    <cellStyle name="20% - Accent1 10 2" xfId="13830" xr:uid="{D5149957-63AE-4E42-A70A-F267825A838F}"/>
    <cellStyle name="20% - Accent1 10 2 2" xfId="50172" xr:uid="{D72E6968-9DBA-4CC1-BC7F-E8F5E3948919}"/>
    <cellStyle name="20% - Accent1 10 2 3" xfId="31576" xr:uid="{48251EBB-C1E7-4B95-ACE7-50BC396EC8CB}"/>
    <cellStyle name="20% - Accent1 10 3" xfId="40875" xr:uid="{3E32F6EB-3A91-4D73-B2F5-107BCE1B2CEF}"/>
    <cellStyle name="20% - Accent1 10 4" xfId="22277" xr:uid="{C3718A9A-F505-434F-AF99-6C13AC6BA8C0}"/>
    <cellStyle name="20% - Accent1 11" xfId="8758" xr:uid="{2F735C8D-70CB-4E84-A95A-4445894745BC}"/>
    <cellStyle name="20% - Accent1 11 2" xfId="35828" xr:uid="{757CAEE6-379E-48F9-86F0-8E91FA22C182}"/>
    <cellStyle name="20% - Accent1 11 2 2" xfId="54423" xr:uid="{0D325B92-4BEF-4C91-9822-62524AD4C265}"/>
    <cellStyle name="20% - Accent1 11 3" xfId="45126" xr:uid="{30613D40-154E-4756-A842-074BB07E082C}"/>
    <cellStyle name="20% - Accent1 11 4" xfId="26529" xr:uid="{060ADEFE-6B88-49BF-822B-29E76A0CDA88}"/>
    <cellStyle name="20% - Accent1 12" xfId="9613" xr:uid="{4E170AF6-7767-4611-B7A2-63408828B2CF}"/>
    <cellStyle name="20% - Accent1 12 2" xfId="45955" xr:uid="{A551E38D-6B52-4C13-A0AE-B9CE4D4E3746}"/>
    <cellStyle name="20% - Accent1 12 3" xfId="27359" xr:uid="{5F764C42-3184-494B-9916-0FB9EF38E68B}"/>
    <cellStyle name="20% - Accent1 13" xfId="36658" xr:uid="{1AE0C4D3-3F3E-44D0-AEC6-430BF063B0CF}"/>
    <cellStyle name="20% - Accent1 14" xfId="18060" xr:uid="{D644F2B8-6D41-4DDC-949A-011FF64432E4}"/>
    <cellStyle name="20% - Accent1 2" xfId="2" xr:uid="{00000000-0005-0000-0000-000002000000}"/>
    <cellStyle name="20% - Accent1 2 10" xfId="8797" xr:uid="{7F4BEAE6-CC35-4B07-89BD-8FC5D6B3D35B}"/>
    <cellStyle name="20% - Accent1 2 10 2" xfId="35867" xr:uid="{2D5B5176-8150-4616-B4FF-056E81C9287E}"/>
    <cellStyle name="20% - Accent1 2 10 2 2" xfId="54462" xr:uid="{1C17C199-36A2-4CF7-9113-4446CAF6EA5E}"/>
    <cellStyle name="20% - Accent1 2 10 3" xfId="45165" xr:uid="{A8E35D46-AB45-4ECC-B58B-AFAA1E98278B}"/>
    <cellStyle name="20% - Accent1 2 10 4" xfId="26568" xr:uid="{F370E6C1-8140-43DE-8C3E-24D0A5DEFFE6}"/>
    <cellStyle name="20% - Accent1 2 11" xfId="9614" xr:uid="{31880033-623C-449B-B199-5A84CBE1515B}"/>
    <cellStyle name="20% - Accent1 2 11 2" xfId="45956" xr:uid="{65AF8208-364F-4D13-B671-0AE059978E16}"/>
    <cellStyle name="20% - Accent1 2 11 3" xfId="27360" xr:uid="{D7831B50-1E06-43F5-ADD0-0580B769FF94}"/>
    <cellStyle name="20% - Accent1 2 12" xfId="36659" xr:uid="{D4E4F104-B14E-408A-BA05-D5564EA0234F}"/>
    <cellStyle name="20% - Accent1 2 13" xfId="18061" xr:uid="{7557B957-083B-4A3C-9DFC-3B90B21AB1E7}"/>
    <cellStyle name="20% - Accent1 2 2" xfId="3" xr:uid="{00000000-0005-0000-0000-000003000000}"/>
    <cellStyle name="20% - Accent1 2 2 10" xfId="9615" xr:uid="{F7F66AEC-0F26-4A9E-B735-6957EC834583}"/>
    <cellStyle name="20% - Accent1 2 2 10 2" xfId="45957" xr:uid="{F0B874A0-F79D-4760-ADDE-FCF0BFDD9366}"/>
    <cellStyle name="20% - Accent1 2 2 10 3" xfId="27361" xr:uid="{635B2DC8-52E6-4252-AD67-3F6DFF5401FE}"/>
    <cellStyle name="20% - Accent1 2 2 11" xfId="36660" xr:uid="{274F2EFD-C73A-48A0-A35C-BA5244D2A979}"/>
    <cellStyle name="20% - Accent1 2 2 12" xfId="18062" xr:uid="{2D6DD6C1-FDCE-4AF1-9AF7-36328AE344F4}"/>
    <cellStyle name="20% - Accent1 2 2 2" xfId="4" xr:uid="{00000000-0005-0000-0000-000004000000}"/>
    <cellStyle name="20% - Accent1 2 2 2 10" xfId="36661" xr:uid="{204A4C5B-8F8B-491A-9DAD-E94E40B5AACD}"/>
    <cellStyle name="20% - Accent1 2 2 2 11" xfId="18063" xr:uid="{1A1F9144-48EA-42DB-A8F7-CD5C489DED76}"/>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16392" xr:uid="{572605AC-A741-4463-A033-06711BCF34CE}"/>
    <cellStyle name="20% - Accent1 2 2 2 2 2 2 2 2" xfId="52734" xr:uid="{8041068A-6F48-48BE-BD16-D9435F6E16A2}"/>
    <cellStyle name="20% - Accent1 2 2 2 2 2 2 2 3" xfId="34138" xr:uid="{B70F48B9-9974-45C8-89C8-94622C889165}"/>
    <cellStyle name="20% - Accent1 2 2 2 2 2 2 3" xfId="43437" xr:uid="{94645612-20C4-4CD8-A100-0D172C4CE090}"/>
    <cellStyle name="20% - Accent1 2 2 2 2 2 2 4" xfId="24839" xr:uid="{8FE98DA3-FC12-4A59-B72F-2D690B47336C}"/>
    <cellStyle name="20% - Accent1 2 2 2 2 2 3" xfId="12175" xr:uid="{40D9D583-84DA-4428-87A3-F2397006CB0A}"/>
    <cellStyle name="20% - Accent1 2 2 2 2 2 3 2" xfId="48517" xr:uid="{ED013947-3083-43F9-B8DC-0552C429C01F}"/>
    <cellStyle name="20% - Accent1 2 2 2 2 2 3 3" xfId="29921" xr:uid="{BA86406C-8293-44F5-818E-48E0A00498EE}"/>
    <cellStyle name="20% - Accent1 2 2 2 2 2 4" xfId="39220" xr:uid="{6B970315-6522-45B7-A6D3-2378D6C2037C}"/>
    <cellStyle name="20% - Accent1 2 2 2 2 2 5" xfId="20622" xr:uid="{C3F87DBD-F994-4D06-A295-8FED40D6CE3A}"/>
    <cellStyle name="20% - Accent1 2 2 2 2 3" xfId="4921" xr:uid="{00000000-0005-0000-0000-000008000000}"/>
    <cellStyle name="20% - Accent1 2 2 2 2 3 2" xfId="14247" xr:uid="{6CD80667-EB99-4892-80CF-A7F8079562DA}"/>
    <cellStyle name="20% - Accent1 2 2 2 2 3 2 2" xfId="50589" xr:uid="{53048423-D60C-4C98-BDB9-99867DA0B829}"/>
    <cellStyle name="20% - Accent1 2 2 2 2 3 2 3" xfId="31993" xr:uid="{D6D830D3-DEA3-4528-B9EC-E196B409CBB2}"/>
    <cellStyle name="20% - Accent1 2 2 2 2 3 3" xfId="41292" xr:uid="{F7B20C06-3751-49B7-92D2-E0ED991F7717}"/>
    <cellStyle name="20% - Accent1 2 2 2 2 3 4" xfId="22694" xr:uid="{DD183EF1-7281-44FE-BBC8-108CDC32E1A2}"/>
    <cellStyle name="20% - Accent1 2 2 2 2 4" xfId="9532" xr:uid="{D5FAB462-C5A9-4306-AA37-C118C84F9393}"/>
    <cellStyle name="20% - Accent1 2 2 2 2 4 2" xfId="36593" xr:uid="{11B8B730-EC11-4B12-877B-0773CEB8A2D4}"/>
    <cellStyle name="20% - Accent1 2 2 2 2 4 2 2" xfId="55187" xr:uid="{35673D75-DCD4-4128-92C9-F1BEE91F4704}"/>
    <cellStyle name="20% - Accent1 2 2 2 2 4 3" xfId="45890" xr:uid="{C693C312-AA1A-4102-AD71-F68C275A5035}"/>
    <cellStyle name="20% - Accent1 2 2 2 2 4 4" xfId="27294" xr:uid="{AD10B68B-79DC-4A1F-A17E-8E5B4925EA15}"/>
    <cellStyle name="20% - Accent1 2 2 2 2 5" xfId="10030" xr:uid="{B5B834DD-2EF3-42B4-9332-377F1CFCF1B2}"/>
    <cellStyle name="20% - Accent1 2 2 2 2 5 2" xfId="46372" xr:uid="{15605CD0-B42E-4DC8-B0CA-4A155B8F2389}"/>
    <cellStyle name="20% - Accent1 2 2 2 2 5 3" xfId="27776" xr:uid="{15EC8952-7467-4D52-B267-3974DA3FCAE2}"/>
    <cellStyle name="20% - Accent1 2 2 2 2 6" xfId="37075" xr:uid="{13269FFB-64E6-44E6-BF72-A75971471CD5}"/>
    <cellStyle name="20% - Accent1 2 2 2 2 7" xfId="18477" xr:uid="{C6895A46-B654-4258-9D66-D70053B0E7E4}"/>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16805" xr:uid="{948F7850-A185-474D-A57C-21D786E77754}"/>
    <cellStyle name="20% - Accent1 2 2 2 3 2 2 2 2" xfId="53147" xr:uid="{E9D615A1-1421-45D5-9039-73366AB1FA7A}"/>
    <cellStyle name="20% - Accent1 2 2 2 3 2 2 2 3" xfId="34551" xr:uid="{D46AC628-0308-4234-A024-0D760D90AED3}"/>
    <cellStyle name="20% - Accent1 2 2 2 3 2 2 3" xfId="43850" xr:uid="{5C223081-1B73-406D-B349-9E667A9757A5}"/>
    <cellStyle name="20% - Accent1 2 2 2 3 2 2 4" xfId="25252" xr:uid="{83FFD0D8-3A1B-4D97-875F-AAE3615F9103}"/>
    <cellStyle name="20% - Accent1 2 2 2 3 2 3" xfId="12588" xr:uid="{0CB8988A-FA59-4B29-B461-F8139034F9DE}"/>
    <cellStyle name="20% - Accent1 2 2 2 3 2 3 2" xfId="48930" xr:uid="{B52E95D6-C5EF-416C-9257-463D225A99FE}"/>
    <cellStyle name="20% - Accent1 2 2 2 3 2 3 3" xfId="30334" xr:uid="{ADA8C963-F083-424A-BBA3-25469BFF3AF7}"/>
    <cellStyle name="20% - Accent1 2 2 2 3 2 4" xfId="39633" xr:uid="{4884E30E-2CE2-40A7-8123-B50D4CFF8F28}"/>
    <cellStyle name="20% - Accent1 2 2 2 3 2 5" xfId="21035" xr:uid="{A32D5CD1-5D11-47BF-96AE-D24FF52E237C}"/>
    <cellStyle name="20% - Accent1 2 2 2 3 3" xfId="5334" xr:uid="{00000000-0005-0000-0000-00000C000000}"/>
    <cellStyle name="20% - Accent1 2 2 2 3 3 2" xfId="14660" xr:uid="{F198BDFA-3B8F-4CB2-9CDF-2FB05C7D36D6}"/>
    <cellStyle name="20% - Accent1 2 2 2 3 3 2 2" xfId="51002" xr:uid="{4A2F3278-D324-48E6-B6D0-91879F1AA8B2}"/>
    <cellStyle name="20% - Accent1 2 2 2 3 3 2 3" xfId="32406" xr:uid="{98DC6F07-4385-4430-B8F0-E973033A0A3D}"/>
    <cellStyle name="20% - Accent1 2 2 2 3 3 3" xfId="41705" xr:uid="{98403C16-61CD-431D-827A-CA3E30386791}"/>
    <cellStyle name="20% - Accent1 2 2 2 3 3 4" xfId="23107" xr:uid="{E7B114BF-1780-4CA6-B009-FB41BC58AD94}"/>
    <cellStyle name="20% - Accent1 2 2 2 3 4" xfId="10443" xr:uid="{B9C32EAB-320D-4D99-B9F2-25865D58EC0D}"/>
    <cellStyle name="20% - Accent1 2 2 2 3 4 2" xfId="46785" xr:uid="{9A685624-6548-41EB-BDD6-27A92DE90A05}"/>
    <cellStyle name="20% - Accent1 2 2 2 3 4 3" xfId="28189" xr:uid="{E85099A0-2049-4E5F-82CA-47AF8B5BD893}"/>
    <cellStyle name="20% - Accent1 2 2 2 3 5" xfId="37488" xr:uid="{43D0F340-6E54-42A2-A7A9-229E88B506F9}"/>
    <cellStyle name="20% - Accent1 2 2 2 3 6" xfId="18890" xr:uid="{3834D9B9-2D00-4AAE-8A27-2EB3004EB1CF}"/>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17218" xr:uid="{587724F6-0D17-4686-93F9-BD9953B04F16}"/>
    <cellStyle name="20% - Accent1 2 2 2 4 2 2 2 2" xfId="53560" xr:uid="{062C8C65-00FB-4E50-A801-1C7A2F5C5607}"/>
    <cellStyle name="20% - Accent1 2 2 2 4 2 2 2 3" xfId="34964" xr:uid="{11FCB271-8876-409E-967D-860C719D446E}"/>
    <cellStyle name="20% - Accent1 2 2 2 4 2 2 3" xfId="44263" xr:uid="{DB9E2E41-E22D-4E69-B387-1AD0C1462BF3}"/>
    <cellStyle name="20% - Accent1 2 2 2 4 2 2 4" xfId="25665" xr:uid="{0F924759-98A3-4C66-A612-E56E63469710}"/>
    <cellStyle name="20% - Accent1 2 2 2 4 2 3" xfId="13001" xr:uid="{9129D13F-1495-4160-B205-BBB05AC182A3}"/>
    <cellStyle name="20% - Accent1 2 2 2 4 2 3 2" xfId="49343" xr:uid="{39B49B85-019B-45FE-985A-EEC1C439E107}"/>
    <cellStyle name="20% - Accent1 2 2 2 4 2 3 3" xfId="30747" xr:uid="{280715F7-78D4-4739-B190-2C19DBE2DD26}"/>
    <cellStyle name="20% - Accent1 2 2 2 4 2 4" xfId="40046" xr:uid="{CBBD87E4-2D48-42E0-9CD9-74BD3A305769}"/>
    <cellStyle name="20% - Accent1 2 2 2 4 2 5" xfId="21448" xr:uid="{0C4E4B0B-9821-4FA6-B0F8-21624DCCFC17}"/>
    <cellStyle name="20% - Accent1 2 2 2 4 3" xfId="5747" xr:uid="{00000000-0005-0000-0000-000010000000}"/>
    <cellStyle name="20% - Accent1 2 2 2 4 3 2" xfId="15073" xr:uid="{285F2B5A-64F3-420C-848B-D484C86E3708}"/>
    <cellStyle name="20% - Accent1 2 2 2 4 3 2 2" xfId="51415" xr:uid="{D86C27D5-9253-408B-B7CE-D9F531077021}"/>
    <cellStyle name="20% - Accent1 2 2 2 4 3 2 3" xfId="32819" xr:uid="{AB384A96-CE5D-4F65-BC5B-C3B3F68B7A87}"/>
    <cellStyle name="20% - Accent1 2 2 2 4 3 3" xfId="42118" xr:uid="{DB6CA365-C015-432F-BB46-6D46DF547442}"/>
    <cellStyle name="20% - Accent1 2 2 2 4 3 4" xfId="23520" xr:uid="{BBE82BDF-3A55-49F8-BB08-689220AD4955}"/>
    <cellStyle name="20% - Accent1 2 2 2 4 4" xfId="10856" xr:uid="{A32F24BE-CFC6-4D14-B75B-E2E5B95AD2FA}"/>
    <cellStyle name="20% - Accent1 2 2 2 4 4 2" xfId="47198" xr:uid="{A3F1F6A2-99D0-4A31-A9CC-44B3BC0AAC7D}"/>
    <cellStyle name="20% - Accent1 2 2 2 4 4 3" xfId="28602" xr:uid="{78BA7773-EE3F-4F37-A53E-E91CE7C6D6D7}"/>
    <cellStyle name="20% - Accent1 2 2 2 4 5" xfId="37901" xr:uid="{179B751D-A02C-46D0-9C41-3458B100A8EF}"/>
    <cellStyle name="20% - Accent1 2 2 2 4 6" xfId="19303" xr:uid="{B5507130-3347-4BD1-AA07-4F8036F5A17D}"/>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17631" xr:uid="{DBB0EE68-4327-4EF1-9E79-52903EE2A438}"/>
    <cellStyle name="20% - Accent1 2 2 2 5 2 2 2 2" xfId="53973" xr:uid="{9D106098-BABB-4EF3-853D-CB11C06789C3}"/>
    <cellStyle name="20% - Accent1 2 2 2 5 2 2 2 3" xfId="35377" xr:uid="{B61D3EE1-733C-4E9F-9CAE-77DAC6277FBD}"/>
    <cellStyle name="20% - Accent1 2 2 2 5 2 2 3" xfId="44676" xr:uid="{99B83A7F-F509-427E-AA1B-EDAA43BEFB1F}"/>
    <cellStyle name="20% - Accent1 2 2 2 5 2 2 4" xfId="26078" xr:uid="{B308A679-8559-4067-873C-DAC40F6038BF}"/>
    <cellStyle name="20% - Accent1 2 2 2 5 2 3" xfId="13414" xr:uid="{04461B9B-164C-4F06-A73C-C072E0244C1F}"/>
    <cellStyle name="20% - Accent1 2 2 2 5 2 3 2" xfId="49756" xr:uid="{0B4BA7C1-4248-4B11-989C-95B07365F160}"/>
    <cellStyle name="20% - Accent1 2 2 2 5 2 3 3" xfId="31160" xr:uid="{926EFC9D-CBBB-459A-A7EA-7927F742FE75}"/>
    <cellStyle name="20% - Accent1 2 2 2 5 2 4" xfId="40459" xr:uid="{1801C90C-CB2A-42A5-9D4A-A3B800AB1929}"/>
    <cellStyle name="20% - Accent1 2 2 2 5 2 5" xfId="21861" xr:uid="{685D08DA-7136-4751-9408-33494A395F8D}"/>
    <cellStyle name="20% - Accent1 2 2 2 5 3" xfId="6160" xr:uid="{00000000-0005-0000-0000-000014000000}"/>
    <cellStyle name="20% - Accent1 2 2 2 5 3 2" xfId="15486" xr:uid="{6309874C-980C-49E3-A0AD-AF38683F0C33}"/>
    <cellStyle name="20% - Accent1 2 2 2 5 3 2 2" xfId="51828" xr:uid="{EEE0A36E-E623-4032-9F54-D3E95EDCAFBE}"/>
    <cellStyle name="20% - Accent1 2 2 2 5 3 2 3" xfId="33232" xr:uid="{C8878ACC-9BCA-4EAF-A6FB-9D5634905DD2}"/>
    <cellStyle name="20% - Accent1 2 2 2 5 3 3" xfId="42531" xr:uid="{C598265D-259B-4EFF-9015-4D0FF1359DEC}"/>
    <cellStyle name="20% - Accent1 2 2 2 5 3 4" xfId="23933" xr:uid="{2AE1DBD6-4FC0-4681-B275-4DE833449957}"/>
    <cellStyle name="20% - Accent1 2 2 2 5 4" xfId="11269" xr:uid="{02634F77-DE53-44B5-A5DB-04FAE578C10B}"/>
    <cellStyle name="20% - Accent1 2 2 2 5 4 2" xfId="47611" xr:uid="{CB26F8D7-8568-429A-9026-64C11E383CA0}"/>
    <cellStyle name="20% - Accent1 2 2 2 5 4 3" xfId="29015" xr:uid="{B0C78FAE-2CC3-4A23-B578-19CC933FD756}"/>
    <cellStyle name="20% - Accent1 2 2 2 5 5" xfId="38314" xr:uid="{EC932D1E-3EDD-4503-9A30-B3C26350B3EA}"/>
    <cellStyle name="20% - Accent1 2 2 2 5 6" xfId="19716" xr:uid="{423EF42D-914E-4196-A326-0EC4B1CF6650}"/>
    <cellStyle name="20% - Accent1 2 2 2 6" xfId="2267" xr:uid="{00000000-0005-0000-0000-000015000000}"/>
    <cellStyle name="20% - Accent1 2 2 2 6 2" xfId="6573" xr:uid="{00000000-0005-0000-0000-000016000000}"/>
    <cellStyle name="20% - Accent1 2 2 2 6 2 2" xfId="15899" xr:uid="{1304320C-9451-4C30-9646-0C92B014A5EA}"/>
    <cellStyle name="20% - Accent1 2 2 2 6 2 2 2" xfId="52241" xr:uid="{C0732D27-E286-4477-A560-F0F32E57AA84}"/>
    <cellStyle name="20% - Accent1 2 2 2 6 2 2 3" xfId="33645" xr:uid="{0454175F-8F7B-4DF3-AB31-DD4E1B084162}"/>
    <cellStyle name="20% - Accent1 2 2 2 6 2 3" xfId="42944" xr:uid="{AFBCD68D-5E95-4F90-A930-6A4FCEF08709}"/>
    <cellStyle name="20% - Accent1 2 2 2 6 2 4" xfId="24346" xr:uid="{50E63EEB-409A-4DC6-A5D4-824E27CC48F8}"/>
    <cellStyle name="20% - Accent1 2 2 2 6 3" xfId="11682" xr:uid="{72E557C4-C9BF-4F62-B961-C1F184DC90E0}"/>
    <cellStyle name="20% - Accent1 2 2 2 6 3 2" xfId="48024" xr:uid="{621CDC23-F5F2-4C94-A39F-6937D308C684}"/>
    <cellStyle name="20% - Accent1 2 2 2 6 3 3" xfId="29428" xr:uid="{A9156EFC-5A8D-415E-80FC-595DE4446BA6}"/>
    <cellStyle name="20% - Accent1 2 2 2 6 4" xfId="38727" xr:uid="{501620CB-5F14-4EA9-B7F5-FF2D3F163873}"/>
    <cellStyle name="20% - Accent1 2 2 2 6 5" xfId="20129" xr:uid="{5A553268-2D40-46EC-9D58-8EC6C4DBD877}"/>
    <cellStyle name="20% - Accent1 2 2 2 7" xfId="4507" xr:uid="{00000000-0005-0000-0000-000017000000}"/>
    <cellStyle name="20% - Accent1 2 2 2 7 2" xfId="13833" xr:uid="{2B35BFF2-DFE4-46D6-908C-F85AA3746BB5}"/>
    <cellStyle name="20% - Accent1 2 2 2 7 2 2" xfId="50175" xr:uid="{41BFAA37-055B-4345-96C2-3E7BEE94CCD0}"/>
    <cellStyle name="20% - Accent1 2 2 2 7 2 3" xfId="31579" xr:uid="{F3CDAC66-512A-41AF-8CE4-462833E4D38A}"/>
    <cellStyle name="20% - Accent1 2 2 2 7 3" xfId="40878" xr:uid="{B628131C-0030-4DE2-A67B-357BCB6FD264}"/>
    <cellStyle name="20% - Accent1 2 2 2 7 4" xfId="22280" xr:uid="{2557DED6-E787-4F43-BB24-D76C95F2E817}"/>
    <cellStyle name="20% - Accent1 2 2 2 8" xfId="9107" xr:uid="{4168D01E-823F-4E8F-9A1D-70697AC1F241}"/>
    <cellStyle name="20% - Accent1 2 2 2 8 2" xfId="36177" xr:uid="{19E0B0B6-A446-4B54-8F58-4E790688A8B5}"/>
    <cellStyle name="20% - Accent1 2 2 2 8 2 2" xfId="54772" xr:uid="{90F5AA61-4862-4B0B-8F84-370EDA105B8B}"/>
    <cellStyle name="20% - Accent1 2 2 2 8 3" xfId="45475" xr:uid="{B4A9E6C5-CEEB-4646-A7D5-C07BF22AC753}"/>
    <cellStyle name="20% - Accent1 2 2 2 8 4" xfId="26878" xr:uid="{617D0958-5B05-4AC4-8A56-9F6B7C3085F5}"/>
    <cellStyle name="20% - Accent1 2 2 2 9" xfId="9616" xr:uid="{732F4D2C-B956-4B39-AD67-AD0548F087EC}"/>
    <cellStyle name="20% - Accent1 2 2 2 9 2" xfId="45958" xr:uid="{3F2E0247-69F9-43F0-9370-D18BDAA05543}"/>
    <cellStyle name="20% - Accent1 2 2 2 9 3" xfId="27362" xr:uid="{433E995F-3BFE-4F6C-A2DC-7E23A399A574}"/>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16391" xr:uid="{3AF98C9F-24E0-41DD-A7D1-87B04F001621}"/>
    <cellStyle name="20% - Accent1 2 2 3 2 2 2 2" xfId="52733" xr:uid="{7CC244A0-D76B-4ABA-9014-773BD87A1CE9}"/>
    <cellStyle name="20% - Accent1 2 2 3 2 2 2 3" xfId="34137" xr:uid="{877BF4A3-E459-43AE-BD84-485DE3A843D1}"/>
    <cellStyle name="20% - Accent1 2 2 3 2 2 3" xfId="43436" xr:uid="{091BC83C-4B2A-461D-8F08-4974AEDDD143}"/>
    <cellStyle name="20% - Accent1 2 2 3 2 2 4" xfId="24838" xr:uid="{F751E335-63D1-46EE-8B94-40808C4A7780}"/>
    <cellStyle name="20% - Accent1 2 2 3 2 3" xfId="12174" xr:uid="{CE80CDEB-6AA4-4949-AFCF-9E9E1308004D}"/>
    <cellStyle name="20% - Accent1 2 2 3 2 3 2" xfId="48516" xr:uid="{67763AD2-DF5E-4DAE-ABF9-45423B2385D2}"/>
    <cellStyle name="20% - Accent1 2 2 3 2 3 3" xfId="29920" xr:uid="{EC93006A-CDAF-4502-BA29-9B0D5DB60504}"/>
    <cellStyle name="20% - Accent1 2 2 3 2 4" xfId="39219" xr:uid="{0A4468BE-F1A6-4F68-9BA2-4C7EBA5937E0}"/>
    <cellStyle name="20% - Accent1 2 2 3 2 5" xfId="20621" xr:uid="{106EAB00-9B7E-4809-9DAA-528B71B1C998}"/>
    <cellStyle name="20% - Accent1 2 2 3 3" xfId="4920" xr:uid="{00000000-0005-0000-0000-00001B000000}"/>
    <cellStyle name="20% - Accent1 2 2 3 3 2" xfId="14246" xr:uid="{2999A2DF-9078-44AC-814B-E59A95FCA121}"/>
    <cellStyle name="20% - Accent1 2 2 3 3 2 2" xfId="50588" xr:uid="{39945B2D-ECDF-4A3A-AC19-36A3374F50F0}"/>
    <cellStyle name="20% - Accent1 2 2 3 3 2 3" xfId="31992" xr:uid="{C4150D07-CFA2-44AD-8D66-C5A211F52C3B}"/>
    <cellStyle name="20% - Accent1 2 2 3 3 3" xfId="41291" xr:uid="{7AD698C9-8F06-4DA4-8EE2-ACB3AFC5A770}"/>
    <cellStyle name="20% - Accent1 2 2 3 3 4" xfId="22693" xr:uid="{06FC1B44-FE25-43A4-9ADE-7A0516F57282}"/>
    <cellStyle name="20% - Accent1 2 2 3 4" xfId="9325" xr:uid="{DE19910B-698B-4F31-B25F-3533B35DDA95}"/>
    <cellStyle name="20% - Accent1 2 2 3 4 2" xfId="36386" xr:uid="{F630D9E1-233F-4A9B-8A43-570C169CCC0F}"/>
    <cellStyle name="20% - Accent1 2 2 3 4 2 2" xfId="54980" xr:uid="{D88039D5-A338-46D9-82F1-08DF1DA9F02B}"/>
    <cellStyle name="20% - Accent1 2 2 3 4 3" xfId="45683" xr:uid="{E36F62D1-48A8-46C5-8FEE-F8714A32EFD3}"/>
    <cellStyle name="20% - Accent1 2 2 3 4 4" xfId="27087" xr:uid="{B90B0EA2-F454-4D45-926A-A14A3A00CCF1}"/>
    <cellStyle name="20% - Accent1 2 2 3 5" xfId="10029" xr:uid="{FB740DE0-329F-428A-96C7-DDD498578FAF}"/>
    <cellStyle name="20% - Accent1 2 2 3 5 2" xfId="46371" xr:uid="{F745769B-3C47-43AC-9FC2-637A5893F0F8}"/>
    <cellStyle name="20% - Accent1 2 2 3 5 3" xfId="27775" xr:uid="{E5F4A24F-D2BC-4E20-82A8-36394B1ECEE0}"/>
    <cellStyle name="20% - Accent1 2 2 3 6" xfId="37074" xr:uid="{6DD6920A-A03B-42E8-A956-F35773C1C14F}"/>
    <cellStyle name="20% - Accent1 2 2 3 7" xfId="18476" xr:uid="{2189067F-C053-435A-9B4E-568C5AAC1C09}"/>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16804" xr:uid="{43BA7825-15B4-46D0-B0D8-8CB440B8181C}"/>
    <cellStyle name="20% - Accent1 2 2 4 2 2 2 2" xfId="53146" xr:uid="{4D47E5CC-FFBB-4DF5-B743-1CAF0E47D3F1}"/>
    <cellStyle name="20% - Accent1 2 2 4 2 2 2 3" xfId="34550" xr:uid="{854238E7-E9E9-4C6C-81A7-52C1A08D4332}"/>
    <cellStyle name="20% - Accent1 2 2 4 2 2 3" xfId="43849" xr:uid="{EC5982E7-19EA-4C12-9550-39FAB272180B}"/>
    <cellStyle name="20% - Accent1 2 2 4 2 2 4" xfId="25251" xr:uid="{D8C2BCD4-5010-4169-A96F-246F6052B1F0}"/>
    <cellStyle name="20% - Accent1 2 2 4 2 3" xfId="12587" xr:uid="{8E9F3F53-0619-46F9-B946-DE66B13B07AF}"/>
    <cellStyle name="20% - Accent1 2 2 4 2 3 2" xfId="48929" xr:uid="{25C3D409-E369-470E-869C-83020967D7BE}"/>
    <cellStyle name="20% - Accent1 2 2 4 2 3 3" xfId="30333" xr:uid="{35CDEE61-E1C4-4235-96C9-0703770BF376}"/>
    <cellStyle name="20% - Accent1 2 2 4 2 4" xfId="39632" xr:uid="{83830166-050D-4047-8DC7-2BCC03F2C72C}"/>
    <cellStyle name="20% - Accent1 2 2 4 2 5" xfId="21034" xr:uid="{061306D4-EB85-4F86-B33D-339986750418}"/>
    <cellStyle name="20% - Accent1 2 2 4 3" xfId="5333" xr:uid="{00000000-0005-0000-0000-00001F000000}"/>
    <cellStyle name="20% - Accent1 2 2 4 3 2" xfId="14659" xr:uid="{9677651E-94FE-4252-90B3-5F6F9B5CC720}"/>
    <cellStyle name="20% - Accent1 2 2 4 3 2 2" xfId="51001" xr:uid="{08564130-28E2-4933-9D26-7B344BB105D3}"/>
    <cellStyle name="20% - Accent1 2 2 4 3 2 3" xfId="32405" xr:uid="{83C402F8-0274-484E-A6F5-D03A6AA879E8}"/>
    <cellStyle name="20% - Accent1 2 2 4 3 3" xfId="41704" xr:uid="{C4DD5A93-B18B-430E-B663-12B3ADEF484B}"/>
    <cellStyle name="20% - Accent1 2 2 4 3 4" xfId="23106" xr:uid="{D4CCEE0E-57EE-46EF-A721-639CCBE994F2}"/>
    <cellStyle name="20% - Accent1 2 2 4 4" xfId="10442" xr:uid="{1C81A783-3BE9-4AAF-A638-DDE6B7735F88}"/>
    <cellStyle name="20% - Accent1 2 2 4 4 2" xfId="46784" xr:uid="{9D535D20-459F-4053-966F-1C526BBB8986}"/>
    <cellStyle name="20% - Accent1 2 2 4 4 3" xfId="28188" xr:uid="{A25FC0F5-EC5C-40E6-A7A9-EDF547133795}"/>
    <cellStyle name="20% - Accent1 2 2 4 5" xfId="37487" xr:uid="{5D13DD64-5385-4DC4-BD03-24391C074B7F}"/>
    <cellStyle name="20% - Accent1 2 2 4 6" xfId="18889" xr:uid="{64BE2340-D495-413B-8E05-330A6AB29AD2}"/>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17217" xr:uid="{88E001DB-4CB7-4F8B-9EF7-6F8FAA002E60}"/>
    <cellStyle name="20% - Accent1 2 2 5 2 2 2 2" xfId="53559" xr:uid="{8B90F6A2-B723-4DD2-BB70-834423B064F9}"/>
    <cellStyle name="20% - Accent1 2 2 5 2 2 2 3" xfId="34963" xr:uid="{4D4CDA34-ED1E-4E09-A26D-C26231D783F7}"/>
    <cellStyle name="20% - Accent1 2 2 5 2 2 3" xfId="44262" xr:uid="{9C2A01FD-4BD1-4537-9971-A702A2BFE385}"/>
    <cellStyle name="20% - Accent1 2 2 5 2 2 4" xfId="25664" xr:uid="{BACE0885-42FF-4BE3-B130-195EF775B090}"/>
    <cellStyle name="20% - Accent1 2 2 5 2 3" xfId="13000" xr:uid="{8A185A3B-1531-45C5-A02B-4C5CC4F1DCE0}"/>
    <cellStyle name="20% - Accent1 2 2 5 2 3 2" xfId="49342" xr:uid="{FC3E4685-5CC8-44BA-90A2-C83AD3A95966}"/>
    <cellStyle name="20% - Accent1 2 2 5 2 3 3" xfId="30746" xr:uid="{746C39F1-52E1-469F-99F8-6E4F65C095CA}"/>
    <cellStyle name="20% - Accent1 2 2 5 2 4" xfId="40045" xr:uid="{DA718015-04EF-4397-BA0C-1DC8EAE8AF83}"/>
    <cellStyle name="20% - Accent1 2 2 5 2 5" xfId="21447" xr:uid="{0610B84E-A255-4018-A0DB-0B19A5E60B99}"/>
    <cellStyle name="20% - Accent1 2 2 5 3" xfId="5746" xr:uid="{00000000-0005-0000-0000-000023000000}"/>
    <cellStyle name="20% - Accent1 2 2 5 3 2" xfId="15072" xr:uid="{173572DF-1C9E-4F28-9915-7FA71BDB9BBB}"/>
    <cellStyle name="20% - Accent1 2 2 5 3 2 2" xfId="51414" xr:uid="{CD3B98BA-AA6A-4F80-B471-0DEE61F2DE32}"/>
    <cellStyle name="20% - Accent1 2 2 5 3 2 3" xfId="32818" xr:uid="{7C972296-106E-40E6-9D45-AFA7709F11A2}"/>
    <cellStyle name="20% - Accent1 2 2 5 3 3" xfId="42117" xr:uid="{7D1DBDA1-9A48-4CA0-BEE1-99A13DFC3C74}"/>
    <cellStyle name="20% - Accent1 2 2 5 3 4" xfId="23519" xr:uid="{DAE2E8FE-D51E-47D7-81BB-44F78B69F6E5}"/>
    <cellStyle name="20% - Accent1 2 2 5 4" xfId="10855" xr:uid="{2964EEB6-0E1C-4A04-8158-50D6626C363A}"/>
    <cellStyle name="20% - Accent1 2 2 5 4 2" xfId="47197" xr:uid="{9AE3FCC8-26DA-4745-8D8F-77EB00CB69DD}"/>
    <cellStyle name="20% - Accent1 2 2 5 4 3" xfId="28601" xr:uid="{B25C3558-4F6A-4E9A-B498-F74FF2B61239}"/>
    <cellStyle name="20% - Accent1 2 2 5 5" xfId="37900" xr:uid="{09DBA296-00A5-48E9-9710-C3F3B53331C9}"/>
    <cellStyle name="20% - Accent1 2 2 5 6" xfId="19302" xr:uid="{B4EA53F1-7CCF-421F-83C8-E9AE8CE634B9}"/>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17630" xr:uid="{07D09CC4-DCD0-4D64-A45D-EE72182F1A05}"/>
    <cellStyle name="20% - Accent1 2 2 6 2 2 2 2" xfId="53972" xr:uid="{8B627A75-B362-4155-8E4C-CF731B544821}"/>
    <cellStyle name="20% - Accent1 2 2 6 2 2 2 3" xfId="35376" xr:uid="{2CCF0D04-02DB-495E-81A3-BC706A8B27A7}"/>
    <cellStyle name="20% - Accent1 2 2 6 2 2 3" xfId="44675" xr:uid="{54558292-62D1-45C1-B8B8-33445312B13F}"/>
    <cellStyle name="20% - Accent1 2 2 6 2 2 4" xfId="26077" xr:uid="{246F70A4-387A-497A-B4D3-A55C8CBE9D27}"/>
    <cellStyle name="20% - Accent1 2 2 6 2 3" xfId="13413" xr:uid="{91F49376-01C7-4162-8D9E-D78CC0D45FDB}"/>
    <cellStyle name="20% - Accent1 2 2 6 2 3 2" xfId="49755" xr:uid="{C851166E-25E3-4976-8052-18C066F6D9C0}"/>
    <cellStyle name="20% - Accent1 2 2 6 2 3 3" xfId="31159" xr:uid="{6C33356F-137B-464A-9A17-62CE74672EE8}"/>
    <cellStyle name="20% - Accent1 2 2 6 2 4" xfId="40458" xr:uid="{3AFB3365-36C4-4378-994E-781ADA89FD2A}"/>
    <cellStyle name="20% - Accent1 2 2 6 2 5" xfId="21860" xr:uid="{E161A10E-4704-4CE1-ACF0-500429EC9188}"/>
    <cellStyle name="20% - Accent1 2 2 6 3" xfId="6159" xr:uid="{00000000-0005-0000-0000-000027000000}"/>
    <cellStyle name="20% - Accent1 2 2 6 3 2" xfId="15485" xr:uid="{3B4B2780-46F8-460F-8D18-07DA40C1E094}"/>
    <cellStyle name="20% - Accent1 2 2 6 3 2 2" xfId="51827" xr:uid="{5A6C76D5-1CAE-48A4-82B5-81E493474B8D}"/>
    <cellStyle name="20% - Accent1 2 2 6 3 2 3" xfId="33231" xr:uid="{6D2D6CCE-C67D-48BD-A9DA-AF5883ED4168}"/>
    <cellStyle name="20% - Accent1 2 2 6 3 3" xfId="42530" xr:uid="{8450B1DD-64DA-46E7-B25A-1E85256FB756}"/>
    <cellStyle name="20% - Accent1 2 2 6 3 4" xfId="23932" xr:uid="{E195B786-71AD-45AA-B0C6-CFA605A18C53}"/>
    <cellStyle name="20% - Accent1 2 2 6 4" xfId="11268" xr:uid="{0FCB71BF-9DA7-4BDA-B849-6671C0FEEDA2}"/>
    <cellStyle name="20% - Accent1 2 2 6 4 2" xfId="47610" xr:uid="{11E521AB-CC1F-4934-8D27-4B10BD959E09}"/>
    <cellStyle name="20% - Accent1 2 2 6 4 3" xfId="29014" xr:uid="{3A87281B-FE04-458D-A9AE-5F7A4FFA571C}"/>
    <cellStyle name="20% - Accent1 2 2 6 5" xfId="38313" xr:uid="{30F8FE94-746C-4F9A-8713-91561DBEB819}"/>
    <cellStyle name="20% - Accent1 2 2 6 6" xfId="19715" xr:uid="{FB123C46-6332-4ED6-A939-E7087B672757}"/>
    <cellStyle name="20% - Accent1 2 2 7" xfId="2266" xr:uid="{00000000-0005-0000-0000-000028000000}"/>
    <cellStyle name="20% - Accent1 2 2 7 2" xfId="6572" xr:uid="{00000000-0005-0000-0000-000029000000}"/>
    <cellStyle name="20% - Accent1 2 2 7 2 2" xfId="15898" xr:uid="{62AEFED2-7409-4EAE-BBC9-7BF16F92DC30}"/>
    <cellStyle name="20% - Accent1 2 2 7 2 2 2" xfId="52240" xr:uid="{D383D2E6-6683-4EBE-944D-A4EB1F862A7C}"/>
    <cellStyle name="20% - Accent1 2 2 7 2 2 3" xfId="33644" xr:uid="{CF4BDF82-7248-409E-AF27-9EAA24EB4939}"/>
    <cellStyle name="20% - Accent1 2 2 7 2 3" xfId="42943" xr:uid="{2E5DA48D-98FA-4ED9-95FA-02C122C72796}"/>
    <cellStyle name="20% - Accent1 2 2 7 2 4" xfId="24345" xr:uid="{D5A3222D-BE3A-4885-A552-6583133EE781}"/>
    <cellStyle name="20% - Accent1 2 2 7 3" xfId="11681" xr:uid="{E7455E36-0A43-4869-9FE1-2EDA60F7C823}"/>
    <cellStyle name="20% - Accent1 2 2 7 3 2" xfId="48023" xr:uid="{3C91D0E0-EB70-4D5C-8087-0230B51292F7}"/>
    <cellStyle name="20% - Accent1 2 2 7 3 3" xfId="29427" xr:uid="{24C0BC91-8A2F-4E64-9725-C7C254291FD0}"/>
    <cellStyle name="20% - Accent1 2 2 7 4" xfId="38726" xr:uid="{F6E79788-5A2C-45D6-AC4F-BBCB715C1B81}"/>
    <cellStyle name="20% - Accent1 2 2 7 5" xfId="20128" xr:uid="{6E518D35-EC2B-4B7C-AD85-8CA23FD04161}"/>
    <cellStyle name="20% - Accent1 2 2 8" xfId="4506" xr:uid="{00000000-0005-0000-0000-00002A000000}"/>
    <cellStyle name="20% - Accent1 2 2 8 2" xfId="13832" xr:uid="{548055F9-875D-4A2C-A9E8-91854584F3A2}"/>
    <cellStyle name="20% - Accent1 2 2 8 2 2" xfId="50174" xr:uid="{90069CD6-A489-4F71-8E6D-6919013452C4}"/>
    <cellStyle name="20% - Accent1 2 2 8 2 3" xfId="31578" xr:uid="{1DDFAF03-5259-486C-B0DD-C7E911D75CC4}"/>
    <cellStyle name="20% - Accent1 2 2 8 3" xfId="40877" xr:uid="{FBD444E0-0983-4C62-98C5-A02AC5EEA6C0}"/>
    <cellStyle name="20% - Accent1 2 2 8 4" xfId="22279" xr:uid="{7939C125-54C7-44E0-A8C9-D651402BCB03}"/>
    <cellStyle name="20% - Accent1 2 2 9" xfId="8900" xr:uid="{7D7E3EAF-DF6A-403F-8C20-66BB9757790F}"/>
    <cellStyle name="20% - Accent1 2 2 9 2" xfId="35970" xr:uid="{1348C527-4170-48CC-8B83-743119592AF7}"/>
    <cellStyle name="20% - Accent1 2 2 9 2 2" xfId="54565" xr:uid="{7594B28C-B84C-4F4E-B80C-C4B7ACB5DD0B}"/>
    <cellStyle name="20% - Accent1 2 2 9 3" xfId="45268" xr:uid="{FCF2C90C-2978-402A-8E07-60EABC1CC44E}"/>
    <cellStyle name="20% - Accent1 2 2 9 4" xfId="26671" xr:uid="{CD6E628E-6848-44FE-929B-43CB593691DD}"/>
    <cellStyle name="20% - Accent1 2 3" xfId="5" xr:uid="{00000000-0005-0000-0000-00002B000000}"/>
    <cellStyle name="20% - Accent1 2 3 10" xfId="36662" xr:uid="{5F817DDD-1BDD-4BAD-B14F-E5615E926156}"/>
    <cellStyle name="20% - Accent1 2 3 11" xfId="18064" xr:uid="{F8F1E6C2-144E-41EA-817F-E441A60582B2}"/>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16393" xr:uid="{DE42D38D-63EF-49AE-88E2-EC369ECCEF9F}"/>
    <cellStyle name="20% - Accent1 2 3 2 2 2 2 2" xfId="52735" xr:uid="{589938DB-D3C3-4489-BFFE-2BC5188D6EAC}"/>
    <cellStyle name="20% - Accent1 2 3 2 2 2 2 3" xfId="34139" xr:uid="{A73AF293-410F-4510-A119-CEA255A0CC89}"/>
    <cellStyle name="20% - Accent1 2 3 2 2 2 3" xfId="43438" xr:uid="{9C0E8FFE-91E6-40AE-9B0E-6B03BF32DAD6}"/>
    <cellStyle name="20% - Accent1 2 3 2 2 2 4" xfId="24840" xr:uid="{DD913FE1-FAA6-4315-897E-45BE71B494D3}"/>
    <cellStyle name="20% - Accent1 2 3 2 2 3" xfId="12176" xr:uid="{F98353E0-679C-4047-9E51-4CC2DA804ABF}"/>
    <cellStyle name="20% - Accent1 2 3 2 2 3 2" xfId="48518" xr:uid="{84D91507-13A0-4974-A08A-B117308B68D9}"/>
    <cellStyle name="20% - Accent1 2 3 2 2 3 3" xfId="29922" xr:uid="{7651B796-11B2-46C1-8A74-20B5846C651C}"/>
    <cellStyle name="20% - Accent1 2 3 2 2 4" xfId="39221" xr:uid="{0C27FDF3-3EB1-4193-8B5A-71A1A642BA3C}"/>
    <cellStyle name="20% - Accent1 2 3 2 2 5" xfId="20623" xr:uid="{B9481178-ECBD-4F76-97F6-DF26F80ECB83}"/>
    <cellStyle name="20% - Accent1 2 3 2 3" xfId="4922" xr:uid="{00000000-0005-0000-0000-00002F000000}"/>
    <cellStyle name="20% - Accent1 2 3 2 3 2" xfId="14248" xr:uid="{8BF95ACA-C64F-4D22-BC7B-C76AE22E644D}"/>
    <cellStyle name="20% - Accent1 2 3 2 3 2 2" xfId="50590" xr:uid="{9753CF8E-D984-4B83-B39E-6FF5F2ACBC91}"/>
    <cellStyle name="20% - Accent1 2 3 2 3 2 3" xfId="31994" xr:uid="{B15472DF-7463-4509-9C81-BE3A24F5FA1E}"/>
    <cellStyle name="20% - Accent1 2 3 2 3 3" xfId="41293" xr:uid="{B479D0B0-2BFA-48D6-9815-6EB6AFCA4E17}"/>
    <cellStyle name="20% - Accent1 2 3 2 3 4" xfId="22695" xr:uid="{0C4E4EEF-4A83-453D-8540-0337A36533D9}"/>
    <cellStyle name="20% - Accent1 2 3 2 4" xfId="9429" xr:uid="{CCD4BD61-3143-497B-A316-8024A8762A6C}"/>
    <cellStyle name="20% - Accent1 2 3 2 4 2" xfId="36490" xr:uid="{F0EAC432-1C04-4FE1-B461-B4A9B667B379}"/>
    <cellStyle name="20% - Accent1 2 3 2 4 2 2" xfId="55084" xr:uid="{A8EDF791-ABD0-46E7-B080-9BC0E91FDAFD}"/>
    <cellStyle name="20% - Accent1 2 3 2 4 3" xfId="45787" xr:uid="{B5BD893A-B3B1-422D-A7EA-B39D5D74FDFC}"/>
    <cellStyle name="20% - Accent1 2 3 2 4 4" xfId="27191" xr:uid="{F9603D5A-90C9-4D9A-B099-E9AD70EB101F}"/>
    <cellStyle name="20% - Accent1 2 3 2 5" xfId="10031" xr:uid="{2C642D16-21C4-4F0B-A5B3-BDC1F9C82E99}"/>
    <cellStyle name="20% - Accent1 2 3 2 5 2" xfId="46373" xr:uid="{67AC4400-6FB9-4B18-8765-9D2B5E01839B}"/>
    <cellStyle name="20% - Accent1 2 3 2 5 3" xfId="27777" xr:uid="{04078DCD-A04D-420B-9746-6B16445B0E8C}"/>
    <cellStyle name="20% - Accent1 2 3 2 6" xfId="37076" xr:uid="{DF26F1D5-EEF5-4CE5-833C-07D3F2A80954}"/>
    <cellStyle name="20% - Accent1 2 3 2 7" xfId="18478" xr:uid="{E422ABA0-3EC4-4847-A841-C20024D3B007}"/>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16806" xr:uid="{027B7D52-8457-4623-99E9-A438B9A11DDE}"/>
    <cellStyle name="20% - Accent1 2 3 3 2 2 2 2" xfId="53148" xr:uid="{91531A3B-1BD7-496F-B261-A46F11F7D5AE}"/>
    <cellStyle name="20% - Accent1 2 3 3 2 2 2 3" xfId="34552" xr:uid="{74C3D05A-70E3-4145-8D7F-BD959797711C}"/>
    <cellStyle name="20% - Accent1 2 3 3 2 2 3" xfId="43851" xr:uid="{354B7962-3458-4AFC-B4DC-75F5B64BDD98}"/>
    <cellStyle name="20% - Accent1 2 3 3 2 2 4" xfId="25253" xr:uid="{A7B4F1BC-3DD7-40B0-A10A-9D8795805C4B}"/>
    <cellStyle name="20% - Accent1 2 3 3 2 3" xfId="12589" xr:uid="{13B57CF2-424D-4FB3-A552-E72099249A5E}"/>
    <cellStyle name="20% - Accent1 2 3 3 2 3 2" xfId="48931" xr:uid="{C8CB6BA6-9D94-45D0-8FB3-D01754F1FC2D}"/>
    <cellStyle name="20% - Accent1 2 3 3 2 3 3" xfId="30335" xr:uid="{E3D9B25A-A176-45A2-B5CE-DABA603E0C06}"/>
    <cellStyle name="20% - Accent1 2 3 3 2 4" xfId="39634" xr:uid="{6E60291E-A47A-4E45-8E74-55B9D7906CB3}"/>
    <cellStyle name="20% - Accent1 2 3 3 2 5" xfId="21036" xr:uid="{E42E4283-A820-4DDB-A165-E6D873256CEA}"/>
    <cellStyle name="20% - Accent1 2 3 3 3" xfId="5335" xr:uid="{00000000-0005-0000-0000-000033000000}"/>
    <cellStyle name="20% - Accent1 2 3 3 3 2" xfId="14661" xr:uid="{BBDF764D-9634-4573-ABE9-AF46C94A064B}"/>
    <cellStyle name="20% - Accent1 2 3 3 3 2 2" xfId="51003" xr:uid="{95AB322B-0B6B-43A1-A4D6-A40E86EF58EE}"/>
    <cellStyle name="20% - Accent1 2 3 3 3 2 3" xfId="32407" xr:uid="{00AA39AE-77FA-41A0-9176-16396FD87904}"/>
    <cellStyle name="20% - Accent1 2 3 3 3 3" xfId="41706" xr:uid="{6ADD7FD1-4755-4195-B241-5252E6B89BBD}"/>
    <cellStyle name="20% - Accent1 2 3 3 3 4" xfId="23108" xr:uid="{3FA33C5C-F451-4811-8B3F-021157FEDD29}"/>
    <cellStyle name="20% - Accent1 2 3 3 4" xfId="10444" xr:uid="{4B8E7831-ED5B-493F-B20F-1850BA7AE23D}"/>
    <cellStyle name="20% - Accent1 2 3 3 4 2" xfId="46786" xr:uid="{E6C23110-6121-4EC0-9CB3-71A103D0BBA9}"/>
    <cellStyle name="20% - Accent1 2 3 3 4 3" xfId="28190" xr:uid="{1FA75ED2-AF6D-4246-BF63-2AD531D7C828}"/>
    <cellStyle name="20% - Accent1 2 3 3 5" xfId="37489" xr:uid="{6D2AE9EC-514E-44D7-B4BB-E68858794696}"/>
    <cellStyle name="20% - Accent1 2 3 3 6" xfId="18891" xr:uid="{48493FD7-9948-41D7-BCD5-1B7F22ABBFC4}"/>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17219" xr:uid="{79B6A9CD-6734-499C-BA51-D6CABE15DB8E}"/>
    <cellStyle name="20% - Accent1 2 3 4 2 2 2 2" xfId="53561" xr:uid="{A96D9CEE-FCDA-40CB-A824-5B073E109CED}"/>
    <cellStyle name="20% - Accent1 2 3 4 2 2 2 3" xfId="34965" xr:uid="{C9184ED6-D27C-463D-B7D6-EAE1CE203190}"/>
    <cellStyle name="20% - Accent1 2 3 4 2 2 3" xfId="44264" xr:uid="{27543C97-237C-4E85-BD28-BD9A56D2FEA6}"/>
    <cellStyle name="20% - Accent1 2 3 4 2 2 4" xfId="25666" xr:uid="{0B3D8C74-5AFD-46BB-9472-24A1B2F21C10}"/>
    <cellStyle name="20% - Accent1 2 3 4 2 3" xfId="13002" xr:uid="{5984BF70-E8FF-457D-A1E6-124F8F467161}"/>
    <cellStyle name="20% - Accent1 2 3 4 2 3 2" xfId="49344" xr:uid="{28FBC2D7-D359-476D-9910-4D6AA6B40C6A}"/>
    <cellStyle name="20% - Accent1 2 3 4 2 3 3" xfId="30748" xr:uid="{098F2E27-6B1E-4AE0-A320-F843A999771B}"/>
    <cellStyle name="20% - Accent1 2 3 4 2 4" xfId="40047" xr:uid="{621F164E-22CF-46FB-9B45-58FAB6A5BACB}"/>
    <cellStyle name="20% - Accent1 2 3 4 2 5" xfId="21449" xr:uid="{66EC9961-74C1-43B8-ACCC-EDD0507601B6}"/>
    <cellStyle name="20% - Accent1 2 3 4 3" xfId="5748" xr:uid="{00000000-0005-0000-0000-000037000000}"/>
    <cellStyle name="20% - Accent1 2 3 4 3 2" xfId="15074" xr:uid="{4D74F4B3-32C6-4D0B-99EE-CD9990BF2796}"/>
    <cellStyle name="20% - Accent1 2 3 4 3 2 2" xfId="51416" xr:uid="{8D289BBC-A493-4D48-A7E1-5134133099D2}"/>
    <cellStyle name="20% - Accent1 2 3 4 3 2 3" xfId="32820" xr:uid="{179E9D1F-C742-4E87-B1E9-1CA1764A1F4E}"/>
    <cellStyle name="20% - Accent1 2 3 4 3 3" xfId="42119" xr:uid="{7E833B50-8933-491F-85C0-12B3CEFD24AB}"/>
    <cellStyle name="20% - Accent1 2 3 4 3 4" xfId="23521" xr:uid="{F9B01F93-0CD1-4396-8BFF-48722B8EECCD}"/>
    <cellStyle name="20% - Accent1 2 3 4 4" xfId="10857" xr:uid="{93DFD9A8-D15F-4678-BED8-93AE009B5F58}"/>
    <cellStyle name="20% - Accent1 2 3 4 4 2" xfId="47199" xr:uid="{01B05DE1-F13A-4FDA-AEEC-E37B88A377E2}"/>
    <cellStyle name="20% - Accent1 2 3 4 4 3" xfId="28603" xr:uid="{258C8E86-82F9-4BE9-8D2A-DE455E8F5E87}"/>
    <cellStyle name="20% - Accent1 2 3 4 5" xfId="37902" xr:uid="{BCDFAB65-8FF1-40A5-8ECC-47165BD67F62}"/>
    <cellStyle name="20% - Accent1 2 3 4 6" xfId="19304" xr:uid="{5822E913-D4E0-416F-9678-8C8391DFE791}"/>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17632" xr:uid="{7225AB0E-2419-4DB4-98E4-944005ADF1B9}"/>
    <cellStyle name="20% - Accent1 2 3 5 2 2 2 2" xfId="53974" xr:uid="{DAD133AF-B51B-4320-BF07-E35A03AC71DC}"/>
    <cellStyle name="20% - Accent1 2 3 5 2 2 2 3" xfId="35378" xr:uid="{4DBA7699-00FB-406B-A7E7-EC54062FC86A}"/>
    <cellStyle name="20% - Accent1 2 3 5 2 2 3" xfId="44677" xr:uid="{2166F20E-E14F-4458-B5B4-F28DF0ED2D8E}"/>
    <cellStyle name="20% - Accent1 2 3 5 2 2 4" xfId="26079" xr:uid="{D6B7C7FD-2496-4C1D-8AED-0452EEA47996}"/>
    <cellStyle name="20% - Accent1 2 3 5 2 3" xfId="13415" xr:uid="{4A303858-EB96-4DB0-8EEB-B2699365E652}"/>
    <cellStyle name="20% - Accent1 2 3 5 2 3 2" xfId="49757" xr:uid="{0F3A9910-3B45-45DE-AD91-98FD9CCCE20D}"/>
    <cellStyle name="20% - Accent1 2 3 5 2 3 3" xfId="31161" xr:uid="{94C124B6-65F8-4730-B913-75F24C1CFF90}"/>
    <cellStyle name="20% - Accent1 2 3 5 2 4" xfId="40460" xr:uid="{1F319BF2-E7F3-4A6F-97C9-C5CF59026F05}"/>
    <cellStyle name="20% - Accent1 2 3 5 2 5" xfId="21862" xr:uid="{EA759D22-8C95-4477-9628-BBBD769E02B8}"/>
    <cellStyle name="20% - Accent1 2 3 5 3" xfId="6161" xr:uid="{00000000-0005-0000-0000-00003B000000}"/>
    <cellStyle name="20% - Accent1 2 3 5 3 2" xfId="15487" xr:uid="{D202C2EC-8A18-4524-8A18-347A0DA3D653}"/>
    <cellStyle name="20% - Accent1 2 3 5 3 2 2" xfId="51829" xr:uid="{1164E1F3-00F5-464E-B4A5-528577CF84E3}"/>
    <cellStyle name="20% - Accent1 2 3 5 3 2 3" xfId="33233" xr:uid="{BE296A72-A290-4A71-8474-7A4F304D5C19}"/>
    <cellStyle name="20% - Accent1 2 3 5 3 3" xfId="42532" xr:uid="{873C7FFD-2F1E-4F59-9AA2-4462C2B50D8A}"/>
    <cellStyle name="20% - Accent1 2 3 5 3 4" xfId="23934" xr:uid="{0D24EF6A-39B0-425D-AFBB-1DA0A7640CE9}"/>
    <cellStyle name="20% - Accent1 2 3 5 4" xfId="11270" xr:uid="{02F7C0F3-797D-4A7B-96E8-DA23768698FA}"/>
    <cellStyle name="20% - Accent1 2 3 5 4 2" xfId="47612" xr:uid="{31EF2774-77B4-45D8-9F02-BDFD7A879292}"/>
    <cellStyle name="20% - Accent1 2 3 5 4 3" xfId="29016" xr:uid="{8428C3F8-E98D-45DE-B896-FAF759445E2C}"/>
    <cellStyle name="20% - Accent1 2 3 5 5" xfId="38315" xr:uid="{A5D4B2C4-CEEF-4050-9E46-E6694FEE8CC5}"/>
    <cellStyle name="20% - Accent1 2 3 5 6" xfId="19717" xr:uid="{77307DA9-BC04-487B-91BB-7991D3AE1DCC}"/>
    <cellStyle name="20% - Accent1 2 3 6" xfId="2268" xr:uid="{00000000-0005-0000-0000-00003C000000}"/>
    <cellStyle name="20% - Accent1 2 3 6 2" xfId="6574" xr:uid="{00000000-0005-0000-0000-00003D000000}"/>
    <cellStyle name="20% - Accent1 2 3 6 2 2" xfId="15900" xr:uid="{6741231D-AF3E-4DA5-889E-379A2564CA44}"/>
    <cellStyle name="20% - Accent1 2 3 6 2 2 2" xfId="52242" xr:uid="{B5C63A77-695A-452B-AAFE-AC5BA7C000BB}"/>
    <cellStyle name="20% - Accent1 2 3 6 2 2 3" xfId="33646" xr:uid="{937D71C9-6CAF-486A-A2ED-348757E46C38}"/>
    <cellStyle name="20% - Accent1 2 3 6 2 3" xfId="42945" xr:uid="{6D71ECB4-3F12-4FFA-8EA8-A48BD4F8B23B}"/>
    <cellStyle name="20% - Accent1 2 3 6 2 4" xfId="24347" xr:uid="{0DBF68B1-68AC-450B-92D9-87BDB8CCE156}"/>
    <cellStyle name="20% - Accent1 2 3 6 3" xfId="11683" xr:uid="{D92633B1-A3E8-4677-844F-13CBAEE92369}"/>
    <cellStyle name="20% - Accent1 2 3 6 3 2" xfId="48025" xr:uid="{6F2631BD-4E9A-448F-A61E-36CE7BA13B1B}"/>
    <cellStyle name="20% - Accent1 2 3 6 3 3" xfId="29429" xr:uid="{6043F12F-AEC3-42EE-BA63-E442266BD868}"/>
    <cellStyle name="20% - Accent1 2 3 6 4" xfId="38728" xr:uid="{0D31694F-EB22-4A74-AD4E-56B1A4721219}"/>
    <cellStyle name="20% - Accent1 2 3 6 5" xfId="20130" xr:uid="{BBCA95E5-1FA9-4F51-A55F-FBEAB62327E2}"/>
    <cellStyle name="20% - Accent1 2 3 7" xfId="4508" xr:uid="{00000000-0005-0000-0000-00003E000000}"/>
    <cellStyle name="20% - Accent1 2 3 7 2" xfId="13834" xr:uid="{0EDE5C73-EFF8-42E3-8393-B3B22B25667E}"/>
    <cellStyle name="20% - Accent1 2 3 7 2 2" xfId="50176" xr:uid="{F87941D3-EC5B-40D6-92A0-1D5DFBF7CC69}"/>
    <cellStyle name="20% - Accent1 2 3 7 2 3" xfId="31580" xr:uid="{8DE5CC93-9A82-4567-AA01-C3FF6F152D18}"/>
    <cellStyle name="20% - Accent1 2 3 7 3" xfId="40879" xr:uid="{419E0E4E-3F7A-458F-9CAD-D688619C408E}"/>
    <cellStyle name="20% - Accent1 2 3 7 4" xfId="22281" xr:uid="{57E818D1-2DED-4245-9B79-DD80E05B2DC6}"/>
    <cellStyle name="20% - Accent1 2 3 8" xfId="9004" xr:uid="{14A9C135-BB7B-44DD-97E1-B6B10773DEE2}"/>
    <cellStyle name="20% - Accent1 2 3 8 2" xfId="36074" xr:uid="{892B0EFC-FD1F-4349-8F8F-1E3CD906089F}"/>
    <cellStyle name="20% - Accent1 2 3 8 2 2" xfId="54669" xr:uid="{33EA1D45-573A-4217-B529-1525EFCB5987}"/>
    <cellStyle name="20% - Accent1 2 3 8 3" xfId="45372" xr:uid="{65C6935D-EC79-41D4-810E-C3C4780F2AD4}"/>
    <cellStyle name="20% - Accent1 2 3 8 4" xfId="26775" xr:uid="{A300483C-B6D8-401F-B9C4-ABCE8634F9E5}"/>
    <cellStyle name="20% - Accent1 2 3 9" xfId="9617" xr:uid="{3DCCE6F9-31D9-4A5C-BD6E-6CBF4372958E}"/>
    <cellStyle name="20% - Accent1 2 3 9 2" xfId="45959" xr:uid="{7C768E47-F064-45D7-B96A-DB3E8C66B67D}"/>
    <cellStyle name="20% - Accent1 2 3 9 3" xfId="27363" xr:uid="{B73BF9C0-3A40-439D-AF0B-DCB2EFE67C8E}"/>
    <cellStyle name="20% - Accent1 2 4" xfId="571" xr:uid="{00000000-0005-0000-0000-00003F000000}"/>
    <cellStyle name="20% - Accent1 2 4 2" xfId="2842" xr:uid="{00000000-0005-0000-0000-000040000000}"/>
    <cellStyle name="20% - Accent1 2 4 2 2" xfId="7064" xr:uid="{00000000-0005-0000-0000-000041000000}"/>
    <cellStyle name="20% - Accent1 2 4 2 2 2" xfId="16390" xr:uid="{59295195-610E-43A8-9824-596738E0A6B0}"/>
    <cellStyle name="20% - Accent1 2 4 2 2 2 2" xfId="52732" xr:uid="{D9B506E0-FE67-470C-8258-CE92E056E8A5}"/>
    <cellStyle name="20% - Accent1 2 4 2 2 2 3" xfId="34136" xr:uid="{072D1E6A-65B8-4720-95EC-0CB2B62B31EF}"/>
    <cellStyle name="20% - Accent1 2 4 2 2 3" xfId="43435" xr:uid="{3FD0FBEC-9EAD-474C-B0FC-C2867BB33F20}"/>
    <cellStyle name="20% - Accent1 2 4 2 2 4" xfId="24837" xr:uid="{E0D14520-6390-4300-95F6-A75DD5D61A51}"/>
    <cellStyle name="20% - Accent1 2 4 2 3" xfId="12173" xr:uid="{D93F50AF-8C4C-4BBC-89F3-2154E9A441FF}"/>
    <cellStyle name="20% - Accent1 2 4 2 3 2" xfId="48515" xr:uid="{798B5EA3-DA65-4D17-91F0-F3A1801858C6}"/>
    <cellStyle name="20% - Accent1 2 4 2 3 3" xfId="29919" xr:uid="{B5CD50EE-7626-425D-8734-0E684BCD3C0C}"/>
    <cellStyle name="20% - Accent1 2 4 2 4" xfId="39218" xr:uid="{1DADBD1A-2FA0-42A4-89C1-5B6318E042C2}"/>
    <cellStyle name="20% - Accent1 2 4 2 5" xfId="20620" xr:uid="{1243EF8E-34E6-4DD5-B323-2EEF6580AB35}"/>
    <cellStyle name="20% - Accent1 2 4 3" xfId="4919" xr:uid="{00000000-0005-0000-0000-000042000000}"/>
    <cellStyle name="20% - Accent1 2 4 3 2" xfId="14245" xr:uid="{136D98C1-F4E0-487D-A260-76BEAD3D031B}"/>
    <cellStyle name="20% - Accent1 2 4 3 2 2" xfId="50587" xr:uid="{B103232D-62D9-46AC-B981-4F8B6E1BBE97}"/>
    <cellStyle name="20% - Accent1 2 4 3 2 3" xfId="31991" xr:uid="{0B7B2F91-62CC-4C5D-A8B8-CC4655B810DB}"/>
    <cellStyle name="20% - Accent1 2 4 3 3" xfId="41290" xr:uid="{496AE6B5-F701-4E21-8D35-CE4CEE2C6BC6}"/>
    <cellStyle name="20% - Accent1 2 4 3 4" xfId="22692" xr:uid="{E7B19260-5700-4245-9CF6-E4E5DC78CF7B}"/>
    <cellStyle name="20% - Accent1 2 4 4" xfId="9221" xr:uid="{11532E3F-E59C-4FF7-9F45-291A17A69435}"/>
    <cellStyle name="20% - Accent1 2 4 4 2" xfId="36283" xr:uid="{2E2A33F5-5CEC-417E-9895-1C616202463B}"/>
    <cellStyle name="20% - Accent1 2 4 4 2 2" xfId="54877" xr:uid="{F7F05D23-411D-4E6D-A788-1E7EA6E70E8D}"/>
    <cellStyle name="20% - Accent1 2 4 4 3" xfId="45580" xr:uid="{6C6544CB-8B9F-4C54-8C00-F1F38CFA573F}"/>
    <cellStyle name="20% - Accent1 2 4 4 4" xfId="26984" xr:uid="{5D33221A-9AF7-4886-9F19-D08A4DBE87B8}"/>
    <cellStyle name="20% - Accent1 2 4 5" xfId="10028" xr:uid="{137C3BCD-1E37-47E3-8A11-0D4104EE7155}"/>
    <cellStyle name="20% - Accent1 2 4 5 2" xfId="46370" xr:uid="{FAB7AE3D-3EA9-4435-A1C2-CE5BD8B0E888}"/>
    <cellStyle name="20% - Accent1 2 4 5 3" xfId="27774" xr:uid="{A22C7CB3-76A7-4871-A24F-7CF53630880E}"/>
    <cellStyle name="20% - Accent1 2 4 6" xfId="37073" xr:uid="{4EDAC508-F04A-4931-BE47-FAA1C173FDCD}"/>
    <cellStyle name="20% - Accent1 2 4 7" xfId="18475" xr:uid="{70BC6366-9928-4A00-A742-63A5AAAC97EA}"/>
    <cellStyle name="20% - Accent1 2 5" xfId="1024" xr:uid="{00000000-0005-0000-0000-000043000000}"/>
    <cellStyle name="20% - Accent1 2 5 2" xfId="3255" xr:uid="{00000000-0005-0000-0000-000044000000}"/>
    <cellStyle name="20% - Accent1 2 5 2 2" xfId="7477" xr:uid="{00000000-0005-0000-0000-000045000000}"/>
    <cellStyle name="20% - Accent1 2 5 2 2 2" xfId="16803" xr:uid="{FFAAF53D-B8A9-4497-BCBF-6B350B607317}"/>
    <cellStyle name="20% - Accent1 2 5 2 2 2 2" xfId="53145" xr:uid="{6F6B49ED-B03F-40A2-97F3-9B88A4C4629D}"/>
    <cellStyle name="20% - Accent1 2 5 2 2 2 3" xfId="34549" xr:uid="{29ACFF5A-6368-45B3-BB4B-2AEFA876CE56}"/>
    <cellStyle name="20% - Accent1 2 5 2 2 3" xfId="43848" xr:uid="{881F68D3-BBF4-4E68-A0AB-92F849C1DA9E}"/>
    <cellStyle name="20% - Accent1 2 5 2 2 4" xfId="25250" xr:uid="{B0915651-37A2-440B-8AB4-BD39A0F268C1}"/>
    <cellStyle name="20% - Accent1 2 5 2 3" xfId="12586" xr:uid="{28B14D67-2115-439C-AEFB-A8F116E2893E}"/>
    <cellStyle name="20% - Accent1 2 5 2 3 2" xfId="48928" xr:uid="{DE673C9E-1125-4C2C-A99E-2D3D94D2CE4E}"/>
    <cellStyle name="20% - Accent1 2 5 2 3 3" xfId="30332" xr:uid="{2C181B56-E02E-41B6-92A3-4710A4337D6D}"/>
    <cellStyle name="20% - Accent1 2 5 2 4" xfId="39631" xr:uid="{FDFBC007-22DB-40E3-B3D0-5A374440B5EF}"/>
    <cellStyle name="20% - Accent1 2 5 2 5" xfId="21033" xr:uid="{D11A861A-F389-4B5D-AAC4-23B640CAC804}"/>
    <cellStyle name="20% - Accent1 2 5 3" xfId="5332" xr:uid="{00000000-0005-0000-0000-000046000000}"/>
    <cellStyle name="20% - Accent1 2 5 3 2" xfId="14658" xr:uid="{E9C96764-42CF-48E4-9CB0-759DD276A4B5}"/>
    <cellStyle name="20% - Accent1 2 5 3 2 2" xfId="51000" xr:uid="{B5001C51-7781-4AA1-AB96-CA2869EC8D6E}"/>
    <cellStyle name="20% - Accent1 2 5 3 2 3" xfId="32404" xr:uid="{7D802475-AC43-461C-A097-F00D5D207534}"/>
    <cellStyle name="20% - Accent1 2 5 3 3" xfId="41703" xr:uid="{57B0B959-11E1-4889-B3A8-31D12AAA8B08}"/>
    <cellStyle name="20% - Accent1 2 5 3 4" xfId="23105" xr:uid="{289DDE11-3F5E-4C91-AB1B-4A4C9150F5F4}"/>
    <cellStyle name="20% - Accent1 2 5 4" xfId="10441" xr:uid="{FA87B733-62E5-409D-AAC8-CCEB3D10370C}"/>
    <cellStyle name="20% - Accent1 2 5 4 2" xfId="46783" xr:uid="{365EEFDF-510F-4B55-8988-E0724AF36F39}"/>
    <cellStyle name="20% - Accent1 2 5 4 3" xfId="28187" xr:uid="{73A5E04A-E73C-4FFF-8399-43DB25C4F4B3}"/>
    <cellStyle name="20% - Accent1 2 5 5" xfId="37486" xr:uid="{9AFD0211-4ABD-4470-8E1A-905B578CBFA0}"/>
    <cellStyle name="20% - Accent1 2 5 6" xfId="18888" xr:uid="{57633DA4-E8A4-4E5C-A775-B650827F0A0E}"/>
    <cellStyle name="20% - Accent1 2 6" xfId="1438" xr:uid="{00000000-0005-0000-0000-000047000000}"/>
    <cellStyle name="20% - Accent1 2 6 2" xfId="3668" xr:uid="{00000000-0005-0000-0000-000048000000}"/>
    <cellStyle name="20% - Accent1 2 6 2 2" xfId="7890" xr:uid="{00000000-0005-0000-0000-000049000000}"/>
    <cellStyle name="20% - Accent1 2 6 2 2 2" xfId="17216" xr:uid="{117D4383-D880-4127-8897-36B140B373FD}"/>
    <cellStyle name="20% - Accent1 2 6 2 2 2 2" xfId="53558" xr:uid="{F38ADB26-EBD9-411F-9190-8FDC30DB4693}"/>
    <cellStyle name="20% - Accent1 2 6 2 2 2 3" xfId="34962" xr:uid="{81891E32-501D-420D-A9D4-D0FC2EE8D42A}"/>
    <cellStyle name="20% - Accent1 2 6 2 2 3" xfId="44261" xr:uid="{F64DAB37-CC43-4E35-80CE-4E0EFD6D7153}"/>
    <cellStyle name="20% - Accent1 2 6 2 2 4" xfId="25663" xr:uid="{F09A5BDB-EFDB-4147-9C00-3BBFC6F3FE05}"/>
    <cellStyle name="20% - Accent1 2 6 2 3" xfId="12999" xr:uid="{8F3C2FFA-FD5F-4E4A-8267-8B85F55C8415}"/>
    <cellStyle name="20% - Accent1 2 6 2 3 2" xfId="49341" xr:uid="{7F382411-90F1-47F0-AB9C-352CD8EC05E5}"/>
    <cellStyle name="20% - Accent1 2 6 2 3 3" xfId="30745" xr:uid="{E7C4208A-FD43-40E4-B446-DF2E59EE64E2}"/>
    <cellStyle name="20% - Accent1 2 6 2 4" xfId="40044" xr:uid="{F5852BBA-CD8D-4CC6-BD56-357629BBEA92}"/>
    <cellStyle name="20% - Accent1 2 6 2 5" xfId="21446" xr:uid="{B0D1E09D-D053-4A98-A3EF-EC7A7FD2EABD}"/>
    <cellStyle name="20% - Accent1 2 6 3" xfId="5745" xr:uid="{00000000-0005-0000-0000-00004A000000}"/>
    <cellStyle name="20% - Accent1 2 6 3 2" xfId="15071" xr:uid="{E6DA5B17-6EAF-4931-AAF8-EEB6120258A7}"/>
    <cellStyle name="20% - Accent1 2 6 3 2 2" xfId="51413" xr:uid="{A7F3337C-3AFD-411D-8327-5A00D5459CBE}"/>
    <cellStyle name="20% - Accent1 2 6 3 2 3" xfId="32817" xr:uid="{91A72D97-9C59-48B9-B938-0122332867C3}"/>
    <cellStyle name="20% - Accent1 2 6 3 3" xfId="42116" xr:uid="{A694FC4C-044A-4BB7-B16A-CD603E61E77A}"/>
    <cellStyle name="20% - Accent1 2 6 3 4" xfId="23518" xr:uid="{E044E44F-511A-4066-BB67-30BB48D0D1F6}"/>
    <cellStyle name="20% - Accent1 2 6 4" xfId="10854" xr:uid="{7AB03B05-2B00-43EE-8959-52EC21BC190F}"/>
    <cellStyle name="20% - Accent1 2 6 4 2" xfId="47196" xr:uid="{219F8F54-AA92-4D09-A1CC-7A174211B3D7}"/>
    <cellStyle name="20% - Accent1 2 6 4 3" xfId="28600" xr:uid="{19FD18BA-791B-43AB-A5FE-E343A6520080}"/>
    <cellStyle name="20% - Accent1 2 6 5" xfId="37899" xr:uid="{32A9362F-B492-41CF-A00E-8121A5922581}"/>
    <cellStyle name="20% - Accent1 2 6 6" xfId="19301" xr:uid="{CB396112-10D7-48B0-B276-1619F11785C0}"/>
    <cellStyle name="20% - Accent1 2 7" xfId="1852" xr:uid="{00000000-0005-0000-0000-00004B000000}"/>
    <cellStyle name="20% - Accent1 2 7 2" xfId="4081" xr:uid="{00000000-0005-0000-0000-00004C000000}"/>
    <cellStyle name="20% - Accent1 2 7 2 2" xfId="8303" xr:uid="{00000000-0005-0000-0000-00004D000000}"/>
    <cellStyle name="20% - Accent1 2 7 2 2 2" xfId="17629" xr:uid="{5D56FAE6-EFBA-4048-9B7F-F7769E9ADC94}"/>
    <cellStyle name="20% - Accent1 2 7 2 2 2 2" xfId="53971" xr:uid="{72772EBA-33FA-4AC4-BF7A-06BC579DD73D}"/>
    <cellStyle name="20% - Accent1 2 7 2 2 2 3" xfId="35375" xr:uid="{1BB8108B-5751-4E09-BFE4-D1132D1CDE84}"/>
    <cellStyle name="20% - Accent1 2 7 2 2 3" xfId="44674" xr:uid="{35D6EA12-0FED-4CC0-9CDC-685C21A3CB07}"/>
    <cellStyle name="20% - Accent1 2 7 2 2 4" xfId="26076" xr:uid="{3D20471F-0F44-4B23-92DE-2408DED4A7BA}"/>
    <cellStyle name="20% - Accent1 2 7 2 3" xfId="13412" xr:uid="{CB56BF37-34F7-4938-9E6E-72C853B55263}"/>
    <cellStyle name="20% - Accent1 2 7 2 3 2" xfId="49754" xr:uid="{39863D89-3CCE-4065-9ED7-B7C36AFA5C34}"/>
    <cellStyle name="20% - Accent1 2 7 2 3 3" xfId="31158" xr:uid="{7FD76148-4A78-4588-AE09-C7A39D6FDC7E}"/>
    <cellStyle name="20% - Accent1 2 7 2 4" xfId="40457" xr:uid="{09B4D6E9-CE65-45B1-820B-C20AF66404F6}"/>
    <cellStyle name="20% - Accent1 2 7 2 5" xfId="21859" xr:uid="{22AF10F0-3E63-451D-B8F8-93A8A8EEB661}"/>
    <cellStyle name="20% - Accent1 2 7 3" xfId="6158" xr:uid="{00000000-0005-0000-0000-00004E000000}"/>
    <cellStyle name="20% - Accent1 2 7 3 2" xfId="15484" xr:uid="{D40C7B15-A735-4EDE-8532-17C5ACB38154}"/>
    <cellStyle name="20% - Accent1 2 7 3 2 2" xfId="51826" xr:uid="{31EDA89A-8BDB-4CC2-95DA-301E65BE9A05}"/>
    <cellStyle name="20% - Accent1 2 7 3 2 3" xfId="33230" xr:uid="{508B94CA-811A-4368-B4CF-FD98C3BDD501}"/>
    <cellStyle name="20% - Accent1 2 7 3 3" xfId="42529" xr:uid="{EED1620C-A859-40C1-873F-13220E35E36D}"/>
    <cellStyle name="20% - Accent1 2 7 3 4" xfId="23931" xr:uid="{A354ACC5-BBCA-4D28-91E0-EDCBA1AF120E}"/>
    <cellStyle name="20% - Accent1 2 7 4" xfId="11267" xr:uid="{DCE67EC7-A592-4143-B456-021DE3B5D4E9}"/>
    <cellStyle name="20% - Accent1 2 7 4 2" xfId="47609" xr:uid="{587FD2B8-8D15-4F86-8CD8-8F60F3B19165}"/>
    <cellStyle name="20% - Accent1 2 7 4 3" xfId="29013" xr:uid="{1BAD7C1E-F76A-49F8-9EEA-AFE367B41F7D}"/>
    <cellStyle name="20% - Accent1 2 7 5" xfId="38312" xr:uid="{0DC7A0E4-F26B-458B-BD11-148F4A5A348F}"/>
    <cellStyle name="20% - Accent1 2 7 6" xfId="19714" xr:uid="{DB5FAE26-D7A5-44A0-9D7E-935F706AFC68}"/>
    <cellStyle name="20% - Accent1 2 8" xfId="2265" xr:uid="{00000000-0005-0000-0000-00004F000000}"/>
    <cellStyle name="20% - Accent1 2 8 2" xfId="6571" xr:uid="{00000000-0005-0000-0000-000050000000}"/>
    <cellStyle name="20% - Accent1 2 8 2 2" xfId="15897" xr:uid="{AA6AB96C-14D6-4E47-9089-83E025412DE3}"/>
    <cellStyle name="20% - Accent1 2 8 2 2 2" xfId="52239" xr:uid="{75EE4F2D-36F9-4C01-BB12-9C3AA19A3E8D}"/>
    <cellStyle name="20% - Accent1 2 8 2 2 3" xfId="33643" xr:uid="{4A37B9CC-7F2C-4A1F-90F0-E25A9FF992AF}"/>
    <cellStyle name="20% - Accent1 2 8 2 3" xfId="42942" xr:uid="{B98BC394-3FA2-49DE-BBD7-6386A18F4A13}"/>
    <cellStyle name="20% - Accent1 2 8 2 4" xfId="24344" xr:uid="{F46B5218-4002-4C44-A0DC-CE50C5A39727}"/>
    <cellStyle name="20% - Accent1 2 8 3" xfId="11680" xr:uid="{74192701-AB91-4E2E-9032-BF0B5434724F}"/>
    <cellStyle name="20% - Accent1 2 8 3 2" xfId="48022" xr:uid="{2A0FE708-3472-4B35-9052-97682629FE91}"/>
    <cellStyle name="20% - Accent1 2 8 3 3" xfId="29426" xr:uid="{A70B902D-A8B6-497B-A270-FA9CB48D6555}"/>
    <cellStyle name="20% - Accent1 2 8 4" xfId="38725" xr:uid="{E5D6352E-21AB-4B10-B5B8-69DB801F2F07}"/>
    <cellStyle name="20% - Accent1 2 8 5" xfId="20127" xr:uid="{CD7ADBEE-A6E3-426B-ACA4-9FAAC6BC7BA1}"/>
    <cellStyle name="20% - Accent1 2 9" xfId="4505" xr:uid="{00000000-0005-0000-0000-000051000000}"/>
    <cellStyle name="20% - Accent1 2 9 2" xfId="13831" xr:uid="{36A3796A-1629-4F74-9A32-E099F41D2E7D}"/>
    <cellStyle name="20% - Accent1 2 9 2 2" xfId="50173" xr:uid="{F25965EA-6A01-44F1-99AD-005D00A14E87}"/>
    <cellStyle name="20% - Accent1 2 9 2 3" xfId="31577" xr:uid="{C06EAF39-D9F3-4B90-8EE2-05E38A1A8678}"/>
    <cellStyle name="20% - Accent1 2 9 3" xfId="40876" xr:uid="{5A098798-EC81-4A7F-A647-7B5CEAC267F5}"/>
    <cellStyle name="20% - Accent1 2 9 4" xfId="22278" xr:uid="{B11FDF4B-09A3-4A8F-9933-210D8B9CA411}"/>
    <cellStyle name="20% - Accent1 3" xfId="6" xr:uid="{00000000-0005-0000-0000-000052000000}"/>
    <cellStyle name="20% - Accent1 3 10" xfId="9618" xr:uid="{569D80E2-6FF0-48A9-BB4B-7C0B1C7F3497}"/>
    <cellStyle name="20% - Accent1 3 10 2" xfId="45960" xr:uid="{5E877CBD-6DD2-416F-9487-BBD94EA96BE3}"/>
    <cellStyle name="20% - Accent1 3 10 3" xfId="27364" xr:uid="{4B0A2D75-6A85-4D59-A081-A43FFF5A8BD1}"/>
    <cellStyle name="20% - Accent1 3 11" xfId="36663" xr:uid="{E9FECCDF-1E85-49D1-9DF2-9146772FC920}"/>
    <cellStyle name="20% - Accent1 3 12" xfId="18065" xr:uid="{EC390858-A297-427E-BD45-2D661CCFAA79}"/>
    <cellStyle name="20% - Accent1 3 2" xfId="7" xr:uid="{00000000-0005-0000-0000-000053000000}"/>
    <cellStyle name="20% - Accent1 3 2 10" xfId="36664" xr:uid="{DA5EFA72-7B7A-4B2F-8A7E-1150D9FF19D9}"/>
    <cellStyle name="20% - Accent1 3 2 11" xfId="18066" xr:uid="{5B682AD7-FBE5-4BE8-9BD3-8244F9BE3474}"/>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16395" xr:uid="{8148706C-06C1-4F76-98BA-79EC56FFAAB2}"/>
    <cellStyle name="20% - Accent1 3 2 2 2 2 2 2" xfId="52737" xr:uid="{A5F25A54-3B37-4711-83A8-985B20C288E2}"/>
    <cellStyle name="20% - Accent1 3 2 2 2 2 2 3" xfId="34141" xr:uid="{E525A7D2-1F77-4575-85DF-0FC0CA9A40B3}"/>
    <cellStyle name="20% - Accent1 3 2 2 2 2 3" xfId="43440" xr:uid="{9CBE5300-8E19-4E35-8A14-EBBDFBAA598C}"/>
    <cellStyle name="20% - Accent1 3 2 2 2 2 4" xfId="24842" xr:uid="{6C35BC2A-7D54-4FD5-B116-4B744FD9A1C3}"/>
    <cellStyle name="20% - Accent1 3 2 2 2 3" xfId="12178" xr:uid="{CE6ADC80-EE06-488B-A0FF-BC2DE1C80DD7}"/>
    <cellStyle name="20% - Accent1 3 2 2 2 3 2" xfId="48520" xr:uid="{5A49215C-1D7A-4662-88F3-962B7A068DB9}"/>
    <cellStyle name="20% - Accent1 3 2 2 2 3 3" xfId="29924" xr:uid="{6A25D2E3-9CC0-44DD-8918-568A1BD134B0}"/>
    <cellStyle name="20% - Accent1 3 2 2 2 4" xfId="39223" xr:uid="{00FA2FDD-78D7-4E9F-AD87-11B2FF1407A3}"/>
    <cellStyle name="20% - Accent1 3 2 2 2 5" xfId="20625" xr:uid="{C2F2041F-969C-42E8-A513-4EA8844E2B57}"/>
    <cellStyle name="20% - Accent1 3 2 2 3" xfId="4924" xr:uid="{00000000-0005-0000-0000-000057000000}"/>
    <cellStyle name="20% - Accent1 3 2 2 3 2" xfId="14250" xr:uid="{BE0F4256-3A09-45D8-816B-F2F346FE74BC}"/>
    <cellStyle name="20% - Accent1 3 2 2 3 2 2" xfId="50592" xr:uid="{AEEC182D-A98C-4489-8F51-27C3FF51982C}"/>
    <cellStyle name="20% - Accent1 3 2 2 3 2 3" xfId="31996" xr:uid="{5A0BAFE3-FF3D-4413-BC9F-687334A73809}"/>
    <cellStyle name="20% - Accent1 3 2 2 3 3" xfId="41295" xr:uid="{2EDB187E-B633-4948-B19A-89C08EE668E6}"/>
    <cellStyle name="20% - Accent1 3 2 2 3 4" xfId="22697" xr:uid="{446CABED-B525-4B51-B3CE-9B5E5537989C}"/>
    <cellStyle name="20% - Accent1 3 2 2 4" xfId="9493" xr:uid="{FCEFE71D-2A04-4899-B62A-B225DBF7F0BF}"/>
    <cellStyle name="20% - Accent1 3 2 2 4 2" xfId="36554" xr:uid="{DEDB7F10-2266-4DE5-AC24-64C4A0506B1A}"/>
    <cellStyle name="20% - Accent1 3 2 2 4 2 2" xfId="55148" xr:uid="{4627CBB7-A300-4613-9E71-594D46EF45D3}"/>
    <cellStyle name="20% - Accent1 3 2 2 4 3" xfId="45851" xr:uid="{68E97322-BB93-4DE0-B25B-484AE77F1E00}"/>
    <cellStyle name="20% - Accent1 3 2 2 4 4" xfId="27255" xr:uid="{8FA38FBF-935B-430A-8554-47C98A270642}"/>
    <cellStyle name="20% - Accent1 3 2 2 5" xfId="10033" xr:uid="{321F5A21-854C-4AD9-8DEF-10B62741D824}"/>
    <cellStyle name="20% - Accent1 3 2 2 5 2" xfId="46375" xr:uid="{CB7C0996-D4C4-4F72-A23A-74B03D371358}"/>
    <cellStyle name="20% - Accent1 3 2 2 5 3" xfId="27779" xr:uid="{2E60E10D-F60B-4F33-A061-656817202423}"/>
    <cellStyle name="20% - Accent1 3 2 2 6" xfId="37078" xr:uid="{696469F1-B637-4781-AA21-7FA424F81F0D}"/>
    <cellStyle name="20% - Accent1 3 2 2 7" xfId="18480" xr:uid="{EAE80D22-3326-4D37-9883-56A5CBFC1319}"/>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16808" xr:uid="{504F10E8-B42A-4952-886C-832FEA80C280}"/>
    <cellStyle name="20% - Accent1 3 2 3 2 2 2 2" xfId="53150" xr:uid="{5758F623-2328-4491-809D-D9D7B001E829}"/>
    <cellStyle name="20% - Accent1 3 2 3 2 2 2 3" xfId="34554" xr:uid="{5CFC9AAB-EAC6-4341-B62C-12E0CFB852BA}"/>
    <cellStyle name="20% - Accent1 3 2 3 2 2 3" xfId="43853" xr:uid="{2AB9CC1D-5677-4510-ABB9-053D05DB4698}"/>
    <cellStyle name="20% - Accent1 3 2 3 2 2 4" xfId="25255" xr:uid="{7682E71D-65B8-4ADF-BA8F-21B543429530}"/>
    <cellStyle name="20% - Accent1 3 2 3 2 3" xfId="12591" xr:uid="{12034EA5-12BE-46E1-8D8C-920FEC0A465F}"/>
    <cellStyle name="20% - Accent1 3 2 3 2 3 2" xfId="48933" xr:uid="{3EB8DF6E-BF22-428F-A6BF-A1C917581964}"/>
    <cellStyle name="20% - Accent1 3 2 3 2 3 3" xfId="30337" xr:uid="{1A3DC78C-3307-44F5-BD0F-ECE96AF37F53}"/>
    <cellStyle name="20% - Accent1 3 2 3 2 4" xfId="39636" xr:uid="{8380DF9D-BE51-4167-8CA4-51772E541A92}"/>
    <cellStyle name="20% - Accent1 3 2 3 2 5" xfId="21038" xr:uid="{F4784CB0-878A-42E4-B7C5-39EAE45D02DC}"/>
    <cellStyle name="20% - Accent1 3 2 3 3" xfId="5337" xr:uid="{00000000-0005-0000-0000-00005B000000}"/>
    <cellStyle name="20% - Accent1 3 2 3 3 2" xfId="14663" xr:uid="{09494167-4158-4933-83C5-9D92A4677B3F}"/>
    <cellStyle name="20% - Accent1 3 2 3 3 2 2" xfId="51005" xr:uid="{42EFAF29-C1F3-4239-B8F5-38E1B8FECC3D}"/>
    <cellStyle name="20% - Accent1 3 2 3 3 2 3" xfId="32409" xr:uid="{464F1AC4-3FB4-49AC-9641-8C1A0F8B7605}"/>
    <cellStyle name="20% - Accent1 3 2 3 3 3" xfId="41708" xr:uid="{40C2C611-3C2B-4BB9-861D-8D6850879A90}"/>
    <cellStyle name="20% - Accent1 3 2 3 3 4" xfId="23110" xr:uid="{FAD7F229-57D6-44A7-A845-8784C0344874}"/>
    <cellStyle name="20% - Accent1 3 2 3 4" xfId="10446" xr:uid="{7F01C77E-1520-430F-9F85-679CBBB33AFF}"/>
    <cellStyle name="20% - Accent1 3 2 3 4 2" xfId="46788" xr:uid="{3D75AC20-061E-4983-9801-41403D6E8485}"/>
    <cellStyle name="20% - Accent1 3 2 3 4 3" xfId="28192" xr:uid="{E2CB004B-381A-446D-A123-AAE47115F42B}"/>
    <cellStyle name="20% - Accent1 3 2 3 5" xfId="37491" xr:uid="{CAFB437E-BED6-4B42-B3E5-B1DF1EDA27DD}"/>
    <cellStyle name="20% - Accent1 3 2 3 6" xfId="18893" xr:uid="{3C4DCA21-5791-4037-A7A6-162333031B05}"/>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17221" xr:uid="{182E19F3-9B56-4DE8-A06F-B27086BAF8F2}"/>
    <cellStyle name="20% - Accent1 3 2 4 2 2 2 2" xfId="53563" xr:uid="{54F00748-6AD0-4795-9744-91FE5879AEEA}"/>
    <cellStyle name="20% - Accent1 3 2 4 2 2 2 3" xfId="34967" xr:uid="{4FDC2E45-F7EE-41C7-863A-EE2488A1FC64}"/>
    <cellStyle name="20% - Accent1 3 2 4 2 2 3" xfId="44266" xr:uid="{807E31A1-4CDA-4550-A403-9019B07C0438}"/>
    <cellStyle name="20% - Accent1 3 2 4 2 2 4" xfId="25668" xr:uid="{474EBC90-7441-49AB-8F06-202577E37C45}"/>
    <cellStyle name="20% - Accent1 3 2 4 2 3" xfId="13004" xr:uid="{4ED0C6C0-31F0-4688-9451-C263318BD5BB}"/>
    <cellStyle name="20% - Accent1 3 2 4 2 3 2" xfId="49346" xr:uid="{FEC256DE-327A-4F57-B1D3-9CF745503C97}"/>
    <cellStyle name="20% - Accent1 3 2 4 2 3 3" xfId="30750" xr:uid="{C09824AB-BCF1-4B0F-8581-684CA28E253A}"/>
    <cellStyle name="20% - Accent1 3 2 4 2 4" xfId="40049" xr:uid="{05F30A75-2E1C-4B5E-8B0C-06543335F503}"/>
    <cellStyle name="20% - Accent1 3 2 4 2 5" xfId="21451" xr:uid="{F2FB481B-C9CE-41B8-A50C-4161EFA271AC}"/>
    <cellStyle name="20% - Accent1 3 2 4 3" xfId="5750" xr:uid="{00000000-0005-0000-0000-00005F000000}"/>
    <cellStyle name="20% - Accent1 3 2 4 3 2" xfId="15076" xr:uid="{F6C07F93-3505-4257-8225-ABB7505829AE}"/>
    <cellStyle name="20% - Accent1 3 2 4 3 2 2" xfId="51418" xr:uid="{0F10BAAD-416D-4277-83D3-5D845C382C6F}"/>
    <cellStyle name="20% - Accent1 3 2 4 3 2 3" xfId="32822" xr:uid="{4EC64936-454E-40A4-A7B0-415484F82DE4}"/>
    <cellStyle name="20% - Accent1 3 2 4 3 3" xfId="42121" xr:uid="{C3BA6828-D249-4E75-BD16-ED93638F3001}"/>
    <cellStyle name="20% - Accent1 3 2 4 3 4" xfId="23523" xr:uid="{352B1787-E2DE-48C3-9F53-B0DA71E689A5}"/>
    <cellStyle name="20% - Accent1 3 2 4 4" xfId="10859" xr:uid="{6556423F-FBA4-477D-9C5B-43251080EE25}"/>
    <cellStyle name="20% - Accent1 3 2 4 4 2" xfId="47201" xr:uid="{3AC64B99-7305-4F64-B345-38BF0F65F201}"/>
    <cellStyle name="20% - Accent1 3 2 4 4 3" xfId="28605" xr:uid="{BB29551E-E2AE-4B10-9E08-2F08FE257B36}"/>
    <cellStyle name="20% - Accent1 3 2 4 5" xfId="37904" xr:uid="{711082EA-843B-4C67-8F70-211C1F5C042D}"/>
    <cellStyle name="20% - Accent1 3 2 4 6" xfId="19306" xr:uid="{934A7514-7110-4772-9367-7499F3F20E4F}"/>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17634" xr:uid="{21DAC973-FDFC-42E7-9190-70E4B42F00DB}"/>
    <cellStyle name="20% - Accent1 3 2 5 2 2 2 2" xfId="53976" xr:uid="{8986C7F2-C752-4569-907F-7771D3F5D161}"/>
    <cellStyle name="20% - Accent1 3 2 5 2 2 2 3" xfId="35380" xr:uid="{A29F620B-02B2-4206-B557-DBEA365A0FCE}"/>
    <cellStyle name="20% - Accent1 3 2 5 2 2 3" xfId="44679" xr:uid="{B333D457-F976-42A0-9A76-F758B7464653}"/>
    <cellStyle name="20% - Accent1 3 2 5 2 2 4" xfId="26081" xr:uid="{7A09C26E-68AC-41BA-84F3-E16008566350}"/>
    <cellStyle name="20% - Accent1 3 2 5 2 3" xfId="13417" xr:uid="{50DF1218-FD7D-4BD4-8402-EB0B8890DFCE}"/>
    <cellStyle name="20% - Accent1 3 2 5 2 3 2" xfId="49759" xr:uid="{FF7B1F48-7DC5-4F17-9001-0C0FC4D24871}"/>
    <cellStyle name="20% - Accent1 3 2 5 2 3 3" xfId="31163" xr:uid="{B4A1BD65-5CF2-4836-9747-EDB4D689D46E}"/>
    <cellStyle name="20% - Accent1 3 2 5 2 4" xfId="40462" xr:uid="{A2B69496-F946-4841-82CB-BF882CEF54B0}"/>
    <cellStyle name="20% - Accent1 3 2 5 2 5" xfId="21864" xr:uid="{54FAE351-8B19-410D-8F69-3EE7C7F97370}"/>
    <cellStyle name="20% - Accent1 3 2 5 3" xfId="6163" xr:uid="{00000000-0005-0000-0000-000063000000}"/>
    <cellStyle name="20% - Accent1 3 2 5 3 2" xfId="15489" xr:uid="{11F16F63-8EB8-4FC3-B60F-6767BE08BF9B}"/>
    <cellStyle name="20% - Accent1 3 2 5 3 2 2" xfId="51831" xr:uid="{3637431D-1D63-43B8-888E-0D8759EB653A}"/>
    <cellStyle name="20% - Accent1 3 2 5 3 2 3" xfId="33235" xr:uid="{51B3C45E-8B43-4B2C-B68C-D16D092E6A41}"/>
    <cellStyle name="20% - Accent1 3 2 5 3 3" xfId="42534" xr:uid="{CA5F56E2-64E4-43A7-ADCA-4132674B0AED}"/>
    <cellStyle name="20% - Accent1 3 2 5 3 4" xfId="23936" xr:uid="{E94A59B9-39B2-4823-82EA-3A8A89560C32}"/>
    <cellStyle name="20% - Accent1 3 2 5 4" xfId="11272" xr:uid="{F82132B8-15CD-43F9-BC18-FC42466FC600}"/>
    <cellStyle name="20% - Accent1 3 2 5 4 2" xfId="47614" xr:uid="{049D9FC4-AACF-420A-8C99-6AA13C662CFC}"/>
    <cellStyle name="20% - Accent1 3 2 5 4 3" xfId="29018" xr:uid="{90EFF6B2-A02E-44E7-AB6D-A772AEA6781B}"/>
    <cellStyle name="20% - Accent1 3 2 5 5" xfId="38317" xr:uid="{9860423D-733C-4948-8C08-19E4669C4130}"/>
    <cellStyle name="20% - Accent1 3 2 5 6" xfId="19719" xr:uid="{E3460AE0-8942-4364-AD9E-097A4DF06F15}"/>
    <cellStyle name="20% - Accent1 3 2 6" xfId="2270" xr:uid="{00000000-0005-0000-0000-000064000000}"/>
    <cellStyle name="20% - Accent1 3 2 6 2" xfId="6576" xr:uid="{00000000-0005-0000-0000-000065000000}"/>
    <cellStyle name="20% - Accent1 3 2 6 2 2" xfId="15902" xr:uid="{36033E90-1D55-4A24-9FEA-FE6642EAE3BA}"/>
    <cellStyle name="20% - Accent1 3 2 6 2 2 2" xfId="52244" xr:uid="{1229D542-696E-424E-91CF-C0A2DEE53E09}"/>
    <cellStyle name="20% - Accent1 3 2 6 2 2 3" xfId="33648" xr:uid="{68E2CE42-EAEA-49FE-AEF6-DAB7B1AC1AEE}"/>
    <cellStyle name="20% - Accent1 3 2 6 2 3" xfId="42947" xr:uid="{BFBE4FC2-8012-4A54-BABB-F4DC9768F759}"/>
    <cellStyle name="20% - Accent1 3 2 6 2 4" xfId="24349" xr:uid="{C9DEB7CC-9A0E-4164-B030-A421DFDAC86D}"/>
    <cellStyle name="20% - Accent1 3 2 6 3" xfId="11685" xr:uid="{C32FE32D-86F4-40C2-81F0-66FF1D1744FC}"/>
    <cellStyle name="20% - Accent1 3 2 6 3 2" xfId="48027" xr:uid="{919D877E-5DD9-43D8-8BDC-AD51D2904B5B}"/>
    <cellStyle name="20% - Accent1 3 2 6 3 3" xfId="29431" xr:uid="{33338D06-C1CD-4EC5-8ADC-0BE142015E89}"/>
    <cellStyle name="20% - Accent1 3 2 6 4" xfId="38730" xr:uid="{2E0A33BF-CC32-41F4-A16C-602D9D049D14}"/>
    <cellStyle name="20% - Accent1 3 2 6 5" xfId="20132" xr:uid="{0551213B-9695-4A5C-BB60-65994165746B}"/>
    <cellStyle name="20% - Accent1 3 2 7" xfId="4510" xr:uid="{00000000-0005-0000-0000-000066000000}"/>
    <cellStyle name="20% - Accent1 3 2 7 2" xfId="13836" xr:uid="{DE0C57F1-6725-4C3C-B512-157EC285A914}"/>
    <cellStyle name="20% - Accent1 3 2 7 2 2" xfId="50178" xr:uid="{3DCCEBAA-1FE6-4FAC-8700-835A353C1573}"/>
    <cellStyle name="20% - Accent1 3 2 7 2 3" xfId="31582" xr:uid="{83BD8A36-B92C-466D-9348-E7819362AC5E}"/>
    <cellStyle name="20% - Accent1 3 2 7 3" xfId="40881" xr:uid="{707F4F68-BD17-42E4-8B2C-539BA78E3FCB}"/>
    <cellStyle name="20% - Accent1 3 2 7 4" xfId="22283" xr:uid="{AEF9D99B-0C55-49CB-A89C-AD1388BFB58E}"/>
    <cellStyle name="20% - Accent1 3 2 8" xfId="9068" xr:uid="{354460C9-AD38-4FCD-882B-4DFB81DE5890}"/>
    <cellStyle name="20% - Accent1 3 2 8 2" xfId="36138" xr:uid="{FAE7A015-D939-44AA-9B32-36F4FFA92E4E}"/>
    <cellStyle name="20% - Accent1 3 2 8 2 2" xfId="54733" xr:uid="{A8D4FD0B-AB97-4768-A0D3-F44C8DE13045}"/>
    <cellStyle name="20% - Accent1 3 2 8 3" xfId="45436" xr:uid="{1C1A9C1C-8E94-4BC3-BCD4-DF98908CBD2F}"/>
    <cellStyle name="20% - Accent1 3 2 8 4" xfId="26839" xr:uid="{1F9B6308-C6CA-4364-8A5E-9BF440828A1D}"/>
    <cellStyle name="20% - Accent1 3 2 9" xfId="9619" xr:uid="{6D7EB291-99CF-4E02-B8FF-A244621AA71A}"/>
    <cellStyle name="20% - Accent1 3 2 9 2" xfId="45961" xr:uid="{409AAC85-403B-4C26-960F-4F05B642A4E3}"/>
    <cellStyle name="20% - Accent1 3 2 9 3" xfId="27365" xr:uid="{4D13B693-938D-4FA0-A3F7-DDB6117B331D}"/>
    <cellStyle name="20% - Accent1 3 3" xfId="575" xr:uid="{00000000-0005-0000-0000-000067000000}"/>
    <cellStyle name="20% - Accent1 3 3 2" xfId="2846" xr:uid="{00000000-0005-0000-0000-000068000000}"/>
    <cellStyle name="20% - Accent1 3 3 2 2" xfId="7068" xr:uid="{00000000-0005-0000-0000-000069000000}"/>
    <cellStyle name="20% - Accent1 3 3 2 2 2" xfId="16394" xr:uid="{2144AECA-F0E2-4C83-BD2E-C8EEBBAC68ED}"/>
    <cellStyle name="20% - Accent1 3 3 2 2 2 2" xfId="52736" xr:uid="{4D916CB6-D8F2-4859-B39A-4E6B97B0866F}"/>
    <cellStyle name="20% - Accent1 3 3 2 2 2 3" xfId="34140" xr:uid="{BF9DA4B5-732A-4F58-83C9-9C956320FFF9}"/>
    <cellStyle name="20% - Accent1 3 3 2 2 3" xfId="43439" xr:uid="{9E5467E2-9881-4A1E-B43F-EC00A243F7FC}"/>
    <cellStyle name="20% - Accent1 3 3 2 2 4" xfId="24841" xr:uid="{F856E571-4A9A-49B3-904A-281849622D6D}"/>
    <cellStyle name="20% - Accent1 3 3 2 3" xfId="12177" xr:uid="{E5689DD5-F270-4AD2-9DCB-F89C712FE225}"/>
    <cellStyle name="20% - Accent1 3 3 2 3 2" xfId="48519" xr:uid="{2C589B2F-BEAC-4B34-8E88-F8F01CF94DD9}"/>
    <cellStyle name="20% - Accent1 3 3 2 3 3" xfId="29923" xr:uid="{C439A2D4-B1C2-4674-8D9F-A44F86DFBBFD}"/>
    <cellStyle name="20% - Accent1 3 3 2 4" xfId="39222" xr:uid="{F4BD7067-34B7-4F64-98D0-6384D8CC287E}"/>
    <cellStyle name="20% - Accent1 3 3 2 5" xfId="20624" xr:uid="{42E8871A-1737-49E8-B4DA-4CF8DBAC6FCF}"/>
    <cellStyle name="20% - Accent1 3 3 3" xfId="4923" xr:uid="{00000000-0005-0000-0000-00006A000000}"/>
    <cellStyle name="20% - Accent1 3 3 3 2" xfId="14249" xr:uid="{75697EB8-43D0-438E-870E-B5A02440AD10}"/>
    <cellStyle name="20% - Accent1 3 3 3 2 2" xfId="50591" xr:uid="{AD5FA13D-E566-438A-B91C-541FEBEB6278}"/>
    <cellStyle name="20% - Accent1 3 3 3 2 3" xfId="31995" xr:uid="{7F6C40BC-78FA-4840-9D15-9202530F559C}"/>
    <cellStyle name="20% - Accent1 3 3 3 3" xfId="41294" xr:uid="{D49BC125-A05D-4CB1-8830-16AC4FBBBB67}"/>
    <cellStyle name="20% - Accent1 3 3 3 4" xfId="22696" xr:uid="{2BDABCB7-704F-4D41-BC37-0E79E3CBF57D}"/>
    <cellStyle name="20% - Accent1 3 3 4" xfId="9286" xr:uid="{B5220C4B-EBE7-4AD0-9A24-7F16FA378184}"/>
    <cellStyle name="20% - Accent1 3 3 4 2" xfId="36347" xr:uid="{D1AD2C24-03D9-4A3A-BBC3-5727D1228D8F}"/>
    <cellStyle name="20% - Accent1 3 3 4 2 2" xfId="54941" xr:uid="{EF77A801-176A-4BB8-B7DA-928DF078D612}"/>
    <cellStyle name="20% - Accent1 3 3 4 3" xfId="45644" xr:uid="{70918C92-325F-46B5-B3D7-47E29A3DE1B3}"/>
    <cellStyle name="20% - Accent1 3 3 4 4" xfId="27048" xr:uid="{63276070-AD60-4836-9439-3F34BAE37C45}"/>
    <cellStyle name="20% - Accent1 3 3 5" xfId="10032" xr:uid="{1258F163-AC36-403C-AA7E-97E9D7BB994A}"/>
    <cellStyle name="20% - Accent1 3 3 5 2" xfId="46374" xr:uid="{D38BEE80-BED0-4D5E-AE5A-0F272DC26ED0}"/>
    <cellStyle name="20% - Accent1 3 3 5 3" xfId="27778" xr:uid="{96E6F113-D406-4AA4-9C85-D27021CD6C23}"/>
    <cellStyle name="20% - Accent1 3 3 6" xfId="37077" xr:uid="{E4815D7B-29FC-4EFF-8B59-0B200B3B1626}"/>
    <cellStyle name="20% - Accent1 3 3 7" xfId="18479" xr:uid="{5C96ECA9-270C-40DC-A8E2-4F10F6E756C0}"/>
    <cellStyle name="20% - Accent1 3 4" xfId="1028" xr:uid="{00000000-0005-0000-0000-00006B000000}"/>
    <cellStyle name="20% - Accent1 3 4 2" xfId="3259" xr:uid="{00000000-0005-0000-0000-00006C000000}"/>
    <cellStyle name="20% - Accent1 3 4 2 2" xfId="7481" xr:uid="{00000000-0005-0000-0000-00006D000000}"/>
    <cellStyle name="20% - Accent1 3 4 2 2 2" xfId="16807" xr:uid="{52F7B424-0DCD-41CE-8B15-52EA196EABD1}"/>
    <cellStyle name="20% - Accent1 3 4 2 2 2 2" xfId="53149" xr:uid="{C91D081B-85C5-4B04-AE98-E2350743D938}"/>
    <cellStyle name="20% - Accent1 3 4 2 2 2 3" xfId="34553" xr:uid="{D1BA8A35-5FC2-4C68-9735-C82268CB40BB}"/>
    <cellStyle name="20% - Accent1 3 4 2 2 3" xfId="43852" xr:uid="{F979CF31-4744-4700-8D7F-4E71A253813D}"/>
    <cellStyle name="20% - Accent1 3 4 2 2 4" xfId="25254" xr:uid="{BBF0EEA7-C297-48FF-BD61-751B1B5531D9}"/>
    <cellStyle name="20% - Accent1 3 4 2 3" xfId="12590" xr:uid="{0F52B982-C900-4E94-905D-2C17C797370E}"/>
    <cellStyle name="20% - Accent1 3 4 2 3 2" xfId="48932" xr:uid="{E19B865D-5993-4923-BFCF-B5122CD047BE}"/>
    <cellStyle name="20% - Accent1 3 4 2 3 3" xfId="30336" xr:uid="{08746A35-8053-44C1-9DDA-AE6E7322ECB9}"/>
    <cellStyle name="20% - Accent1 3 4 2 4" xfId="39635" xr:uid="{4C381007-BD71-4D0C-BA8B-A9135DDA5365}"/>
    <cellStyle name="20% - Accent1 3 4 2 5" xfId="21037" xr:uid="{EF163F09-B0DC-40AC-AF59-6934D081FD69}"/>
    <cellStyle name="20% - Accent1 3 4 3" xfId="5336" xr:uid="{00000000-0005-0000-0000-00006E000000}"/>
    <cellStyle name="20% - Accent1 3 4 3 2" xfId="14662" xr:uid="{1F734DB6-4639-47F5-86F0-C2F139FF6193}"/>
    <cellStyle name="20% - Accent1 3 4 3 2 2" xfId="51004" xr:uid="{D785C0A1-9CAF-4BBD-B1D0-C9C84BB1C34D}"/>
    <cellStyle name="20% - Accent1 3 4 3 2 3" xfId="32408" xr:uid="{E5C1F805-DB72-4E1B-A4F0-B9EDD6165E63}"/>
    <cellStyle name="20% - Accent1 3 4 3 3" xfId="41707" xr:uid="{D6668BC8-7ECF-4AAE-B5E4-296744837EAE}"/>
    <cellStyle name="20% - Accent1 3 4 3 4" xfId="23109" xr:uid="{367938EC-2B7A-4F01-A9A2-3502B225E348}"/>
    <cellStyle name="20% - Accent1 3 4 4" xfId="10445" xr:uid="{5060CE10-A339-45CE-BB7D-B67C425D75EB}"/>
    <cellStyle name="20% - Accent1 3 4 4 2" xfId="46787" xr:uid="{DCE8B00C-B484-4F02-ADFA-D83200630109}"/>
    <cellStyle name="20% - Accent1 3 4 4 3" xfId="28191" xr:uid="{95890237-DF48-447E-8BFE-1380F09C2E70}"/>
    <cellStyle name="20% - Accent1 3 4 5" xfId="37490" xr:uid="{2587FC06-685E-4F0A-86C8-C8BAEA0C01F4}"/>
    <cellStyle name="20% - Accent1 3 4 6" xfId="18892" xr:uid="{044A3C33-5223-4C53-A188-022704C0571C}"/>
    <cellStyle name="20% - Accent1 3 5" xfId="1442" xr:uid="{00000000-0005-0000-0000-00006F000000}"/>
    <cellStyle name="20% - Accent1 3 5 2" xfId="3672" xr:uid="{00000000-0005-0000-0000-000070000000}"/>
    <cellStyle name="20% - Accent1 3 5 2 2" xfId="7894" xr:uid="{00000000-0005-0000-0000-000071000000}"/>
    <cellStyle name="20% - Accent1 3 5 2 2 2" xfId="17220" xr:uid="{4EFD7C69-3B9A-46E5-B131-A986A8C54123}"/>
    <cellStyle name="20% - Accent1 3 5 2 2 2 2" xfId="53562" xr:uid="{0E27566E-3134-4C86-B01E-9D0B6B3E0734}"/>
    <cellStyle name="20% - Accent1 3 5 2 2 2 3" xfId="34966" xr:uid="{F55116AC-4D4C-49B2-9CDD-E7553532CC2D}"/>
    <cellStyle name="20% - Accent1 3 5 2 2 3" xfId="44265" xr:uid="{6A7577DC-D850-4E4B-B7D0-95B8C1844E25}"/>
    <cellStyle name="20% - Accent1 3 5 2 2 4" xfId="25667" xr:uid="{58387F65-F5D3-4490-8DA1-513ACF447C69}"/>
    <cellStyle name="20% - Accent1 3 5 2 3" xfId="13003" xr:uid="{C63E94E2-DDBC-4301-A575-1D4134166412}"/>
    <cellStyle name="20% - Accent1 3 5 2 3 2" xfId="49345" xr:uid="{047EDFA7-8085-46A0-8589-8F3A29AC4EF0}"/>
    <cellStyle name="20% - Accent1 3 5 2 3 3" xfId="30749" xr:uid="{D9D6269C-5F46-4D9B-9F15-26173A49187E}"/>
    <cellStyle name="20% - Accent1 3 5 2 4" xfId="40048" xr:uid="{C4CD2FD5-ECDB-41EA-8DE8-59AB80552171}"/>
    <cellStyle name="20% - Accent1 3 5 2 5" xfId="21450" xr:uid="{AC119387-B210-47EC-9F65-0A1F0D97B3EC}"/>
    <cellStyle name="20% - Accent1 3 5 3" xfId="5749" xr:uid="{00000000-0005-0000-0000-000072000000}"/>
    <cellStyle name="20% - Accent1 3 5 3 2" xfId="15075" xr:uid="{49BBB509-D0F5-4F51-A188-C7B88A17DFB9}"/>
    <cellStyle name="20% - Accent1 3 5 3 2 2" xfId="51417" xr:uid="{2955BD41-209C-46DA-827D-C0A793E07B9D}"/>
    <cellStyle name="20% - Accent1 3 5 3 2 3" xfId="32821" xr:uid="{D5F713EF-7C9A-4B37-9E80-F32458BA381B}"/>
    <cellStyle name="20% - Accent1 3 5 3 3" xfId="42120" xr:uid="{8C152F97-F16B-4956-AB4C-DF83A640C854}"/>
    <cellStyle name="20% - Accent1 3 5 3 4" xfId="23522" xr:uid="{4F2A0033-8296-4810-92AD-DDF6471C315C}"/>
    <cellStyle name="20% - Accent1 3 5 4" xfId="10858" xr:uid="{BFF2574E-BD47-45A5-B116-7366CD3DD38E}"/>
    <cellStyle name="20% - Accent1 3 5 4 2" xfId="47200" xr:uid="{484A00A3-5F46-402B-B2AC-636089321BEF}"/>
    <cellStyle name="20% - Accent1 3 5 4 3" xfId="28604" xr:uid="{FB956693-B6CA-473D-83D2-7D4CBEE803EB}"/>
    <cellStyle name="20% - Accent1 3 5 5" xfId="37903" xr:uid="{1AFBFA6F-5391-4115-B610-CDB657C32FB0}"/>
    <cellStyle name="20% - Accent1 3 5 6" xfId="19305" xr:uid="{C26C518D-6924-4327-BC2B-173A0244771B}"/>
    <cellStyle name="20% - Accent1 3 6" xfId="1856" xr:uid="{00000000-0005-0000-0000-000073000000}"/>
    <cellStyle name="20% - Accent1 3 6 2" xfId="4085" xr:uid="{00000000-0005-0000-0000-000074000000}"/>
    <cellStyle name="20% - Accent1 3 6 2 2" xfId="8307" xr:uid="{00000000-0005-0000-0000-000075000000}"/>
    <cellStyle name="20% - Accent1 3 6 2 2 2" xfId="17633" xr:uid="{F31EA290-5143-456A-AFED-FD69BAB0C4D6}"/>
    <cellStyle name="20% - Accent1 3 6 2 2 2 2" xfId="53975" xr:uid="{31D6B7A2-2E06-4AF1-8C1F-3180E7930F6B}"/>
    <cellStyle name="20% - Accent1 3 6 2 2 2 3" xfId="35379" xr:uid="{7D3020BD-5EDA-47AD-AFDB-5612DA705AD7}"/>
    <cellStyle name="20% - Accent1 3 6 2 2 3" xfId="44678" xr:uid="{4CFE7427-F206-47B3-B184-FDBE0A49512E}"/>
    <cellStyle name="20% - Accent1 3 6 2 2 4" xfId="26080" xr:uid="{D1E71E45-0679-4DE6-865F-8D4749B0CE35}"/>
    <cellStyle name="20% - Accent1 3 6 2 3" xfId="13416" xr:uid="{FA8EB5E4-4FBF-4AFB-94A6-7839E3A7C2E5}"/>
    <cellStyle name="20% - Accent1 3 6 2 3 2" xfId="49758" xr:uid="{18049D92-F81B-48F2-95B2-05BFB274AAAB}"/>
    <cellStyle name="20% - Accent1 3 6 2 3 3" xfId="31162" xr:uid="{095D6026-6CB5-4446-9B1D-2134CA01F8E0}"/>
    <cellStyle name="20% - Accent1 3 6 2 4" xfId="40461" xr:uid="{95571FCB-8E18-4DDC-A654-569D40DD09DF}"/>
    <cellStyle name="20% - Accent1 3 6 2 5" xfId="21863" xr:uid="{97BC7382-F741-4543-BA48-242EB4F0C5BB}"/>
    <cellStyle name="20% - Accent1 3 6 3" xfId="6162" xr:uid="{00000000-0005-0000-0000-000076000000}"/>
    <cellStyle name="20% - Accent1 3 6 3 2" xfId="15488" xr:uid="{9A01532F-3043-42E4-A2DC-A2048365AADF}"/>
    <cellStyle name="20% - Accent1 3 6 3 2 2" xfId="51830" xr:uid="{40DCCAA0-A5AC-4D23-9C50-3746EE7A1DDF}"/>
    <cellStyle name="20% - Accent1 3 6 3 2 3" xfId="33234" xr:uid="{2605A949-5D79-4243-89CC-7A03EEB6BBD7}"/>
    <cellStyle name="20% - Accent1 3 6 3 3" xfId="42533" xr:uid="{811A5C2B-6EA7-4605-9DD7-74C325612E48}"/>
    <cellStyle name="20% - Accent1 3 6 3 4" xfId="23935" xr:uid="{80611294-1CB9-4DDD-9816-4AAF01496E65}"/>
    <cellStyle name="20% - Accent1 3 6 4" xfId="11271" xr:uid="{11911172-1689-4FE8-80D6-D0DCD009B25F}"/>
    <cellStyle name="20% - Accent1 3 6 4 2" xfId="47613" xr:uid="{3ABD7C86-88CA-4C68-81FE-A7E18D25ECBB}"/>
    <cellStyle name="20% - Accent1 3 6 4 3" xfId="29017" xr:uid="{20403218-CDF8-482E-B776-DA8A47FD8399}"/>
    <cellStyle name="20% - Accent1 3 6 5" xfId="38316" xr:uid="{ECB01CF5-6396-47D1-B9AE-C764FFF50B1F}"/>
    <cellStyle name="20% - Accent1 3 6 6" xfId="19718" xr:uid="{34DF7616-DA53-4ADD-8CC1-41AC333BD7F4}"/>
    <cellStyle name="20% - Accent1 3 7" xfId="2269" xr:uid="{00000000-0005-0000-0000-000077000000}"/>
    <cellStyle name="20% - Accent1 3 7 2" xfId="6575" xr:uid="{00000000-0005-0000-0000-000078000000}"/>
    <cellStyle name="20% - Accent1 3 7 2 2" xfId="15901" xr:uid="{AB718061-3A6D-41C9-82A0-A3765A8FD6F8}"/>
    <cellStyle name="20% - Accent1 3 7 2 2 2" xfId="52243" xr:uid="{F521CEA1-7447-4195-9EC8-8C17D58D015E}"/>
    <cellStyle name="20% - Accent1 3 7 2 2 3" xfId="33647" xr:uid="{048ACC15-013E-4513-A673-49F5FD9074C3}"/>
    <cellStyle name="20% - Accent1 3 7 2 3" xfId="42946" xr:uid="{E0C57000-20D9-4D64-B829-82BDC440FB59}"/>
    <cellStyle name="20% - Accent1 3 7 2 4" xfId="24348" xr:uid="{75F1C223-BDE7-4F5C-993C-75E2B594DC3F}"/>
    <cellStyle name="20% - Accent1 3 7 3" xfId="11684" xr:uid="{551D04E6-2755-4C75-95F8-D9718C7CB5D5}"/>
    <cellStyle name="20% - Accent1 3 7 3 2" xfId="48026" xr:uid="{E5B85181-6D0B-4350-8082-2B69166828BE}"/>
    <cellStyle name="20% - Accent1 3 7 3 3" xfId="29430" xr:uid="{53E2903A-4DB4-4CAC-818C-F542E6831082}"/>
    <cellStyle name="20% - Accent1 3 7 4" xfId="38729" xr:uid="{6A001F1F-DEDC-4004-9753-AF4B2E5F4B44}"/>
    <cellStyle name="20% - Accent1 3 7 5" xfId="20131" xr:uid="{42412FC5-C182-4F10-9360-C0C7CC44B79A}"/>
    <cellStyle name="20% - Accent1 3 8" xfId="4509" xr:uid="{00000000-0005-0000-0000-000079000000}"/>
    <cellStyle name="20% - Accent1 3 8 2" xfId="13835" xr:uid="{10BD2FF8-03F7-4712-8777-6F652DD1B167}"/>
    <cellStyle name="20% - Accent1 3 8 2 2" xfId="50177" xr:uid="{3819E6DB-8E51-4381-B6B7-7D553A5A4C36}"/>
    <cellStyle name="20% - Accent1 3 8 2 3" xfId="31581" xr:uid="{DC512811-531B-4A1D-A677-C77F10566FCB}"/>
    <cellStyle name="20% - Accent1 3 8 3" xfId="40880" xr:uid="{F0FBA871-08FD-4BDC-AFCA-EE774AACDDD8}"/>
    <cellStyle name="20% - Accent1 3 8 4" xfId="22282" xr:uid="{C7632D36-56E5-4A4D-8BDA-C1BDB8F6C1AD}"/>
    <cellStyle name="20% - Accent1 3 9" xfId="8861" xr:uid="{C1B75176-75E3-4E31-86A7-851E7FD67A9E}"/>
    <cellStyle name="20% - Accent1 3 9 2" xfId="35931" xr:uid="{714D2BD5-B6EA-4CFC-A9FF-DBDD651581AC}"/>
    <cellStyle name="20% - Accent1 3 9 2 2" xfId="54526" xr:uid="{11BC7056-FB8C-4EF9-9DAE-BE256DFE3DDC}"/>
    <cellStyle name="20% - Accent1 3 9 3" xfId="45229" xr:uid="{FD3AAD25-6D15-4350-B2E5-8EAE0DCFF9A5}"/>
    <cellStyle name="20% - Accent1 3 9 4" xfId="26632" xr:uid="{B60CC9F7-45DC-473C-B5DB-2F4768B9ECDC}"/>
    <cellStyle name="20% - Accent1 4" xfId="8" xr:uid="{00000000-0005-0000-0000-00007A000000}"/>
    <cellStyle name="20% - Accent1 4 10" xfId="36665" xr:uid="{D66C49BD-DAD1-47C3-9BE4-1329CADC1C6C}"/>
    <cellStyle name="20% - Accent1 4 11" xfId="18067" xr:uid="{82C8C8C0-8C28-4DA2-8007-0E7BCA418086}"/>
    <cellStyle name="20% - Accent1 4 2" xfId="577" xr:uid="{00000000-0005-0000-0000-00007B000000}"/>
    <cellStyle name="20% - Accent1 4 2 2" xfId="2848" xr:uid="{00000000-0005-0000-0000-00007C000000}"/>
    <cellStyle name="20% - Accent1 4 2 2 2" xfId="7070" xr:uid="{00000000-0005-0000-0000-00007D000000}"/>
    <cellStyle name="20% - Accent1 4 2 2 2 2" xfId="16396" xr:uid="{3162359D-4575-4D1A-AE7D-49CEB2FFD417}"/>
    <cellStyle name="20% - Accent1 4 2 2 2 2 2" xfId="52738" xr:uid="{42EED686-B828-4590-B5E5-5C992406DB93}"/>
    <cellStyle name="20% - Accent1 4 2 2 2 2 3" xfId="34142" xr:uid="{E284DB75-97F2-4F6A-A5E9-2A455E5B2A3F}"/>
    <cellStyle name="20% - Accent1 4 2 2 2 3" xfId="43441" xr:uid="{E94C6AA9-0E88-4AD3-A1D9-EF987BD4016E}"/>
    <cellStyle name="20% - Accent1 4 2 2 2 4" xfId="24843" xr:uid="{93E9C2BF-8CCD-40F8-9CC4-9FD059C4286F}"/>
    <cellStyle name="20% - Accent1 4 2 2 3" xfId="12179" xr:uid="{7DEAC219-D6D5-4C10-99C3-45E664B4E9BA}"/>
    <cellStyle name="20% - Accent1 4 2 2 3 2" xfId="48521" xr:uid="{3BA80D7C-1658-411B-885A-2A7626EA3FD3}"/>
    <cellStyle name="20% - Accent1 4 2 2 3 3" xfId="29925" xr:uid="{D3409862-5CFE-499E-B783-6037B24D6BEC}"/>
    <cellStyle name="20% - Accent1 4 2 2 4" xfId="39224" xr:uid="{BC6EA4D2-8A3E-4D86-8444-F7C4C32DDC5E}"/>
    <cellStyle name="20% - Accent1 4 2 2 5" xfId="20626" xr:uid="{F0EEF4E9-9046-4D41-BB84-A397C375A964}"/>
    <cellStyle name="20% - Accent1 4 2 3" xfId="4925" xr:uid="{00000000-0005-0000-0000-00007E000000}"/>
    <cellStyle name="20% - Accent1 4 2 3 2" xfId="14251" xr:uid="{87C2274D-8B4A-4DB3-8156-6FB23A944741}"/>
    <cellStyle name="20% - Accent1 4 2 3 2 2" xfId="50593" xr:uid="{1CCAD76D-35EB-46F2-9750-98EAFF126D55}"/>
    <cellStyle name="20% - Accent1 4 2 3 2 3" xfId="31997" xr:uid="{28A22C4E-528D-4C81-9754-A704D0E3C106}"/>
    <cellStyle name="20% - Accent1 4 2 3 3" xfId="41296" xr:uid="{F768DD8F-E56C-47A7-A53E-0F298E0C2C9C}"/>
    <cellStyle name="20% - Accent1 4 2 3 4" xfId="22698" xr:uid="{707DC930-31B8-46C9-B851-6F3D06BD74F8}"/>
    <cellStyle name="20% - Accent1 4 2 4" xfId="9372" xr:uid="{E6B08341-6F7D-4580-9BCF-4BFC252FAE31}"/>
    <cellStyle name="20% - Accent1 4 2 4 2" xfId="36433" xr:uid="{39D80631-390D-4DA7-A4F5-BA98FCD3F499}"/>
    <cellStyle name="20% - Accent1 4 2 4 2 2" xfId="55027" xr:uid="{406FC2F6-25F3-49B5-A07B-7C4E1AA438BB}"/>
    <cellStyle name="20% - Accent1 4 2 4 3" xfId="45730" xr:uid="{C2D7F339-9159-4A79-A642-DE08288008AE}"/>
    <cellStyle name="20% - Accent1 4 2 4 4" xfId="27134" xr:uid="{FD2EB98A-64D8-4F8D-93E2-9EAC0B8DEE2D}"/>
    <cellStyle name="20% - Accent1 4 2 5" xfId="10034" xr:uid="{65D5EFEE-5C26-4894-83C6-280546AE5878}"/>
    <cellStyle name="20% - Accent1 4 2 5 2" xfId="46376" xr:uid="{E1DB97E7-8F5D-42C2-97DE-E78D76E6560D}"/>
    <cellStyle name="20% - Accent1 4 2 5 3" xfId="27780" xr:uid="{E7B638FB-578D-455C-8624-0725E87A6F19}"/>
    <cellStyle name="20% - Accent1 4 2 6" xfId="37079" xr:uid="{3590673A-DF0F-4F86-BE69-0F31FE3C8DB1}"/>
    <cellStyle name="20% - Accent1 4 2 7" xfId="18481" xr:uid="{3170F91A-8445-4DC9-A24D-87D32E29211C}"/>
    <cellStyle name="20% - Accent1 4 3" xfId="1030" xr:uid="{00000000-0005-0000-0000-00007F000000}"/>
    <cellStyle name="20% - Accent1 4 3 2" xfId="3261" xr:uid="{00000000-0005-0000-0000-000080000000}"/>
    <cellStyle name="20% - Accent1 4 3 2 2" xfId="7483" xr:uid="{00000000-0005-0000-0000-000081000000}"/>
    <cellStyle name="20% - Accent1 4 3 2 2 2" xfId="16809" xr:uid="{ACB34A3D-8CB0-4853-AF96-B279BF50E60D}"/>
    <cellStyle name="20% - Accent1 4 3 2 2 2 2" xfId="53151" xr:uid="{89FDE147-847C-49B1-AF2D-C9283173C840}"/>
    <cellStyle name="20% - Accent1 4 3 2 2 2 3" xfId="34555" xr:uid="{69FE3951-037B-4FA1-8550-934703EFD46D}"/>
    <cellStyle name="20% - Accent1 4 3 2 2 3" xfId="43854" xr:uid="{7C032C99-9C1D-462D-BC6F-5D2DCF33B4AE}"/>
    <cellStyle name="20% - Accent1 4 3 2 2 4" xfId="25256" xr:uid="{FE5DEAF2-E08C-4F25-9EE9-B9C7A3B32C43}"/>
    <cellStyle name="20% - Accent1 4 3 2 3" xfId="12592" xr:uid="{4281EFB4-051D-43FD-A66A-55585A6A8896}"/>
    <cellStyle name="20% - Accent1 4 3 2 3 2" xfId="48934" xr:uid="{569F5043-5692-4F5F-867C-01E32047FB70}"/>
    <cellStyle name="20% - Accent1 4 3 2 3 3" xfId="30338" xr:uid="{C0607BA6-4E39-4EB9-9001-DF3C1482113D}"/>
    <cellStyle name="20% - Accent1 4 3 2 4" xfId="39637" xr:uid="{1553BE79-BA25-4675-88C5-15002400E754}"/>
    <cellStyle name="20% - Accent1 4 3 2 5" xfId="21039" xr:uid="{6184C711-B2B1-4D87-98A0-7E3A7377645B}"/>
    <cellStyle name="20% - Accent1 4 3 3" xfId="5338" xr:uid="{00000000-0005-0000-0000-000082000000}"/>
    <cellStyle name="20% - Accent1 4 3 3 2" xfId="14664" xr:uid="{875A0362-23F4-40E0-AC7C-5B52B6E68951}"/>
    <cellStyle name="20% - Accent1 4 3 3 2 2" xfId="51006" xr:uid="{97145C1D-749C-4E7E-92D1-30BF7DA12273}"/>
    <cellStyle name="20% - Accent1 4 3 3 2 3" xfId="32410" xr:uid="{078FCC2E-3E8E-4314-A3E6-EBC02D38D71C}"/>
    <cellStyle name="20% - Accent1 4 3 3 3" xfId="41709" xr:uid="{3E006DA9-4D67-4F14-A8BF-17904A23991D}"/>
    <cellStyle name="20% - Accent1 4 3 3 4" xfId="23111" xr:uid="{A7B74424-8887-481A-8835-D3BCEFCE2595}"/>
    <cellStyle name="20% - Accent1 4 3 4" xfId="10447" xr:uid="{13E00501-D700-47D0-8650-5FF65384A0E2}"/>
    <cellStyle name="20% - Accent1 4 3 4 2" xfId="46789" xr:uid="{DBADF0D9-7517-458D-B060-E44A58200B9D}"/>
    <cellStyle name="20% - Accent1 4 3 4 3" xfId="28193" xr:uid="{95E1316E-F154-40CF-80D4-02A91AE91692}"/>
    <cellStyle name="20% - Accent1 4 3 5" xfId="37492" xr:uid="{949DA528-8ABE-49AC-9950-7D0C46AA6E1B}"/>
    <cellStyle name="20% - Accent1 4 3 6" xfId="18894" xr:uid="{B11E3FDF-9DAA-4BCB-92CB-3726B0FE19DB}"/>
    <cellStyle name="20% - Accent1 4 4" xfId="1444" xr:uid="{00000000-0005-0000-0000-000083000000}"/>
    <cellStyle name="20% - Accent1 4 4 2" xfId="3674" xr:uid="{00000000-0005-0000-0000-000084000000}"/>
    <cellStyle name="20% - Accent1 4 4 2 2" xfId="7896" xr:uid="{00000000-0005-0000-0000-000085000000}"/>
    <cellStyle name="20% - Accent1 4 4 2 2 2" xfId="17222" xr:uid="{11987301-0499-441B-9787-4EFF0E6EEA76}"/>
    <cellStyle name="20% - Accent1 4 4 2 2 2 2" xfId="53564" xr:uid="{5ED45C68-1C58-4293-8B20-69AEEC7BB8BB}"/>
    <cellStyle name="20% - Accent1 4 4 2 2 2 3" xfId="34968" xr:uid="{52504C1A-D90A-454F-8A9F-3BBAE42D54C3}"/>
    <cellStyle name="20% - Accent1 4 4 2 2 3" xfId="44267" xr:uid="{9D7C5435-B8EC-4233-9998-C2B3FE643D93}"/>
    <cellStyle name="20% - Accent1 4 4 2 2 4" xfId="25669" xr:uid="{62967BD3-D7A6-4806-89AA-0CBC3E4CA7AD}"/>
    <cellStyle name="20% - Accent1 4 4 2 3" xfId="13005" xr:uid="{A75D6161-1CF9-490A-AE43-CCE17706673D}"/>
    <cellStyle name="20% - Accent1 4 4 2 3 2" xfId="49347" xr:uid="{47E26734-4B3E-46AF-96F2-9742741876D0}"/>
    <cellStyle name="20% - Accent1 4 4 2 3 3" xfId="30751" xr:uid="{8529CADE-9C9A-4FA7-B27F-9C27C3A22188}"/>
    <cellStyle name="20% - Accent1 4 4 2 4" xfId="40050" xr:uid="{4EAC5ED1-B029-4FFC-81BB-7A099A7F7DD6}"/>
    <cellStyle name="20% - Accent1 4 4 2 5" xfId="21452" xr:uid="{B3D3E09E-75D8-4C42-97DB-0130FD63BC1D}"/>
    <cellStyle name="20% - Accent1 4 4 3" xfId="5751" xr:uid="{00000000-0005-0000-0000-000086000000}"/>
    <cellStyle name="20% - Accent1 4 4 3 2" xfId="15077" xr:uid="{C8C5B362-341C-4678-98E4-C885B72709C3}"/>
    <cellStyle name="20% - Accent1 4 4 3 2 2" xfId="51419" xr:uid="{9C58F6F3-56B5-4BB9-ACFA-0C2C070D7747}"/>
    <cellStyle name="20% - Accent1 4 4 3 2 3" xfId="32823" xr:uid="{041CBC4A-9909-466C-8706-18A1A6BECA9E}"/>
    <cellStyle name="20% - Accent1 4 4 3 3" xfId="42122" xr:uid="{C1CA3E61-56AC-420A-AFBF-4B1C3363FB6E}"/>
    <cellStyle name="20% - Accent1 4 4 3 4" xfId="23524" xr:uid="{1F53C476-BB2A-4A36-BC3A-72B3EBE5A8B0}"/>
    <cellStyle name="20% - Accent1 4 4 4" xfId="10860" xr:uid="{D365152A-7E70-4B74-8029-FAEC7B7F13FF}"/>
    <cellStyle name="20% - Accent1 4 4 4 2" xfId="47202" xr:uid="{6271D1B7-BD59-417C-B7E0-433826FF2930}"/>
    <cellStyle name="20% - Accent1 4 4 4 3" xfId="28606" xr:uid="{0003447A-85AF-487B-84CF-017F1EABC4B5}"/>
    <cellStyle name="20% - Accent1 4 4 5" xfId="37905" xr:uid="{446A597B-EF99-4426-83D3-2EFA6F0315A9}"/>
    <cellStyle name="20% - Accent1 4 4 6" xfId="19307" xr:uid="{8C992909-30F4-42A1-87F3-D940D4253BDA}"/>
    <cellStyle name="20% - Accent1 4 5" xfId="1858" xr:uid="{00000000-0005-0000-0000-000087000000}"/>
    <cellStyle name="20% - Accent1 4 5 2" xfId="4087" xr:uid="{00000000-0005-0000-0000-000088000000}"/>
    <cellStyle name="20% - Accent1 4 5 2 2" xfId="8309" xr:uid="{00000000-0005-0000-0000-000089000000}"/>
    <cellStyle name="20% - Accent1 4 5 2 2 2" xfId="17635" xr:uid="{9EFD2A96-262B-4B9A-811A-DCDD3821EF79}"/>
    <cellStyle name="20% - Accent1 4 5 2 2 2 2" xfId="53977" xr:uid="{9861EAF6-C9B8-4E10-987D-6FB615508A26}"/>
    <cellStyle name="20% - Accent1 4 5 2 2 2 3" xfId="35381" xr:uid="{9DECAC20-1410-4B24-B053-B7BAF73002A5}"/>
    <cellStyle name="20% - Accent1 4 5 2 2 3" xfId="44680" xr:uid="{C0003727-5A0D-4649-B65A-C26D21969565}"/>
    <cellStyle name="20% - Accent1 4 5 2 2 4" xfId="26082" xr:uid="{25B63884-5C20-4BE7-80C5-FD95B06563A9}"/>
    <cellStyle name="20% - Accent1 4 5 2 3" xfId="13418" xr:uid="{71560FC9-F218-4B14-AFF3-D896251E11E9}"/>
    <cellStyle name="20% - Accent1 4 5 2 3 2" xfId="49760" xr:uid="{FB9F201C-83F4-4713-897C-4DF14CB25E97}"/>
    <cellStyle name="20% - Accent1 4 5 2 3 3" xfId="31164" xr:uid="{0948EC66-915C-4A3B-9FB9-8232FF407EC0}"/>
    <cellStyle name="20% - Accent1 4 5 2 4" xfId="40463" xr:uid="{BF365784-ECE0-4EA3-920E-415031510D9A}"/>
    <cellStyle name="20% - Accent1 4 5 2 5" xfId="21865" xr:uid="{A4F90823-1D8A-4F35-B0CB-7C3F2203B6C3}"/>
    <cellStyle name="20% - Accent1 4 5 3" xfId="6164" xr:uid="{00000000-0005-0000-0000-00008A000000}"/>
    <cellStyle name="20% - Accent1 4 5 3 2" xfId="15490" xr:uid="{482D17E3-2103-421C-A758-B8C27090534A}"/>
    <cellStyle name="20% - Accent1 4 5 3 2 2" xfId="51832" xr:uid="{E06CD555-48E6-44F7-87AC-8714AD416FFC}"/>
    <cellStyle name="20% - Accent1 4 5 3 2 3" xfId="33236" xr:uid="{6CC66A1F-BC8E-441B-A161-1BCFF6123353}"/>
    <cellStyle name="20% - Accent1 4 5 3 3" xfId="42535" xr:uid="{CC9C950F-11FC-4398-9B4F-38BE32C7D367}"/>
    <cellStyle name="20% - Accent1 4 5 3 4" xfId="23937" xr:uid="{60A74464-EB7D-49D4-8A53-149F2230A12B}"/>
    <cellStyle name="20% - Accent1 4 5 4" xfId="11273" xr:uid="{3DFDBC9B-70A2-471F-A537-752C99122059}"/>
    <cellStyle name="20% - Accent1 4 5 4 2" xfId="47615" xr:uid="{8BF691A8-1B7F-412A-8B16-06A12557C3E1}"/>
    <cellStyle name="20% - Accent1 4 5 4 3" xfId="29019" xr:uid="{4E345F9C-9908-45EE-93B4-8E5CBA0F86C9}"/>
    <cellStyle name="20% - Accent1 4 5 5" xfId="38318" xr:uid="{344200BC-267B-486F-B8BE-207AE26262B4}"/>
    <cellStyle name="20% - Accent1 4 5 6" xfId="19720" xr:uid="{33E2FD50-631E-44FB-A98A-80C9156183E6}"/>
    <cellStyle name="20% - Accent1 4 6" xfId="2271" xr:uid="{00000000-0005-0000-0000-00008B000000}"/>
    <cellStyle name="20% - Accent1 4 6 2" xfId="6577" xr:uid="{00000000-0005-0000-0000-00008C000000}"/>
    <cellStyle name="20% - Accent1 4 6 2 2" xfId="15903" xr:uid="{15AA7AF0-ACEB-4FBF-96F6-AE9C02722443}"/>
    <cellStyle name="20% - Accent1 4 6 2 2 2" xfId="52245" xr:uid="{CB375C4D-7FC5-453D-B9BA-F7234E1891ED}"/>
    <cellStyle name="20% - Accent1 4 6 2 2 3" xfId="33649" xr:uid="{1C8F8B46-0A9C-4EC8-99A2-2D1068D5CCB8}"/>
    <cellStyle name="20% - Accent1 4 6 2 3" xfId="42948" xr:uid="{BDB10A7D-951F-41C6-B9B6-233329D14B4E}"/>
    <cellStyle name="20% - Accent1 4 6 2 4" xfId="24350" xr:uid="{349C91F0-037F-43C9-88FD-930C68340D7B}"/>
    <cellStyle name="20% - Accent1 4 6 3" xfId="11686" xr:uid="{F2A9E8D8-94EA-420B-A077-6A92FA16EC44}"/>
    <cellStyle name="20% - Accent1 4 6 3 2" xfId="48028" xr:uid="{EFFA2307-A87A-472C-9A8C-3D5A195E9DD6}"/>
    <cellStyle name="20% - Accent1 4 6 3 3" xfId="29432" xr:uid="{63AFAD9F-F6C3-4D65-B785-55A87B34C7F9}"/>
    <cellStyle name="20% - Accent1 4 6 4" xfId="38731" xr:uid="{0513F06A-CB30-47D0-9EF0-C8D299B23820}"/>
    <cellStyle name="20% - Accent1 4 6 5" xfId="20133" xr:uid="{FDC17558-CCF5-4CD5-891E-6A5AD58420B3}"/>
    <cellStyle name="20% - Accent1 4 7" xfId="4511" xr:uid="{00000000-0005-0000-0000-00008D000000}"/>
    <cellStyle name="20% - Accent1 4 7 2" xfId="13837" xr:uid="{1EB27304-BD60-4D26-A4AE-F4154A874D2D}"/>
    <cellStyle name="20% - Accent1 4 7 2 2" xfId="50179" xr:uid="{E998AF16-4864-4175-ADF1-D4A568726C6F}"/>
    <cellStyle name="20% - Accent1 4 7 2 3" xfId="31583" xr:uid="{6850BF2C-6578-47B6-A33E-17AB67BB0A49}"/>
    <cellStyle name="20% - Accent1 4 7 3" xfId="40882" xr:uid="{9A9D0EDB-DA02-40B6-8CEB-6ABA81CEF0AB}"/>
    <cellStyle name="20% - Accent1 4 7 4" xfId="22284" xr:uid="{541AA094-0746-4FCE-B92F-506E548F33C7}"/>
    <cellStyle name="20% - Accent1 4 8" xfId="8947" xr:uid="{1FCDBFE2-CC86-42DD-AD9B-D3EAF476002E}"/>
    <cellStyle name="20% - Accent1 4 8 2" xfId="36017" xr:uid="{4AB6C69F-4AB8-4875-A528-D91EDC80E816}"/>
    <cellStyle name="20% - Accent1 4 8 2 2" xfId="54612" xr:uid="{37DD509F-3EC3-4A70-9737-4A1C2BBE608B}"/>
    <cellStyle name="20% - Accent1 4 8 3" xfId="45315" xr:uid="{26360728-0426-4A99-B811-8ED6A204A77E}"/>
    <cellStyle name="20% - Accent1 4 8 4" xfId="26718" xr:uid="{C03099D2-DF07-4059-B2FD-14AAB2B58CEB}"/>
    <cellStyle name="20% - Accent1 4 9" xfId="9620" xr:uid="{B7BCC661-B4A6-422B-84C2-6F479F97FAC9}"/>
    <cellStyle name="20% - Accent1 4 9 2" xfId="45962" xr:uid="{FEC6F38E-3B0E-4278-BF5C-7B85DF833462}"/>
    <cellStyle name="20% - Accent1 4 9 3" xfId="27366" xr:uid="{6C461F5C-49E1-4C4F-BFAB-FC8D1757C005}"/>
    <cellStyle name="20% - Accent1 5" xfId="570" xr:uid="{00000000-0005-0000-0000-00008E000000}"/>
    <cellStyle name="20% - Accent1 5 2" xfId="2841" xr:uid="{00000000-0005-0000-0000-00008F000000}"/>
    <cellStyle name="20% - Accent1 5 2 2" xfId="7063" xr:uid="{00000000-0005-0000-0000-000090000000}"/>
    <cellStyle name="20% - Accent1 5 2 2 2" xfId="16389" xr:uid="{BE8772B0-88A9-4430-9C69-337E3641D792}"/>
    <cellStyle name="20% - Accent1 5 2 2 2 2" xfId="52731" xr:uid="{56DCA231-B95A-4214-B258-695DF5F31D29}"/>
    <cellStyle name="20% - Accent1 5 2 2 2 3" xfId="34135" xr:uid="{7CF6CACC-DF41-4059-94E6-E33E580E56D3}"/>
    <cellStyle name="20% - Accent1 5 2 2 3" xfId="43434" xr:uid="{9643991B-A0FA-4838-AC88-24519A16D623}"/>
    <cellStyle name="20% - Accent1 5 2 2 4" xfId="24836" xr:uid="{27010F90-4DFD-4441-9598-9E5264B0FA95}"/>
    <cellStyle name="20% - Accent1 5 2 3" xfId="12172" xr:uid="{14732710-A0CE-4F0E-A61D-2FB0EE3797FA}"/>
    <cellStyle name="20% - Accent1 5 2 3 2" xfId="48514" xr:uid="{88CC305F-F2A8-4C46-965D-73C1578E67B7}"/>
    <cellStyle name="20% - Accent1 5 2 3 3" xfId="29918" xr:uid="{9E7666E0-0030-4953-AE21-E981DAAF63CB}"/>
    <cellStyle name="20% - Accent1 5 2 4" xfId="39217" xr:uid="{52F1037B-5631-4087-9D66-64E5F7716E4E}"/>
    <cellStyle name="20% - Accent1 5 2 5" xfId="20619" xr:uid="{E0670B16-507F-430D-A50A-C3485ACC65D3}"/>
    <cellStyle name="20% - Accent1 5 3" xfId="4918" xr:uid="{00000000-0005-0000-0000-000091000000}"/>
    <cellStyle name="20% - Accent1 5 3 2" xfId="14244" xr:uid="{1ECC6FEB-4220-4656-BD66-09D001FDEAA4}"/>
    <cellStyle name="20% - Accent1 5 3 2 2" xfId="50586" xr:uid="{206A1FD4-44C1-4CAE-B48B-D595D78668BB}"/>
    <cellStyle name="20% - Accent1 5 3 2 3" xfId="31990" xr:uid="{0378B9C5-0394-445E-A5E3-1CAB708C2FEC}"/>
    <cellStyle name="20% - Accent1 5 3 3" xfId="41289" xr:uid="{F33890BE-0AF5-41BF-B7DD-9900BA0F9825}"/>
    <cellStyle name="20% - Accent1 5 3 4" xfId="22691" xr:uid="{B53D84A1-5E0C-4456-AA4B-B5E1F9B3C2AB}"/>
    <cellStyle name="20% - Accent1 5 4" xfId="9180" xr:uid="{D0AEF57E-25E3-47C5-B910-DC1A0019F498}"/>
    <cellStyle name="20% - Accent1 5 4 2" xfId="36244" xr:uid="{A00AC05A-A931-468E-A719-10AEE55CBF4B}"/>
    <cellStyle name="20% - Accent1 5 4 2 2" xfId="54838" xr:uid="{936E45ED-EED6-4841-B104-B19E6263934D}"/>
    <cellStyle name="20% - Accent1 5 4 3" xfId="45541" xr:uid="{DB653C1F-C861-4A67-A68E-BE56F4E8D7BD}"/>
    <cellStyle name="20% - Accent1 5 4 4" xfId="26945" xr:uid="{00C630CC-EC5F-4F86-B96A-01D786F709A7}"/>
    <cellStyle name="20% - Accent1 5 5" xfId="10027" xr:uid="{99554F34-21E6-48B7-8667-FE2DFAE38508}"/>
    <cellStyle name="20% - Accent1 5 5 2" xfId="46369" xr:uid="{9CD0114A-A270-4F19-BD1F-B0603A7EF774}"/>
    <cellStyle name="20% - Accent1 5 5 3" xfId="27773" xr:uid="{747A48E3-8ABA-4CC7-BF97-DC1B1E5816DA}"/>
    <cellStyle name="20% - Accent1 5 6" xfId="37072" xr:uid="{A4698A5F-A09E-421D-9E64-4CD573FF6381}"/>
    <cellStyle name="20% - Accent1 5 7" xfId="18474" xr:uid="{8A1F95CC-BA64-445C-A845-8F14FD5A8575}"/>
    <cellStyle name="20% - Accent1 6" xfId="1023" xr:uid="{00000000-0005-0000-0000-000092000000}"/>
    <cellStyle name="20% - Accent1 6 2" xfId="3254" xr:uid="{00000000-0005-0000-0000-000093000000}"/>
    <cellStyle name="20% - Accent1 6 2 2" xfId="7476" xr:uid="{00000000-0005-0000-0000-000094000000}"/>
    <cellStyle name="20% - Accent1 6 2 2 2" xfId="16802" xr:uid="{3CB97B5B-AF37-46EA-89BC-ECBC1082B1CF}"/>
    <cellStyle name="20% - Accent1 6 2 2 2 2" xfId="53144" xr:uid="{BAFFAE93-4BED-4139-9C45-BC5322B561BB}"/>
    <cellStyle name="20% - Accent1 6 2 2 2 3" xfId="34548" xr:uid="{82E5870C-8C4C-4B31-B899-69AF1FBC98DD}"/>
    <cellStyle name="20% - Accent1 6 2 2 3" xfId="43847" xr:uid="{A10DFC92-C13B-44D0-A0FC-44C4A45F280B}"/>
    <cellStyle name="20% - Accent1 6 2 2 4" xfId="25249" xr:uid="{33D9A3DD-AB85-45A6-A03E-D35C12CC0B11}"/>
    <cellStyle name="20% - Accent1 6 2 3" xfId="12585" xr:uid="{67FA088C-C57C-4879-B510-FDABFFFA98BE}"/>
    <cellStyle name="20% - Accent1 6 2 3 2" xfId="48927" xr:uid="{B4EF8A53-6490-4665-806D-F5411B8EE660}"/>
    <cellStyle name="20% - Accent1 6 2 3 3" xfId="30331" xr:uid="{7614FF7D-214B-4DBA-907E-4003DC851DE4}"/>
    <cellStyle name="20% - Accent1 6 2 4" xfId="39630" xr:uid="{9F84286E-2DB3-4B0B-8D9C-FDD05C2910A8}"/>
    <cellStyle name="20% - Accent1 6 2 5" xfId="21032" xr:uid="{6D020F23-1B30-462A-A790-DEC9EE602EFD}"/>
    <cellStyle name="20% - Accent1 6 3" xfId="5331" xr:uid="{00000000-0005-0000-0000-000095000000}"/>
    <cellStyle name="20% - Accent1 6 3 2" xfId="14657" xr:uid="{86B9E0B8-0907-4B59-B96B-412AAB782CA5}"/>
    <cellStyle name="20% - Accent1 6 3 2 2" xfId="50999" xr:uid="{4CBB3423-056D-4FE2-A6E6-25CE212A48EB}"/>
    <cellStyle name="20% - Accent1 6 3 2 3" xfId="32403" xr:uid="{C7F2AEFC-E8B0-4F0F-B8B1-CFB5EC3BEC2C}"/>
    <cellStyle name="20% - Accent1 6 3 3" xfId="41702" xr:uid="{F86B9608-A347-4154-9F14-946B9CCB18FF}"/>
    <cellStyle name="20% - Accent1 6 3 4" xfId="23104" xr:uid="{F1A40F58-B1D9-4C54-860A-FC53E1C51F6C}"/>
    <cellStyle name="20% - Accent1 6 4" xfId="10440" xr:uid="{EC277D18-26A2-4CD2-A06E-D68A05902FE4}"/>
    <cellStyle name="20% - Accent1 6 4 2" xfId="46782" xr:uid="{18841359-5918-4450-9F3D-D85BD1ABE4A4}"/>
    <cellStyle name="20% - Accent1 6 4 3" xfId="28186" xr:uid="{DA736B47-F046-4FA9-A569-67DFDF9AC577}"/>
    <cellStyle name="20% - Accent1 6 5" xfId="37485" xr:uid="{407153D2-48A5-438F-93BF-295D52D25CB9}"/>
    <cellStyle name="20% - Accent1 6 6" xfId="18887" xr:uid="{77FC943F-A719-4F77-9934-253989A91211}"/>
    <cellStyle name="20% - Accent1 7" xfId="1437" xr:uid="{00000000-0005-0000-0000-000096000000}"/>
    <cellStyle name="20% - Accent1 7 2" xfId="3667" xr:uid="{00000000-0005-0000-0000-000097000000}"/>
    <cellStyle name="20% - Accent1 7 2 2" xfId="7889" xr:uid="{00000000-0005-0000-0000-000098000000}"/>
    <cellStyle name="20% - Accent1 7 2 2 2" xfId="17215" xr:uid="{C97EA921-29BE-47DA-9BB8-97F1DF527295}"/>
    <cellStyle name="20% - Accent1 7 2 2 2 2" xfId="53557" xr:uid="{524C5289-3E51-4CBD-944C-1EEF9B40BA2D}"/>
    <cellStyle name="20% - Accent1 7 2 2 2 3" xfId="34961" xr:uid="{E7B2370B-301E-44B7-9DEC-35FFF66578B1}"/>
    <cellStyle name="20% - Accent1 7 2 2 3" xfId="44260" xr:uid="{AF1FB162-4666-4ED0-A2B0-D1AABA4C1D34}"/>
    <cellStyle name="20% - Accent1 7 2 2 4" xfId="25662" xr:uid="{3775B780-F3E5-4CD9-A455-F9690C745B50}"/>
    <cellStyle name="20% - Accent1 7 2 3" xfId="12998" xr:uid="{59B0ECC6-318E-4E3E-9CEC-E10CB6D2D91B}"/>
    <cellStyle name="20% - Accent1 7 2 3 2" xfId="49340" xr:uid="{FF142F65-5AAD-419F-A25D-F673018ED908}"/>
    <cellStyle name="20% - Accent1 7 2 3 3" xfId="30744" xr:uid="{85981782-EB76-4036-AED8-6DADBE38EE95}"/>
    <cellStyle name="20% - Accent1 7 2 4" xfId="40043" xr:uid="{D170612B-A7E3-4F41-810F-784AF74470F1}"/>
    <cellStyle name="20% - Accent1 7 2 5" xfId="21445" xr:uid="{D3BFDDB0-0DAC-4F1E-B0C4-C37B4B0D233E}"/>
    <cellStyle name="20% - Accent1 7 3" xfId="5744" xr:uid="{00000000-0005-0000-0000-000099000000}"/>
    <cellStyle name="20% - Accent1 7 3 2" xfId="15070" xr:uid="{6876CA5D-FDF4-4CBD-99A5-C2F47C79D189}"/>
    <cellStyle name="20% - Accent1 7 3 2 2" xfId="51412" xr:uid="{A1823EC6-2C01-440E-AFB6-33CB58ACAE4C}"/>
    <cellStyle name="20% - Accent1 7 3 2 3" xfId="32816" xr:uid="{BB41E63B-0F3E-4741-848D-156CF9B3DD55}"/>
    <cellStyle name="20% - Accent1 7 3 3" xfId="42115" xr:uid="{619BC86B-AE9F-4907-BEB6-11BAC54F61FD}"/>
    <cellStyle name="20% - Accent1 7 3 4" xfId="23517" xr:uid="{7190A7B3-2499-4279-85BD-CD9BB81B3900}"/>
    <cellStyle name="20% - Accent1 7 4" xfId="10853" xr:uid="{AD64D17B-9A10-43C6-8B07-97CD794F980A}"/>
    <cellStyle name="20% - Accent1 7 4 2" xfId="47195" xr:uid="{C3279E1F-22E7-4175-95B0-E91A8161E2C7}"/>
    <cellStyle name="20% - Accent1 7 4 3" xfId="28599" xr:uid="{A48774AB-9BCE-4760-98F0-0F0E7FA2E3F5}"/>
    <cellStyle name="20% - Accent1 7 5" xfId="37898" xr:uid="{B3A9BD89-72A9-432E-9EF4-808EB70F8F0E}"/>
    <cellStyle name="20% - Accent1 7 6" xfId="19300" xr:uid="{0D23F6B5-E43C-4C12-B61D-46F80355942B}"/>
    <cellStyle name="20% - Accent1 8" xfId="1851" xr:uid="{00000000-0005-0000-0000-00009A000000}"/>
    <cellStyle name="20% - Accent1 8 2" xfId="4080" xr:uid="{00000000-0005-0000-0000-00009B000000}"/>
    <cellStyle name="20% - Accent1 8 2 2" xfId="8302" xr:uid="{00000000-0005-0000-0000-00009C000000}"/>
    <cellStyle name="20% - Accent1 8 2 2 2" xfId="17628" xr:uid="{BD89ED11-9F65-4004-9424-02451572A93A}"/>
    <cellStyle name="20% - Accent1 8 2 2 2 2" xfId="53970" xr:uid="{FDB53E25-D54B-44F3-81C6-052CB64CEB41}"/>
    <cellStyle name="20% - Accent1 8 2 2 2 3" xfId="35374" xr:uid="{00CB95F0-EBFC-4F07-B766-8F6C6266BEAF}"/>
    <cellStyle name="20% - Accent1 8 2 2 3" xfId="44673" xr:uid="{830C82CD-97BF-4341-9135-FE976445C843}"/>
    <cellStyle name="20% - Accent1 8 2 2 4" xfId="26075" xr:uid="{DB543AC2-9A70-4109-BC96-DF7265E6A6E7}"/>
    <cellStyle name="20% - Accent1 8 2 3" xfId="13411" xr:uid="{D11AFFEA-4930-4C03-94E5-46035C42E72F}"/>
    <cellStyle name="20% - Accent1 8 2 3 2" xfId="49753" xr:uid="{78516D6A-9C3F-4A4F-AE5B-043C6FE290F3}"/>
    <cellStyle name="20% - Accent1 8 2 3 3" xfId="31157" xr:uid="{6B458D55-883D-4277-AFAB-81524E0DCB78}"/>
    <cellStyle name="20% - Accent1 8 2 4" xfId="40456" xr:uid="{B94D27DF-701D-4474-AD2D-812F5C8D4428}"/>
    <cellStyle name="20% - Accent1 8 2 5" xfId="21858" xr:uid="{184ACA0C-8C6A-4220-875F-249FE527EA61}"/>
    <cellStyle name="20% - Accent1 8 3" xfId="6157" xr:uid="{00000000-0005-0000-0000-00009D000000}"/>
    <cellStyle name="20% - Accent1 8 3 2" xfId="15483" xr:uid="{C97A59E4-78DA-4647-81E3-4EB7E4171788}"/>
    <cellStyle name="20% - Accent1 8 3 2 2" xfId="51825" xr:uid="{59D5E7D5-EAF3-47E7-BF37-600863B47B4E}"/>
    <cellStyle name="20% - Accent1 8 3 2 3" xfId="33229" xr:uid="{A0EEB815-E1F3-43B1-A06B-517DC1E254C6}"/>
    <cellStyle name="20% - Accent1 8 3 3" xfId="42528" xr:uid="{AF09F875-98AE-4E2E-8B80-CF8387687940}"/>
    <cellStyle name="20% - Accent1 8 3 4" xfId="23930" xr:uid="{16448831-7FEC-485B-8032-159972D19EDC}"/>
    <cellStyle name="20% - Accent1 8 4" xfId="11266" xr:uid="{4B3CE55C-FEBD-4EAD-8200-5CD31E9520D4}"/>
    <cellStyle name="20% - Accent1 8 4 2" xfId="47608" xr:uid="{FEDF10FA-D8D0-48B7-BF3B-38734D340A75}"/>
    <cellStyle name="20% - Accent1 8 4 3" xfId="29012" xr:uid="{4737C491-D7D5-4992-AF22-44E5187B78E8}"/>
    <cellStyle name="20% - Accent1 8 5" xfId="38311" xr:uid="{EFC9FC5A-88A6-4D33-ACAF-D16D6DD380FF}"/>
    <cellStyle name="20% - Accent1 8 6" xfId="19713" xr:uid="{18DCD344-AC32-40F3-AD5B-1D298FDE189D}"/>
    <cellStyle name="20% - Accent1 9" xfId="2264" xr:uid="{00000000-0005-0000-0000-00009E000000}"/>
    <cellStyle name="20% - Accent1 9 2" xfId="6570" xr:uid="{00000000-0005-0000-0000-00009F000000}"/>
    <cellStyle name="20% - Accent1 9 2 2" xfId="15896" xr:uid="{C2D6FCEE-B633-4954-AE15-0ECDFCEBE89E}"/>
    <cellStyle name="20% - Accent1 9 2 2 2" xfId="52238" xr:uid="{39280081-E221-40B9-937E-3D688EDE6004}"/>
    <cellStyle name="20% - Accent1 9 2 2 3" xfId="33642" xr:uid="{A6AB3EF3-6E79-42A0-82A2-266F1CA3AF85}"/>
    <cellStyle name="20% - Accent1 9 2 3" xfId="42941" xr:uid="{1D6C621E-E75D-4173-AA50-24861604F712}"/>
    <cellStyle name="20% - Accent1 9 2 4" xfId="24343" xr:uid="{4930239A-1EEA-41DE-BFED-DD48E90C5297}"/>
    <cellStyle name="20% - Accent1 9 3" xfId="11679" xr:uid="{C857B7C9-7E50-4E16-90DA-DD8474E6C2DC}"/>
    <cellStyle name="20% - Accent1 9 3 2" xfId="48021" xr:uid="{BDC15947-3C01-4B88-9902-310C1B5D705C}"/>
    <cellStyle name="20% - Accent1 9 3 3" xfId="29425" xr:uid="{02D884F5-ABF5-4DB3-AA8E-555637DB5E2F}"/>
    <cellStyle name="20% - Accent1 9 4" xfId="38724" xr:uid="{A6BBFB69-9111-4075-A869-34722917DC26}"/>
    <cellStyle name="20% - Accent1 9 5" xfId="20126" xr:uid="{C95A380C-6A05-4AF2-8DEC-C976B23E9496}"/>
    <cellStyle name="20% - Accent2" xfId="9" builtinId="34" customBuiltin="1"/>
    <cellStyle name="20% - Accent2 10" xfId="4512" xr:uid="{00000000-0005-0000-0000-0000A1000000}"/>
    <cellStyle name="20% - Accent2 10 2" xfId="13838" xr:uid="{4D762C48-001D-45B1-815C-AF924A2D3570}"/>
    <cellStyle name="20% - Accent2 10 2 2" xfId="50180" xr:uid="{AEA73303-4A8D-406C-B0A3-391FCB3C6116}"/>
    <cellStyle name="20% - Accent2 10 2 3" xfId="31584" xr:uid="{C3878776-A8A2-4695-9269-52509EEB5F99}"/>
    <cellStyle name="20% - Accent2 10 3" xfId="40883" xr:uid="{77C3EC46-C42C-427F-8E5B-1DC55C6E2C5E}"/>
    <cellStyle name="20% - Accent2 10 4" xfId="22285" xr:uid="{C115D2EE-39E2-4A4D-AFC1-F39076F87150}"/>
    <cellStyle name="20% - Accent2 11" xfId="8760" xr:uid="{2F9D8AF1-C115-467C-ADFB-3BF13039D076}"/>
    <cellStyle name="20% - Accent2 11 2" xfId="35830" xr:uid="{D9B52521-9C91-4F05-BEB9-60CA5E467023}"/>
    <cellStyle name="20% - Accent2 11 2 2" xfId="54425" xr:uid="{28E0D00C-E063-47D7-8CBC-E696D407DF48}"/>
    <cellStyle name="20% - Accent2 11 3" xfId="45128" xr:uid="{E601002A-D20E-457B-89DA-DE5B0B2F4DE3}"/>
    <cellStyle name="20% - Accent2 11 4" xfId="26531" xr:uid="{6E6C4C24-BA57-433F-A5ED-2F465070F3A1}"/>
    <cellStyle name="20% - Accent2 12" xfId="9621" xr:uid="{74E0202C-ABF1-4AFC-878E-9C26B1058004}"/>
    <cellStyle name="20% - Accent2 12 2" xfId="45963" xr:uid="{52AE4ADE-EA0A-43EA-A92D-269A8162C5EB}"/>
    <cellStyle name="20% - Accent2 12 3" xfId="27367" xr:uid="{016FB0A1-E67E-496F-97D2-DBF0E4E37EAA}"/>
    <cellStyle name="20% - Accent2 13" xfId="36666" xr:uid="{8772E2A3-16A3-47AC-A840-C40A9C1F8185}"/>
    <cellStyle name="20% - Accent2 14" xfId="18068" xr:uid="{8ECC9B55-E64C-4EB7-9FD7-7D77E56A405C}"/>
    <cellStyle name="20% - Accent2 2" xfId="10" xr:uid="{00000000-0005-0000-0000-0000A2000000}"/>
    <cellStyle name="20% - Accent2 2 10" xfId="8793" xr:uid="{AA7C3473-3A75-4F75-9E25-D7658C57F3A0}"/>
    <cellStyle name="20% - Accent2 2 10 2" xfId="35863" xr:uid="{91F7E6E6-4CC1-4BB6-9A81-4EC14627AA68}"/>
    <cellStyle name="20% - Accent2 2 10 2 2" xfId="54458" xr:uid="{FF161962-DE31-4C57-BADC-C3B99C6E42D9}"/>
    <cellStyle name="20% - Accent2 2 10 3" xfId="45161" xr:uid="{05D633B0-6812-4459-BA38-A24A5019B75A}"/>
    <cellStyle name="20% - Accent2 2 10 4" xfId="26564" xr:uid="{85C64606-865B-4AE1-86B8-9A45139B0E04}"/>
    <cellStyle name="20% - Accent2 2 11" xfId="9622" xr:uid="{7D62A3C2-E710-4D11-8A0A-FF0853D4192E}"/>
    <cellStyle name="20% - Accent2 2 11 2" xfId="45964" xr:uid="{5340C39B-7CE3-441E-8C19-F0998BA43A18}"/>
    <cellStyle name="20% - Accent2 2 11 3" xfId="27368" xr:uid="{9EB93187-E5E5-4193-8CFE-098158139E59}"/>
    <cellStyle name="20% - Accent2 2 12" xfId="36667" xr:uid="{7E383831-0846-4B16-AA04-5C30604B6228}"/>
    <cellStyle name="20% - Accent2 2 13" xfId="18069" xr:uid="{4CFA5F34-E1DE-4374-88E4-EA6EA77C094B}"/>
    <cellStyle name="20% - Accent2 2 2" xfId="11" xr:uid="{00000000-0005-0000-0000-0000A3000000}"/>
    <cellStyle name="20% - Accent2 2 2 10" xfId="9623" xr:uid="{F52776D5-27B3-40A9-BE41-22108DD1004D}"/>
    <cellStyle name="20% - Accent2 2 2 10 2" xfId="45965" xr:uid="{B4474E2A-FBB6-4D74-9D06-7C2F982113E4}"/>
    <cellStyle name="20% - Accent2 2 2 10 3" xfId="27369" xr:uid="{6AE0B181-A025-42F0-8EBB-EA5B1291618D}"/>
    <cellStyle name="20% - Accent2 2 2 11" xfId="36668" xr:uid="{6DBD42FB-034F-4199-BE62-EC0262ADF3DD}"/>
    <cellStyle name="20% - Accent2 2 2 12" xfId="18070" xr:uid="{7F8C0083-35B6-4AA4-A819-9CDFC2850502}"/>
    <cellStyle name="20% - Accent2 2 2 2" xfId="12" xr:uid="{00000000-0005-0000-0000-0000A4000000}"/>
    <cellStyle name="20% - Accent2 2 2 2 10" xfId="36669" xr:uid="{35F9EE07-A84E-4B60-B88F-7AE8392FC6AB}"/>
    <cellStyle name="20% - Accent2 2 2 2 11" xfId="18071" xr:uid="{FD35CA1A-5844-4B57-A774-2951C050A1B8}"/>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16400" xr:uid="{86B6F69E-0492-4B54-B6AE-F39B285DF925}"/>
    <cellStyle name="20% - Accent2 2 2 2 2 2 2 2 2" xfId="52742" xr:uid="{206921C3-30B9-4A9B-8134-49FC9C0EAEF8}"/>
    <cellStyle name="20% - Accent2 2 2 2 2 2 2 2 3" xfId="34146" xr:uid="{02BD8A8E-F000-460B-BBB1-C640EB0F6D71}"/>
    <cellStyle name="20% - Accent2 2 2 2 2 2 2 3" xfId="43445" xr:uid="{A58E915E-30AB-4C69-B3EE-D5D668C11CE8}"/>
    <cellStyle name="20% - Accent2 2 2 2 2 2 2 4" xfId="24847" xr:uid="{C67AA5EA-BCD9-41E5-902E-EA34ECF5DDF6}"/>
    <cellStyle name="20% - Accent2 2 2 2 2 2 3" xfId="12183" xr:uid="{7B359B24-1AA6-4035-8725-12F390A0C1F5}"/>
    <cellStyle name="20% - Accent2 2 2 2 2 2 3 2" xfId="48525" xr:uid="{3F1C96B9-47AF-4CE0-91B8-E1311AAA30C8}"/>
    <cellStyle name="20% - Accent2 2 2 2 2 2 3 3" xfId="29929" xr:uid="{401A5C34-B8A4-4E1A-9F19-3121CA94A406}"/>
    <cellStyle name="20% - Accent2 2 2 2 2 2 4" xfId="39228" xr:uid="{E89B536C-FA92-45F7-8439-D94593749F63}"/>
    <cellStyle name="20% - Accent2 2 2 2 2 2 5" xfId="20630" xr:uid="{A316653A-F9E0-46D1-AA80-F8BD2984A938}"/>
    <cellStyle name="20% - Accent2 2 2 2 2 3" xfId="4929" xr:uid="{00000000-0005-0000-0000-0000A8000000}"/>
    <cellStyle name="20% - Accent2 2 2 2 2 3 2" xfId="14255" xr:uid="{6D4E112B-C509-4DE5-A24C-05455422055B}"/>
    <cellStyle name="20% - Accent2 2 2 2 2 3 2 2" xfId="50597" xr:uid="{CA6F15A7-650D-4DF7-8DE9-6AB2F2567281}"/>
    <cellStyle name="20% - Accent2 2 2 2 2 3 2 3" xfId="32001" xr:uid="{1B96AE16-CCB5-407D-B84E-2FF8AB0170CC}"/>
    <cellStyle name="20% - Accent2 2 2 2 2 3 3" xfId="41300" xr:uid="{B1D7DE2A-5FF7-4675-98B8-A28EB23E8EAE}"/>
    <cellStyle name="20% - Accent2 2 2 2 2 3 4" xfId="22702" xr:uid="{B3052383-02C8-4104-8742-19E931312FD6}"/>
    <cellStyle name="20% - Accent2 2 2 2 2 4" xfId="9528" xr:uid="{C8BEA541-FD8B-4449-95AA-43E1904F35BB}"/>
    <cellStyle name="20% - Accent2 2 2 2 2 4 2" xfId="36589" xr:uid="{04EFF9B2-3C77-48A0-A0A9-4D1008070CED}"/>
    <cellStyle name="20% - Accent2 2 2 2 2 4 2 2" xfId="55183" xr:uid="{5EC4A87E-5D77-43A0-9B94-6A24751024B5}"/>
    <cellStyle name="20% - Accent2 2 2 2 2 4 3" xfId="45886" xr:uid="{E9C6A87B-F3BD-4F90-AF7C-AE634E3836C5}"/>
    <cellStyle name="20% - Accent2 2 2 2 2 4 4" xfId="27290" xr:uid="{A0BB0A4F-0382-435B-957A-40C6CE7150A4}"/>
    <cellStyle name="20% - Accent2 2 2 2 2 5" xfId="10038" xr:uid="{DD367FE1-3505-4F36-B86D-F1378DC1B467}"/>
    <cellStyle name="20% - Accent2 2 2 2 2 5 2" xfId="46380" xr:uid="{7D8D7FC6-3C5B-44D9-AB0B-45462F203763}"/>
    <cellStyle name="20% - Accent2 2 2 2 2 5 3" xfId="27784" xr:uid="{AB0E0D4D-217D-46EE-A096-E9F22738852B}"/>
    <cellStyle name="20% - Accent2 2 2 2 2 6" xfId="37083" xr:uid="{6272905D-32A5-4D49-B4F5-6841596AA990}"/>
    <cellStyle name="20% - Accent2 2 2 2 2 7" xfId="18485" xr:uid="{5E41E9A7-D13A-4F59-AAEF-312E221FA80F}"/>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16813" xr:uid="{08ACCA0D-27E6-4A51-A3D7-50758215D104}"/>
    <cellStyle name="20% - Accent2 2 2 2 3 2 2 2 2" xfId="53155" xr:uid="{D9E08554-04F0-4EBC-945F-0037AA90067E}"/>
    <cellStyle name="20% - Accent2 2 2 2 3 2 2 2 3" xfId="34559" xr:uid="{B1F08C89-AAD9-4A83-B64C-56981217FDE5}"/>
    <cellStyle name="20% - Accent2 2 2 2 3 2 2 3" xfId="43858" xr:uid="{A734EF4B-540F-4764-8C46-47963FEE7F53}"/>
    <cellStyle name="20% - Accent2 2 2 2 3 2 2 4" xfId="25260" xr:uid="{6C72E126-6A60-4B7F-836B-86257EF11EAE}"/>
    <cellStyle name="20% - Accent2 2 2 2 3 2 3" xfId="12596" xr:uid="{B92EF7E1-00A6-4AF8-BB2B-7A19FFA1BC48}"/>
    <cellStyle name="20% - Accent2 2 2 2 3 2 3 2" xfId="48938" xr:uid="{78BAD5E8-5C32-40DF-9179-FE172FDE4EE8}"/>
    <cellStyle name="20% - Accent2 2 2 2 3 2 3 3" xfId="30342" xr:uid="{1BF960E6-22EC-46AD-B940-CB05ED008C02}"/>
    <cellStyle name="20% - Accent2 2 2 2 3 2 4" xfId="39641" xr:uid="{328ED383-D4AA-42E8-81C9-BBFE0746DA8F}"/>
    <cellStyle name="20% - Accent2 2 2 2 3 2 5" xfId="21043" xr:uid="{B9E4F110-6C63-4E5C-80BB-E57EE8AE2FBB}"/>
    <cellStyle name="20% - Accent2 2 2 2 3 3" xfId="5342" xr:uid="{00000000-0005-0000-0000-0000AC000000}"/>
    <cellStyle name="20% - Accent2 2 2 2 3 3 2" xfId="14668" xr:uid="{42082CDE-E501-4896-A23D-F26591EAB6D4}"/>
    <cellStyle name="20% - Accent2 2 2 2 3 3 2 2" xfId="51010" xr:uid="{B8EE9AC8-CB38-4363-BA46-13EE941E3502}"/>
    <cellStyle name="20% - Accent2 2 2 2 3 3 2 3" xfId="32414" xr:uid="{2DDF1736-DBA8-49AF-910B-3DC1F6802384}"/>
    <cellStyle name="20% - Accent2 2 2 2 3 3 3" xfId="41713" xr:uid="{38739212-6E80-40E7-B558-DE4A6971D7B8}"/>
    <cellStyle name="20% - Accent2 2 2 2 3 3 4" xfId="23115" xr:uid="{46E075B7-3C95-4027-8F22-CE8FF42B8201}"/>
    <cellStyle name="20% - Accent2 2 2 2 3 4" xfId="10451" xr:uid="{2179E1C2-A4E9-4EA1-A5E2-68AECAE4A27A}"/>
    <cellStyle name="20% - Accent2 2 2 2 3 4 2" xfId="46793" xr:uid="{1CBE87E7-7CC4-4F68-8D4D-400FFA8136D0}"/>
    <cellStyle name="20% - Accent2 2 2 2 3 4 3" xfId="28197" xr:uid="{B8DBCF1F-CE7D-429B-9365-A88A27DDA100}"/>
    <cellStyle name="20% - Accent2 2 2 2 3 5" xfId="37496" xr:uid="{175DDB2C-37FF-4D6F-BDC3-20EF3D32BE40}"/>
    <cellStyle name="20% - Accent2 2 2 2 3 6" xfId="18898" xr:uid="{1C3B7C20-CC42-468D-A68B-D66D77A00057}"/>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17226" xr:uid="{C00980CB-1B63-4C84-AA3D-6B6CDE014D80}"/>
    <cellStyle name="20% - Accent2 2 2 2 4 2 2 2 2" xfId="53568" xr:uid="{84B1AC58-508C-48FD-BDAC-65AEB1A4DEEA}"/>
    <cellStyle name="20% - Accent2 2 2 2 4 2 2 2 3" xfId="34972" xr:uid="{1EB745EA-DEB1-4058-A693-D81E35489192}"/>
    <cellStyle name="20% - Accent2 2 2 2 4 2 2 3" xfId="44271" xr:uid="{C15895F1-4C74-4450-B7D7-66B085DE8EFB}"/>
    <cellStyle name="20% - Accent2 2 2 2 4 2 2 4" xfId="25673" xr:uid="{C86C8F00-7FAD-4E56-BEFC-B0C5B632B466}"/>
    <cellStyle name="20% - Accent2 2 2 2 4 2 3" xfId="13009" xr:uid="{771C56F3-3D35-4617-8D12-8A3DE9D5F42E}"/>
    <cellStyle name="20% - Accent2 2 2 2 4 2 3 2" xfId="49351" xr:uid="{A5DB2F4B-7A8F-47A6-8A15-51EA9EB5EC78}"/>
    <cellStyle name="20% - Accent2 2 2 2 4 2 3 3" xfId="30755" xr:uid="{1D31A0C6-D27F-4DCD-A355-F8F0D378290B}"/>
    <cellStyle name="20% - Accent2 2 2 2 4 2 4" xfId="40054" xr:uid="{41D8F7FF-87E8-4E99-B352-FD4577DD5401}"/>
    <cellStyle name="20% - Accent2 2 2 2 4 2 5" xfId="21456" xr:uid="{3B9C9D50-AB14-4325-8A24-2D75A861B097}"/>
    <cellStyle name="20% - Accent2 2 2 2 4 3" xfId="5755" xr:uid="{00000000-0005-0000-0000-0000B0000000}"/>
    <cellStyle name="20% - Accent2 2 2 2 4 3 2" xfId="15081" xr:uid="{1FBA9984-ADF6-4371-8D1F-E5D7F75BDB1B}"/>
    <cellStyle name="20% - Accent2 2 2 2 4 3 2 2" xfId="51423" xr:uid="{CC1A36A5-D980-46AC-9479-5B00645C7972}"/>
    <cellStyle name="20% - Accent2 2 2 2 4 3 2 3" xfId="32827" xr:uid="{2B14ADCE-D0F7-4064-9EE3-1BF19F37C28C}"/>
    <cellStyle name="20% - Accent2 2 2 2 4 3 3" xfId="42126" xr:uid="{4BBC23CA-3B0C-464A-B4EB-5E0F752E7E50}"/>
    <cellStyle name="20% - Accent2 2 2 2 4 3 4" xfId="23528" xr:uid="{8C292813-663F-4559-BC1C-27918D9DE91F}"/>
    <cellStyle name="20% - Accent2 2 2 2 4 4" xfId="10864" xr:uid="{921B8916-807E-4D1C-ACB9-232C15B21E9A}"/>
    <cellStyle name="20% - Accent2 2 2 2 4 4 2" xfId="47206" xr:uid="{BE960023-4D96-4775-956D-07F1D781627F}"/>
    <cellStyle name="20% - Accent2 2 2 2 4 4 3" xfId="28610" xr:uid="{31189DE6-EBB5-41E6-B53D-4CB6C2238429}"/>
    <cellStyle name="20% - Accent2 2 2 2 4 5" xfId="37909" xr:uid="{78C620E7-96E9-4B4D-AF7A-5878F8F4E364}"/>
    <cellStyle name="20% - Accent2 2 2 2 4 6" xfId="19311" xr:uid="{6DE66336-08E6-4B8E-B6B4-02C05B15F1E1}"/>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17639" xr:uid="{E162C322-D2ED-4025-8DB0-C81FE3823AF6}"/>
    <cellStyle name="20% - Accent2 2 2 2 5 2 2 2 2" xfId="53981" xr:uid="{03ABC5FE-0273-44C2-A7CF-DB5BA1D364D1}"/>
    <cellStyle name="20% - Accent2 2 2 2 5 2 2 2 3" xfId="35385" xr:uid="{BAF0CA02-BF63-4EF7-8C8A-AF259CE70864}"/>
    <cellStyle name="20% - Accent2 2 2 2 5 2 2 3" xfId="44684" xr:uid="{76804AE6-7319-4BF9-8B84-BF7B15F22559}"/>
    <cellStyle name="20% - Accent2 2 2 2 5 2 2 4" xfId="26086" xr:uid="{64095345-BA5E-46D5-96D4-B6504377CA9D}"/>
    <cellStyle name="20% - Accent2 2 2 2 5 2 3" xfId="13422" xr:uid="{2FCF91C3-7885-4D93-BACA-3E0EE32FE868}"/>
    <cellStyle name="20% - Accent2 2 2 2 5 2 3 2" xfId="49764" xr:uid="{16B077D5-AF75-49CC-8A24-711A13119B49}"/>
    <cellStyle name="20% - Accent2 2 2 2 5 2 3 3" xfId="31168" xr:uid="{E4B4AAB7-C19A-4FE6-85A3-9D686EE33BF2}"/>
    <cellStyle name="20% - Accent2 2 2 2 5 2 4" xfId="40467" xr:uid="{D416FAF5-81D8-431B-8E48-8A59746D80F4}"/>
    <cellStyle name="20% - Accent2 2 2 2 5 2 5" xfId="21869" xr:uid="{86B50E57-BF7B-4604-B1E8-1066FC8CE27E}"/>
    <cellStyle name="20% - Accent2 2 2 2 5 3" xfId="6168" xr:uid="{00000000-0005-0000-0000-0000B4000000}"/>
    <cellStyle name="20% - Accent2 2 2 2 5 3 2" xfId="15494" xr:uid="{CBD1DB58-AF5A-49C7-8B4D-96F447060E01}"/>
    <cellStyle name="20% - Accent2 2 2 2 5 3 2 2" xfId="51836" xr:uid="{B384D30D-9938-4707-98FD-E3B6E10B3766}"/>
    <cellStyle name="20% - Accent2 2 2 2 5 3 2 3" xfId="33240" xr:uid="{D19AB348-C8EA-4086-9EF5-407EBC552010}"/>
    <cellStyle name="20% - Accent2 2 2 2 5 3 3" xfId="42539" xr:uid="{6AD36AC3-F0AD-4F49-B8BB-A9E92E432FB9}"/>
    <cellStyle name="20% - Accent2 2 2 2 5 3 4" xfId="23941" xr:uid="{3F406DC6-C3E0-4D15-8163-95EF3290800B}"/>
    <cellStyle name="20% - Accent2 2 2 2 5 4" xfId="11277" xr:uid="{3AD5F0D1-72E8-4617-907F-3980B8A575D6}"/>
    <cellStyle name="20% - Accent2 2 2 2 5 4 2" xfId="47619" xr:uid="{1B1D1E2A-DA2D-4814-BCE7-17D442A7FD31}"/>
    <cellStyle name="20% - Accent2 2 2 2 5 4 3" xfId="29023" xr:uid="{AA6215EE-795A-4E0F-A081-CF3C364E4AAA}"/>
    <cellStyle name="20% - Accent2 2 2 2 5 5" xfId="38322" xr:uid="{2B289DF4-A3A8-42B0-81B6-AC5CF6CE765E}"/>
    <cellStyle name="20% - Accent2 2 2 2 5 6" xfId="19724" xr:uid="{3CF8880C-E89E-4E3F-A0B1-1602511726AF}"/>
    <cellStyle name="20% - Accent2 2 2 2 6" xfId="2275" xr:uid="{00000000-0005-0000-0000-0000B5000000}"/>
    <cellStyle name="20% - Accent2 2 2 2 6 2" xfId="6581" xr:uid="{00000000-0005-0000-0000-0000B6000000}"/>
    <cellStyle name="20% - Accent2 2 2 2 6 2 2" xfId="15907" xr:uid="{A29830BD-884E-4E3B-B821-39C2675F6F30}"/>
    <cellStyle name="20% - Accent2 2 2 2 6 2 2 2" xfId="52249" xr:uid="{0074579D-10EC-43D0-9DE4-3047ACB7934F}"/>
    <cellStyle name="20% - Accent2 2 2 2 6 2 2 3" xfId="33653" xr:uid="{9C473B1B-CFFA-4B60-B0EE-79E9B019DDEC}"/>
    <cellStyle name="20% - Accent2 2 2 2 6 2 3" xfId="42952" xr:uid="{2F2E5A48-ADC8-4BA7-9D63-9630A2168A0A}"/>
    <cellStyle name="20% - Accent2 2 2 2 6 2 4" xfId="24354" xr:uid="{8739E7A9-B2C2-45C1-8CA4-97BE8BA5C65A}"/>
    <cellStyle name="20% - Accent2 2 2 2 6 3" xfId="11690" xr:uid="{46D27885-EE78-4B5A-9F45-C5F8FD679E36}"/>
    <cellStyle name="20% - Accent2 2 2 2 6 3 2" xfId="48032" xr:uid="{19A4CCE2-D4E1-4A44-BC96-F454C6D00672}"/>
    <cellStyle name="20% - Accent2 2 2 2 6 3 3" xfId="29436" xr:uid="{00EA25FA-AA97-4DC3-8DA9-DB4DF975DB8B}"/>
    <cellStyle name="20% - Accent2 2 2 2 6 4" xfId="38735" xr:uid="{18D37C98-0B32-46DA-A42D-CC270441B55E}"/>
    <cellStyle name="20% - Accent2 2 2 2 6 5" xfId="20137" xr:uid="{3E077345-3BBA-4EE0-B89C-B8EE5950F57C}"/>
    <cellStyle name="20% - Accent2 2 2 2 7" xfId="4515" xr:uid="{00000000-0005-0000-0000-0000B7000000}"/>
    <cellStyle name="20% - Accent2 2 2 2 7 2" xfId="13841" xr:uid="{122D5117-C1F3-495C-A38A-1AF7D421F037}"/>
    <cellStyle name="20% - Accent2 2 2 2 7 2 2" xfId="50183" xr:uid="{ABBCB238-B100-42DF-874D-0A51DDFBB3BF}"/>
    <cellStyle name="20% - Accent2 2 2 2 7 2 3" xfId="31587" xr:uid="{2860CA98-6CE2-48EC-BA5F-92C41A5BE01B}"/>
    <cellStyle name="20% - Accent2 2 2 2 7 3" xfId="40886" xr:uid="{91B7DE91-853D-4ACB-B45A-C1E2B7CD78AF}"/>
    <cellStyle name="20% - Accent2 2 2 2 7 4" xfId="22288" xr:uid="{2F2C8D1D-40D0-4A4E-881F-499A68F8E4BD}"/>
    <cellStyle name="20% - Accent2 2 2 2 8" xfId="9103" xr:uid="{91DB80A1-3464-4086-B948-71B6A26537C4}"/>
    <cellStyle name="20% - Accent2 2 2 2 8 2" xfId="36173" xr:uid="{01570824-E659-4C2B-BC45-E2F113B86CF7}"/>
    <cellStyle name="20% - Accent2 2 2 2 8 2 2" xfId="54768" xr:uid="{B9E42859-4AED-43F0-9517-4384C8C18449}"/>
    <cellStyle name="20% - Accent2 2 2 2 8 3" xfId="45471" xr:uid="{36A9EF41-1588-4ADB-91F3-F9DB9B7E7E5A}"/>
    <cellStyle name="20% - Accent2 2 2 2 8 4" xfId="26874" xr:uid="{ED73B534-E505-4D7C-BD49-759C2BE39407}"/>
    <cellStyle name="20% - Accent2 2 2 2 9" xfId="9624" xr:uid="{11A4F426-2111-412A-96FA-A75833E717E5}"/>
    <cellStyle name="20% - Accent2 2 2 2 9 2" xfId="45966" xr:uid="{BC7F08D4-13ED-4606-A2CE-7A25C4DEFA6C}"/>
    <cellStyle name="20% - Accent2 2 2 2 9 3" xfId="27370" xr:uid="{0A01EF4A-546A-4537-A498-2D350778ED5C}"/>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16399" xr:uid="{26FB2F0E-AAEB-4A75-924D-5599CB543EB9}"/>
    <cellStyle name="20% - Accent2 2 2 3 2 2 2 2" xfId="52741" xr:uid="{0B475933-07BA-4A56-8A50-43A9BA037274}"/>
    <cellStyle name="20% - Accent2 2 2 3 2 2 2 3" xfId="34145" xr:uid="{4BF74B94-DA1D-49AA-8DE9-0F7FC7FC1A10}"/>
    <cellStyle name="20% - Accent2 2 2 3 2 2 3" xfId="43444" xr:uid="{34A3BC6A-DAAA-4EDA-93C3-4F51263E6CDE}"/>
    <cellStyle name="20% - Accent2 2 2 3 2 2 4" xfId="24846" xr:uid="{8E8CBE46-3187-4111-B750-5F128C412CBC}"/>
    <cellStyle name="20% - Accent2 2 2 3 2 3" xfId="12182" xr:uid="{5DF6096A-EBFF-43F9-A1EF-8A17CC7015BF}"/>
    <cellStyle name="20% - Accent2 2 2 3 2 3 2" xfId="48524" xr:uid="{D6187C4C-E927-44B6-B20E-E17981E070EC}"/>
    <cellStyle name="20% - Accent2 2 2 3 2 3 3" xfId="29928" xr:uid="{514C61F8-4379-4902-A8F3-CE697F76F970}"/>
    <cellStyle name="20% - Accent2 2 2 3 2 4" xfId="39227" xr:uid="{43177031-E136-4CC7-8C40-3CEC465D57CD}"/>
    <cellStyle name="20% - Accent2 2 2 3 2 5" xfId="20629" xr:uid="{0B574620-307B-4C0C-9C87-FCB5641A694C}"/>
    <cellStyle name="20% - Accent2 2 2 3 3" xfId="4928" xr:uid="{00000000-0005-0000-0000-0000BB000000}"/>
    <cellStyle name="20% - Accent2 2 2 3 3 2" xfId="14254" xr:uid="{ACD6D529-9832-4137-9394-C6BC46EDEB98}"/>
    <cellStyle name="20% - Accent2 2 2 3 3 2 2" xfId="50596" xr:uid="{DE321CDF-5975-4CA2-9F94-CA02EE816F52}"/>
    <cellStyle name="20% - Accent2 2 2 3 3 2 3" xfId="32000" xr:uid="{6F7DAE89-EAF0-499F-9B1D-4463DA1DFF8C}"/>
    <cellStyle name="20% - Accent2 2 2 3 3 3" xfId="41299" xr:uid="{2DCF932D-0597-49EA-A51E-22E77566864B}"/>
    <cellStyle name="20% - Accent2 2 2 3 3 4" xfId="22701" xr:uid="{3E4DF292-A0D5-4AB7-A828-A15D680A085C}"/>
    <cellStyle name="20% - Accent2 2 2 3 4" xfId="9321" xr:uid="{32B21C3A-E360-4F19-B469-1116F045A0F3}"/>
    <cellStyle name="20% - Accent2 2 2 3 4 2" xfId="36382" xr:uid="{C952CB6B-7A50-447D-BCB4-39CE37A55E32}"/>
    <cellStyle name="20% - Accent2 2 2 3 4 2 2" xfId="54976" xr:uid="{A5261393-07ED-44A8-8413-0D749FCE9482}"/>
    <cellStyle name="20% - Accent2 2 2 3 4 3" xfId="45679" xr:uid="{9AA07314-94F1-4118-8304-37172F2DB9C2}"/>
    <cellStyle name="20% - Accent2 2 2 3 4 4" xfId="27083" xr:uid="{A8DD4D85-BC08-4129-B502-EB32D642BBE3}"/>
    <cellStyle name="20% - Accent2 2 2 3 5" xfId="10037" xr:uid="{F3B08192-6D1F-4010-8CC9-07A390FD1FA2}"/>
    <cellStyle name="20% - Accent2 2 2 3 5 2" xfId="46379" xr:uid="{CB70C842-BC03-469C-8B73-617757F8E41D}"/>
    <cellStyle name="20% - Accent2 2 2 3 5 3" xfId="27783" xr:uid="{82C58F5D-08F6-4DCE-9C58-B5B12AE16F27}"/>
    <cellStyle name="20% - Accent2 2 2 3 6" xfId="37082" xr:uid="{615F57E8-AED2-4F06-BD70-6134458B9FC7}"/>
    <cellStyle name="20% - Accent2 2 2 3 7" xfId="18484" xr:uid="{FC06ECE6-0624-4F18-B07A-7F3FBFECCB98}"/>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16812" xr:uid="{B0091FFB-7C01-4272-8929-B25A78109FB0}"/>
    <cellStyle name="20% - Accent2 2 2 4 2 2 2 2" xfId="53154" xr:uid="{B8F09707-188C-4BD2-8D2E-374AA122FF9D}"/>
    <cellStyle name="20% - Accent2 2 2 4 2 2 2 3" xfId="34558" xr:uid="{7CCE1AAC-52E4-42AF-B15C-DE5AA528B82C}"/>
    <cellStyle name="20% - Accent2 2 2 4 2 2 3" xfId="43857" xr:uid="{E8FE7E85-49DB-4458-83F9-EB440B8F2DE9}"/>
    <cellStyle name="20% - Accent2 2 2 4 2 2 4" xfId="25259" xr:uid="{5662A794-B538-4062-BA6B-E0371928328B}"/>
    <cellStyle name="20% - Accent2 2 2 4 2 3" xfId="12595" xr:uid="{691FC3C0-F893-4582-9B5B-C0255210E218}"/>
    <cellStyle name="20% - Accent2 2 2 4 2 3 2" xfId="48937" xr:uid="{138B491F-5018-4FA8-91CC-4D24BCE1DE91}"/>
    <cellStyle name="20% - Accent2 2 2 4 2 3 3" xfId="30341" xr:uid="{0C6DE3DE-F4D6-4FC7-ADFF-84E2E4728BC7}"/>
    <cellStyle name="20% - Accent2 2 2 4 2 4" xfId="39640" xr:uid="{0859651F-D8A9-435B-8FCE-7FC177D09F3A}"/>
    <cellStyle name="20% - Accent2 2 2 4 2 5" xfId="21042" xr:uid="{A68C41F5-1676-4486-BF8E-EF4101FD036A}"/>
    <cellStyle name="20% - Accent2 2 2 4 3" xfId="5341" xr:uid="{00000000-0005-0000-0000-0000BF000000}"/>
    <cellStyle name="20% - Accent2 2 2 4 3 2" xfId="14667" xr:uid="{232D668D-43BB-4288-BB0B-2D1F48252C6B}"/>
    <cellStyle name="20% - Accent2 2 2 4 3 2 2" xfId="51009" xr:uid="{5A26623D-AB18-4F42-AF97-855A695E220F}"/>
    <cellStyle name="20% - Accent2 2 2 4 3 2 3" xfId="32413" xr:uid="{F8C52DD5-5A25-47DB-B3F6-81AF1CF98BFE}"/>
    <cellStyle name="20% - Accent2 2 2 4 3 3" xfId="41712" xr:uid="{1143E0CE-3A18-4D8F-8888-621E39AD93E1}"/>
    <cellStyle name="20% - Accent2 2 2 4 3 4" xfId="23114" xr:uid="{9AFFFE53-9DC4-4EC4-BA6F-40280A1171EE}"/>
    <cellStyle name="20% - Accent2 2 2 4 4" xfId="10450" xr:uid="{A0FB5962-D359-436D-A140-72E722FBF339}"/>
    <cellStyle name="20% - Accent2 2 2 4 4 2" xfId="46792" xr:uid="{01842823-9491-4D74-BBB5-ED3DC4BE8C6A}"/>
    <cellStyle name="20% - Accent2 2 2 4 4 3" xfId="28196" xr:uid="{D639C9C4-92FB-437B-BD8D-B15AA043FA60}"/>
    <cellStyle name="20% - Accent2 2 2 4 5" xfId="37495" xr:uid="{EE261A9D-742B-45F1-9327-11BE4B56F1A2}"/>
    <cellStyle name="20% - Accent2 2 2 4 6" xfId="18897" xr:uid="{F388616A-0F4C-4A98-9172-B3FCDA8256D7}"/>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17225" xr:uid="{E4BFEF69-45FD-4791-B9FA-60CD1A8DBED0}"/>
    <cellStyle name="20% - Accent2 2 2 5 2 2 2 2" xfId="53567" xr:uid="{0C300624-0616-4933-96B4-2AC24DAACA8F}"/>
    <cellStyle name="20% - Accent2 2 2 5 2 2 2 3" xfId="34971" xr:uid="{6AC0B4CB-1B85-435A-914C-7F8CB9760377}"/>
    <cellStyle name="20% - Accent2 2 2 5 2 2 3" xfId="44270" xr:uid="{ED8C677B-0C65-4FF5-9171-A58D5B5084F1}"/>
    <cellStyle name="20% - Accent2 2 2 5 2 2 4" xfId="25672" xr:uid="{0F6CEF7C-041C-49F5-83C8-179B5037339F}"/>
    <cellStyle name="20% - Accent2 2 2 5 2 3" xfId="13008" xr:uid="{EC2D4AF3-8AA5-4214-85EF-8A62EB438E7C}"/>
    <cellStyle name="20% - Accent2 2 2 5 2 3 2" xfId="49350" xr:uid="{BAC3C094-2A2B-4B72-A0C8-8E9F2CB689BC}"/>
    <cellStyle name="20% - Accent2 2 2 5 2 3 3" xfId="30754" xr:uid="{9480D946-E7C2-48B9-9160-E1975C504729}"/>
    <cellStyle name="20% - Accent2 2 2 5 2 4" xfId="40053" xr:uid="{29D690B5-8FD5-4D0A-9A9C-9F6902058A7B}"/>
    <cellStyle name="20% - Accent2 2 2 5 2 5" xfId="21455" xr:uid="{C7095828-EEA6-4DE5-8812-2FBCEA9F9F1B}"/>
    <cellStyle name="20% - Accent2 2 2 5 3" xfId="5754" xr:uid="{00000000-0005-0000-0000-0000C3000000}"/>
    <cellStyle name="20% - Accent2 2 2 5 3 2" xfId="15080" xr:uid="{0E0ADCE0-2EC0-47F0-97FA-628F0B5C28AB}"/>
    <cellStyle name="20% - Accent2 2 2 5 3 2 2" xfId="51422" xr:uid="{74E684B6-8681-4C2A-975C-F00194E768FA}"/>
    <cellStyle name="20% - Accent2 2 2 5 3 2 3" xfId="32826" xr:uid="{8A67E12D-4ADD-4DCC-BEF8-660829E4D778}"/>
    <cellStyle name="20% - Accent2 2 2 5 3 3" xfId="42125" xr:uid="{8EA5F3ED-6E70-4086-801E-843C3A154864}"/>
    <cellStyle name="20% - Accent2 2 2 5 3 4" xfId="23527" xr:uid="{2E67249E-5E2C-428E-807A-5BFE394DF0F9}"/>
    <cellStyle name="20% - Accent2 2 2 5 4" xfId="10863" xr:uid="{66E966D9-DAEE-48A6-84D3-10700B8C816B}"/>
    <cellStyle name="20% - Accent2 2 2 5 4 2" xfId="47205" xr:uid="{CBA14DAA-4B76-4885-9D58-A40659BF1606}"/>
    <cellStyle name="20% - Accent2 2 2 5 4 3" xfId="28609" xr:uid="{B71E1348-741B-417B-9CAF-18459645F05D}"/>
    <cellStyle name="20% - Accent2 2 2 5 5" xfId="37908" xr:uid="{7F7A9FF3-90E7-4514-9BE4-C6782F86F240}"/>
    <cellStyle name="20% - Accent2 2 2 5 6" xfId="19310" xr:uid="{0D4B358B-46BF-40D1-90CD-5FB3AC89F8EB}"/>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17638" xr:uid="{E9AAD61D-FFF8-4A0A-8087-986CC986A622}"/>
    <cellStyle name="20% - Accent2 2 2 6 2 2 2 2" xfId="53980" xr:uid="{14812DE9-8EA7-44E3-A719-A57011D624B3}"/>
    <cellStyle name="20% - Accent2 2 2 6 2 2 2 3" xfId="35384" xr:uid="{F23A2D33-26B1-4800-A8A8-411615F306E5}"/>
    <cellStyle name="20% - Accent2 2 2 6 2 2 3" xfId="44683" xr:uid="{374CC0F9-C6DC-4626-BC4C-6A0634428F87}"/>
    <cellStyle name="20% - Accent2 2 2 6 2 2 4" xfId="26085" xr:uid="{198FDEF8-4908-4A3C-A924-2E6A55EF3C0E}"/>
    <cellStyle name="20% - Accent2 2 2 6 2 3" xfId="13421" xr:uid="{AA587099-E802-49E4-9896-5F16A1932257}"/>
    <cellStyle name="20% - Accent2 2 2 6 2 3 2" xfId="49763" xr:uid="{2B88CDB8-03EE-42DA-AC07-83731A510F13}"/>
    <cellStyle name="20% - Accent2 2 2 6 2 3 3" xfId="31167" xr:uid="{3A61DB70-6FE1-485E-B771-0A21D60D57DC}"/>
    <cellStyle name="20% - Accent2 2 2 6 2 4" xfId="40466" xr:uid="{40D0EDD0-3B74-42FA-9824-A853ED5F6BFE}"/>
    <cellStyle name="20% - Accent2 2 2 6 2 5" xfId="21868" xr:uid="{7C6B3E90-DB37-4A32-B99E-2C211571E1BE}"/>
    <cellStyle name="20% - Accent2 2 2 6 3" xfId="6167" xr:uid="{00000000-0005-0000-0000-0000C7000000}"/>
    <cellStyle name="20% - Accent2 2 2 6 3 2" xfId="15493" xr:uid="{E72F7B16-EC92-491E-8CE5-BDC3AA090988}"/>
    <cellStyle name="20% - Accent2 2 2 6 3 2 2" xfId="51835" xr:uid="{E223A3C9-01C6-438C-8C02-F232BDC1F8D7}"/>
    <cellStyle name="20% - Accent2 2 2 6 3 2 3" xfId="33239" xr:uid="{20A7B7CA-47CE-4DCA-ACA7-1E545573C943}"/>
    <cellStyle name="20% - Accent2 2 2 6 3 3" xfId="42538" xr:uid="{67904DFD-4946-40B0-971E-A9B7C764FB93}"/>
    <cellStyle name="20% - Accent2 2 2 6 3 4" xfId="23940" xr:uid="{44E27E86-9E8C-4509-9C20-CD5DD930818C}"/>
    <cellStyle name="20% - Accent2 2 2 6 4" xfId="11276" xr:uid="{0F48E98E-D629-4B55-B006-E97D92284A81}"/>
    <cellStyle name="20% - Accent2 2 2 6 4 2" xfId="47618" xr:uid="{2672E50F-A9EE-41EF-9912-DD44943DDFC3}"/>
    <cellStyle name="20% - Accent2 2 2 6 4 3" xfId="29022" xr:uid="{D9774811-6FE9-4672-98AF-3DD56E1FB639}"/>
    <cellStyle name="20% - Accent2 2 2 6 5" xfId="38321" xr:uid="{B6E5F744-92EE-4B46-9EB5-7D274B049F97}"/>
    <cellStyle name="20% - Accent2 2 2 6 6" xfId="19723" xr:uid="{92D7F7CE-6B74-496D-9B18-CD059F8C9D1D}"/>
    <cellStyle name="20% - Accent2 2 2 7" xfId="2274" xr:uid="{00000000-0005-0000-0000-0000C8000000}"/>
    <cellStyle name="20% - Accent2 2 2 7 2" xfId="6580" xr:uid="{00000000-0005-0000-0000-0000C9000000}"/>
    <cellStyle name="20% - Accent2 2 2 7 2 2" xfId="15906" xr:uid="{2F930352-AE26-4190-9CF0-00061F5DC4C2}"/>
    <cellStyle name="20% - Accent2 2 2 7 2 2 2" xfId="52248" xr:uid="{6547A900-42F6-49A8-8DF9-2AAFFEECBAF1}"/>
    <cellStyle name="20% - Accent2 2 2 7 2 2 3" xfId="33652" xr:uid="{D822705D-5402-46B9-91A5-742B92AA4295}"/>
    <cellStyle name="20% - Accent2 2 2 7 2 3" xfId="42951" xr:uid="{877734DA-4665-4104-B543-5575A2A83388}"/>
    <cellStyle name="20% - Accent2 2 2 7 2 4" xfId="24353" xr:uid="{03647B62-D87A-4839-A4D1-0470655263EF}"/>
    <cellStyle name="20% - Accent2 2 2 7 3" xfId="11689" xr:uid="{276D2AD3-ADB7-4E0A-8B0F-91B0791C49AD}"/>
    <cellStyle name="20% - Accent2 2 2 7 3 2" xfId="48031" xr:uid="{17E95CE1-E84B-4051-8B31-7D224B30E09F}"/>
    <cellStyle name="20% - Accent2 2 2 7 3 3" xfId="29435" xr:uid="{2E0356CA-2737-400E-8932-3F3C8C13D523}"/>
    <cellStyle name="20% - Accent2 2 2 7 4" xfId="38734" xr:uid="{8DCBE00F-6105-4C91-B165-8E85CB9D81F3}"/>
    <cellStyle name="20% - Accent2 2 2 7 5" xfId="20136" xr:uid="{01985A92-413F-44EB-B3C2-500B6192644D}"/>
    <cellStyle name="20% - Accent2 2 2 8" xfId="4514" xr:uid="{00000000-0005-0000-0000-0000CA000000}"/>
    <cellStyle name="20% - Accent2 2 2 8 2" xfId="13840" xr:uid="{A4EAADCF-0A5F-4D63-8E54-F660961C12B3}"/>
    <cellStyle name="20% - Accent2 2 2 8 2 2" xfId="50182" xr:uid="{043766F5-3E5C-4F6F-BDCE-FF7D7333B18C}"/>
    <cellStyle name="20% - Accent2 2 2 8 2 3" xfId="31586" xr:uid="{4104F04C-DC19-44A5-8D19-212EE6BCFCFB}"/>
    <cellStyle name="20% - Accent2 2 2 8 3" xfId="40885" xr:uid="{F89B95F5-ED9C-420E-817E-B6E8F82AC65C}"/>
    <cellStyle name="20% - Accent2 2 2 8 4" xfId="22287" xr:uid="{0F00D660-6478-4A25-AEAC-B12E35CCEE90}"/>
    <cellStyle name="20% - Accent2 2 2 9" xfId="8896" xr:uid="{7CDAA0F1-5BE6-4749-AD4D-5424E0EA26D8}"/>
    <cellStyle name="20% - Accent2 2 2 9 2" xfId="35966" xr:uid="{2A0E53A0-4232-4330-8521-D5DD92E19677}"/>
    <cellStyle name="20% - Accent2 2 2 9 2 2" xfId="54561" xr:uid="{86840740-EA32-484C-B363-41402BE071FF}"/>
    <cellStyle name="20% - Accent2 2 2 9 3" xfId="45264" xr:uid="{E9D83868-330B-464B-A52D-F95884E9CC98}"/>
    <cellStyle name="20% - Accent2 2 2 9 4" xfId="26667" xr:uid="{FDC19F6C-369B-412F-94B9-4BA3434E8573}"/>
    <cellStyle name="20% - Accent2 2 3" xfId="13" xr:uid="{00000000-0005-0000-0000-0000CB000000}"/>
    <cellStyle name="20% - Accent2 2 3 10" xfId="36670" xr:uid="{61AA17AB-C0A7-428B-B6B1-E9062924556E}"/>
    <cellStyle name="20% - Accent2 2 3 11" xfId="18072" xr:uid="{C4F03031-6B17-4FEE-8AD2-19F10861942D}"/>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16401" xr:uid="{877B733D-FC76-4000-A210-9A0748A27648}"/>
    <cellStyle name="20% - Accent2 2 3 2 2 2 2 2" xfId="52743" xr:uid="{0308E0AB-78EF-4FE8-8DBB-0DA8993DE627}"/>
    <cellStyle name="20% - Accent2 2 3 2 2 2 2 3" xfId="34147" xr:uid="{0D4E5DF8-1AFC-4B53-84F1-8129EE5166F6}"/>
    <cellStyle name="20% - Accent2 2 3 2 2 2 3" xfId="43446" xr:uid="{E9B62646-78FB-4D86-87C9-85D75D626E49}"/>
    <cellStyle name="20% - Accent2 2 3 2 2 2 4" xfId="24848" xr:uid="{A52545D2-871E-47AF-A7FD-AC098188A19C}"/>
    <cellStyle name="20% - Accent2 2 3 2 2 3" xfId="12184" xr:uid="{389B0707-D213-41D2-9AE3-680D28D53F01}"/>
    <cellStyle name="20% - Accent2 2 3 2 2 3 2" xfId="48526" xr:uid="{059D126D-73E2-44A2-A191-D6A5B43E216B}"/>
    <cellStyle name="20% - Accent2 2 3 2 2 3 3" xfId="29930" xr:uid="{352D9571-73A6-424B-ACA6-763742BC9135}"/>
    <cellStyle name="20% - Accent2 2 3 2 2 4" xfId="39229" xr:uid="{CC113B73-66E7-4077-B4EF-073C8A290AC9}"/>
    <cellStyle name="20% - Accent2 2 3 2 2 5" xfId="20631" xr:uid="{C6B61FAA-9C08-417D-8423-F53BB21F4D09}"/>
    <cellStyle name="20% - Accent2 2 3 2 3" xfId="4930" xr:uid="{00000000-0005-0000-0000-0000CF000000}"/>
    <cellStyle name="20% - Accent2 2 3 2 3 2" xfId="14256" xr:uid="{FD1C70BB-3EBB-4E7D-9E28-28EF26CBC55E}"/>
    <cellStyle name="20% - Accent2 2 3 2 3 2 2" xfId="50598" xr:uid="{377D9FC5-A83C-4083-9BAD-352B44B29717}"/>
    <cellStyle name="20% - Accent2 2 3 2 3 2 3" xfId="32002" xr:uid="{AD5BEF40-0778-4AFC-8368-4548A5CAA386}"/>
    <cellStyle name="20% - Accent2 2 3 2 3 3" xfId="41301" xr:uid="{47C8C6D9-68AA-4366-A3BF-74F6668B8BFE}"/>
    <cellStyle name="20% - Accent2 2 3 2 3 4" xfId="22703" xr:uid="{9C3034FD-83C1-4BC8-BAE3-E342A2F8FDCE}"/>
    <cellStyle name="20% - Accent2 2 3 2 4" xfId="9425" xr:uid="{35BECFF4-0F5A-4F6E-AE6E-354891135B4F}"/>
    <cellStyle name="20% - Accent2 2 3 2 4 2" xfId="36486" xr:uid="{FE6D6540-84AF-4DDD-9490-D6ED9D1509C1}"/>
    <cellStyle name="20% - Accent2 2 3 2 4 2 2" xfId="55080" xr:uid="{B78076F4-96D7-4105-BD88-53B903B405C8}"/>
    <cellStyle name="20% - Accent2 2 3 2 4 3" xfId="45783" xr:uid="{07D70295-F28F-4884-BC7E-5E04D717175C}"/>
    <cellStyle name="20% - Accent2 2 3 2 4 4" xfId="27187" xr:uid="{A80732DE-9F05-4106-9B73-6961F7D9C19E}"/>
    <cellStyle name="20% - Accent2 2 3 2 5" xfId="10039" xr:uid="{D95823CE-6BC0-4B7C-84E2-9291F6F78ACB}"/>
    <cellStyle name="20% - Accent2 2 3 2 5 2" xfId="46381" xr:uid="{BC04A3F3-D567-4530-BCB6-D865073E6365}"/>
    <cellStyle name="20% - Accent2 2 3 2 5 3" xfId="27785" xr:uid="{EE80BEE4-A00B-495F-B273-327DABE421E7}"/>
    <cellStyle name="20% - Accent2 2 3 2 6" xfId="37084" xr:uid="{BA5201BC-C10E-42E6-A815-D3427FC1021A}"/>
    <cellStyle name="20% - Accent2 2 3 2 7" xfId="18486" xr:uid="{B83C2156-0A67-46C4-8AA2-4615DF3B92DF}"/>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16814" xr:uid="{91E7B8CF-754B-487C-9FCD-131CEDDD2FF8}"/>
    <cellStyle name="20% - Accent2 2 3 3 2 2 2 2" xfId="53156" xr:uid="{C62BF5AD-A3E3-4A47-93CC-597D4EBAD6B6}"/>
    <cellStyle name="20% - Accent2 2 3 3 2 2 2 3" xfId="34560" xr:uid="{F8080647-9798-4471-8EB4-F949AC534457}"/>
    <cellStyle name="20% - Accent2 2 3 3 2 2 3" xfId="43859" xr:uid="{82C1C6EC-1D97-47C6-89A3-76E90EB2EEB4}"/>
    <cellStyle name="20% - Accent2 2 3 3 2 2 4" xfId="25261" xr:uid="{41758DB2-B676-4BBE-BF58-4E9A829CC378}"/>
    <cellStyle name="20% - Accent2 2 3 3 2 3" xfId="12597" xr:uid="{31E2673A-3F7B-48B9-A3EF-B06ED2798030}"/>
    <cellStyle name="20% - Accent2 2 3 3 2 3 2" xfId="48939" xr:uid="{22E563DE-31BA-4797-A82A-37F38602CDDB}"/>
    <cellStyle name="20% - Accent2 2 3 3 2 3 3" xfId="30343" xr:uid="{776A867A-593D-4777-ACBF-344388344553}"/>
    <cellStyle name="20% - Accent2 2 3 3 2 4" xfId="39642" xr:uid="{4CE21118-4FEE-4CE5-BB3C-7EB38D848223}"/>
    <cellStyle name="20% - Accent2 2 3 3 2 5" xfId="21044" xr:uid="{05D6FB01-B33B-4AF9-9410-EFFBCA7328EE}"/>
    <cellStyle name="20% - Accent2 2 3 3 3" xfId="5343" xr:uid="{00000000-0005-0000-0000-0000D3000000}"/>
    <cellStyle name="20% - Accent2 2 3 3 3 2" xfId="14669" xr:uid="{68B6679D-FD73-41E1-B0C8-9D3AC35C2452}"/>
    <cellStyle name="20% - Accent2 2 3 3 3 2 2" xfId="51011" xr:uid="{D104C7E1-8556-4934-A53D-C4EBBD34C15C}"/>
    <cellStyle name="20% - Accent2 2 3 3 3 2 3" xfId="32415" xr:uid="{2BE6071F-ED53-4DB1-A0DD-68AFE5285796}"/>
    <cellStyle name="20% - Accent2 2 3 3 3 3" xfId="41714" xr:uid="{0683F700-49E1-40C0-BB0D-615365B45BA2}"/>
    <cellStyle name="20% - Accent2 2 3 3 3 4" xfId="23116" xr:uid="{F5D77E20-298B-4CBB-8447-DB98A39F4694}"/>
    <cellStyle name="20% - Accent2 2 3 3 4" xfId="10452" xr:uid="{A0E0E3F5-7439-48D3-8BFF-41CD9B62263B}"/>
    <cellStyle name="20% - Accent2 2 3 3 4 2" xfId="46794" xr:uid="{FF577234-F955-4FB2-AABD-0ED862560F83}"/>
    <cellStyle name="20% - Accent2 2 3 3 4 3" xfId="28198" xr:uid="{A9A5B71A-1AB1-4CEB-BA1C-1EEFB0546A5E}"/>
    <cellStyle name="20% - Accent2 2 3 3 5" xfId="37497" xr:uid="{2DAFC19B-F585-4ECF-82D9-F29A424EEAF2}"/>
    <cellStyle name="20% - Accent2 2 3 3 6" xfId="18899" xr:uid="{137FC24C-6D71-4D7E-BC42-71446FC2B074}"/>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17227" xr:uid="{4D82A7C7-EBD0-4CD1-95B8-C26835EB919D}"/>
    <cellStyle name="20% - Accent2 2 3 4 2 2 2 2" xfId="53569" xr:uid="{BADCE95F-A8B7-4391-8C2F-B7047AE41DA4}"/>
    <cellStyle name="20% - Accent2 2 3 4 2 2 2 3" xfId="34973" xr:uid="{DEC613D1-AECC-415E-A233-FC844B445CA8}"/>
    <cellStyle name="20% - Accent2 2 3 4 2 2 3" xfId="44272" xr:uid="{570573DC-FE67-4CA8-8DE8-E5025049FFEF}"/>
    <cellStyle name="20% - Accent2 2 3 4 2 2 4" xfId="25674" xr:uid="{3941E3C2-759A-4C7A-B102-7C1EAA83697F}"/>
    <cellStyle name="20% - Accent2 2 3 4 2 3" xfId="13010" xr:uid="{74EC82FB-CD42-4219-888E-270DE15BB2D2}"/>
    <cellStyle name="20% - Accent2 2 3 4 2 3 2" xfId="49352" xr:uid="{B92305F1-5227-4F79-8DC0-CFD9BB35E389}"/>
    <cellStyle name="20% - Accent2 2 3 4 2 3 3" xfId="30756" xr:uid="{577C1E9F-3417-4686-AB76-61A180BFEADC}"/>
    <cellStyle name="20% - Accent2 2 3 4 2 4" xfId="40055" xr:uid="{E223045F-1A67-43D4-B590-80C4F408809E}"/>
    <cellStyle name="20% - Accent2 2 3 4 2 5" xfId="21457" xr:uid="{549D6ADC-8A04-45FF-87E3-D765E4AFEBB5}"/>
    <cellStyle name="20% - Accent2 2 3 4 3" xfId="5756" xr:uid="{00000000-0005-0000-0000-0000D7000000}"/>
    <cellStyle name="20% - Accent2 2 3 4 3 2" xfId="15082" xr:uid="{5B579633-4045-4D64-A1A2-3B6D090C4575}"/>
    <cellStyle name="20% - Accent2 2 3 4 3 2 2" xfId="51424" xr:uid="{FED3681A-420E-47E8-9A60-4F455A678EEB}"/>
    <cellStyle name="20% - Accent2 2 3 4 3 2 3" xfId="32828" xr:uid="{C16A9BFF-46D9-47CC-8C8E-712AF4C2466D}"/>
    <cellStyle name="20% - Accent2 2 3 4 3 3" xfId="42127" xr:uid="{123EC553-A94C-438D-8D59-3F22961C3628}"/>
    <cellStyle name="20% - Accent2 2 3 4 3 4" xfId="23529" xr:uid="{4C429195-9AA9-4BF0-B364-B0B7F5144729}"/>
    <cellStyle name="20% - Accent2 2 3 4 4" xfId="10865" xr:uid="{BF3ED2CA-F62C-44B8-A532-0B1A45C12E29}"/>
    <cellStyle name="20% - Accent2 2 3 4 4 2" xfId="47207" xr:uid="{F8D30B13-6E99-4D3D-AF1A-766BEBED052B}"/>
    <cellStyle name="20% - Accent2 2 3 4 4 3" xfId="28611" xr:uid="{2EECC7F0-7657-441C-BA26-E762A1FA34FC}"/>
    <cellStyle name="20% - Accent2 2 3 4 5" xfId="37910" xr:uid="{A60E9CBB-D2E0-4082-8006-9025727EE1C5}"/>
    <cellStyle name="20% - Accent2 2 3 4 6" xfId="19312" xr:uid="{C4DA731D-9B25-480D-910F-9BD290A78218}"/>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17640" xr:uid="{71688301-9C2F-4BDC-90CE-4221AFD082B9}"/>
    <cellStyle name="20% - Accent2 2 3 5 2 2 2 2" xfId="53982" xr:uid="{2A8CAEEB-C1EE-4782-A088-904CEC455274}"/>
    <cellStyle name="20% - Accent2 2 3 5 2 2 2 3" xfId="35386" xr:uid="{E4A55CF8-8B7D-4CDC-A6DD-AE0E046611A8}"/>
    <cellStyle name="20% - Accent2 2 3 5 2 2 3" xfId="44685" xr:uid="{28E0A495-706A-485E-98AF-D67DDC778885}"/>
    <cellStyle name="20% - Accent2 2 3 5 2 2 4" xfId="26087" xr:uid="{E59D8316-321E-4EB3-A52E-3F96F7A30792}"/>
    <cellStyle name="20% - Accent2 2 3 5 2 3" xfId="13423" xr:uid="{4B6252DA-0361-497D-AD16-C2D31B8E3A50}"/>
    <cellStyle name="20% - Accent2 2 3 5 2 3 2" xfId="49765" xr:uid="{4509AAC4-3BAB-4709-B1A5-F23318110CBF}"/>
    <cellStyle name="20% - Accent2 2 3 5 2 3 3" xfId="31169" xr:uid="{8170B90D-DC79-45D1-8AA8-EA370D1900DC}"/>
    <cellStyle name="20% - Accent2 2 3 5 2 4" xfId="40468" xr:uid="{A22D4777-2AAF-4823-8FA8-BAB9574E66BA}"/>
    <cellStyle name="20% - Accent2 2 3 5 2 5" xfId="21870" xr:uid="{A8100775-C1D0-452B-822A-FC0E4039C4E5}"/>
    <cellStyle name="20% - Accent2 2 3 5 3" xfId="6169" xr:uid="{00000000-0005-0000-0000-0000DB000000}"/>
    <cellStyle name="20% - Accent2 2 3 5 3 2" xfId="15495" xr:uid="{B65EA0DE-38FC-4670-A7C5-A71868210C62}"/>
    <cellStyle name="20% - Accent2 2 3 5 3 2 2" xfId="51837" xr:uid="{6EE5A053-624D-4E48-899C-CC528DA3E006}"/>
    <cellStyle name="20% - Accent2 2 3 5 3 2 3" xfId="33241" xr:uid="{27F2A8B0-64AA-4532-AF3B-47D29B086A22}"/>
    <cellStyle name="20% - Accent2 2 3 5 3 3" xfId="42540" xr:uid="{434C56B5-1993-4570-A1A5-E29886A5D419}"/>
    <cellStyle name="20% - Accent2 2 3 5 3 4" xfId="23942" xr:uid="{5F3E0584-7469-48A2-A4F3-FE86EA3BA1AD}"/>
    <cellStyle name="20% - Accent2 2 3 5 4" xfId="11278" xr:uid="{1158C72E-4156-4F4F-A4D5-04EFA1A72E77}"/>
    <cellStyle name="20% - Accent2 2 3 5 4 2" xfId="47620" xr:uid="{0EFC4A73-A2CC-42DE-AAB9-701832284C56}"/>
    <cellStyle name="20% - Accent2 2 3 5 4 3" xfId="29024" xr:uid="{4DBE8AD9-9231-45BF-A792-0426A89C3488}"/>
    <cellStyle name="20% - Accent2 2 3 5 5" xfId="38323" xr:uid="{F4D8810B-3574-46E5-A72F-2973A5F97143}"/>
    <cellStyle name="20% - Accent2 2 3 5 6" xfId="19725" xr:uid="{D6839390-971C-49F4-8C65-2BCBD97EB0F6}"/>
    <cellStyle name="20% - Accent2 2 3 6" xfId="2276" xr:uid="{00000000-0005-0000-0000-0000DC000000}"/>
    <cellStyle name="20% - Accent2 2 3 6 2" xfId="6582" xr:uid="{00000000-0005-0000-0000-0000DD000000}"/>
    <cellStyle name="20% - Accent2 2 3 6 2 2" xfId="15908" xr:uid="{9799C877-1E21-491A-864F-E46FBDED8993}"/>
    <cellStyle name="20% - Accent2 2 3 6 2 2 2" xfId="52250" xr:uid="{58333EE9-2A09-47B2-A494-ADAA5D7BCB01}"/>
    <cellStyle name="20% - Accent2 2 3 6 2 2 3" xfId="33654" xr:uid="{E1D6F421-FC6D-4F47-A693-E047C1076AF8}"/>
    <cellStyle name="20% - Accent2 2 3 6 2 3" xfId="42953" xr:uid="{6657F697-3B16-48F3-9BEB-3611CC935021}"/>
    <cellStyle name="20% - Accent2 2 3 6 2 4" xfId="24355" xr:uid="{11CFDDE6-6B6A-4556-90EF-DC2E012262A0}"/>
    <cellStyle name="20% - Accent2 2 3 6 3" xfId="11691" xr:uid="{A22CAD05-957B-489D-8423-EA998F26AA2A}"/>
    <cellStyle name="20% - Accent2 2 3 6 3 2" xfId="48033" xr:uid="{CD7C92C8-8F2E-4160-B8B8-E0263026211C}"/>
    <cellStyle name="20% - Accent2 2 3 6 3 3" xfId="29437" xr:uid="{5ABA1E20-BA12-4E68-BD4D-C7C98633102B}"/>
    <cellStyle name="20% - Accent2 2 3 6 4" xfId="38736" xr:uid="{6BD4B98B-49AB-4CA7-BAAD-4B9CF3E1C7AF}"/>
    <cellStyle name="20% - Accent2 2 3 6 5" xfId="20138" xr:uid="{53C7C0C0-8ECD-4D33-9C29-E4CCBCB6FC82}"/>
    <cellStyle name="20% - Accent2 2 3 7" xfId="4516" xr:uid="{00000000-0005-0000-0000-0000DE000000}"/>
    <cellStyle name="20% - Accent2 2 3 7 2" xfId="13842" xr:uid="{FAA1300C-54D3-4D87-9718-FF9A3D246F50}"/>
    <cellStyle name="20% - Accent2 2 3 7 2 2" xfId="50184" xr:uid="{FFCF4D2D-2DA7-4DC7-AD5A-0798004A887F}"/>
    <cellStyle name="20% - Accent2 2 3 7 2 3" xfId="31588" xr:uid="{69141127-960D-4C93-A569-4783FD69F9A4}"/>
    <cellStyle name="20% - Accent2 2 3 7 3" xfId="40887" xr:uid="{ED7DDC4D-1D10-4D21-9CFA-2CC4F34501CB}"/>
    <cellStyle name="20% - Accent2 2 3 7 4" xfId="22289" xr:uid="{CEBB1AFE-996E-493C-8324-3768F26C00EC}"/>
    <cellStyle name="20% - Accent2 2 3 8" xfId="9000" xr:uid="{133DFC5C-F2FF-49E9-82EE-ABAA9C815393}"/>
    <cellStyle name="20% - Accent2 2 3 8 2" xfId="36070" xr:uid="{72313A18-86D3-4458-BEBB-5AEB230ACF55}"/>
    <cellStyle name="20% - Accent2 2 3 8 2 2" xfId="54665" xr:uid="{BAEB754B-1C82-4AB3-A12B-A454D54909F2}"/>
    <cellStyle name="20% - Accent2 2 3 8 3" xfId="45368" xr:uid="{C882EFE7-5FE9-4991-9571-2B6EE71EE306}"/>
    <cellStyle name="20% - Accent2 2 3 8 4" xfId="26771" xr:uid="{EC4105D5-B81E-4DE8-A44D-0C740A8CA6A4}"/>
    <cellStyle name="20% - Accent2 2 3 9" xfId="9625" xr:uid="{28E34AE3-5CBB-432D-B541-DC9D0D3BDD0A}"/>
    <cellStyle name="20% - Accent2 2 3 9 2" xfId="45967" xr:uid="{E840D91F-EB38-4EA8-91C5-A0356EA30063}"/>
    <cellStyle name="20% - Accent2 2 3 9 3" xfId="27371" xr:uid="{88A11BC1-5F60-41DD-B034-4FA754B3A796}"/>
    <cellStyle name="20% - Accent2 2 4" xfId="579" xr:uid="{00000000-0005-0000-0000-0000DF000000}"/>
    <cellStyle name="20% - Accent2 2 4 2" xfId="2850" xr:uid="{00000000-0005-0000-0000-0000E0000000}"/>
    <cellStyle name="20% - Accent2 2 4 2 2" xfId="7072" xr:uid="{00000000-0005-0000-0000-0000E1000000}"/>
    <cellStyle name="20% - Accent2 2 4 2 2 2" xfId="16398" xr:uid="{C7155F89-FDF4-4A58-95B3-A1B294950DD7}"/>
    <cellStyle name="20% - Accent2 2 4 2 2 2 2" xfId="52740" xr:uid="{86862D81-382D-4658-94B4-D7206EADE127}"/>
    <cellStyle name="20% - Accent2 2 4 2 2 2 3" xfId="34144" xr:uid="{C3C4107D-F237-47BC-867B-DD9DF6FC710D}"/>
    <cellStyle name="20% - Accent2 2 4 2 2 3" xfId="43443" xr:uid="{E6DE0BC7-9A20-4A5C-8C97-F7CE8CDE958E}"/>
    <cellStyle name="20% - Accent2 2 4 2 2 4" xfId="24845" xr:uid="{09BAB756-2136-4495-96A0-A935553800DF}"/>
    <cellStyle name="20% - Accent2 2 4 2 3" xfId="12181" xr:uid="{7327DC28-6CB7-4480-B9E9-AE774929C335}"/>
    <cellStyle name="20% - Accent2 2 4 2 3 2" xfId="48523" xr:uid="{24D993E2-89B6-4258-AA32-7D032409156C}"/>
    <cellStyle name="20% - Accent2 2 4 2 3 3" xfId="29927" xr:uid="{336B0CD2-5670-41DD-8D57-AE865CC50AC9}"/>
    <cellStyle name="20% - Accent2 2 4 2 4" xfId="39226" xr:uid="{28884466-4C41-4EA1-B5A5-428C7A8ACA8A}"/>
    <cellStyle name="20% - Accent2 2 4 2 5" xfId="20628" xr:uid="{FF82B164-87A4-4580-8659-004B6F9BEADE}"/>
    <cellStyle name="20% - Accent2 2 4 3" xfId="4927" xr:uid="{00000000-0005-0000-0000-0000E2000000}"/>
    <cellStyle name="20% - Accent2 2 4 3 2" xfId="14253" xr:uid="{73DAE3E4-BA2B-4A0C-AE6B-57A3D1AFD42D}"/>
    <cellStyle name="20% - Accent2 2 4 3 2 2" xfId="50595" xr:uid="{AB5723E5-4591-4BA8-99B3-E7126703B815}"/>
    <cellStyle name="20% - Accent2 2 4 3 2 3" xfId="31999" xr:uid="{43B33065-F30A-4C90-8627-4B9DB81DD3C2}"/>
    <cellStyle name="20% - Accent2 2 4 3 3" xfId="41298" xr:uid="{24B1AB81-0DBB-4CF8-B338-BA676363304A}"/>
    <cellStyle name="20% - Accent2 2 4 3 4" xfId="22700" xr:uid="{55895129-7083-4D6E-81DC-C07C5BC1929B}"/>
    <cellStyle name="20% - Accent2 2 4 4" xfId="9217" xr:uid="{28DDC3F5-BA57-40F8-8D06-6CFF141CF9A1}"/>
    <cellStyle name="20% - Accent2 2 4 4 2" xfId="36279" xr:uid="{FAC4DCF1-637F-4BB7-8F45-DF674D080F1E}"/>
    <cellStyle name="20% - Accent2 2 4 4 2 2" xfId="54873" xr:uid="{6EDC72AE-3A8A-4EA8-830F-ED01950AB1F0}"/>
    <cellStyle name="20% - Accent2 2 4 4 3" xfId="45576" xr:uid="{7E1CDF55-4FF8-452E-9F8B-4E91BE9898D5}"/>
    <cellStyle name="20% - Accent2 2 4 4 4" xfId="26980" xr:uid="{43F8F9EE-D401-4FAD-A68D-BDCD68A12D4D}"/>
    <cellStyle name="20% - Accent2 2 4 5" xfId="10036" xr:uid="{2E1E4908-7FB7-45F4-95C7-8DD91A93B0D1}"/>
    <cellStyle name="20% - Accent2 2 4 5 2" xfId="46378" xr:uid="{47C8CFD7-44FC-4231-9966-BC2A0701127F}"/>
    <cellStyle name="20% - Accent2 2 4 5 3" xfId="27782" xr:uid="{9161E2EE-A120-490C-9646-3438105E7638}"/>
    <cellStyle name="20% - Accent2 2 4 6" xfId="37081" xr:uid="{E1CD2F92-D196-4815-A2AB-83F8D4CCC1AB}"/>
    <cellStyle name="20% - Accent2 2 4 7" xfId="18483" xr:uid="{4AFFEF60-8FD7-4FBB-AAB0-64A32CEE0A2F}"/>
    <cellStyle name="20% - Accent2 2 5" xfId="1032" xr:uid="{00000000-0005-0000-0000-0000E3000000}"/>
    <cellStyle name="20% - Accent2 2 5 2" xfId="3263" xr:uid="{00000000-0005-0000-0000-0000E4000000}"/>
    <cellStyle name="20% - Accent2 2 5 2 2" xfId="7485" xr:uid="{00000000-0005-0000-0000-0000E5000000}"/>
    <cellStyle name="20% - Accent2 2 5 2 2 2" xfId="16811" xr:uid="{B30D75B2-8A5A-47FE-82A2-7A06A0280450}"/>
    <cellStyle name="20% - Accent2 2 5 2 2 2 2" xfId="53153" xr:uid="{BCEEE882-52F3-4347-A448-BB02446DDFE3}"/>
    <cellStyle name="20% - Accent2 2 5 2 2 2 3" xfId="34557" xr:uid="{FF8B86CB-F49D-4EA4-8E80-E9FD7F865595}"/>
    <cellStyle name="20% - Accent2 2 5 2 2 3" xfId="43856" xr:uid="{C9D827F9-66D3-431E-9D5B-4681EAD0AB06}"/>
    <cellStyle name="20% - Accent2 2 5 2 2 4" xfId="25258" xr:uid="{65B5F796-4E59-4472-A037-606AB34035AE}"/>
    <cellStyle name="20% - Accent2 2 5 2 3" xfId="12594" xr:uid="{51FC84BE-28A8-4826-84E5-F1E21B7B4464}"/>
    <cellStyle name="20% - Accent2 2 5 2 3 2" xfId="48936" xr:uid="{68CEFA38-7D8B-416F-B641-FF6DE225E49B}"/>
    <cellStyle name="20% - Accent2 2 5 2 3 3" xfId="30340" xr:uid="{B7802369-A7A1-4F60-90F4-6DE81BAE57E7}"/>
    <cellStyle name="20% - Accent2 2 5 2 4" xfId="39639" xr:uid="{8529993A-5102-46D3-AC89-AA1DAAEB53A2}"/>
    <cellStyle name="20% - Accent2 2 5 2 5" xfId="21041" xr:uid="{6C51DD75-F61F-4948-BF22-33CA48CF4EEB}"/>
    <cellStyle name="20% - Accent2 2 5 3" xfId="5340" xr:uid="{00000000-0005-0000-0000-0000E6000000}"/>
    <cellStyle name="20% - Accent2 2 5 3 2" xfId="14666" xr:uid="{74914D29-E1BC-4292-8E2A-1A81538862CD}"/>
    <cellStyle name="20% - Accent2 2 5 3 2 2" xfId="51008" xr:uid="{35978B09-3E34-4D3A-AEF7-0FC6A3089A15}"/>
    <cellStyle name="20% - Accent2 2 5 3 2 3" xfId="32412" xr:uid="{8031A52A-0046-48BF-9B04-E192E918B1DA}"/>
    <cellStyle name="20% - Accent2 2 5 3 3" xfId="41711" xr:uid="{C33F5A66-EA15-4D34-8915-8CF046357E3F}"/>
    <cellStyle name="20% - Accent2 2 5 3 4" xfId="23113" xr:uid="{8091B412-8F95-4E09-A894-8B110F6655D2}"/>
    <cellStyle name="20% - Accent2 2 5 4" xfId="10449" xr:uid="{DC81214B-7495-4D84-B268-EA1941F98FF5}"/>
    <cellStyle name="20% - Accent2 2 5 4 2" xfId="46791" xr:uid="{B64FC931-8404-4B81-9341-B9A128DAA7B4}"/>
    <cellStyle name="20% - Accent2 2 5 4 3" xfId="28195" xr:uid="{7B2618E3-5330-4C60-9774-846826F69FD5}"/>
    <cellStyle name="20% - Accent2 2 5 5" xfId="37494" xr:uid="{74AB8C45-4A3B-452E-904D-A7004674AE7E}"/>
    <cellStyle name="20% - Accent2 2 5 6" xfId="18896" xr:uid="{8160521F-DA62-4CC7-A87C-7EADBF2579C3}"/>
    <cellStyle name="20% - Accent2 2 6" xfId="1446" xr:uid="{00000000-0005-0000-0000-0000E7000000}"/>
    <cellStyle name="20% - Accent2 2 6 2" xfId="3676" xr:uid="{00000000-0005-0000-0000-0000E8000000}"/>
    <cellStyle name="20% - Accent2 2 6 2 2" xfId="7898" xr:uid="{00000000-0005-0000-0000-0000E9000000}"/>
    <cellStyle name="20% - Accent2 2 6 2 2 2" xfId="17224" xr:uid="{4D5D2621-A2E5-4534-9781-BD81FAE287EF}"/>
    <cellStyle name="20% - Accent2 2 6 2 2 2 2" xfId="53566" xr:uid="{1EE4175C-B036-47C3-ABAD-F57385FD83E0}"/>
    <cellStyle name="20% - Accent2 2 6 2 2 2 3" xfId="34970" xr:uid="{2E48F9A3-C75E-431D-86E9-B366E439893A}"/>
    <cellStyle name="20% - Accent2 2 6 2 2 3" xfId="44269" xr:uid="{2CAD9602-D5A1-4F37-9D93-661066886713}"/>
    <cellStyle name="20% - Accent2 2 6 2 2 4" xfId="25671" xr:uid="{F494E28E-D568-4761-BE19-9480B7EEF4F9}"/>
    <cellStyle name="20% - Accent2 2 6 2 3" xfId="13007" xr:uid="{DC1F762A-421E-4422-9511-43C5AE8B21A4}"/>
    <cellStyle name="20% - Accent2 2 6 2 3 2" xfId="49349" xr:uid="{C3024A53-CDD5-4EB4-81F4-1BA293B3E04B}"/>
    <cellStyle name="20% - Accent2 2 6 2 3 3" xfId="30753" xr:uid="{767D501D-675E-4430-B91C-6EBA53B59ACC}"/>
    <cellStyle name="20% - Accent2 2 6 2 4" xfId="40052" xr:uid="{2351F593-009A-40F2-9A50-319958E75E0E}"/>
    <cellStyle name="20% - Accent2 2 6 2 5" xfId="21454" xr:uid="{A6743720-8214-49B0-9464-4ABD302B010E}"/>
    <cellStyle name="20% - Accent2 2 6 3" xfId="5753" xr:uid="{00000000-0005-0000-0000-0000EA000000}"/>
    <cellStyle name="20% - Accent2 2 6 3 2" xfId="15079" xr:uid="{58F76781-101E-4B2B-88A9-33D8C7370E04}"/>
    <cellStyle name="20% - Accent2 2 6 3 2 2" xfId="51421" xr:uid="{70CE373B-137A-4737-9D4F-07F17FD808EE}"/>
    <cellStyle name="20% - Accent2 2 6 3 2 3" xfId="32825" xr:uid="{B199EF5E-D276-408E-BDE1-F9EC69647EC5}"/>
    <cellStyle name="20% - Accent2 2 6 3 3" xfId="42124" xr:uid="{7B812940-4441-46F6-881F-20D7848187DA}"/>
    <cellStyle name="20% - Accent2 2 6 3 4" xfId="23526" xr:uid="{6F81CD12-AB03-4740-8444-3CE12671264D}"/>
    <cellStyle name="20% - Accent2 2 6 4" xfId="10862" xr:uid="{56AD0B1C-17CF-43FE-90EB-909CEC8B1FFA}"/>
    <cellStyle name="20% - Accent2 2 6 4 2" xfId="47204" xr:uid="{E73B4B54-CF8D-4B28-812B-41B1627E4A59}"/>
    <cellStyle name="20% - Accent2 2 6 4 3" xfId="28608" xr:uid="{3CD23D20-CDD3-4E2F-BCBC-28AE5A2FC9A6}"/>
    <cellStyle name="20% - Accent2 2 6 5" xfId="37907" xr:uid="{09E429D3-F307-4916-B3BA-296996373B59}"/>
    <cellStyle name="20% - Accent2 2 6 6" xfId="19309" xr:uid="{EF0261E3-824E-4C34-B2CE-F59E1E6CF7DF}"/>
    <cellStyle name="20% - Accent2 2 7" xfId="1860" xr:uid="{00000000-0005-0000-0000-0000EB000000}"/>
    <cellStyle name="20% - Accent2 2 7 2" xfId="4089" xr:uid="{00000000-0005-0000-0000-0000EC000000}"/>
    <cellStyle name="20% - Accent2 2 7 2 2" xfId="8311" xr:uid="{00000000-0005-0000-0000-0000ED000000}"/>
    <cellStyle name="20% - Accent2 2 7 2 2 2" xfId="17637" xr:uid="{5480D674-B0E6-4F6D-AA7D-5273AB128F47}"/>
    <cellStyle name="20% - Accent2 2 7 2 2 2 2" xfId="53979" xr:uid="{9AD62C9D-F464-49D2-B253-6BE9FD5D4172}"/>
    <cellStyle name="20% - Accent2 2 7 2 2 2 3" xfId="35383" xr:uid="{367665CF-CF52-4144-B5F6-F78036C3203E}"/>
    <cellStyle name="20% - Accent2 2 7 2 2 3" xfId="44682" xr:uid="{901B16C4-6350-48ED-A236-7234CF5792A2}"/>
    <cellStyle name="20% - Accent2 2 7 2 2 4" xfId="26084" xr:uid="{CA9B1788-69BC-450A-8682-D0AF7B3DB6F2}"/>
    <cellStyle name="20% - Accent2 2 7 2 3" xfId="13420" xr:uid="{BC71D39C-6D47-4D2F-AD7B-933B1E7D6EBF}"/>
    <cellStyle name="20% - Accent2 2 7 2 3 2" xfId="49762" xr:uid="{B7B607A3-1865-43BD-BE10-4E594FB3D5F8}"/>
    <cellStyle name="20% - Accent2 2 7 2 3 3" xfId="31166" xr:uid="{39FDAE42-9666-4A4D-8EAE-17F716745E60}"/>
    <cellStyle name="20% - Accent2 2 7 2 4" xfId="40465" xr:uid="{629BAF97-C87E-45BA-9166-7423B586FD5D}"/>
    <cellStyle name="20% - Accent2 2 7 2 5" xfId="21867" xr:uid="{44A075D2-BABE-4B92-AC40-16A0B7D51613}"/>
    <cellStyle name="20% - Accent2 2 7 3" xfId="6166" xr:uid="{00000000-0005-0000-0000-0000EE000000}"/>
    <cellStyle name="20% - Accent2 2 7 3 2" xfId="15492" xr:uid="{42F50212-697D-4CD2-8158-57AE81A379AB}"/>
    <cellStyle name="20% - Accent2 2 7 3 2 2" xfId="51834" xr:uid="{BE3A15CA-2B06-4F49-A2B1-A589873B43FE}"/>
    <cellStyle name="20% - Accent2 2 7 3 2 3" xfId="33238" xr:uid="{9EA3D492-31A6-48B4-A625-7CD4FDB0A97D}"/>
    <cellStyle name="20% - Accent2 2 7 3 3" xfId="42537" xr:uid="{D7A126EF-1F1E-46D2-ADB7-2417875CC806}"/>
    <cellStyle name="20% - Accent2 2 7 3 4" xfId="23939" xr:uid="{0DB1F6DF-CDDF-4079-BADA-EE2BCCC13DD2}"/>
    <cellStyle name="20% - Accent2 2 7 4" xfId="11275" xr:uid="{218F79AC-621F-4F90-9228-CC2D11885150}"/>
    <cellStyle name="20% - Accent2 2 7 4 2" xfId="47617" xr:uid="{AF6A48C5-5CC3-45A5-ADA7-D845121E853A}"/>
    <cellStyle name="20% - Accent2 2 7 4 3" xfId="29021" xr:uid="{3DDD9795-FBAC-4DF2-96EE-2F3513A3A9F6}"/>
    <cellStyle name="20% - Accent2 2 7 5" xfId="38320" xr:uid="{4EC54C91-C199-44E7-A8CD-6744CBDEE77E}"/>
    <cellStyle name="20% - Accent2 2 7 6" xfId="19722" xr:uid="{42C416BB-6C34-4591-A3A3-73BCEFD762B9}"/>
    <cellStyle name="20% - Accent2 2 8" xfId="2273" xr:uid="{00000000-0005-0000-0000-0000EF000000}"/>
    <cellStyle name="20% - Accent2 2 8 2" xfId="6579" xr:uid="{00000000-0005-0000-0000-0000F0000000}"/>
    <cellStyle name="20% - Accent2 2 8 2 2" xfId="15905" xr:uid="{BDD5FA36-2DFE-4320-B124-6DD3A3B56D25}"/>
    <cellStyle name="20% - Accent2 2 8 2 2 2" xfId="52247" xr:uid="{FE8DF0DF-1552-4287-9E13-35B40050EC91}"/>
    <cellStyle name="20% - Accent2 2 8 2 2 3" xfId="33651" xr:uid="{D4EB19CB-A83F-4566-8D2D-15A632E0389D}"/>
    <cellStyle name="20% - Accent2 2 8 2 3" xfId="42950" xr:uid="{A3B723D0-3A14-45F3-9DAF-4E1E68558980}"/>
    <cellStyle name="20% - Accent2 2 8 2 4" xfId="24352" xr:uid="{23195028-76F0-40EE-82B9-1ED9A8F6A529}"/>
    <cellStyle name="20% - Accent2 2 8 3" xfId="11688" xr:uid="{90A33840-D943-4572-BF42-FCB523BFFE05}"/>
    <cellStyle name="20% - Accent2 2 8 3 2" xfId="48030" xr:uid="{CD23FCE4-74DE-40AF-AD84-73B464987463}"/>
    <cellStyle name="20% - Accent2 2 8 3 3" xfId="29434" xr:uid="{062E75D3-10D5-43C1-865A-683BCB7A81BE}"/>
    <cellStyle name="20% - Accent2 2 8 4" xfId="38733" xr:uid="{49980B01-7F82-4932-8AB3-68181498768A}"/>
    <cellStyle name="20% - Accent2 2 8 5" xfId="20135" xr:uid="{C2217C82-1C10-40DE-8C83-46611ED0535F}"/>
    <cellStyle name="20% - Accent2 2 9" xfId="4513" xr:uid="{00000000-0005-0000-0000-0000F1000000}"/>
    <cellStyle name="20% - Accent2 2 9 2" xfId="13839" xr:uid="{23F728D3-9CEE-4FB0-8B92-CE6EE55FF031}"/>
    <cellStyle name="20% - Accent2 2 9 2 2" xfId="50181" xr:uid="{4A8E140B-5B39-4314-9485-BCFC07FAFBAF}"/>
    <cellStyle name="20% - Accent2 2 9 2 3" xfId="31585" xr:uid="{056DB013-5972-48BA-B293-DF44F6DD4F2F}"/>
    <cellStyle name="20% - Accent2 2 9 3" xfId="40884" xr:uid="{74CE8ED7-CFE5-480E-9C10-2853A18CE400}"/>
    <cellStyle name="20% - Accent2 2 9 4" xfId="22286" xr:uid="{7B3C5DCA-00D5-4FCF-958E-465B45984D34}"/>
    <cellStyle name="20% - Accent2 3" xfId="14" xr:uid="{00000000-0005-0000-0000-0000F2000000}"/>
    <cellStyle name="20% - Accent2 3 10" xfId="9626" xr:uid="{44711568-1AE0-43D7-9C56-B5912E5AE10B}"/>
    <cellStyle name="20% - Accent2 3 10 2" xfId="45968" xr:uid="{A266029D-BB52-46B9-A7CE-1763331FD6D3}"/>
    <cellStyle name="20% - Accent2 3 10 3" xfId="27372" xr:uid="{78933BA5-E1DF-4C15-8C6D-E229C5C22765}"/>
    <cellStyle name="20% - Accent2 3 11" xfId="36671" xr:uid="{24A69CA9-2D0E-4A22-ADAB-06794A42B848}"/>
    <cellStyle name="20% - Accent2 3 12" xfId="18073" xr:uid="{44F46202-8314-4BC6-AF95-734154215174}"/>
    <cellStyle name="20% - Accent2 3 2" xfId="15" xr:uid="{00000000-0005-0000-0000-0000F3000000}"/>
    <cellStyle name="20% - Accent2 3 2 10" xfId="36672" xr:uid="{ED88BEE3-B4B2-4725-962A-6A6DC5451BED}"/>
    <cellStyle name="20% - Accent2 3 2 11" xfId="18074" xr:uid="{496A0E84-1125-4D7B-AFEA-9670D9D71CD6}"/>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16403" xr:uid="{2C5C94AB-5587-419C-AD7E-5174EF26617C}"/>
    <cellStyle name="20% - Accent2 3 2 2 2 2 2 2" xfId="52745" xr:uid="{91436A88-FCB3-4CBD-B387-84FC02BE8C9E}"/>
    <cellStyle name="20% - Accent2 3 2 2 2 2 2 3" xfId="34149" xr:uid="{DD44165B-6BE1-4228-BF08-E58E3BCBF0B6}"/>
    <cellStyle name="20% - Accent2 3 2 2 2 2 3" xfId="43448" xr:uid="{D8863CDD-922E-4C99-8440-057BB5EEB6D2}"/>
    <cellStyle name="20% - Accent2 3 2 2 2 2 4" xfId="24850" xr:uid="{E34EEBDE-CF37-4194-88F6-79FCE9E95A8C}"/>
    <cellStyle name="20% - Accent2 3 2 2 2 3" xfId="12186" xr:uid="{3167B820-5271-4580-A72A-F36CA1650F31}"/>
    <cellStyle name="20% - Accent2 3 2 2 2 3 2" xfId="48528" xr:uid="{DA19AADC-2577-48E4-8048-147A233521F8}"/>
    <cellStyle name="20% - Accent2 3 2 2 2 3 3" xfId="29932" xr:uid="{5F3DFD11-0D7D-4B25-881A-74145B9CCC0D}"/>
    <cellStyle name="20% - Accent2 3 2 2 2 4" xfId="39231" xr:uid="{7CAE9E90-9C23-4DE4-9597-0CFCEE3241BB}"/>
    <cellStyle name="20% - Accent2 3 2 2 2 5" xfId="20633" xr:uid="{325B859B-191E-4083-917F-1C9FEF9417D8}"/>
    <cellStyle name="20% - Accent2 3 2 2 3" xfId="4932" xr:uid="{00000000-0005-0000-0000-0000F7000000}"/>
    <cellStyle name="20% - Accent2 3 2 2 3 2" xfId="14258" xr:uid="{1BB3614C-87B3-46CA-8FFC-9A480CB8D933}"/>
    <cellStyle name="20% - Accent2 3 2 2 3 2 2" xfId="50600" xr:uid="{1CB477D7-0F41-43E0-ABAB-C00850939FD9}"/>
    <cellStyle name="20% - Accent2 3 2 2 3 2 3" xfId="32004" xr:uid="{8EA06C43-3428-48BC-A49C-36893AFEF33B}"/>
    <cellStyle name="20% - Accent2 3 2 2 3 3" xfId="41303" xr:uid="{D3CC5C4D-48F9-40B4-AF82-BFA698C9C629}"/>
    <cellStyle name="20% - Accent2 3 2 2 3 4" xfId="22705" xr:uid="{BC8102FD-C1DF-4F41-9040-2429680E267E}"/>
    <cellStyle name="20% - Accent2 3 2 2 4" xfId="9495" xr:uid="{9F5A6FE7-BBC9-4787-8EC4-2112F4D5A0EA}"/>
    <cellStyle name="20% - Accent2 3 2 2 4 2" xfId="36556" xr:uid="{A0C651B8-5085-4BE4-A6D6-2CAD8A09C8EF}"/>
    <cellStyle name="20% - Accent2 3 2 2 4 2 2" xfId="55150" xr:uid="{CE6521E0-C732-468B-A24B-8EECE9DEBA47}"/>
    <cellStyle name="20% - Accent2 3 2 2 4 3" xfId="45853" xr:uid="{61809EF9-E88E-425B-9474-2ECE41A0F29B}"/>
    <cellStyle name="20% - Accent2 3 2 2 4 4" xfId="27257" xr:uid="{9587FE63-941A-4640-9991-50672A0FD733}"/>
    <cellStyle name="20% - Accent2 3 2 2 5" xfId="10041" xr:uid="{A5405A16-F995-4DD4-B136-8898229044A8}"/>
    <cellStyle name="20% - Accent2 3 2 2 5 2" xfId="46383" xr:uid="{E8D0377A-9782-43A2-B5DD-02594834F941}"/>
    <cellStyle name="20% - Accent2 3 2 2 5 3" xfId="27787" xr:uid="{BA31C7E7-4027-4743-B138-D65F5F5ABDCA}"/>
    <cellStyle name="20% - Accent2 3 2 2 6" xfId="37086" xr:uid="{58BF4754-7C67-44C5-80AF-6CFBB29A3918}"/>
    <cellStyle name="20% - Accent2 3 2 2 7" xfId="18488" xr:uid="{85055F8D-7870-4659-989E-75767A111E6B}"/>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16816" xr:uid="{C8E68DB2-55E7-4061-B012-5FCF6CF3CB77}"/>
    <cellStyle name="20% - Accent2 3 2 3 2 2 2 2" xfId="53158" xr:uid="{DCE8599F-BC26-4429-AE8E-EF3A1332C8B2}"/>
    <cellStyle name="20% - Accent2 3 2 3 2 2 2 3" xfId="34562" xr:uid="{8BC63E2A-A4A5-44BC-B6CB-A5E40B70B2AC}"/>
    <cellStyle name="20% - Accent2 3 2 3 2 2 3" xfId="43861" xr:uid="{F684F61E-9F54-476D-8F9F-FFB7F07C0D31}"/>
    <cellStyle name="20% - Accent2 3 2 3 2 2 4" xfId="25263" xr:uid="{8A423FCA-5B97-4164-83FE-BFA1D42A33B2}"/>
    <cellStyle name="20% - Accent2 3 2 3 2 3" xfId="12599" xr:uid="{C9F68B45-85EB-4332-93C9-F9A5BB897EEE}"/>
    <cellStyle name="20% - Accent2 3 2 3 2 3 2" xfId="48941" xr:uid="{08A27415-3815-4C61-BE6B-07CF7323939C}"/>
    <cellStyle name="20% - Accent2 3 2 3 2 3 3" xfId="30345" xr:uid="{8401106C-EB06-4C5C-A3BD-ED5961DF32E3}"/>
    <cellStyle name="20% - Accent2 3 2 3 2 4" xfId="39644" xr:uid="{F469C8B8-A902-4A9B-A690-33184DB3CBC1}"/>
    <cellStyle name="20% - Accent2 3 2 3 2 5" xfId="21046" xr:uid="{1D0D59C6-7DC6-4CA2-8EC1-A19A6A18DF9C}"/>
    <cellStyle name="20% - Accent2 3 2 3 3" xfId="5345" xr:uid="{00000000-0005-0000-0000-0000FB000000}"/>
    <cellStyle name="20% - Accent2 3 2 3 3 2" xfId="14671" xr:uid="{7F63D5EF-4DF2-4698-94CD-02855D5989BE}"/>
    <cellStyle name="20% - Accent2 3 2 3 3 2 2" xfId="51013" xr:uid="{B9AE0412-7328-47EF-B093-2B4158057A33}"/>
    <cellStyle name="20% - Accent2 3 2 3 3 2 3" xfId="32417" xr:uid="{E157BE67-BDBD-479F-8B45-6E4AA9661F11}"/>
    <cellStyle name="20% - Accent2 3 2 3 3 3" xfId="41716" xr:uid="{A29D45EE-13E3-44DE-8D12-7321C4A30437}"/>
    <cellStyle name="20% - Accent2 3 2 3 3 4" xfId="23118" xr:uid="{FBFCB0C8-C940-4FAE-A868-F551C8248BE0}"/>
    <cellStyle name="20% - Accent2 3 2 3 4" xfId="10454" xr:uid="{C616ECB1-7278-49D9-97AC-0479D4CE4D3A}"/>
    <cellStyle name="20% - Accent2 3 2 3 4 2" xfId="46796" xr:uid="{20873BE8-239E-480E-898B-2F23E53B246A}"/>
    <cellStyle name="20% - Accent2 3 2 3 4 3" xfId="28200" xr:uid="{ECD758F1-A5EC-419A-BC8B-A7A7BBA8734D}"/>
    <cellStyle name="20% - Accent2 3 2 3 5" xfId="37499" xr:uid="{AE7C3336-F9F1-4B19-BAFA-A0F7B75F91CC}"/>
    <cellStyle name="20% - Accent2 3 2 3 6" xfId="18901" xr:uid="{C20F9BC8-B21A-4E6D-BF4E-04A53D607797}"/>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17229" xr:uid="{E56F69D7-A30B-437A-8630-1E6917A858E6}"/>
    <cellStyle name="20% - Accent2 3 2 4 2 2 2 2" xfId="53571" xr:uid="{C2CED5D8-F2EF-4A18-9C10-1EBBE54F044D}"/>
    <cellStyle name="20% - Accent2 3 2 4 2 2 2 3" xfId="34975" xr:uid="{F68D91B2-5A8B-48C7-A843-5419B38AF18F}"/>
    <cellStyle name="20% - Accent2 3 2 4 2 2 3" xfId="44274" xr:uid="{83B01A54-A67D-46E2-9C19-4CB78CBF9C5B}"/>
    <cellStyle name="20% - Accent2 3 2 4 2 2 4" xfId="25676" xr:uid="{57E92D89-8E28-45AC-9C73-0A295A6D9878}"/>
    <cellStyle name="20% - Accent2 3 2 4 2 3" xfId="13012" xr:uid="{561D7C6A-976A-4F7A-ABE8-F3FFAFFD047F}"/>
    <cellStyle name="20% - Accent2 3 2 4 2 3 2" xfId="49354" xr:uid="{DCC700DF-C81B-49C5-919F-470292B3A98A}"/>
    <cellStyle name="20% - Accent2 3 2 4 2 3 3" xfId="30758" xr:uid="{3CEF06C3-E82F-4BD0-9523-580C7601AF51}"/>
    <cellStyle name="20% - Accent2 3 2 4 2 4" xfId="40057" xr:uid="{1BE59A7E-C89A-4BCC-82CF-51A469B39B09}"/>
    <cellStyle name="20% - Accent2 3 2 4 2 5" xfId="21459" xr:uid="{43BE936B-3747-4FF7-A69F-1D539E2B7109}"/>
    <cellStyle name="20% - Accent2 3 2 4 3" xfId="5758" xr:uid="{00000000-0005-0000-0000-0000FF000000}"/>
    <cellStyle name="20% - Accent2 3 2 4 3 2" xfId="15084" xr:uid="{13B67B79-29DD-462E-8363-E9B20320685A}"/>
    <cellStyle name="20% - Accent2 3 2 4 3 2 2" xfId="51426" xr:uid="{75FB3CFE-A5AA-43E7-A1BB-9D875F23AF8A}"/>
    <cellStyle name="20% - Accent2 3 2 4 3 2 3" xfId="32830" xr:uid="{99E1D590-E144-42BE-8E49-623B2FA2CAF3}"/>
    <cellStyle name="20% - Accent2 3 2 4 3 3" xfId="42129" xr:uid="{E15F6597-12BB-44CB-8F6F-A4E10D9DFA25}"/>
    <cellStyle name="20% - Accent2 3 2 4 3 4" xfId="23531" xr:uid="{6258E9CE-4A64-42C0-B2E8-D60D40161224}"/>
    <cellStyle name="20% - Accent2 3 2 4 4" xfId="10867" xr:uid="{02578660-CFF6-43BA-9DCB-EEC2E08B3FEB}"/>
    <cellStyle name="20% - Accent2 3 2 4 4 2" xfId="47209" xr:uid="{4BADE6D6-7726-4E15-B9AF-2E4B7FBE8B3B}"/>
    <cellStyle name="20% - Accent2 3 2 4 4 3" xfId="28613" xr:uid="{D8D9AA15-E93B-4A4B-BBDB-63BC2A5B3AD0}"/>
    <cellStyle name="20% - Accent2 3 2 4 5" xfId="37912" xr:uid="{4C559467-9BD5-4CB4-9ECF-0E02C16A5528}"/>
    <cellStyle name="20% - Accent2 3 2 4 6" xfId="19314" xr:uid="{0D7D4B8B-FD10-4361-8970-5B19368B2EC8}"/>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17642" xr:uid="{8ECC1974-5F24-4FE0-9351-0DF16751CAB6}"/>
    <cellStyle name="20% - Accent2 3 2 5 2 2 2 2" xfId="53984" xr:uid="{EEC8225F-D26C-4E62-BED1-5C75654CFC56}"/>
    <cellStyle name="20% - Accent2 3 2 5 2 2 2 3" xfId="35388" xr:uid="{52800999-D8DF-49E4-BA01-9EB285C13994}"/>
    <cellStyle name="20% - Accent2 3 2 5 2 2 3" xfId="44687" xr:uid="{0E5B1DD3-F5AC-4DBF-A4EE-A2160AFC5DF4}"/>
    <cellStyle name="20% - Accent2 3 2 5 2 2 4" xfId="26089" xr:uid="{E80C2EAA-AA9F-4F5F-8EB0-9998B1E4082D}"/>
    <cellStyle name="20% - Accent2 3 2 5 2 3" xfId="13425" xr:uid="{DBD07830-FD33-4066-B02E-6F1ABAE4DC57}"/>
    <cellStyle name="20% - Accent2 3 2 5 2 3 2" xfId="49767" xr:uid="{5069B43A-A596-44F7-88CF-26A6A2AA681D}"/>
    <cellStyle name="20% - Accent2 3 2 5 2 3 3" xfId="31171" xr:uid="{9B724C49-803F-40B2-8F37-64397FDDB406}"/>
    <cellStyle name="20% - Accent2 3 2 5 2 4" xfId="40470" xr:uid="{38B497C9-40B4-41AC-B5D6-A0EA5545BBFB}"/>
    <cellStyle name="20% - Accent2 3 2 5 2 5" xfId="21872" xr:uid="{A3148028-FAD8-4217-B8DD-822A3D4BEED7}"/>
    <cellStyle name="20% - Accent2 3 2 5 3" xfId="6171" xr:uid="{00000000-0005-0000-0000-000003010000}"/>
    <cellStyle name="20% - Accent2 3 2 5 3 2" xfId="15497" xr:uid="{4FA69FC0-20FD-49F1-973B-1D74F7FE1E5F}"/>
    <cellStyle name="20% - Accent2 3 2 5 3 2 2" xfId="51839" xr:uid="{6F0FC1AF-0C7D-492A-94C0-6C5D40F3B07C}"/>
    <cellStyle name="20% - Accent2 3 2 5 3 2 3" xfId="33243" xr:uid="{CE5A2590-4E1C-439A-BD95-6EFEF4A56FB9}"/>
    <cellStyle name="20% - Accent2 3 2 5 3 3" xfId="42542" xr:uid="{C94AE1CB-7C91-4149-BAD2-507C1F4FBF02}"/>
    <cellStyle name="20% - Accent2 3 2 5 3 4" xfId="23944" xr:uid="{40D03007-D16E-4B07-8550-B3C67ECF8A0E}"/>
    <cellStyle name="20% - Accent2 3 2 5 4" xfId="11280" xr:uid="{A0F350DF-38AB-49FF-9E92-32AE693924BC}"/>
    <cellStyle name="20% - Accent2 3 2 5 4 2" xfId="47622" xr:uid="{563D8BA9-018A-49C4-8517-F3032C0E0D49}"/>
    <cellStyle name="20% - Accent2 3 2 5 4 3" xfId="29026" xr:uid="{86711F8A-A822-4B05-BC42-3A52C9B86B15}"/>
    <cellStyle name="20% - Accent2 3 2 5 5" xfId="38325" xr:uid="{8E05C42E-5B1C-4AA1-980A-E71734933EFE}"/>
    <cellStyle name="20% - Accent2 3 2 5 6" xfId="19727" xr:uid="{AC4E052E-EB1D-4BF9-ADFB-163A366EB143}"/>
    <cellStyle name="20% - Accent2 3 2 6" xfId="2278" xr:uid="{00000000-0005-0000-0000-000004010000}"/>
    <cellStyle name="20% - Accent2 3 2 6 2" xfId="6584" xr:uid="{00000000-0005-0000-0000-000005010000}"/>
    <cellStyle name="20% - Accent2 3 2 6 2 2" xfId="15910" xr:uid="{88592F1A-1F94-4368-81DF-569DC4E2D2D2}"/>
    <cellStyle name="20% - Accent2 3 2 6 2 2 2" xfId="52252" xr:uid="{2FA7A3E2-2CB6-41BC-B60E-2B998CFEE275}"/>
    <cellStyle name="20% - Accent2 3 2 6 2 2 3" xfId="33656" xr:uid="{DC0E209A-C3D0-47A5-A03B-389385EBE3FB}"/>
    <cellStyle name="20% - Accent2 3 2 6 2 3" xfId="42955" xr:uid="{8F1FF591-6474-4A35-A001-BA37E4FBF1BE}"/>
    <cellStyle name="20% - Accent2 3 2 6 2 4" xfId="24357" xr:uid="{87263B88-046B-43FC-A98E-B7B0DB122356}"/>
    <cellStyle name="20% - Accent2 3 2 6 3" xfId="11693" xr:uid="{95B0054E-8E75-4F6C-B1CE-9ABDDDEAF6A9}"/>
    <cellStyle name="20% - Accent2 3 2 6 3 2" xfId="48035" xr:uid="{97805338-3F74-4526-8262-4ACE39267158}"/>
    <cellStyle name="20% - Accent2 3 2 6 3 3" xfId="29439" xr:uid="{C8F25DEA-D9CA-4034-B934-371F5A6963D3}"/>
    <cellStyle name="20% - Accent2 3 2 6 4" xfId="38738" xr:uid="{C42A5133-273B-458F-882E-643EC6D8FB07}"/>
    <cellStyle name="20% - Accent2 3 2 6 5" xfId="20140" xr:uid="{7FBF8297-6455-463C-AF6C-7663382D8C88}"/>
    <cellStyle name="20% - Accent2 3 2 7" xfId="4518" xr:uid="{00000000-0005-0000-0000-000006010000}"/>
    <cellStyle name="20% - Accent2 3 2 7 2" xfId="13844" xr:uid="{EDB8DDE8-6CDC-4D31-A728-498A897FACA8}"/>
    <cellStyle name="20% - Accent2 3 2 7 2 2" xfId="50186" xr:uid="{311750AD-3936-44F0-9C33-35FC358A0885}"/>
    <cellStyle name="20% - Accent2 3 2 7 2 3" xfId="31590" xr:uid="{A2F3698E-6284-42E0-B6A6-0AC0E3036D5A}"/>
    <cellStyle name="20% - Accent2 3 2 7 3" xfId="40889" xr:uid="{5E389252-8F7B-4FA1-8461-1C94CE87B951}"/>
    <cellStyle name="20% - Accent2 3 2 7 4" xfId="22291" xr:uid="{2175CAA0-7819-4B78-A4E1-F3AFD0DCFC84}"/>
    <cellStyle name="20% - Accent2 3 2 8" xfId="9070" xr:uid="{8A9168BA-490F-4E57-83EA-22187D24153F}"/>
    <cellStyle name="20% - Accent2 3 2 8 2" xfId="36140" xr:uid="{DC58F42B-FC05-41C8-B32A-12AE3C055CCA}"/>
    <cellStyle name="20% - Accent2 3 2 8 2 2" xfId="54735" xr:uid="{E26A73BE-495E-4948-8753-45A5F8411BEC}"/>
    <cellStyle name="20% - Accent2 3 2 8 3" xfId="45438" xr:uid="{28032E1F-0A26-4F00-97A7-CEA488A65E56}"/>
    <cellStyle name="20% - Accent2 3 2 8 4" xfId="26841" xr:uid="{587FADFB-8D51-408D-A21D-E5EE71C3A7BD}"/>
    <cellStyle name="20% - Accent2 3 2 9" xfId="9627" xr:uid="{2B8E0263-ED03-4234-9414-A47D0BE5815D}"/>
    <cellStyle name="20% - Accent2 3 2 9 2" xfId="45969" xr:uid="{C1F67593-605D-4466-8222-F897912C4F65}"/>
    <cellStyle name="20% - Accent2 3 2 9 3" xfId="27373" xr:uid="{BD1D1653-F99A-479C-8086-C419753CBE93}"/>
    <cellStyle name="20% - Accent2 3 3" xfId="583" xr:uid="{00000000-0005-0000-0000-000007010000}"/>
    <cellStyle name="20% - Accent2 3 3 2" xfId="2854" xr:uid="{00000000-0005-0000-0000-000008010000}"/>
    <cellStyle name="20% - Accent2 3 3 2 2" xfId="7076" xr:uid="{00000000-0005-0000-0000-000009010000}"/>
    <cellStyle name="20% - Accent2 3 3 2 2 2" xfId="16402" xr:uid="{377D1735-CC2A-4247-9657-2955EBF81D85}"/>
    <cellStyle name="20% - Accent2 3 3 2 2 2 2" xfId="52744" xr:uid="{4DAA0592-CAD8-421F-B199-22AFFA0780BA}"/>
    <cellStyle name="20% - Accent2 3 3 2 2 2 3" xfId="34148" xr:uid="{10A898B5-F64B-450F-8B45-7D564C848F76}"/>
    <cellStyle name="20% - Accent2 3 3 2 2 3" xfId="43447" xr:uid="{D443BB4A-9D44-45D4-B04C-FD1B077AF007}"/>
    <cellStyle name="20% - Accent2 3 3 2 2 4" xfId="24849" xr:uid="{DF93B74F-95F4-441B-8DAF-E0C406CAB9B7}"/>
    <cellStyle name="20% - Accent2 3 3 2 3" xfId="12185" xr:uid="{E34BF936-B4A5-43DF-A20A-05FA4FB84B13}"/>
    <cellStyle name="20% - Accent2 3 3 2 3 2" xfId="48527" xr:uid="{F0DFB0B7-7514-4C41-881E-B36CE64E0A73}"/>
    <cellStyle name="20% - Accent2 3 3 2 3 3" xfId="29931" xr:uid="{9D39BBE7-FC4A-4B43-9E0E-C2A6C8228058}"/>
    <cellStyle name="20% - Accent2 3 3 2 4" xfId="39230" xr:uid="{94841491-357E-46C8-BD59-6BDC0FE99F00}"/>
    <cellStyle name="20% - Accent2 3 3 2 5" xfId="20632" xr:uid="{2449FB13-10EA-459F-B347-2229AE688EEF}"/>
    <cellStyle name="20% - Accent2 3 3 3" xfId="4931" xr:uid="{00000000-0005-0000-0000-00000A010000}"/>
    <cellStyle name="20% - Accent2 3 3 3 2" xfId="14257" xr:uid="{76E014D4-94D3-44CD-9BF3-66E9027AAE0B}"/>
    <cellStyle name="20% - Accent2 3 3 3 2 2" xfId="50599" xr:uid="{330A15C8-25F3-4BA7-B7B9-3CF2FF09BBE0}"/>
    <cellStyle name="20% - Accent2 3 3 3 2 3" xfId="32003" xr:uid="{90DCD6DC-7600-4C25-BC0D-B3C542ACAC84}"/>
    <cellStyle name="20% - Accent2 3 3 3 3" xfId="41302" xr:uid="{76FD85EC-7097-432D-952A-D8EC567F6DD3}"/>
    <cellStyle name="20% - Accent2 3 3 3 4" xfId="22704" xr:uid="{13D24487-1187-4BDC-BD26-795B90025B6D}"/>
    <cellStyle name="20% - Accent2 3 3 4" xfId="9288" xr:uid="{FCD70616-ECAD-4A0B-889F-4698E1AD889E}"/>
    <cellStyle name="20% - Accent2 3 3 4 2" xfId="36349" xr:uid="{FE0F66EC-7BA0-49FC-A2FE-9235DFA51031}"/>
    <cellStyle name="20% - Accent2 3 3 4 2 2" xfId="54943" xr:uid="{1F6F5995-BE14-400C-9EA1-6280DF576819}"/>
    <cellStyle name="20% - Accent2 3 3 4 3" xfId="45646" xr:uid="{2805F12B-075E-4B81-895C-F0362338596E}"/>
    <cellStyle name="20% - Accent2 3 3 4 4" xfId="27050" xr:uid="{CFCAB357-0BA6-42C6-B7DB-F14D9750805B}"/>
    <cellStyle name="20% - Accent2 3 3 5" xfId="10040" xr:uid="{68FE657D-9223-4C88-B961-5D3443F98E58}"/>
    <cellStyle name="20% - Accent2 3 3 5 2" xfId="46382" xr:uid="{E60F62A4-7BEB-4D9F-BE05-A096B4A47CA1}"/>
    <cellStyle name="20% - Accent2 3 3 5 3" xfId="27786" xr:uid="{FEF19D79-9D32-4BA7-8036-28196D03D471}"/>
    <cellStyle name="20% - Accent2 3 3 6" xfId="37085" xr:uid="{C8A4318B-BCED-4716-AAA2-78DDEAB249EC}"/>
    <cellStyle name="20% - Accent2 3 3 7" xfId="18487" xr:uid="{80B33AA0-F67A-4B78-89FC-5ADFB35AB0DD}"/>
    <cellStyle name="20% - Accent2 3 4" xfId="1036" xr:uid="{00000000-0005-0000-0000-00000B010000}"/>
    <cellStyle name="20% - Accent2 3 4 2" xfId="3267" xr:uid="{00000000-0005-0000-0000-00000C010000}"/>
    <cellStyle name="20% - Accent2 3 4 2 2" xfId="7489" xr:uid="{00000000-0005-0000-0000-00000D010000}"/>
    <cellStyle name="20% - Accent2 3 4 2 2 2" xfId="16815" xr:uid="{1E6C3098-609D-4D7B-B83C-42B452302383}"/>
    <cellStyle name="20% - Accent2 3 4 2 2 2 2" xfId="53157" xr:uid="{35DF8DBB-5D37-485A-BA7B-1C8EE81D8B2D}"/>
    <cellStyle name="20% - Accent2 3 4 2 2 2 3" xfId="34561" xr:uid="{C1289FF0-8928-4C36-98CE-0A0EBBB9B439}"/>
    <cellStyle name="20% - Accent2 3 4 2 2 3" xfId="43860" xr:uid="{4889B0EF-CAE7-4148-ABAB-450EBB78532B}"/>
    <cellStyle name="20% - Accent2 3 4 2 2 4" xfId="25262" xr:uid="{CCDC588C-F03C-49D2-AA3A-E87E7EF5B8D5}"/>
    <cellStyle name="20% - Accent2 3 4 2 3" xfId="12598" xr:uid="{D9D93109-3619-4CD1-8D42-A174DD3C16A5}"/>
    <cellStyle name="20% - Accent2 3 4 2 3 2" xfId="48940" xr:uid="{A7AB7680-A636-4C1D-AC0A-35CD4698EC22}"/>
    <cellStyle name="20% - Accent2 3 4 2 3 3" xfId="30344" xr:uid="{3CACDE3A-0446-43F9-9B11-4891E7415715}"/>
    <cellStyle name="20% - Accent2 3 4 2 4" xfId="39643" xr:uid="{DDB243A4-22CB-4A17-A15F-924AF2E006C0}"/>
    <cellStyle name="20% - Accent2 3 4 2 5" xfId="21045" xr:uid="{14515C73-4291-41A8-BD8E-1CF7AC230431}"/>
    <cellStyle name="20% - Accent2 3 4 3" xfId="5344" xr:uid="{00000000-0005-0000-0000-00000E010000}"/>
    <cellStyle name="20% - Accent2 3 4 3 2" xfId="14670" xr:uid="{C7470AD1-9F25-41B8-992A-019284B8F201}"/>
    <cellStyle name="20% - Accent2 3 4 3 2 2" xfId="51012" xr:uid="{E9CB4CD0-8382-4C20-A7E1-D71CCE47D9C2}"/>
    <cellStyle name="20% - Accent2 3 4 3 2 3" xfId="32416" xr:uid="{FC2CAB21-9E76-4F8E-94B8-676A8A8274B8}"/>
    <cellStyle name="20% - Accent2 3 4 3 3" xfId="41715" xr:uid="{F27248A0-8672-4357-87DF-362F55E70B47}"/>
    <cellStyle name="20% - Accent2 3 4 3 4" xfId="23117" xr:uid="{C242D284-D768-4F8D-9CE0-0AFE87325830}"/>
    <cellStyle name="20% - Accent2 3 4 4" xfId="10453" xr:uid="{5BE7472D-320F-4256-805A-8B9DCBC8E501}"/>
    <cellStyle name="20% - Accent2 3 4 4 2" xfId="46795" xr:uid="{0CEC8D2E-A025-4885-9167-01ABAD8403A6}"/>
    <cellStyle name="20% - Accent2 3 4 4 3" xfId="28199" xr:uid="{4CB8848B-93F4-4296-835C-F9415E42E2F4}"/>
    <cellStyle name="20% - Accent2 3 4 5" xfId="37498" xr:uid="{74905852-B3EA-4ECA-9929-F628424A9877}"/>
    <cellStyle name="20% - Accent2 3 4 6" xfId="18900" xr:uid="{75745A77-4AE6-4EF6-892A-956347932A4F}"/>
    <cellStyle name="20% - Accent2 3 5" xfId="1450" xr:uid="{00000000-0005-0000-0000-00000F010000}"/>
    <cellStyle name="20% - Accent2 3 5 2" xfId="3680" xr:uid="{00000000-0005-0000-0000-000010010000}"/>
    <cellStyle name="20% - Accent2 3 5 2 2" xfId="7902" xr:uid="{00000000-0005-0000-0000-000011010000}"/>
    <cellStyle name="20% - Accent2 3 5 2 2 2" xfId="17228" xr:uid="{43C657A0-7461-418F-BBED-CC9029EC7B3A}"/>
    <cellStyle name="20% - Accent2 3 5 2 2 2 2" xfId="53570" xr:uid="{06DF8533-F51D-4B78-9762-189C3DC58FEA}"/>
    <cellStyle name="20% - Accent2 3 5 2 2 2 3" xfId="34974" xr:uid="{33B9FE68-E7C7-4632-864B-5997A61B6749}"/>
    <cellStyle name="20% - Accent2 3 5 2 2 3" xfId="44273" xr:uid="{D02C2F2A-66EE-4944-9866-D15E7F0E1C68}"/>
    <cellStyle name="20% - Accent2 3 5 2 2 4" xfId="25675" xr:uid="{46BB6FAE-039B-46FD-92CA-3D36B3E04DBE}"/>
    <cellStyle name="20% - Accent2 3 5 2 3" xfId="13011" xr:uid="{B3B99190-3722-4203-8DEA-ED1965569285}"/>
    <cellStyle name="20% - Accent2 3 5 2 3 2" xfId="49353" xr:uid="{79969BC1-2C57-4E1A-87C3-3A9DA9E9D533}"/>
    <cellStyle name="20% - Accent2 3 5 2 3 3" xfId="30757" xr:uid="{CF6AFB1C-1D1F-44D2-9A12-51CF7CD71918}"/>
    <cellStyle name="20% - Accent2 3 5 2 4" xfId="40056" xr:uid="{E140C79C-F923-4A8F-92A2-EA3F249946B6}"/>
    <cellStyle name="20% - Accent2 3 5 2 5" xfId="21458" xr:uid="{1668C487-0367-4023-AD7D-9F93EF547BC4}"/>
    <cellStyle name="20% - Accent2 3 5 3" xfId="5757" xr:uid="{00000000-0005-0000-0000-000012010000}"/>
    <cellStyle name="20% - Accent2 3 5 3 2" xfId="15083" xr:uid="{B3C40121-4E32-4CD3-A3FF-1E9B8540A4EB}"/>
    <cellStyle name="20% - Accent2 3 5 3 2 2" xfId="51425" xr:uid="{3DEF9B3B-AFB9-494C-97F1-E39903B23198}"/>
    <cellStyle name="20% - Accent2 3 5 3 2 3" xfId="32829" xr:uid="{0A5532AC-0697-4689-AA9B-A863D5448B6D}"/>
    <cellStyle name="20% - Accent2 3 5 3 3" xfId="42128" xr:uid="{30CA706E-429D-4FDE-B32A-9B6AA72CA9E1}"/>
    <cellStyle name="20% - Accent2 3 5 3 4" xfId="23530" xr:uid="{B90AB03B-C510-41CB-963F-57CE2E7E0217}"/>
    <cellStyle name="20% - Accent2 3 5 4" xfId="10866" xr:uid="{7F233601-3593-4345-B3E3-34D6FB7B0373}"/>
    <cellStyle name="20% - Accent2 3 5 4 2" xfId="47208" xr:uid="{8DCB7A35-EF31-4202-B56F-8A99EF04D616}"/>
    <cellStyle name="20% - Accent2 3 5 4 3" xfId="28612" xr:uid="{3F766E1D-6DFE-478D-9FD2-3BCBF5338A33}"/>
    <cellStyle name="20% - Accent2 3 5 5" xfId="37911" xr:uid="{6F591934-C220-4568-855D-7383F636B0B1}"/>
    <cellStyle name="20% - Accent2 3 5 6" xfId="19313" xr:uid="{F3DF2B29-4AF1-42F0-822B-977660F82C8D}"/>
    <cellStyle name="20% - Accent2 3 6" xfId="1864" xr:uid="{00000000-0005-0000-0000-000013010000}"/>
    <cellStyle name="20% - Accent2 3 6 2" xfId="4093" xr:uid="{00000000-0005-0000-0000-000014010000}"/>
    <cellStyle name="20% - Accent2 3 6 2 2" xfId="8315" xr:uid="{00000000-0005-0000-0000-000015010000}"/>
    <cellStyle name="20% - Accent2 3 6 2 2 2" xfId="17641" xr:uid="{A6A84777-8D1D-4FA7-AB46-FC06695F9C2F}"/>
    <cellStyle name="20% - Accent2 3 6 2 2 2 2" xfId="53983" xr:uid="{B16DA5A6-B9AA-49BA-BAF3-B8413E6B147D}"/>
    <cellStyle name="20% - Accent2 3 6 2 2 2 3" xfId="35387" xr:uid="{9504BD34-E17C-42BA-B325-3D7623753644}"/>
    <cellStyle name="20% - Accent2 3 6 2 2 3" xfId="44686" xr:uid="{91B1247F-D8B9-4590-AE81-F2ACEED7EB17}"/>
    <cellStyle name="20% - Accent2 3 6 2 2 4" xfId="26088" xr:uid="{FDF2EC36-3C35-4632-B481-E64162181C49}"/>
    <cellStyle name="20% - Accent2 3 6 2 3" xfId="13424" xr:uid="{2C5C724C-798F-47BF-B93D-444EDDA2CAF0}"/>
    <cellStyle name="20% - Accent2 3 6 2 3 2" xfId="49766" xr:uid="{AEB6E8F4-C53E-413E-98E4-EF013FE283E1}"/>
    <cellStyle name="20% - Accent2 3 6 2 3 3" xfId="31170" xr:uid="{F4538EB8-024C-4113-8FD7-E8DC759573A6}"/>
    <cellStyle name="20% - Accent2 3 6 2 4" xfId="40469" xr:uid="{B80E2C7A-6C20-440F-B4AD-EF7AA3F92D01}"/>
    <cellStyle name="20% - Accent2 3 6 2 5" xfId="21871" xr:uid="{9120EA16-D060-480F-8A9F-220D5B578681}"/>
    <cellStyle name="20% - Accent2 3 6 3" xfId="6170" xr:uid="{00000000-0005-0000-0000-000016010000}"/>
    <cellStyle name="20% - Accent2 3 6 3 2" xfId="15496" xr:uid="{B71802CD-136F-49AB-B111-CD34650C2667}"/>
    <cellStyle name="20% - Accent2 3 6 3 2 2" xfId="51838" xr:uid="{F801F76B-3698-411D-81A7-720D24DFF5F3}"/>
    <cellStyle name="20% - Accent2 3 6 3 2 3" xfId="33242" xr:uid="{4056913E-00F2-4B2E-9E51-157E0D669ACB}"/>
    <cellStyle name="20% - Accent2 3 6 3 3" xfId="42541" xr:uid="{D2F2479D-EFBD-41ED-9205-37F972FC8127}"/>
    <cellStyle name="20% - Accent2 3 6 3 4" xfId="23943" xr:uid="{032D3CB1-426C-410F-87D7-65BA5563E8FF}"/>
    <cellStyle name="20% - Accent2 3 6 4" xfId="11279" xr:uid="{D1CBB364-8BE4-4952-814C-F826E451A884}"/>
    <cellStyle name="20% - Accent2 3 6 4 2" xfId="47621" xr:uid="{4A0DCB7D-186C-468E-B719-F059C4AF548B}"/>
    <cellStyle name="20% - Accent2 3 6 4 3" xfId="29025" xr:uid="{0FF3C2BD-380F-4E77-89AD-181C4059BA01}"/>
    <cellStyle name="20% - Accent2 3 6 5" xfId="38324" xr:uid="{27618720-ED83-42E3-9300-ADF37F80AFCF}"/>
    <cellStyle name="20% - Accent2 3 6 6" xfId="19726" xr:uid="{94D62798-47E4-4C17-88D6-867EED596960}"/>
    <cellStyle name="20% - Accent2 3 7" xfId="2277" xr:uid="{00000000-0005-0000-0000-000017010000}"/>
    <cellStyle name="20% - Accent2 3 7 2" xfId="6583" xr:uid="{00000000-0005-0000-0000-000018010000}"/>
    <cellStyle name="20% - Accent2 3 7 2 2" xfId="15909" xr:uid="{BF3DD91E-7B05-41C5-8951-54BA40E90091}"/>
    <cellStyle name="20% - Accent2 3 7 2 2 2" xfId="52251" xr:uid="{39B0DA40-75E1-41E9-B2F9-6802F4F8E27B}"/>
    <cellStyle name="20% - Accent2 3 7 2 2 3" xfId="33655" xr:uid="{D1B25E11-D8CB-49C7-8F61-B220D7065F3F}"/>
    <cellStyle name="20% - Accent2 3 7 2 3" xfId="42954" xr:uid="{B7D9F424-F8A0-4884-BBFE-DBAF5AEECBB5}"/>
    <cellStyle name="20% - Accent2 3 7 2 4" xfId="24356" xr:uid="{C3280CCD-7BB2-4583-90D4-3508B710F741}"/>
    <cellStyle name="20% - Accent2 3 7 3" xfId="11692" xr:uid="{8741378E-A345-43BD-A5BC-4645B5DA0D30}"/>
    <cellStyle name="20% - Accent2 3 7 3 2" xfId="48034" xr:uid="{41D6B80A-2935-4A1C-9871-ABB6434032D2}"/>
    <cellStyle name="20% - Accent2 3 7 3 3" xfId="29438" xr:uid="{7C7DD50C-E35B-493D-9EBD-E03104952C84}"/>
    <cellStyle name="20% - Accent2 3 7 4" xfId="38737" xr:uid="{D43B9003-1308-4D8B-94F2-54A721DE44F0}"/>
    <cellStyle name="20% - Accent2 3 7 5" xfId="20139" xr:uid="{D0DCE87B-D062-4E31-B663-4555CDDF4B6E}"/>
    <cellStyle name="20% - Accent2 3 8" xfId="4517" xr:uid="{00000000-0005-0000-0000-000019010000}"/>
    <cellStyle name="20% - Accent2 3 8 2" xfId="13843" xr:uid="{54550738-1DE4-46D1-88B5-5759CBAE4873}"/>
    <cellStyle name="20% - Accent2 3 8 2 2" xfId="50185" xr:uid="{7169966C-0E51-404C-BF53-0EC3D19DF51C}"/>
    <cellStyle name="20% - Accent2 3 8 2 3" xfId="31589" xr:uid="{2D115F5E-8ED4-41F5-BC02-D623B8D22E56}"/>
    <cellStyle name="20% - Accent2 3 8 3" xfId="40888" xr:uid="{2F609C8F-F127-4915-BECF-8233E3253D84}"/>
    <cellStyle name="20% - Accent2 3 8 4" xfId="22290" xr:uid="{8DB16C40-561E-4D5D-B55B-CC2EC8125728}"/>
    <cellStyle name="20% - Accent2 3 9" xfId="8863" xr:uid="{C6A258FB-33DC-4171-B9DD-C29513CA80FD}"/>
    <cellStyle name="20% - Accent2 3 9 2" xfId="35933" xr:uid="{3303A81C-BC7C-4773-8DEA-9A7FF83D626A}"/>
    <cellStyle name="20% - Accent2 3 9 2 2" xfId="54528" xr:uid="{7D217ABB-FCF3-45C0-B923-63E44320AE25}"/>
    <cellStyle name="20% - Accent2 3 9 3" xfId="45231" xr:uid="{E7F86014-E51F-428D-936E-740CD3AE3D56}"/>
    <cellStyle name="20% - Accent2 3 9 4" xfId="26634" xr:uid="{0B50EAF5-7CEB-44C0-9A38-E6B4A1D00E7F}"/>
    <cellStyle name="20% - Accent2 4" xfId="16" xr:uid="{00000000-0005-0000-0000-00001A010000}"/>
    <cellStyle name="20% - Accent2 4 10" xfId="36673" xr:uid="{507893E6-516F-4DFC-9EB0-2A455825148B}"/>
    <cellStyle name="20% - Accent2 4 11" xfId="18075" xr:uid="{ED8DDC70-C5F1-4E4E-A87B-9CD8B363D55D}"/>
    <cellStyle name="20% - Accent2 4 2" xfId="585" xr:uid="{00000000-0005-0000-0000-00001B010000}"/>
    <cellStyle name="20% - Accent2 4 2 2" xfId="2856" xr:uid="{00000000-0005-0000-0000-00001C010000}"/>
    <cellStyle name="20% - Accent2 4 2 2 2" xfId="7078" xr:uid="{00000000-0005-0000-0000-00001D010000}"/>
    <cellStyle name="20% - Accent2 4 2 2 2 2" xfId="16404" xr:uid="{B5CA69A1-A699-465F-B2E8-6959F5D32798}"/>
    <cellStyle name="20% - Accent2 4 2 2 2 2 2" xfId="52746" xr:uid="{2058898C-4036-4331-95C2-A40713BCF98B}"/>
    <cellStyle name="20% - Accent2 4 2 2 2 2 3" xfId="34150" xr:uid="{21EE42CF-BEA8-46CF-B9B6-E2CA33CBAE0A}"/>
    <cellStyle name="20% - Accent2 4 2 2 2 3" xfId="43449" xr:uid="{F664A302-B500-434B-9257-799F7C257D0D}"/>
    <cellStyle name="20% - Accent2 4 2 2 2 4" xfId="24851" xr:uid="{F869C2F2-BBAB-42E5-BA5C-1CC6D5FDC0B0}"/>
    <cellStyle name="20% - Accent2 4 2 2 3" xfId="12187" xr:uid="{5A3D48EB-8E05-496A-B528-16C20B9B2969}"/>
    <cellStyle name="20% - Accent2 4 2 2 3 2" xfId="48529" xr:uid="{E9058108-2728-412B-B1F6-3372A1FF7A34}"/>
    <cellStyle name="20% - Accent2 4 2 2 3 3" xfId="29933" xr:uid="{521A220E-3DEC-4079-940A-3BB45CDEF5A9}"/>
    <cellStyle name="20% - Accent2 4 2 2 4" xfId="39232" xr:uid="{66D8777A-4987-4054-A571-B508BBEE6FB8}"/>
    <cellStyle name="20% - Accent2 4 2 2 5" xfId="20634" xr:uid="{91DA6308-3213-4293-A789-FE029BB50444}"/>
    <cellStyle name="20% - Accent2 4 2 3" xfId="4933" xr:uid="{00000000-0005-0000-0000-00001E010000}"/>
    <cellStyle name="20% - Accent2 4 2 3 2" xfId="14259" xr:uid="{792BDF67-DFEF-4E9A-A1E9-F1BEDF90B812}"/>
    <cellStyle name="20% - Accent2 4 2 3 2 2" xfId="50601" xr:uid="{E97C6A72-51CE-4372-9AF8-6C488EA81D0D}"/>
    <cellStyle name="20% - Accent2 4 2 3 2 3" xfId="32005" xr:uid="{E396C5BB-CE12-4FC7-B8FB-07A04E490A8D}"/>
    <cellStyle name="20% - Accent2 4 2 3 3" xfId="41304" xr:uid="{308E7ABE-2DB9-4F42-AEFC-5A2967E856C0}"/>
    <cellStyle name="20% - Accent2 4 2 3 4" xfId="22706" xr:uid="{BFD62B96-CD28-49D4-8027-106D43F00580}"/>
    <cellStyle name="20% - Accent2 4 2 4" xfId="9374" xr:uid="{26FD7A0E-8D04-4AF7-B092-2B22A78F0A97}"/>
    <cellStyle name="20% - Accent2 4 2 4 2" xfId="36435" xr:uid="{7C7BB13B-CEA4-4590-AD83-2DB4DCA364F0}"/>
    <cellStyle name="20% - Accent2 4 2 4 2 2" xfId="55029" xr:uid="{896E2652-0D3C-44D1-B8B1-44E61CB42A50}"/>
    <cellStyle name="20% - Accent2 4 2 4 3" xfId="45732" xr:uid="{3EDB10E5-D1AF-4A98-B9CC-22C45D730EA6}"/>
    <cellStyle name="20% - Accent2 4 2 4 4" xfId="27136" xr:uid="{AC48F73F-9440-4990-B644-6BEBC2E1D5B0}"/>
    <cellStyle name="20% - Accent2 4 2 5" xfId="10042" xr:uid="{36455499-AAC1-415C-AACE-8D8644503BA6}"/>
    <cellStyle name="20% - Accent2 4 2 5 2" xfId="46384" xr:uid="{C2935894-7688-4C0C-A1B1-7835CE55F41F}"/>
    <cellStyle name="20% - Accent2 4 2 5 3" xfId="27788" xr:uid="{1AD5C05E-B9BF-46AA-9EF6-4C66677CC8F9}"/>
    <cellStyle name="20% - Accent2 4 2 6" xfId="37087" xr:uid="{8CB3B9C9-421D-4119-A87B-12EFAFECF3DD}"/>
    <cellStyle name="20% - Accent2 4 2 7" xfId="18489" xr:uid="{09BC041B-E38D-4E59-A577-888DB3D9CB77}"/>
    <cellStyle name="20% - Accent2 4 3" xfId="1038" xr:uid="{00000000-0005-0000-0000-00001F010000}"/>
    <cellStyle name="20% - Accent2 4 3 2" xfId="3269" xr:uid="{00000000-0005-0000-0000-000020010000}"/>
    <cellStyle name="20% - Accent2 4 3 2 2" xfId="7491" xr:uid="{00000000-0005-0000-0000-000021010000}"/>
    <cellStyle name="20% - Accent2 4 3 2 2 2" xfId="16817" xr:uid="{FBCF119A-2CDA-4687-84CF-0F2EB5D32AC5}"/>
    <cellStyle name="20% - Accent2 4 3 2 2 2 2" xfId="53159" xr:uid="{2917971F-A2D0-474F-A7F9-822F0D547527}"/>
    <cellStyle name="20% - Accent2 4 3 2 2 2 3" xfId="34563" xr:uid="{1DC57D68-8646-400D-B0A7-A2C914E3D8EF}"/>
    <cellStyle name="20% - Accent2 4 3 2 2 3" xfId="43862" xr:uid="{494998D7-3130-4AB1-9FC4-36ED48B4E51D}"/>
    <cellStyle name="20% - Accent2 4 3 2 2 4" xfId="25264" xr:uid="{E87A0E3B-4EA2-4CC4-9A4F-083B50B649FB}"/>
    <cellStyle name="20% - Accent2 4 3 2 3" xfId="12600" xr:uid="{932ACE32-209F-4D35-A389-6C5ED2EEC828}"/>
    <cellStyle name="20% - Accent2 4 3 2 3 2" xfId="48942" xr:uid="{3DEAE5D9-4BF3-4D0C-8F39-A8219DC5CAA7}"/>
    <cellStyle name="20% - Accent2 4 3 2 3 3" xfId="30346" xr:uid="{D5DB7FCF-211F-4FA1-AF82-B18D5522CDF8}"/>
    <cellStyle name="20% - Accent2 4 3 2 4" xfId="39645" xr:uid="{98F47319-E27E-4914-90B0-955042845D45}"/>
    <cellStyle name="20% - Accent2 4 3 2 5" xfId="21047" xr:uid="{8D725F38-8777-404B-8932-37FBBBED8C6E}"/>
    <cellStyle name="20% - Accent2 4 3 3" xfId="5346" xr:uid="{00000000-0005-0000-0000-000022010000}"/>
    <cellStyle name="20% - Accent2 4 3 3 2" xfId="14672" xr:uid="{7BE8632E-866E-48E6-8D2D-E6B61814AC6B}"/>
    <cellStyle name="20% - Accent2 4 3 3 2 2" xfId="51014" xr:uid="{7AE92CE8-63B5-4CF6-B828-2A886CB31183}"/>
    <cellStyle name="20% - Accent2 4 3 3 2 3" xfId="32418" xr:uid="{EFC08003-A9BE-485C-A0C2-F6998B68C5B8}"/>
    <cellStyle name="20% - Accent2 4 3 3 3" xfId="41717" xr:uid="{75D96D1C-57B7-484A-BDD4-CE6DADCDC8C2}"/>
    <cellStyle name="20% - Accent2 4 3 3 4" xfId="23119" xr:uid="{C3402C23-AB84-4241-87D3-ABDC105CD93F}"/>
    <cellStyle name="20% - Accent2 4 3 4" xfId="10455" xr:uid="{3DF8940A-B483-43C4-B23B-207D57FC9B27}"/>
    <cellStyle name="20% - Accent2 4 3 4 2" xfId="46797" xr:uid="{B33A1BCB-A605-4A15-99D9-91FC1308799B}"/>
    <cellStyle name="20% - Accent2 4 3 4 3" xfId="28201" xr:uid="{46354E1E-5BA7-4DBF-B101-1FE5F46E0350}"/>
    <cellStyle name="20% - Accent2 4 3 5" xfId="37500" xr:uid="{2FF55A19-0E0D-4701-BEDF-4FEA45525783}"/>
    <cellStyle name="20% - Accent2 4 3 6" xfId="18902" xr:uid="{59AA80A3-40CA-4E14-8B3D-BAA74C78C1C1}"/>
    <cellStyle name="20% - Accent2 4 4" xfId="1452" xr:uid="{00000000-0005-0000-0000-000023010000}"/>
    <cellStyle name="20% - Accent2 4 4 2" xfId="3682" xr:uid="{00000000-0005-0000-0000-000024010000}"/>
    <cellStyle name="20% - Accent2 4 4 2 2" xfId="7904" xr:uid="{00000000-0005-0000-0000-000025010000}"/>
    <cellStyle name="20% - Accent2 4 4 2 2 2" xfId="17230" xr:uid="{DFB162B3-F84B-4500-8945-A0E0CA915846}"/>
    <cellStyle name="20% - Accent2 4 4 2 2 2 2" xfId="53572" xr:uid="{AC9AD19B-F061-4590-8CB0-C3AF5AC99C25}"/>
    <cellStyle name="20% - Accent2 4 4 2 2 2 3" xfId="34976" xr:uid="{DDAD2C93-7F64-4169-98DE-EA88360C1AA2}"/>
    <cellStyle name="20% - Accent2 4 4 2 2 3" xfId="44275" xr:uid="{511A8CC1-E965-4601-8728-913458C01D71}"/>
    <cellStyle name="20% - Accent2 4 4 2 2 4" xfId="25677" xr:uid="{CA892322-11B8-4C71-8157-D35B749C41F2}"/>
    <cellStyle name="20% - Accent2 4 4 2 3" xfId="13013" xr:uid="{B4D2B80A-5ED4-49FC-A1DB-8EB7BE23C58D}"/>
    <cellStyle name="20% - Accent2 4 4 2 3 2" xfId="49355" xr:uid="{F8377457-DF31-4F96-93D8-21B2D2AF5F61}"/>
    <cellStyle name="20% - Accent2 4 4 2 3 3" xfId="30759" xr:uid="{B604C57B-D097-4AD9-8C82-98F5B2275513}"/>
    <cellStyle name="20% - Accent2 4 4 2 4" xfId="40058" xr:uid="{27908C4E-9A19-49B2-8720-B24F9AC3126F}"/>
    <cellStyle name="20% - Accent2 4 4 2 5" xfId="21460" xr:uid="{571DA961-BA66-4196-91C9-E4F8D5AB2D85}"/>
    <cellStyle name="20% - Accent2 4 4 3" xfId="5759" xr:uid="{00000000-0005-0000-0000-000026010000}"/>
    <cellStyle name="20% - Accent2 4 4 3 2" xfId="15085" xr:uid="{E60EC64D-8180-40D6-81D9-79E11E6F2089}"/>
    <cellStyle name="20% - Accent2 4 4 3 2 2" xfId="51427" xr:uid="{12C5650A-0EC8-4413-88FA-0BBCFD3F0B40}"/>
    <cellStyle name="20% - Accent2 4 4 3 2 3" xfId="32831" xr:uid="{5A3459EE-0FE7-4B55-9E9C-AF1DAD612A66}"/>
    <cellStyle name="20% - Accent2 4 4 3 3" xfId="42130" xr:uid="{10720B51-CF13-4139-9E29-249FA6337F9C}"/>
    <cellStyle name="20% - Accent2 4 4 3 4" xfId="23532" xr:uid="{BD9593F1-7799-4793-B855-F01DE05ECE0F}"/>
    <cellStyle name="20% - Accent2 4 4 4" xfId="10868" xr:uid="{496A7C4C-51AE-4609-9E31-FE35C597CE57}"/>
    <cellStyle name="20% - Accent2 4 4 4 2" xfId="47210" xr:uid="{16A73A89-1025-42B1-9C8D-8C08C7A58D04}"/>
    <cellStyle name="20% - Accent2 4 4 4 3" xfId="28614" xr:uid="{442092FB-BC30-4257-B378-5CA13912A102}"/>
    <cellStyle name="20% - Accent2 4 4 5" xfId="37913" xr:uid="{C26DB4A9-5304-4036-8525-E50F7795BE90}"/>
    <cellStyle name="20% - Accent2 4 4 6" xfId="19315" xr:uid="{33BDBC3C-6851-4AED-9E79-A952A9A383C2}"/>
    <cellStyle name="20% - Accent2 4 5" xfId="1866" xr:uid="{00000000-0005-0000-0000-000027010000}"/>
    <cellStyle name="20% - Accent2 4 5 2" xfId="4095" xr:uid="{00000000-0005-0000-0000-000028010000}"/>
    <cellStyle name="20% - Accent2 4 5 2 2" xfId="8317" xr:uid="{00000000-0005-0000-0000-000029010000}"/>
    <cellStyle name="20% - Accent2 4 5 2 2 2" xfId="17643" xr:uid="{23C87C16-CCB3-4C58-8F76-532298487554}"/>
    <cellStyle name="20% - Accent2 4 5 2 2 2 2" xfId="53985" xr:uid="{17005908-7301-41D5-BC66-B138613BA938}"/>
    <cellStyle name="20% - Accent2 4 5 2 2 2 3" xfId="35389" xr:uid="{36908CD1-531D-4629-9FEE-BF486375D242}"/>
    <cellStyle name="20% - Accent2 4 5 2 2 3" xfId="44688" xr:uid="{7310A289-9148-4339-A91F-8B106DC8C058}"/>
    <cellStyle name="20% - Accent2 4 5 2 2 4" xfId="26090" xr:uid="{E0141631-8502-4B9A-A5D5-B318BDDC9401}"/>
    <cellStyle name="20% - Accent2 4 5 2 3" xfId="13426" xr:uid="{D8CDC512-DB7C-4C99-89D7-15BD05438ACA}"/>
    <cellStyle name="20% - Accent2 4 5 2 3 2" xfId="49768" xr:uid="{961BD512-F592-4022-B139-313E8602B850}"/>
    <cellStyle name="20% - Accent2 4 5 2 3 3" xfId="31172" xr:uid="{75E4C943-BCAE-4197-92F9-8D65E0A45BF2}"/>
    <cellStyle name="20% - Accent2 4 5 2 4" xfId="40471" xr:uid="{85EDFA38-E0DD-483E-89A9-CDA49BA68010}"/>
    <cellStyle name="20% - Accent2 4 5 2 5" xfId="21873" xr:uid="{6E0C6127-7C33-4318-84F9-CCA9172B0A2E}"/>
    <cellStyle name="20% - Accent2 4 5 3" xfId="6172" xr:uid="{00000000-0005-0000-0000-00002A010000}"/>
    <cellStyle name="20% - Accent2 4 5 3 2" xfId="15498" xr:uid="{052DB0D0-5F7B-476C-A41D-9F27F0DF6E17}"/>
    <cellStyle name="20% - Accent2 4 5 3 2 2" xfId="51840" xr:uid="{9C65D549-ECA8-489D-83C4-FF7B0EA2240E}"/>
    <cellStyle name="20% - Accent2 4 5 3 2 3" xfId="33244" xr:uid="{6A6D093C-5825-423D-802C-E887EBF3FCE9}"/>
    <cellStyle name="20% - Accent2 4 5 3 3" xfId="42543" xr:uid="{58706165-F3EC-48D3-A3EA-8999CC2B5028}"/>
    <cellStyle name="20% - Accent2 4 5 3 4" xfId="23945" xr:uid="{A4A77D1B-BBBC-4F0D-A661-E3E460E9887C}"/>
    <cellStyle name="20% - Accent2 4 5 4" xfId="11281" xr:uid="{377A648F-7214-450D-87BA-E25B2207D46B}"/>
    <cellStyle name="20% - Accent2 4 5 4 2" xfId="47623" xr:uid="{81DD90B6-40B4-45CB-944E-0494E2DE008A}"/>
    <cellStyle name="20% - Accent2 4 5 4 3" xfId="29027" xr:uid="{6845FADA-ECFC-427C-AFDE-35BF7CE21424}"/>
    <cellStyle name="20% - Accent2 4 5 5" xfId="38326" xr:uid="{805D386B-E958-425A-866B-8771128C93EF}"/>
    <cellStyle name="20% - Accent2 4 5 6" xfId="19728" xr:uid="{3D57961F-2589-4D36-A5F9-7D1B43892CB1}"/>
    <cellStyle name="20% - Accent2 4 6" xfId="2279" xr:uid="{00000000-0005-0000-0000-00002B010000}"/>
    <cellStyle name="20% - Accent2 4 6 2" xfId="6585" xr:uid="{00000000-0005-0000-0000-00002C010000}"/>
    <cellStyle name="20% - Accent2 4 6 2 2" xfId="15911" xr:uid="{1A8CE4D8-E133-4F9F-86D0-FC1E94BD47D6}"/>
    <cellStyle name="20% - Accent2 4 6 2 2 2" xfId="52253" xr:uid="{06E7390D-9F29-4E79-B3C0-A5D89256BC4D}"/>
    <cellStyle name="20% - Accent2 4 6 2 2 3" xfId="33657" xr:uid="{37E4D404-A4FA-4C50-8327-165A36EA5FE0}"/>
    <cellStyle name="20% - Accent2 4 6 2 3" xfId="42956" xr:uid="{FD6FBF2E-8E99-42D2-BA62-8E3957E7442D}"/>
    <cellStyle name="20% - Accent2 4 6 2 4" xfId="24358" xr:uid="{ACA851A9-1920-4922-A80C-5D0A7EDA88CD}"/>
    <cellStyle name="20% - Accent2 4 6 3" xfId="11694" xr:uid="{F59B49A7-62A7-4D4D-AA88-6BDE624A3D50}"/>
    <cellStyle name="20% - Accent2 4 6 3 2" xfId="48036" xr:uid="{38B0EDCC-713B-4E78-A299-917F945F66A8}"/>
    <cellStyle name="20% - Accent2 4 6 3 3" xfId="29440" xr:uid="{E5553E50-8CD9-4891-84A6-63798CE07059}"/>
    <cellStyle name="20% - Accent2 4 6 4" xfId="38739" xr:uid="{2F2DD808-0EAC-4416-8A6F-B84C4D356DD4}"/>
    <cellStyle name="20% - Accent2 4 6 5" xfId="20141" xr:uid="{8FDBF01F-CC13-4ECB-9A65-BD5457D52C2E}"/>
    <cellStyle name="20% - Accent2 4 7" xfId="4519" xr:uid="{00000000-0005-0000-0000-00002D010000}"/>
    <cellStyle name="20% - Accent2 4 7 2" xfId="13845" xr:uid="{D628CFDD-D894-45A1-B9CB-499EF765AE30}"/>
    <cellStyle name="20% - Accent2 4 7 2 2" xfId="50187" xr:uid="{2346DA81-C392-47E8-8491-0FF0119F68EB}"/>
    <cellStyle name="20% - Accent2 4 7 2 3" xfId="31591" xr:uid="{64B9BF71-A898-46A6-8D0E-FC441D3B7A1D}"/>
    <cellStyle name="20% - Accent2 4 7 3" xfId="40890" xr:uid="{2DD2088B-9BA0-4757-8802-6CD87F63A1DD}"/>
    <cellStyle name="20% - Accent2 4 7 4" xfId="22292" xr:uid="{FB49368D-046C-4A36-A56E-ADFFD56BC334}"/>
    <cellStyle name="20% - Accent2 4 8" xfId="8949" xr:uid="{084C22A9-B904-4AFE-A752-AC1DC2CA76B8}"/>
    <cellStyle name="20% - Accent2 4 8 2" xfId="36019" xr:uid="{B24EC81C-9D25-4953-9442-0ABB0CC34392}"/>
    <cellStyle name="20% - Accent2 4 8 2 2" xfId="54614" xr:uid="{BB5D37AE-2179-45F4-B793-D4EF7055787B}"/>
    <cellStyle name="20% - Accent2 4 8 3" xfId="45317" xr:uid="{60159D8D-57A6-492F-96D4-6709E1E4C7DD}"/>
    <cellStyle name="20% - Accent2 4 8 4" xfId="26720" xr:uid="{32C5CCF1-3125-45ED-80DF-72921EC6770E}"/>
    <cellStyle name="20% - Accent2 4 9" xfId="9628" xr:uid="{2D918423-676A-4F32-8749-9148E77B9AF6}"/>
    <cellStyle name="20% - Accent2 4 9 2" xfId="45970" xr:uid="{1718AA29-CF10-40B4-87A3-4F324C613606}"/>
    <cellStyle name="20% - Accent2 4 9 3" xfId="27374" xr:uid="{91B91715-05CF-41F4-B41C-C5304EA7BE83}"/>
    <cellStyle name="20% - Accent2 5" xfId="578" xr:uid="{00000000-0005-0000-0000-00002E010000}"/>
    <cellStyle name="20% - Accent2 5 2" xfId="2849" xr:uid="{00000000-0005-0000-0000-00002F010000}"/>
    <cellStyle name="20% - Accent2 5 2 2" xfId="7071" xr:uid="{00000000-0005-0000-0000-000030010000}"/>
    <cellStyle name="20% - Accent2 5 2 2 2" xfId="16397" xr:uid="{1D5AB328-0310-4C48-90D2-3BBDD84ADD86}"/>
    <cellStyle name="20% - Accent2 5 2 2 2 2" xfId="52739" xr:uid="{2B3844C4-6546-4228-9294-5B1AB7AE5564}"/>
    <cellStyle name="20% - Accent2 5 2 2 2 3" xfId="34143" xr:uid="{C951B39C-2135-4858-BA02-9FBBA5C52A9C}"/>
    <cellStyle name="20% - Accent2 5 2 2 3" xfId="43442" xr:uid="{0F684AB3-6057-4E7F-A428-8BD32774E884}"/>
    <cellStyle name="20% - Accent2 5 2 2 4" xfId="24844" xr:uid="{0A775D61-9394-461E-B72B-D097BA07FC70}"/>
    <cellStyle name="20% - Accent2 5 2 3" xfId="12180" xr:uid="{FCE02D24-82F5-45A1-B6AF-76E3BD99BE1D}"/>
    <cellStyle name="20% - Accent2 5 2 3 2" xfId="48522" xr:uid="{A1A6EC93-72D9-409F-A618-F90189E03774}"/>
    <cellStyle name="20% - Accent2 5 2 3 3" xfId="29926" xr:uid="{7B817E32-1B74-463F-9CB0-7069C2402C77}"/>
    <cellStyle name="20% - Accent2 5 2 4" xfId="39225" xr:uid="{CF765876-CAE9-4E3E-83EB-28958A11B770}"/>
    <cellStyle name="20% - Accent2 5 2 5" xfId="20627" xr:uid="{D095AD62-D516-4A37-AFE9-9E2CDDD9B224}"/>
    <cellStyle name="20% - Accent2 5 3" xfId="4926" xr:uid="{00000000-0005-0000-0000-000031010000}"/>
    <cellStyle name="20% - Accent2 5 3 2" xfId="14252" xr:uid="{EAFDFB61-A11B-48F0-B227-25690A4438A8}"/>
    <cellStyle name="20% - Accent2 5 3 2 2" xfId="50594" xr:uid="{44566459-9187-4BFA-8487-D99338C35884}"/>
    <cellStyle name="20% - Accent2 5 3 2 3" xfId="31998" xr:uid="{9AB3A317-6536-4F4F-B97A-3BB0DFFBE777}"/>
    <cellStyle name="20% - Accent2 5 3 3" xfId="41297" xr:uid="{20563B0D-024D-468C-BD8A-E46EB30D9D11}"/>
    <cellStyle name="20% - Accent2 5 3 4" xfId="22699" xr:uid="{48219764-71A4-4129-8E2F-52874810D9F1}"/>
    <cellStyle name="20% - Accent2 5 4" xfId="9182" xr:uid="{F822E263-B2A4-41B5-BBF9-FCE1A7A30601}"/>
    <cellStyle name="20% - Accent2 5 4 2" xfId="36246" xr:uid="{231AF7A4-634D-4CCF-8F21-E934417856AA}"/>
    <cellStyle name="20% - Accent2 5 4 2 2" xfId="54840" xr:uid="{AD40C51F-4769-4AC9-AB18-785182589B47}"/>
    <cellStyle name="20% - Accent2 5 4 3" xfId="45543" xr:uid="{A2DF9BB2-D205-44DA-A3A5-FBAC81BEF34D}"/>
    <cellStyle name="20% - Accent2 5 4 4" xfId="26947" xr:uid="{E2A98CB6-671A-413D-BC63-3F48A96C808D}"/>
    <cellStyle name="20% - Accent2 5 5" xfId="10035" xr:uid="{6D1F0DCC-183C-4D5A-A796-AC8AB9027CF9}"/>
    <cellStyle name="20% - Accent2 5 5 2" xfId="46377" xr:uid="{05543534-B21A-4E9A-842E-6FAB01F847AC}"/>
    <cellStyle name="20% - Accent2 5 5 3" xfId="27781" xr:uid="{91642EA2-8F1F-4E30-B616-8D56CD4033A5}"/>
    <cellStyle name="20% - Accent2 5 6" xfId="37080" xr:uid="{3436346A-EBC0-483A-989B-2ADFDE747ABB}"/>
    <cellStyle name="20% - Accent2 5 7" xfId="18482" xr:uid="{5814E6FA-6C48-418A-BBC4-028AE8BE8A94}"/>
    <cellStyle name="20% - Accent2 6" xfId="1031" xr:uid="{00000000-0005-0000-0000-000032010000}"/>
    <cellStyle name="20% - Accent2 6 2" xfId="3262" xr:uid="{00000000-0005-0000-0000-000033010000}"/>
    <cellStyle name="20% - Accent2 6 2 2" xfId="7484" xr:uid="{00000000-0005-0000-0000-000034010000}"/>
    <cellStyle name="20% - Accent2 6 2 2 2" xfId="16810" xr:uid="{686D2EA5-A51F-4073-B4DD-FCA29524EBDE}"/>
    <cellStyle name="20% - Accent2 6 2 2 2 2" xfId="53152" xr:uid="{DE424AB9-0503-4626-8567-251C1F404E19}"/>
    <cellStyle name="20% - Accent2 6 2 2 2 3" xfId="34556" xr:uid="{5BDA87EE-7DF7-4764-B4D7-7639C309D7E3}"/>
    <cellStyle name="20% - Accent2 6 2 2 3" xfId="43855" xr:uid="{F42964EB-7C97-42AB-A63A-B83632CDE00C}"/>
    <cellStyle name="20% - Accent2 6 2 2 4" xfId="25257" xr:uid="{33A60E0F-803D-4555-93B5-6D187E189345}"/>
    <cellStyle name="20% - Accent2 6 2 3" xfId="12593" xr:uid="{6AD86CE5-B15E-4B89-8B3B-95723DF37637}"/>
    <cellStyle name="20% - Accent2 6 2 3 2" xfId="48935" xr:uid="{C75358BF-6B75-44CA-A22E-CC86D58C37AE}"/>
    <cellStyle name="20% - Accent2 6 2 3 3" xfId="30339" xr:uid="{EA1362BC-32E1-4265-9EB9-CCA66FEFF9BD}"/>
    <cellStyle name="20% - Accent2 6 2 4" xfId="39638" xr:uid="{D21407D6-06CB-48C2-AB81-6FD43D11DA7B}"/>
    <cellStyle name="20% - Accent2 6 2 5" xfId="21040" xr:uid="{91507F73-E2B7-4A91-B001-103FC2220812}"/>
    <cellStyle name="20% - Accent2 6 3" xfId="5339" xr:uid="{00000000-0005-0000-0000-000035010000}"/>
    <cellStyle name="20% - Accent2 6 3 2" xfId="14665" xr:uid="{E6A002B8-584C-4865-BD1D-8FF3E4DA520A}"/>
    <cellStyle name="20% - Accent2 6 3 2 2" xfId="51007" xr:uid="{F8101B69-4FB3-4F18-BEF2-4BD210CFCEE4}"/>
    <cellStyle name="20% - Accent2 6 3 2 3" xfId="32411" xr:uid="{01B628B3-8F7F-437B-82C8-B1FB96001AD8}"/>
    <cellStyle name="20% - Accent2 6 3 3" xfId="41710" xr:uid="{448500A4-312C-4700-8AC4-738E768ADA9B}"/>
    <cellStyle name="20% - Accent2 6 3 4" xfId="23112" xr:uid="{22272B25-C54F-495A-AE6B-E93F9727E1CC}"/>
    <cellStyle name="20% - Accent2 6 4" xfId="10448" xr:uid="{B17DFDFD-AAD4-4DF1-9471-8AA44C22A6B9}"/>
    <cellStyle name="20% - Accent2 6 4 2" xfId="46790" xr:uid="{4F0AE55F-AF58-4DA3-8F3E-EF4E556F6AA8}"/>
    <cellStyle name="20% - Accent2 6 4 3" xfId="28194" xr:uid="{46B851F3-754F-44E4-9CD0-FF062D15FEF8}"/>
    <cellStyle name="20% - Accent2 6 5" xfId="37493" xr:uid="{26E6C50D-7D1F-4520-A6F2-0A0F23775840}"/>
    <cellStyle name="20% - Accent2 6 6" xfId="18895" xr:uid="{FE17EC85-E042-4942-8879-02062163E686}"/>
    <cellStyle name="20% - Accent2 7" xfId="1445" xr:uid="{00000000-0005-0000-0000-000036010000}"/>
    <cellStyle name="20% - Accent2 7 2" xfId="3675" xr:uid="{00000000-0005-0000-0000-000037010000}"/>
    <cellStyle name="20% - Accent2 7 2 2" xfId="7897" xr:uid="{00000000-0005-0000-0000-000038010000}"/>
    <cellStyle name="20% - Accent2 7 2 2 2" xfId="17223" xr:uid="{CC046228-72A1-4FC6-99A3-E5A106261502}"/>
    <cellStyle name="20% - Accent2 7 2 2 2 2" xfId="53565" xr:uid="{F1F69696-F75C-48D5-AD2E-217FE9DF2511}"/>
    <cellStyle name="20% - Accent2 7 2 2 2 3" xfId="34969" xr:uid="{B278ECB3-DA6F-49EB-968E-E87D948E7E54}"/>
    <cellStyle name="20% - Accent2 7 2 2 3" xfId="44268" xr:uid="{634914F2-34BB-4FB1-9B5E-2F7F44B0CACF}"/>
    <cellStyle name="20% - Accent2 7 2 2 4" xfId="25670" xr:uid="{B53811C5-1FE6-4ECF-A474-B6B01E0B6B5F}"/>
    <cellStyle name="20% - Accent2 7 2 3" xfId="13006" xr:uid="{78E0C94A-5296-46D2-A1D5-FED36AEBFC06}"/>
    <cellStyle name="20% - Accent2 7 2 3 2" xfId="49348" xr:uid="{8D6789F2-0A2B-4046-98E4-FE266827DCE8}"/>
    <cellStyle name="20% - Accent2 7 2 3 3" xfId="30752" xr:uid="{5777DEC6-E365-4FD2-B61B-F1EB802ADA66}"/>
    <cellStyle name="20% - Accent2 7 2 4" xfId="40051" xr:uid="{70A7B032-C065-4070-B7A1-F056813E625D}"/>
    <cellStyle name="20% - Accent2 7 2 5" xfId="21453" xr:uid="{46802D53-0CF5-4B06-AD18-DD8563780BB7}"/>
    <cellStyle name="20% - Accent2 7 3" xfId="5752" xr:uid="{00000000-0005-0000-0000-000039010000}"/>
    <cellStyle name="20% - Accent2 7 3 2" xfId="15078" xr:uid="{A0AA60C9-05B1-4E39-BC55-61991D88C1F7}"/>
    <cellStyle name="20% - Accent2 7 3 2 2" xfId="51420" xr:uid="{3C102FC2-2432-46F6-A751-BBEAF6CD037B}"/>
    <cellStyle name="20% - Accent2 7 3 2 3" xfId="32824" xr:uid="{2DF1F580-986F-4B74-B4AF-4A4B66F7B1EE}"/>
    <cellStyle name="20% - Accent2 7 3 3" xfId="42123" xr:uid="{DC903E13-94EA-46A8-A9CD-D34609378094}"/>
    <cellStyle name="20% - Accent2 7 3 4" xfId="23525" xr:uid="{7C1F860F-4350-4395-8717-7DE06A03FF6D}"/>
    <cellStyle name="20% - Accent2 7 4" xfId="10861" xr:uid="{8217CEAD-7D79-438C-AE7D-9F695CC5B1F4}"/>
    <cellStyle name="20% - Accent2 7 4 2" xfId="47203" xr:uid="{4E38E95D-A234-4EF6-A102-22425B0C8773}"/>
    <cellStyle name="20% - Accent2 7 4 3" xfId="28607" xr:uid="{9798FE5F-3907-4E3B-9600-3C6123623A15}"/>
    <cellStyle name="20% - Accent2 7 5" xfId="37906" xr:uid="{65F51CB3-A679-40A5-A4D2-D1B89A0564A8}"/>
    <cellStyle name="20% - Accent2 7 6" xfId="19308" xr:uid="{92036F38-1EE7-4C1D-88AA-3F73BF21CE8A}"/>
    <cellStyle name="20% - Accent2 8" xfId="1859" xr:uid="{00000000-0005-0000-0000-00003A010000}"/>
    <cellStyle name="20% - Accent2 8 2" xfId="4088" xr:uid="{00000000-0005-0000-0000-00003B010000}"/>
    <cellStyle name="20% - Accent2 8 2 2" xfId="8310" xr:uid="{00000000-0005-0000-0000-00003C010000}"/>
    <cellStyle name="20% - Accent2 8 2 2 2" xfId="17636" xr:uid="{CFB7F072-7346-4BF7-84AD-B4A3A9907842}"/>
    <cellStyle name="20% - Accent2 8 2 2 2 2" xfId="53978" xr:uid="{ABCDC246-F8F0-4A6D-AF25-57EA030CB4DE}"/>
    <cellStyle name="20% - Accent2 8 2 2 2 3" xfId="35382" xr:uid="{EEF9CD9B-FF79-4C54-B279-23D3FBF2402F}"/>
    <cellStyle name="20% - Accent2 8 2 2 3" xfId="44681" xr:uid="{DC1453B7-8AB4-4F99-83D9-26B9E577CDE2}"/>
    <cellStyle name="20% - Accent2 8 2 2 4" xfId="26083" xr:uid="{17F21EF9-8B4F-48D8-BE12-17189FDFF90E}"/>
    <cellStyle name="20% - Accent2 8 2 3" xfId="13419" xr:uid="{2576ABB0-A59F-4F56-AC47-F7DE5A24771C}"/>
    <cellStyle name="20% - Accent2 8 2 3 2" xfId="49761" xr:uid="{DBED470F-7ACA-4399-A94F-6F82700A9B87}"/>
    <cellStyle name="20% - Accent2 8 2 3 3" xfId="31165" xr:uid="{1014BFE7-002B-40BC-A744-6D2238F02AC7}"/>
    <cellStyle name="20% - Accent2 8 2 4" xfId="40464" xr:uid="{4440EC6B-31E3-4C02-ACD9-BB9B6C9868E4}"/>
    <cellStyle name="20% - Accent2 8 2 5" xfId="21866" xr:uid="{D3AC1C95-D6AB-435B-BD3F-ECC46B104C39}"/>
    <cellStyle name="20% - Accent2 8 3" xfId="6165" xr:uid="{00000000-0005-0000-0000-00003D010000}"/>
    <cellStyle name="20% - Accent2 8 3 2" xfId="15491" xr:uid="{CC578283-BAD1-4824-927D-C2C35B563C5C}"/>
    <cellStyle name="20% - Accent2 8 3 2 2" xfId="51833" xr:uid="{96306F02-FF51-48F8-9137-C745A4604B98}"/>
    <cellStyle name="20% - Accent2 8 3 2 3" xfId="33237" xr:uid="{87BEC61A-6231-40C1-B2F3-222625F6BD2B}"/>
    <cellStyle name="20% - Accent2 8 3 3" xfId="42536" xr:uid="{EFFE46B8-02B0-44F1-B4FD-8B4D5EFBBF50}"/>
    <cellStyle name="20% - Accent2 8 3 4" xfId="23938" xr:uid="{C3649A1E-32D8-437F-9A89-6D9CFA417934}"/>
    <cellStyle name="20% - Accent2 8 4" xfId="11274" xr:uid="{4520B4BA-BB48-464C-B4E2-A5D6206E3693}"/>
    <cellStyle name="20% - Accent2 8 4 2" xfId="47616" xr:uid="{2EFCDE3E-131F-45DE-8EA6-4FFF53461325}"/>
    <cellStyle name="20% - Accent2 8 4 3" xfId="29020" xr:uid="{94FC2ABE-D344-4A18-A102-3B1584DA3F92}"/>
    <cellStyle name="20% - Accent2 8 5" xfId="38319" xr:uid="{356A7C5C-64C0-4020-8B22-EC633A4FED38}"/>
    <cellStyle name="20% - Accent2 8 6" xfId="19721" xr:uid="{94EC786F-2493-46AE-B7B4-148CA1FA27C3}"/>
    <cellStyle name="20% - Accent2 9" xfId="2272" xr:uid="{00000000-0005-0000-0000-00003E010000}"/>
    <cellStyle name="20% - Accent2 9 2" xfId="6578" xr:uid="{00000000-0005-0000-0000-00003F010000}"/>
    <cellStyle name="20% - Accent2 9 2 2" xfId="15904" xr:uid="{7BFBCDF7-B35E-4649-8EE9-6F92097C13AA}"/>
    <cellStyle name="20% - Accent2 9 2 2 2" xfId="52246" xr:uid="{51ED552D-CB74-45CA-9160-98C8CC792EB0}"/>
    <cellStyle name="20% - Accent2 9 2 2 3" xfId="33650" xr:uid="{7E78F15D-B571-4687-BF59-570E09AD07CF}"/>
    <cellStyle name="20% - Accent2 9 2 3" xfId="42949" xr:uid="{8E9D5028-3682-416F-9CCE-F08DA605B7C7}"/>
    <cellStyle name="20% - Accent2 9 2 4" xfId="24351" xr:uid="{DDA9FF42-AD28-4777-AF59-10A4FC19EA5F}"/>
    <cellStyle name="20% - Accent2 9 3" xfId="11687" xr:uid="{FA556AA6-37AB-4A61-8B2C-8145F0B5FC98}"/>
    <cellStyle name="20% - Accent2 9 3 2" xfId="48029" xr:uid="{3C33205E-2455-4943-BE02-A4D21A02853D}"/>
    <cellStyle name="20% - Accent2 9 3 3" xfId="29433" xr:uid="{E84BC96A-5580-4404-8B1C-DDF317114DA5}"/>
    <cellStyle name="20% - Accent2 9 4" xfId="38732" xr:uid="{1FDA0160-38FD-492A-8C08-62A47D7B72A7}"/>
    <cellStyle name="20% - Accent2 9 5" xfId="20134" xr:uid="{D86B28DD-44D4-464E-9ED4-08B18027A0C3}"/>
    <cellStyle name="20% - Accent3" xfId="17" builtinId="38" customBuiltin="1"/>
    <cellStyle name="20% - Accent3 10" xfId="4520" xr:uid="{00000000-0005-0000-0000-000041010000}"/>
    <cellStyle name="20% - Accent3 10 2" xfId="13846" xr:uid="{A769AB53-7AA4-40B6-B4B3-C5A5B223028F}"/>
    <cellStyle name="20% - Accent3 10 2 2" xfId="50188" xr:uid="{28BC2F69-E27E-4EE6-8854-7F84D380494F}"/>
    <cellStyle name="20% - Accent3 10 2 3" xfId="31592" xr:uid="{D7401EBB-DFDE-426F-96E1-D1D9F52309A9}"/>
    <cellStyle name="20% - Accent3 10 3" xfId="40891" xr:uid="{6C0753AB-ABA4-4CFA-82E9-3EAC64E95275}"/>
    <cellStyle name="20% - Accent3 10 4" xfId="22293" xr:uid="{C8D04D35-4386-43D2-9543-B283D78A7E3E}"/>
    <cellStyle name="20% - Accent3 11" xfId="8762" xr:uid="{49ACF776-43E7-4BB5-82F5-A8A4FEBC45F8}"/>
    <cellStyle name="20% - Accent3 11 2" xfId="35832" xr:uid="{E3DC76FD-9D3A-40B9-893B-13C351E8999D}"/>
    <cellStyle name="20% - Accent3 11 2 2" xfId="54427" xr:uid="{FE50E12B-A6E4-4BB2-A1FE-36AFF59BD623}"/>
    <cellStyle name="20% - Accent3 11 3" xfId="45130" xr:uid="{67507347-030C-4A23-9CA4-75ED2E34D6D8}"/>
    <cellStyle name="20% - Accent3 11 4" xfId="26533" xr:uid="{CAA86FA9-E719-47E3-BC99-1191C9702B13}"/>
    <cellStyle name="20% - Accent3 12" xfId="9629" xr:uid="{976E6F17-08DB-48BF-AB65-BA9A809584C2}"/>
    <cellStyle name="20% - Accent3 12 2" xfId="45971" xr:uid="{72A5E467-7E05-4E60-9F90-EFE772DCAFBB}"/>
    <cellStyle name="20% - Accent3 12 3" xfId="27375" xr:uid="{ECF03049-C89E-4D0F-8F48-9F70EC3CC49C}"/>
    <cellStyle name="20% - Accent3 13" xfId="36674" xr:uid="{A95CC7EF-0087-4714-BD63-48944955CC8C}"/>
    <cellStyle name="20% - Accent3 14" xfId="18076" xr:uid="{23C8EB55-F09E-47AF-882F-267C27B64910}"/>
    <cellStyle name="20% - Accent3 2" xfId="18" xr:uid="{00000000-0005-0000-0000-000042010000}"/>
    <cellStyle name="20% - Accent3 2 10" xfId="8792" xr:uid="{65E5762F-047C-4860-B47E-71363924E2A5}"/>
    <cellStyle name="20% - Accent3 2 10 2" xfId="35862" xr:uid="{00DD1E95-C44F-4B77-BDB8-CAA63DC35EF2}"/>
    <cellStyle name="20% - Accent3 2 10 2 2" xfId="54457" xr:uid="{F96417C6-00AC-4C8B-AA8B-3437B0ECA308}"/>
    <cellStyle name="20% - Accent3 2 10 3" xfId="45160" xr:uid="{3BB032AC-BF26-470B-85EE-57D02D7C8533}"/>
    <cellStyle name="20% - Accent3 2 10 4" xfId="26563" xr:uid="{5C3845B6-D697-46E4-A359-33D210C147DD}"/>
    <cellStyle name="20% - Accent3 2 11" xfId="9630" xr:uid="{3AF4A872-1E1F-4AFB-BA27-0629760A343D}"/>
    <cellStyle name="20% - Accent3 2 11 2" xfId="45972" xr:uid="{60A3811A-C56B-44E5-A0AC-ACED12B63CD8}"/>
    <cellStyle name="20% - Accent3 2 11 3" xfId="27376" xr:uid="{BF1CF5F9-CD7D-4131-9C4A-71020E43091D}"/>
    <cellStyle name="20% - Accent3 2 12" xfId="36675" xr:uid="{3575E23F-C6B4-4459-B3C7-11A4D3755649}"/>
    <cellStyle name="20% - Accent3 2 13" xfId="18077" xr:uid="{94A76124-34C0-45B5-9D6D-8F6F5DF7906C}"/>
    <cellStyle name="20% - Accent3 2 2" xfId="19" xr:uid="{00000000-0005-0000-0000-000043010000}"/>
    <cellStyle name="20% - Accent3 2 2 10" xfId="9631" xr:uid="{C4D5D9E4-E4B1-47D1-B07B-66AB9526EC73}"/>
    <cellStyle name="20% - Accent3 2 2 10 2" xfId="45973" xr:uid="{56FF9208-6140-4CD1-BFE4-A741AFFF06B2}"/>
    <cellStyle name="20% - Accent3 2 2 10 3" xfId="27377" xr:uid="{0E6B76F4-7A50-4624-A1E1-7E9D594D2F8C}"/>
    <cellStyle name="20% - Accent3 2 2 11" xfId="36676" xr:uid="{BB453FFE-DDE7-4F01-A979-26A11E838745}"/>
    <cellStyle name="20% - Accent3 2 2 12" xfId="18078" xr:uid="{FD79E86C-FB07-4407-99EF-71BDC5D7941D}"/>
    <cellStyle name="20% - Accent3 2 2 2" xfId="20" xr:uid="{00000000-0005-0000-0000-000044010000}"/>
    <cellStyle name="20% - Accent3 2 2 2 10" xfId="36677" xr:uid="{30FAFDBC-2483-4922-BFB2-4E1731CC50BB}"/>
    <cellStyle name="20% - Accent3 2 2 2 11" xfId="18079" xr:uid="{1A8950BB-A81B-4B7F-B5E9-A870388174FB}"/>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16408" xr:uid="{5F3D9CCD-6E49-4010-BD76-E82BA9760909}"/>
    <cellStyle name="20% - Accent3 2 2 2 2 2 2 2 2" xfId="52750" xr:uid="{BE03007C-660B-49F0-8E0E-7E6227032311}"/>
    <cellStyle name="20% - Accent3 2 2 2 2 2 2 2 3" xfId="34154" xr:uid="{D6B35C8E-4C03-4128-AA97-9C2DADC98ED6}"/>
    <cellStyle name="20% - Accent3 2 2 2 2 2 2 3" xfId="43453" xr:uid="{A3B6B1B2-0012-432C-BCA0-83C62F36C368}"/>
    <cellStyle name="20% - Accent3 2 2 2 2 2 2 4" xfId="24855" xr:uid="{6BB162F8-9255-4DAC-8FD9-C084B8D3BD62}"/>
    <cellStyle name="20% - Accent3 2 2 2 2 2 3" xfId="12191" xr:uid="{2368028C-C27C-4AD4-9672-303440038DA8}"/>
    <cellStyle name="20% - Accent3 2 2 2 2 2 3 2" xfId="48533" xr:uid="{350D8AC9-7A4A-4FFD-93E5-04A60F619124}"/>
    <cellStyle name="20% - Accent3 2 2 2 2 2 3 3" xfId="29937" xr:uid="{4397EA1A-4A20-44BB-B6EE-137FF8F21805}"/>
    <cellStyle name="20% - Accent3 2 2 2 2 2 4" xfId="39236" xr:uid="{3365872D-0171-4E76-A32C-79CDFCA7CD01}"/>
    <cellStyle name="20% - Accent3 2 2 2 2 2 5" xfId="20638" xr:uid="{4794C4BC-A77F-4574-8507-08955EC9F9B9}"/>
    <cellStyle name="20% - Accent3 2 2 2 2 3" xfId="4937" xr:uid="{00000000-0005-0000-0000-000048010000}"/>
    <cellStyle name="20% - Accent3 2 2 2 2 3 2" xfId="14263" xr:uid="{44AA0078-C2E5-40DC-9099-3AD39C00ADF0}"/>
    <cellStyle name="20% - Accent3 2 2 2 2 3 2 2" xfId="50605" xr:uid="{4E5BC7A7-83E0-4870-ABC7-4673E15B8E50}"/>
    <cellStyle name="20% - Accent3 2 2 2 2 3 2 3" xfId="32009" xr:uid="{C3C23EFF-1A30-4084-8DF2-457CFCF23D0B}"/>
    <cellStyle name="20% - Accent3 2 2 2 2 3 3" xfId="41308" xr:uid="{0A6EB092-D9DE-4599-B36A-F9133AE1B3DD}"/>
    <cellStyle name="20% - Accent3 2 2 2 2 3 4" xfId="22710" xr:uid="{2A4C27D2-1D5B-46C9-A4A6-82AC97201DEE}"/>
    <cellStyle name="20% - Accent3 2 2 2 2 4" xfId="9527" xr:uid="{B82F9F3C-4714-4F10-BEB2-F90FC0563F53}"/>
    <cellStyle name="20% - Accent3 2 2 2 2 4 2" xfId="36588" xr:uid="{12C9DF13-9ADE-49D5-A1F0-BE7E63B05F4A}"/>
    <cellStyle name="20% - Accent3 2 2 2 2 4 2 2" xfId="55182" xr:uid="{B46815A6-6F18-484C-A05C-E7C819ECA3CC}"/>
    <cellStyle name="20% - Accent3 2 2 2 2 4 3" xfId="45885" xr:uid="{5736CCE1-1E01-4C61-910A-9F44318429DC}"/>
    <cellStyle name="20% - Accent3 2 2 2 2 4 4" xfId="27289" xr:uid="{53D65782-2134-4F79-871C-ED3E931D6F7B}"/>
    <cellStyle name="20% - Accent3 2 2 2 2 5" xfId="10046" xr:uid="{6EB6CB06-9B9D-430C-B431-7BF750A4D23C}"/>
    <cellStyle name="20% - Accent3 2 2 2 2 5 2" xfId="46388" xr:uid="{DF1297FF-4559-474E-B175-40F9AB6B9C7D}"/>
    <cellStyle name="20% - Accent3 2 2 2 2 5 3" xfId="27792" xr:uid="{6420A3A8-AA1F-434C-97FE-DE702F6B9256}"/>
    <cellStyle name="20% - Accent3 2 2 2 2 6" xfId="37091" xr:uid="{8281D41C-C33B-4262-ADA6-5381382D84B4}"/>
    <cellStyle name="20% - Accent3 2 2 2 2 7" xfId="18493" xr:uid="{E427942B-B72D-4033-8401-D79E34739EE2}"/>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16821" xr:uid="{E9D537B4-9640-4F8B-8F76-4DE3BC208FD3}"/>
    <cellStyle name="20% - Accent3 2 2 2 3 2 2 2 2" xfId="53163" xr:uid="{839D2608-1889-4386-AC35-BA3FA13FE5DD}"/>
    <cellStyle name="20% - Accent3 2 2 2 3 2 2 2 3" xfId="34567" xr:uid="{CB4BBF4B-75CE-441E-B5AE-0D0547A6A0BB}"/>
    <cellStyle name="20% - Accent3 2 2 2 3 2 2 3" xfId="43866" xr:uid="{9619E012-6576-4B04-A78C-7C25F4A3C625}"/>
    <cellStyle name="20% - Accent3 2 2 2 3 2 2 4" xfId="25268" xr:uid="{2B0DC6BC-1930-4033-99F9-5D72BC1169B1}"/>
    <cellStyle name="20% - Accent3 2 2 2 3 2 3" xfId="12604" xr:uid="{AA0EA55F-6223-486D-8051-0DCBBFEE8222}"/>
    <cellStyle name="20% - Accent3 2 2 2 3 2 3 2" xfId="48946" xr:uid="{48EB9938-331E-453A-BB6B-4B91F2748F97}"/>
    <cellStyle name="20% - Accent3 2 2 2 3 2 3 3" xfId="30350" xr:uid="{9BCA3D00-BA97-4E82-B890-508D2F2EE186}"/>
    <cellStyle name="20% - Accent3 2 2 2 3 2 4" xfId="39649" xr:uid="{A92B27FA-465E-4406-B071-DF253E5BA134}"/>
    <cellStyle name="20% - Accent3 2 2 2 3 2 5" xfId="21051" xr:uid="{31170E9F-22E6-4681-B98E-908D74AFA940}"/>
    <cellStyle name="20% - Accent3 2 2 2 3 3" xfId="5350" xr:uid="{00000000-0005-0000-0000-00004C010000}"/>
    <cellStyle name="20% - Accent3 2 2 2 3 3 2" xfId="14676" xr:uid="{ADCCA895-20E5-4D2A-8C8B-D882D751B420}"/>
    <cellStyle name="20% - Accent3 2 2 2 3 3 2 2" xfId="51018" xr:uid="{F0E68F0B-1719-4526-83E4-ABEF91DB0C65}"/>
    <cellStyle name="20% - Accent3 2 2 2 3 3 2 3" xfId="32422" xr:uid="{E9028331-2CDA-43D6-A484-86727F1A9C70}"/>
    <cellStyle name="20% - Accent3 2 2 2 3 3 3" xfId="41721" xr:uid="{4AD616F7-847E-4D97-AA87-594D7B5E74E5}"/>
    <cellStyle name="20% - Accent3 2 2 2 3 3 4" xfId="23123" xr:uid="{187E6554-E221-4073-92C3-72EB69415A4F}"/>
    <cellStyle name="20% - Accent3 2 2 2 3 4" xfId="10459" xr:uid="{59DBD98F-E4C6-48A1-AF69-F461086FC4C1}"/>
    <cellStyle name="20% - Accent3 2 2 2 3 4 2" xfId="46801" xr:uid="{F5D41FEB-D738-4F2C-BF5B-D94CE07737B0}"/>
    <cellStyle name="20% - Accent3 2 2 2 3 4 3" xfId="28205" xr:uid="{AFCF9459-6EDD-4BDA-9951-F8A3B191C1F2}"/>
    <cellStyle name="20% - Accent3 2 2 2 3 5" xfId="37504" xr:uid="{02A7C2B0-A97F-4E0F-A43D-C8E626250742}"/>
    <cellStyle name="20% - Accent3 2 2 2 3 6" xfId="18906" xr:uid="{F3A8FE5A-C820-42C9-8AB7-52B29AE7CE32}"/>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17234" xr:uid="{BB55C883-AD52-43F6-9B49-E85D1B877BA7}"/>
    <cellStyle name="20% - Accent3 2 2 2 4 2 2 2 2" xfId="53576" xr:uid="{8D8E3D41-D554-4246-9256-74C2CA764F34}"/>
    <cellStyle name="20% - Accent3 2 2 2 4 2 2 2 3" xfId="34980" xr:uid="{96E1446E-69B4-4AE0-8AA9-F752ACC09CDC}"/>
    <cellStyle name="20% - Accent3 2 2 2 4 2 2 3" xfId="44279" xr:uid="{8B3D5F0D-7120-4770-BBCD-01FC267D668C}"/>
    <cellStyle name="20% - Accent3 2 2 2 4 2 2 4" xfId="25681" xr:uid="{10BFC26B-F2FC-4EE5-AEB0-D517375105CA}"/>
    <cellStyle name="20% - Accent3 2 2 2 4 2 3" xfId="13017" xr:uid="{31A333CB-5480-40DF-B8E2-762E63263530}"/>
    <cellStyle name="20% - Accent3 2 2 2 4 2 3 2" xfId="49359" xr:uid="{F1BE0142-36AC-421B-8586-D265E89F5121}"/>
    <cellStyle name="20% - Accent3 2 2 2 4 2 3 3" xfId="30763" xr:uid="{8E0F5114-1C4C-4998-9BD1-C71FC038EABC}"/>
    <cellStyle name="20% - Accent3 2 2 2 4 2 4" xfId="40062" xr:uid="{FE15D03E-1B8F-418D-A143-96B30A52D8F6}"/>
    <cellStyle name="20% - Accent3 2 2 2 4 2 5" xfId="21464" xr:uid="{EBF84912-E65F-4D83-A375-0F55CE4E638E}"/>
    <cellStyle name="20% - Accent3 2 2 2 4 3" xfId="5763" xr:uid="{00000000-0005-0000-0000-000050010000}"/>
    <cellStyle name="20% - Accent3 2 2 2 4 3 2" xfId="15089" xr:uid="{1E5B563D-D8D5-4975-A372-F8BF640B19B9}"/>
    <cellStyle name="20% - Accent3 2 2 2 4 3 2 2" xfId="51431" xr:uid="{6352F548-8BE9-494E-8A6D-82CBB9AEF960}"/>
    <cellStyle name="20% - Accent3 2 2 2 4 3 2 3" xfId="32835" xr:uid="{1077A60A-C3CD-457F-A6FF-54B1943608FC}"/>
    <cellStyle name="20% - Accent3 2 2 2 4 3 3" xfId="42134" xr:uid="{8C66550F-1A85-4DE9-B72B-83BEA83E2BA4}"/>
    <cellStyle name="20% - Accent3 2 2 2 4 3 4" xfId="23536" xr:uid="{0A583BD7-6A53-42E0-B39A-771BAFE54079}"/>
    <cellStyle name="20% - Accent3 2 2 2 4 4" xfId="10872" xr:uid="{07464829-BD3F-4919-A2E6-19129BA6DE7B}"/>
    <cellStyle name="20% - Accent3 2 2 2 4 4 2" xfId="47214" xr:uid="{049BD3B7-8E9A-446E-BD49-200A26E62D12}"/>
    <cellStyle name="20% - Accent3 2 2 2 4 4 3" xfId="28618" xr:uid="{8B4D911C-6EC8-4966-89C2-2C860BCC8575}"/>
    <cellStyle name="20% - Accent3 2 2 2 4 5" xfId="37917" xr:uid="{0E2CD62A-F865-4E74-891D-347F122C19BD}"/>
    <cellStyle name="20% - Accent3 2 2 2 4 6" xfId="19319" xr:uid="{D25CB0C4-11DF-45B2-B75C-DA9FAAAC073F}"/>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17647" xr:uid="{2AE44D45-2999-4F07-A7BC-EA669CDA54F8}"/>
    <cellStyle name="20% - Accent3 2 2 2 5 2 2 2 2" xfId="53989" xr:uid="{4877C527-0EAC-4321-B2AC-8D5E2633FD8A}"/>
    <cellStyle name="20% - Accent3 2 2 2 5 2 2 2 3" xfId="35393" xr:uid="{C8643C0A-86F1-448D-998C-AD67230381CA}"/>
    <cellStyle name="20% - Accent3 2 2 2 5 2 2 3" xfId="44692" xr:uid="{8DD196DF-DA65-4CD4-B307-2FE19C7D1B5C}"/>
    <cellStyle name="20% - Accent3 2 2 2 5 2 2 4" xfId="26094" xr:uid="{2E618314-A8CD-4B46-8AF9-75BB87372B61}"/>
    <cellStyle name="20% - Accent3 2 2 2 5 2 3" xfId="13430" xr:uid="{DB315811-42BC-4A33-AE64-19C1654113B6}"/>
    <cellStyle name="20% - Accent3 2 2 2 5 2 3 2" xfId="49772" xr:uid="{6D327372-9BDF-444F-AD0E-10127D621D00}"/>
    <cellStyle name="20% - Accent3 2 2 2 5 2 3 3" xfId="31176" xr:uid="{52D1C46A-6DC0-414D-B705-464CB0FD50F3}"/>
    <cellStyle name="20% - Accent3 2 2 2 5 2 4" xfId="40475" xr:uid="{9A91FB0F-22AD-4058-B2DA-1533D184694B}"/>
    <cellStyle name="20% - Accent3 2 2 2 5 2 5" xfId="21877" xr:uid="{DC78185E-F16E-44BD-9554-843D34DCB61D}"/>
    <cellStyle name="20% - Accent3 2 2 2 5 3" xfId="6176" xr:uid="{00000000-0005-0000-0000-000054010000}"/>
    <cellStyle name="20% - Accent3 2 2 2 5 3 2" xfId="15502" xr:uid="{D3EE6794-7C33-4A73-B3B2-A497CF9C94EB}"/>
    <cellStyle name="20% - Accent3 2 2 2 5 3 2 2" xfId="51844" xr:uid="{3A24727F-4853-4A50-BD4B-C903D9193060}"/>
    <cellStyle name="20% - Accent3 2 2 2 5 3 2 3" xfId="33248" xr:uid="{CFE6B5D8-01AE-43B6-8C54-AB4D8703D442}"/>
    <cellStyle name="20% - Accent3 2 2 2 5 3 3" xfId="42547" xr:uid="{01828ADD-E831-4455-93A7-DE351EA666FB}"/>
    <cellStyle name="20% - Accent3 2 2 2 5 3 4" xfId="23949" xr:uid="{A77CF6B6-9249-4D34-BE2F-5FF9B72FBC34}"/>
    <cellStyle name="20% - Accent3 2 2 2 5 4" xfId="11285" xr:uid="{C3B095F5-6426-4C84-9B8F-E599B5EABEE6}"/>
    <cellStyle name="20% - Accent3 2 2 2 5 4 2" xfId="47627" xr:uid="{6ABE27E3-7B9A-45CF-B733-518DDB104989}"/>
    <cellStyle name="20% - Accent3 2 2 2 5 4 3" xfId="29031" xr:uid="{065E26D0-1794-403E-BD44-FFE0897B97AB}"/>
    <cellStyle name="20% - Accent3 2 2 2 5 5" xfId="38330" xr:uid="{4FE001CF-B28A-4863-8452-4BE7FEAB0A48}"/>
    <cellStyle name="20% - Accent3 2 2 2 5 6" xfId="19732" xr:uid="{F70C4110-45B8-4FFB-A005-91822E19BED4}"/>
    <cellStyle name="20% - Accent3 2 2 2 6" xfId="2283" xr:uid="{00000000-0005-0000-0000-000055010000}"/>
    <cellStyle name="20% - Accent3 2 2 2 6 2" xfId="6589" xr:uid="{00000000-0005-0000-0000-000056010000}"/>
    <cellStyle name="20% - Accent3 2 2 2 6 2 2" xfId="15915" xr:uid="{59C87F68-E2CD-45AD-8E36-5CAA07C5D96D}"/>
    <cellStyle name="20% - Accent3 2 2 2 6 2 2 2" xfId="52257" xr:uid="{D0FFBB42-77A4-419D-A77C-0A5DEB629449}"/>
    <cellStyle name="20% - Accent3 2 2 2 6 2 2 3" xfId="33661" xr:uid="{25BC3891-640B-4F1D-9386-A842EC048FFC}"/>
    <cellStyle name="20% - Accent3 2 2 2 6 2 3" xfId="42960" xr:uid="{0FD4BE03-13E7-44B6-8211-91BFA547799B}"/>
    <cellStyle name="20% - Accent3 2 2 2 6 2 4" xfId="24362" xr:uid="{FFCDA01C-B66F-467B-B40B-C7F2090CBBD7}"/>
    <cellStyle name="20% - Accent3 2 2 2 6 3" xfId="11698" xr:uid="{4358F188-B44C-4A41-BED3-1C794F29659B}"/>
    <cellStyle name="20% - Accent3 2 2 2 6 3 2" xfId="48040" xr:uid="{7367F7C9-4AAF-448A-99D0-65AB0B282D46}"/>
    <cellStyle name="20% - Accent3 2 2 2 6 3 3" xfId="29444" xr:uid="{C2183811-1619-48EA-BB15-DDDA771265AB}"/>
    <cellStyle name="20% - Accent3 2 2 2 6 4" xfId="38743" xr:uid="{B78E56E6-DB70-49E3-8D3F-FBBE8146F1C6}"/>
    <cellStyle name="20% - Accent3 2 2 2 6 5" xfId="20145" xr:uid="{11D48DD3-3756-4757-A3DD-B8912B55EC30}"/>
    <cellStyle name="20% - Accent3 2 2 2 7" xfId="4523" xr:uid="{00000000-0005-0000-0000-000057010000}"/>
    <cellStyle name="20% - Accent3 2 2 2 7 2" xfId="13849" xr:uid="{06FA0A32-11F8-4C5A-9C3A-A63C74C4ACAA}"/>
    <cellStyle name="20% - Accent3 2 2 2 7 2 2" xfId="50191" xr:uid="{427774B9-6789-41F8-B4D9-FABF4677E651}"/>
    <cellStyle name="20% - Accent3 2 2 2 7 2 3" xfId="31595" xr:uid="{B38A8DDB-3561-45F1-976C-CEE084B1C020}"/>
    <cellStyle name="20% - Accent3 2 2 2 7 3" xfId="40894" xr:uid="{5E4452D3-F78A-4DFB-91CF-ACC47E69F132}"/>
    <cellStyle name="20% - Accent3 2 2 2 7 4" xfId="22296" xr:uid="{19A4A63C-E0B3-4048-A979-69EEB0E47F2D}"/>
    <cellStyle name="20% - Accent3 2 2 2 8" xfId="9102" xr:uid="{77698EAD-FDE4-4105-BE80-980B5219F464}"/>
    <cellStyle name="20% - Accent3 2 2 2 8 2" xfId="36172" xr:uid="{42BC69E0-479E-428F-A078-33918099318B}"/>
    <cellStyle name="20% - Accent3 2 2 2 8 2 2" xfId="54767" xr:uid="{37760146-97FA-4953-8498-5EBC3875399C}"/>
    <cellStyle name="20% - Accent3 2 2 2 8 3" xfId="45470" xr:uid="{3DD0DC8E-934C-42D1-926A-51ABAA203523}"/>
    <cellStyle name="20% - Accent3 2 2 2 8 4" xfId="26873" xr:uid="{FD334A94-70AE-470B-94B8-9630D16029F5}"/>
    <cellStyle name="20% - Accent3 2 2 2 9" xfId="9632" xr:uid="{8692EDB6-03FD-4B9B-8483-7A5B7B1FEDFC}"/>
    <cellStyle name="20% - Accent3 2 2 2 9 2" xfId="45974" xr:uid="{F2A5FFDE-9E8E-42CC-9929-D2511368300A}"/>
    <cellStyle name="20% - Accent3 2 2 2 9 3" xfId="27378" xr:uid="{98270DEF-FB64-4BD8-B9AA-497D29F92251}"/>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16407" xr:uid="{4843D94F-959F-4FC4-8D9B-571FD0C9089D}"/>
    <cellStyle name="20% - Accent3 2 2 3 2 2 2 2" xfId="52749" xr:uid="{32B59595-C804-4236-A909-428C4580876D}"/>
    <cellStyle name="20% - Accent3 2 2 3 2 2 2 3" xfId="34153" xr:uid="{095055EE-14FC-4498-9925-0B8E69F7268A}"/>
    <cellStyle name="20% - Accent3 2 2 3 2 2 3" xfId="43452" xr:uid="{FC1B34A6-79FF-4B3A-8264-590EC010767A}"/>
    <cellStyle name="20% - Accent3 2 2 3 2 2 4" xfId="24854" xr:uid="{26E64341-BE46-4BAE-ACE8-40F2DEA3CFFC}"/>
    <cellStyle name="20% - Accent3 2 2 3 2 3" xfId="12190" xr:uid="{AA27EFE9-5C84-4F75-80BF-B1B5AFB6C038}"/>
    <cellStyle name="20% - Accent3 2 2 3 2 3 2" xfId="48532" xr:uid="{3968AB24-AAAD-4BC0-BD94-E3B1DC9424B4}"/>
    <cellStyle name="20% - Accent3 2 2 3 2 3 3" xfId="29936" xr:uid="{50ABD88A-1AF6-4B93-8547-B83A88827AC0}"/>
    <cellStyle name="20% - Accent3 2 2 3 2 4" xfId="39235" xr:uid="{BDC54EA6-6A97-463D-BCA7-5C5986FBFBA4}"/>
    <cellStyle name="20% - Accent3 2 2 3 2 5" xfId="20637" xr:uid="{D39D6ABD-EFC9-4D2D-B60C-EA9D7D3F618A}"/>
    <cellStyle name="20% - Accent3 2 2 3 3" xfId="4936" xr:uid="{00000000-0005-0000-0000-00005B010000}"/>
    <cellStyle name="20% - Accent3 2 2 3 3 2" xfId="14262" xr:uid="{9FC5850B-4DBC-4B69-86D5-09CC5CB60D02}"/>
    <cellStyle name="20% - Accent3 2 2 3 3 2 2" xfId="50604" xr:uid="{501135E5-9464-4D80-A0ED-82148C1A0220}"/>
    <cellStyle name="20% - Accent3 2 2 3 3 2 3" xfId="32008" xr:uid="{6487DDDC-09B9-4D60-B78C-39490A94CBA5}"/>
    <cellStyle name="20% - Accent3 2 2 3 3 3" xfId="41307" xr:uid="{4D373B9B-833E-4E47-8527-83792926E60C}"/>
    <cellStyle name="20% - Accent3 2 2 3 3 4" xfId="22709" xr:uid="{C577B45B-6741-45F2-A59D-7BABDA48CCEE}"/>
    <cellStyle name="20% - Accent3 2 2 3 4" xfId="9320" xr:uid="{BF070B19-D289-4211-B080-DBB621CAE7BA}"/>
    <cellStyle name="20% - Accent3 2 2 3 4 2" xfId="36381" xr:uid="{2B201E60-31FA-465C-B71C-9AF0B15545DA}"/>
    <cellStyle name="20% - Accent3 2 2 3 4 2 2" xfId="54975" xr:uid="{193EC301-74E0-466E-AB0F-123B17D9FD70}"/>
    <cellStyle name="20% - Accent3 2 2 3 4 3" xfId="45678" xr:uid="{D2788C2B-8A54-476B-B412-C494B4172B6C}"/>
    <cellStyle name="20% - Accent3 2 2 3 4 4" xfId="27082" xr:uid="{27F69BBF-4F76-4B03-801D-7540F243D2C2}"/>
    <cellStyle name="20% - Accent3 2 2 3 5" xfId="10045" xr:uid="{D6EDB45B-DD12-457A-AAFA-95F1866A855E}"/>
    <cellStyle name="20% - Accent3 2 2 3 5 2" xfId="46387" xr:uid="{669447CD-8175-4BDB-BFD6-CADB4D5704D4}"/>
    <cellStyle name="20% - Accent3 2 2 3 5 3" xfId="27791" xr:uid="{072EF985-5582-4D4D-A8F6-3F420D6F994A}"/>
    <cellStyle name="20% - Accent3 2 2 3 6" xfId="37090" xr:uid="{B4EDFAEF-8B68-4D69-9C04-409322E29783}"/>
    <cellStyle name="20% - Accent3 2 2 3 7" xfId="18492" xr:uid="{30A36665-CE61-4DE0-9FCB-33FC5B2813ED}"/>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16820" xr:uid="{912F6A02-D2F7-45AB-A239-ECC78D8B2170}"/>
    <cellStyle name="20% - Accent3 2 2 4 2 2 2 2" xfId="53162" xr:uid="{EB2B7AE4-E26C-4EF3-ABFF-23CC7432CA8D}"/>
    <cellStyle name="20% - Accent3 2 2 4 2 2 2 3" xfId="34566" xr:uid="{ACAC6B07-6750-4830-A9B1-E36BB7C5A0B8}"/>
    <cellStyle name="20% - Accent3 2 2 4 2 2 3" xfId="43865" xr:uid="{DC82EFEA-598E-4B28-B198-434BA4C10899}"/>
    <cellStyle name="20% - Accent3 2 2 4 2 2 4" xfId="25267" xr:uid="{2A769EDB-6003-4527-8C16-C157A0493A22}"/>
    <cellStyle name="20% - Accent3 2 2 4 2 3" xfId="12603" xr:uid="{D72C8E6D-BA00-49AB-A0B0-D01F22FEB915}"/>
    <cellStyle name="20% - Accent3 2 2 4 2 3 2" xfId="48945" xr:uid="{956D6ED6-D2D4-4069-85A6-EDCB6DA8AB78}"/>
    <cellStyle name="20% - Accent3 2 2 4 2 3 3" xfId="30349" xr:uid="{10C4E918-F598-4B89-AE5D-2A686BC3B43F}"/>
    <cellStyle name="20% - Accent3 2 2 4 2 4" xfId="39648" xr:uid="{6F780B7D-ADDE-43F0-BC58-C28CBCBB6A37}"/>
    <cellStyle name="20% - Accent3 2 2 4 2 5" xfId="21050" xr:uid="{9A2643D0-4556-4522-9509-8E04FF4EE615}"/>
    <cellStyle name="20% - Accent3 2 2 4 3" xfId="5349" xr:uid="{00000000-0005-0000-0000-00005F010000}"/>
    <cellStyle name="20% - Accent3 2 2 4 3 2" xfId="14675" xr:uid="{774EE6F5-ECE7-4EFE-BFD2-9A653B34F275}"/>
    <cellStyle name="20% - Accent3 2 2 4 3 2 2" xfId="51017" xr:uid="{F864FFF8-B64A-4BB6-B532-C33060980C99}"/>
    <cellStyle name="20% - Accent3 2 2 4 3 2 3" xfId="32421" xr:uid="{75AA9643-8427-4448-A757-A1EBE9B77C21}"/>
    <cellStyle name="20% - Accent3 2 2 4 3 3" xfId="41720" xr:uid="{6929A269-B98C-4C38-9C35-C41486FDAB87}"/>
    <cellStyle name="20% - Accent3 2 2 4 3 4" xfId="23122" xr:uid="{4BF8162B-82C6-45A0-93D3-6C00947EA31F}"/>
    <cellStyle name="20% - Accent3 2 2 4 4" xfId="10458" xr:uid="{451BCBA2-06F0-4777-B062-98BAD7396CB3}"/>
    <cellStyle name="20% - Accent3 2 2 4 4 2" xfId="46800" xr:uid="{3B5923C0-CE39-4DC0-98E8-2B250380F643}"/>
    <cellStyle name="20% - Accent3 2 2 4 4 3" xfId="28204" xr:uid="{08223BF8-D91F-40F0-93D8-B3FCC0988DB7}"/>
    <cellStyle name="20% - Accent3 2 2 4 5" xfId="37503" xr:uid="{952AA625-5306-411E-9B10-4F0562511B66}"/>
    <cellStyle name="20% - Accent3 2 2 4 6" xfId="18905" xr:uid="{134C9301-3B2E-4908-8EC7-1B6738F87B40}"/>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17233" xr:uid="{86EF93DF-21C6-480E-AABC-D388BFF17152}"/>
    <cellStyle name="20% - Accent3 2 2 5 2 2 2 2" xfId="53575" xr:uid="{F2426852-90AB-4963-87A9-6D489C7D67D4}"/>
    <cellStyle name="20% - Accent3 2 2 5 2 2 2 3" xfId="34979" xr:uid="{2E282EA7-C7DD-4E23-856C-BAE5466B2B47}"/>
    <cellStyle name="20% - Accent3 2 2 5 2 2 3" xfId="44278" xr:uid="{42511C32-DF70-4956-BE3C-906A4D913A6E}"/>
    <cellStyle name="20% - Accent3 2 2 5 2 2 4" xfId="25680" xr:uid="{70478424-97CB-4251-B499-F70447B25F7A}"/>
    <cellStyle name="20% - Accent3 2 2 5 2 3" xfId="13016" xr:uid="{F160EC2B-3270-4707-B94A-C5C72A568B35}"/>
    <cellStyle name="20% - Accent3 2 2 5 2 3 2" xfId="49358" xr:uid="{1DC573EB-D6CE-4F73-A559-77B3FFFF2AE6}"/>
    <cellStyle name="20% - Accent3 2 2 5 2 3 3" xfId="30762" xr:uid="{5F252220-EF7A-4BE6-917C-61697897F9ED}"/>
    <cellStyle name="20% - Accent3 2 2 5 2 4" xfId="40061" xr:uid="{4D0B8A2E-6FA4-4CA2-B9A6-319748D1DC2E}"/>
    <cellStyle name="20% - Accent3 2 2 5 2 5" xfId="21463" xr:uid="{9DFF98EA-5262-44C5-9C20-AC639A21FA49}"/>
    <cellStyle name="20% - Accent3 2 2 5 3" xfId="5762" xr:uid="{00000000-0005-0000-0000-000063010000}"/>
    <cellStyle name="20% - Accent3 2 2 5 3 2" xfId="15088" xr:uid="{2A540774-5E72-4E9F-A1F8-9D2D46237E34}"/>
    <cellStyle name="20% - Accent3 2 2 5 3 2 2" xfId="51430" xr:uid="{047AC16D-05CA-40F2-B948-21E206C663E8}"/>
    <cellStyle name="20% - Accent3 2 2 5 3 2 3" xfId="32834" xr:uid="{7B74CB05-F2A2-47C2-95C3-84F5001494D3}"/>
    <cellStyle name="20% - Accent3 2 2 5 3 3" xfId="42133" xr:uid="{1AFB1693-B78B-4E10-B0BF-F571C36439F2}"/>
    <cellStyle name="20% - Accent3 2 2 5 3 4" xfId="23535" xr:uid="{E099A16B-7107-45F9-9DDE-919F4884F50C}"/>
    <cellStyle name="20% - Accent3 2 2 5 4" xfId="10871" xr:uid="{8C89D431-646B-4C56-8FC3-FDD55011B64F}"/>
    <cellStyle name="20% - Accent3 2 2 5 4 2" xfId="47213" xr:uid="{0C2D8CF4-A599-4E1C-9A60-DB2E32E37C0A}"/>
    <cellStyle name="20% - Accent3 2 2 5 4 3" xfId="28617" xr:uid="{5280937E-A342-4B46-AA2A-17D530D0B504}"/>
    <cellStyle name="20% - Accent3 2 2 5 5" xfId="37916" xr:uid="{1C523183-2C7A-4F81-BA7B-A59015EE1B12}"/>
    <cellStyle name="20% - Accent3 2 2 5 6" xfId="19318" xr:uid="{1B59F640-8934-4C76-82CF-E4BB4E398728}"/>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17646" xr:uid="{3C72A018-8F53-48D6-9DB2-0853AB8098DE}"/>
    <cellStyle name="20% - Accent3 2 2 6 2 2 2 2" xfId="53988" xr:uid="{0A1CB089-11D1-4979-A143-30A4741962DC}"/>
    <cellStyle name="20% - Accent3 2 2 6 2 2 2 3" xfId="35392" xr:uid="{373FEAD1-D17F-4D1A-8A09-6DEFF52089BB}"/>
    <cellStyle name="20% - Accent3 2 2 6 2 2 3" xfId="44691" xr:uid="{B26256D0-2DFF-49DD-A4F4-A6E8C966BE9F}"/>
    <cellStyle name="20% - Accent3 2 2 6 2 2 4" xfId="26093" xr:uid="{5E4BAB2C-511C-4F24-AE35-07122132291B}"/>
    <cellStyle name="20% - Accent3 2 2 6 2 3" xfId="13429" xr:uid="{4402634C-76BB-4729-9094-47B14CECD613}"/>
    <cellStyle name="20% - Accent3 2 2 6 2 3 2" xfId="49771" xr:uid="{C6F83AC9-116B-4D40-A044-034067242BB8}"/>
    <cellStyle name="20% - Accent3 2 2 6 2 3 3" xfId="31175" xr:uid="{67BE6CC5-7CAB-4A04-BA68-9BB99062C6B3}"/>
    <cellStyle name="20% - Accent3 2 2 6 2 4" xfId="40474" xr:uid="{D493CBA1-F987-4577-9608-B570111793AC}"/>
    <cellStyle name="20% - Accent3 2 2 6 2 5" xfId="21876" xr:uid="{2B376C74-B0D8-4D0A-8811-CFD96E535AAD}"/>
    <cellStyle name="20% - Accent3 2 2 6 3" xfId="6175" xr:uid="{00000000-0005-0000-0000-000067010000}"/>
    <cellStyle name="20% - Accent3 2 2 6 3 2" xfId="15501" xr:uid="{B31F2CA8-9902-4B5C-BCD1-705368571509}"/>
    <cellStyle name="20% - Accent3 2 2 6 3 2 2" xfId="51843" xr:uid="{57B5AC81-9C75-4735-8A04-A45AFBCA7C34}"/>
    <cellStyle name="20% - Accent3 2 2 6 3 2 3" xfId="33247" xr:uid="{829446CB-CEB2-4135-A96C-8DA48259FC77}"/>
    <cellStyle name="20% - Accent3 2 2 6 3 3" xfId="42546" xr:uid="{1CF0251A-D49D-43DC-B8EE-54EEB5C21C16}"/>
    <cellStyle name="20% - Accent3 2 2 6 3 4" xfId="23948" xr:uid="{A595E975-5DED-4273-8CD5-BA2D91ED149F}"/>
    <cellStyle name="20% - Accent3 2 2 6 4" xfId="11284" xr:uid="{473A4890-AFC7-4986-8C80-64A505D0C7F3}"/>
    <cellStyle name="20% - Accent3 2 2 6 4 2" xfId="47626" xr:uid="{C4490B68-0F7D-4260-9B26-EB66224DBB84}"/>
    <cellStyle name="20% - Accent3 2 2 6 4 3" xfId="29030" xr:uid="{83A630C5-0CFF-4938-B888-F2D699DE3513}"/>
    <cellStyle name="20% - Accent3 2 2 6 5" xfId="38329" xr:uid="{64D3F6AE-FC45-482D-96E2-B4C6559BE3C6}"/>
    <cellStyle name="20% - Accent3 2 2 6 6" xfId="19731" xr:uid="{125D4A44-C644-4C92-BB71-F214191B6892}"/>
    <cellStyle name="20% - Accent3 2 2 7" xfId="2282" xr:uid="{00000000-0005-0000-0000-000068010000}"/>
    <cellStyle name="20% - Accent3 2 2 7 2" xfId="6588" xr:uid="{00000000-0005-0000-0000-000069010000}"/>
    <cellStyle name="20% - Accent3 2 2 7 2 2" xfId="15914" xr:uid="{6BD46347-7886-4FF6-A24E-46A863038B99}"/>
    <cellStyle name="20% - Accent3 2 2 7 2 2 2" xfId="52256" xr:uid="{AFC0344A-6DAB-4182-A882-61C7E18DE7DD}"/>
    <cellStyle name="20% - Accent3 2 2 7 2 2 3" xfId="33660" xr:uid="{975367DB-AA1C-4763-B8E9-42002EF0B35E}"/>
    <cellStyle name="20% - Accent3 2 2 7 2 3" xfId="42959" xr:uid="{9BFC0A50-AF20-4D4D-8E76-ABA18E44D178}"/>
    <cellStyle name="20% - Accent3 2 2 7 2 4" xfId="24361" xr:uid="{DED924AE-A7D0-41F5-AA61-76C2C392CB1F}"/>
    <cellStyle name="20% - Accent3 2 2 7 3" xfId="11697" xr:uid="{E92697B6-DF7D-45C9-9F83-9B8E99A9149B}"/>
    <cellStyle name="20% - Accent3 2 2 7 3 2" xfId="48039" xr:uid="{EAAB5E2B-0FB3-465E-8D7A-D96AD96E19D8}"/>
    <cellStyle name="20% - Accent3 2 2 7 3 3" xfId="29443" xr:uid="{ADE035A0-E9AC-49CB-A223-6792982E2CF3}"/>
    <cellStyle name="20% - Accent3 2 2 7 4" xfId="38742" xr:uid="{BEA9DC7C-D30A-49C9-9F52-23B3D286C57C}"/>
    <cellStyle name="20% - Accent3 2 2 7 5" xfId="20144" xr:uid="{67FBB15D-6166-401A-B991-A936055E9A0F}"/>
    <cellStyle name="20% - Accent3 2 2 8" xfId="4522" xr:uid="{00000000-0005-0000-0000-00006A010000}"/>
    <cellStyle name="20% - Accent3 2 2 8 2" xfId="13848" xr:uid="{F8ED408C-4B80-4583-ACC0-3790602B895E}"/>
    <cellStyle name="20% - Accent3 2 2 8 2 2" xfId="50190" xr:uid="{D2207F21-B65A-4078-81D9-2F5708736B0F}"/>
    <cellStyle name="20% - Accent3 2 2 8 2 3" xfId="31594" xr:uid="{BC7CF760-6A82-49F7-9F25-E108EAD9158E}"/>
    <cellStyle name="20% - Accent3 2 2 8 3" xfId="40893" xr:uid="{6980EDA7-3E4B-4280-9732-7A9AE7F48A21}"/>
    <cellStyle name="20% - Accent3 2 2 8 4" xfId="22295" xr:uid="{FD3353A0-1441-4D4F-AF8C-C29F4D2E8DE4}"/>
    <cellStyle name="20% - Accent3 2 2 9" xfId="8895" xr:uid="{0ADDC6BA-FD9D-420D-8F5A-13E0A04BBC7C}"/>
    <cellStyle name="20% - Accent3 2 2 9 2" xfId="35965" xr:uid="{B9FB4C27-2358-4081-BC26-7FC95097FC45}"/>
    <cellStyle name="20% - Accent3 2 2 9 2 2" xfId="54560" xr:uid="{CCFAE1BB-6BA5-4654-BDA2-EDCD648DE6A1}"/>
    <cellStyle name="20% - Accent3 2 2 9 3" xfId="45263" xr:uid="{5DC284A5-5AC8-4018-A9D5-ABE720588742}"/>
    <cellStyle name="20% - Accent3 2 2 9 4" xfId="26666" xr:uid="{8567F404-E554-41E5-86B8-A200AC001C7E}"/>
    <cellStyle name="20% - Accent3 2 3" xfId="21" xr:uid="{00000000-0005-0000-0000-00006B010000}"/>
    <cellStyle name="20% - Accent3 2 3 10" xfId="36678" xr:uid="{2B9F68D7-E8AE-4FE8-995A-CA9B3868C654}"/>
    <cellStyle name="20% - Accent3 2 3 11" xfId="18080" xr:uid="{8E1E0AFB-16FB-4BEC-9A15-B4C1C9E55187}"/>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16409" xr:uid="{3DF4CFB3-C78B-4AD9-AA26-E73E2042FEC8}"/>
    <cellStyle name="20% - Accent3 2 3 2 2 2 2 2" xfId="52751" xr:uid="{70A608D7-0D95-4733-A43C-440FA0698000}"/>
    <cellStyle name="20% - Accent3 2 3 2 2 2 2 3" xfId="34155" xr:uid="{C23CEA45-6FEE-4C5E-8D58-88B20BF8293C}"/>
    <cellStyle name="20% - Accent3 2 3 2 2 2 3" xfId="43454" xr:uid="{4329DF59-E63C-4C07-BB30-C39C55054B8D}"/>
    <cellStyle name="20% - Accent3 2 3 2 2 2 4" xfId="24856" xr:uid="{C9D256F8-3DE2-43BB-9382-E572A0332232}"/>
    <cellStyle name="20% - Accent3 2 3 2 2 3" xfId="12192" xr:uid="{ECD96413-8543-437E-83A8-1B3A21855793}"/>
    <cellStyle name="20% - Accent3 2 3 2 2 3 2" xfId="48534" xr:uid="{E11EFB4F-442D-41E3-8189-FE9B906E6D4B}"/>
    <cellStyle name="20% - Accent3 2 3 2 2 3 3" xfId="29938" xr:uid="{6F680E55-17CC-4E05-8287-F4F469D06F20}"/>
    <cellStyle name="20% - Accent3 2 3 2 2 4" xfId="39237" xr:uid="{E818CF6A-5905-4348-BD34-E412116FCA88}"/>
    <cellStyle name="20% - Accent3 2 3 2 2 5" xfId="20639" xr:uid="{91E7F39F-65AB-4913-A5E3-2B8204428C2B}"/>
    <cellStyle name="20% - Accent3 2 3 2 3" xfId="4938" xr:uid="{00000000-0005-0000-0000-00006F010000}"/>
    <cellStyle name="20% - Accent3 2 3 2 3 2" xfId="14264" xr:uid="{41151184-108A-4E5A-875D-69CE065CBB0C}"/>
    <cellStyle name="20% - Accent3 2 3 2 3 2 2" xfId="50606" xr:uid="{9D61382C-428A-4B66-87D2-21EECAA7E483}"/>
    <cellStyle name="20% - Accent3 2 3 2 3 2 3" xfId="32010" xr:uid="{75E00952-BA1B-4DE0-B5F5-EE298EEEBA08}"/>
    <cellStyle name="20% - Accent3 2 3 2 3 3" xfId="41309" xr:uid="{FC8215D7-77CE-44C3-9387-A65DDD0A6BDA}"/>
    <cellStyle name="20% - Accent3 2 3 2 3 4" xfId="22711" xr:uid="{7689FDD7-4B54-4028-88B8-3E2CB8257917}"/>
    <cellStyle name="20% - Accent3 2 3 2 4" xfId="9424" xr:uid="{C3588D98-6F24-4F2C-9F96-F34501405613}"/>
    <cellStyle name="20% - Accent3 2 3 2 4 2" xfId="36485" xr:uid="{6828AF41-312F-461A-8DCB-6CD1D31BB60A}"/>
    <cellStyle name="20% - Accent3 2 3 2 4 2 2" xfId="55079" xr:uid="{DE67932E-A7EB-4210-9F39-9DB401ADE42A}"/>
    <cellStyle name="20% - Accent3 2 3 2 4 3" xfId="45782" xr:uid="{B49FA083-9393-4F91-9936-6FC6F53CBAB6}"/>
    <cellStyle name="20% - Accent3 2 3 2 4 4" xfId="27186" xr:uid="{3095951C-12F5-47FA-88FB-9EC014AE410E}"/>
    <cellStyle name="20% - Accent3 2 3 2 5" xfId="10047" xr:uid="{5A2D787D-78C6-4A79-822F-720C676469E8}"/>
    <cellStyle name="20% - Accent3 2 3 2 5 2" xfId="46389" xr:uid="{1DD41FE5-8CF5-4928-B567-A5974D1989C7}"/>
    <cellStyle name="20% - Accent3 2 3 2 5 3" xfId="27793" xr:uid="{C57C5CE4-F699-49BE-80FD-A4D6DBFB6560}"/>
    <cellStyle name="20% - Accent3 2 3 2 6" xfId="37092" xr:uid="{1DC1F93A-AB40-4FC6-B319-192AA1CB7E2C}"/>
    <cellStyle name="20% - Accent3 2 3 2 7" xfId="18494" xr:uid="{78F78543-8D50-427B-A3C6-ECDED0AD3F34}"/>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16822" xr:uid="{41DF45F9-D691-4BDB-A5F9-0DF200505190}"/>
    <cellStyle name="20% - Accent3 2 3 3 2 2 2 2" xfId="53164" xr:uid="{E95CFFA3-B977-40E4-928C-514E59D17368}"/>
    <cellStyle name="20% - Accent3 2 3 3 2 2 2 3" xfId="34568" xr:uid="{CFC9E4D8-7750-4315-9B90-D9405C2BCC23}"/>
    <cellStyle name="20% - Accent3 2 3 3 2 2 3" xfId="43867" xr:uid="{4C507153-60CB-4B65-AF57-EB5EE4007F25}"/>
    <cellStyle name="20% - Accent3 2 3 3 2 2 4" xfId="25269" xr:uid="{C2BD5F18-C466-43AF-BF62-CA054D091E2D}"/>
    <cellStyle name="20% - Accent3 2 3 3 2 3" xfId="12605" xr:uid="{B7B45754-C3EB-412E-A60F-E4DE878F2051}"/>
    <cellStyle name="20% - Accent3 2 3 3 2 3 2" xfId="48947" xr:uid="{47A5513B-E026-4C2D-B080-1F68E1C49832}"/>
    <cellStyle name="20% - Accent3 2 3 3 2 3 3" xfId="30351" xr:uid="{0DB5CF49-B2BE-42FD-A9E2-C3454559E41A}"/>
    <cellStyle name="20% - Accent3 2 3 3 2 4" xfId="39650" xr:uid="{863FE043-7986-49ED-BB08-24B3D810AF59}"/>
    <cellStyle name="20% - Accent3 2 3 3 2 5" xfId="21052" xr:uid="{415E1F62-A220-4319-9819-AB16FF362550}"/>
    <cellStyle name="20% - Accent3 2 3 3 3" xfId="5351" xr:uid="{00000000-0005-0000-0000-000073010000}"/>
    <cellStyle name="20% - Accent3 2 3 3 3 2" xfId="14677" xr:uid="{21ABF367-6F77-4288-B2CB-11763144ACE4}"/>
    <cellStyle name="20% - Accent3 2 3 3 3 2 2" xfId="51019" xr:uid="{03A6D0C9-F728-41EE-90A6-59D5E72CD596}"/>
    <cellStyle name="20% - Accent3 2 3 3 3 2 3" xfId="32423" xr:uid="{EB7EEA09-907C-4588-9F6D-2F2E441CDDE8}"/>
    <cellStyle name="20% - Accent3 2 3 3 3 3" xfId="41722" xr:uid="{5597CE5A-32AD-49B1-8C69-EB5B19AA4D9E}"/>
    <cellStyle name="20% - Accent3 2 3 3 3 4" xfId="23124" xr:uid="{A37F8421-408C-46A1-A037-2E05080F0E6A}"/>
    <cellStyle name="20% - Accent3 2 3 3 4" xfId="10460" xr:uid="{55319DAD-662E-4912-8E44-2E0ACC4B872F}"/>
    <cellStyle name="20% - Accent3 2 3 3 4 2" xfId="46802" xr:uid="{1AF352F4-EDE9-40D5-850A-C4CBCA6FA71F}"/>
    <cellStyle name="20% - Accent3 2 3 3 4 3" xfId="28206" xr:uid="{1100B6C6-BD14-4760-9D4F-8F9D9BA40A05}"/>
    <cellStyle name="20% - Accent3 2 3 3 5" xfId="37505" xr:uid="{C70643CE-F956-453B-80CD-CADFBFCD1C56}"/>
    <cellStyle name="20% - Accent3 2 3 3 6" xfId="18907" xr:uid="{602ED8B9-47D1-490E-87E7-82C14B527DBF}"/>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17235" xr:uid="{A50E5B53-7F2C-4E52-A2C2-5EBC6B810A5C}"/>
    <cellStyle name="20% - Accent3 2 3 4 2 2 2 2" xfId="53577" xr:uid="{59B975C0-A9FB-436F-89DE-054175C25A93}"/>
    <cellStyle name="20% - Accent3 2 3 4 2 2 2 3" xfId="34981" xr:uid="{B464EB70-2C1F-404A-8440-73F845433C46}"/>
    <cellStyle name="20% - Accent3 2 3 4 2 2 3" xfId="44280" xr:uid="{41463CFD-A6C0-42CB-A354-95BB9EFD51E0}"/>
    <cellStyle name="20% - Accent3 2 3 4 2 2 4" xfId="25682" xr:uid="{72C4E484-0A9B-4C54-B69E-FB75990F7BD2}"/>
    <cellStyle name="20% - Accent3 2 3 4 2 3" xfId="13018" xr:uid="{FB79D309-3CAA-491A-9CAD-EAB99980ABCA}"/>
    <cellStyle name="20% - Accent3 2 3 4 2 3 2" xfId="49360" xr:uid="{6891300C-2A3B-4C08-A288-839FF8DF168C}"/>
    <cellStyle name="20% - Accent3 2 3 4 2 3 3" xfId="30764" xr:uid="{8BE3B9D0-5462-4FBD-81A6-17C1A16D4097}"/>
    <cellStyle name="20% - Accent3 2 3 4 2 4" xfId="40063" xr:uid="{E02A4CEF-8087-46D5-A8EC-00AED40135C4}"/>
    <cellStyle name="20% - Accent3 2 3 4 2 5" xfId="21465" xr:uid="{CB771EB1-F0BF-410A-9F6F-DF4A218B339B}"/>
    <cellStyle name="20% - Accent3 2 3 4 3" xfId="5764" xr:uid="{00000000-0005-0000-0000-000077010000}"/>
    <cellStyle name="20% - Accent3 2 3 4 3 2" xfId="15090" xr:uid="{ED2AC578-932D-4C05-A2CA-7F957CB72D05}"/>
    <cellStyle name="20% - Accent3 2 3 4 3 2 2" xfId="51432" xr:uid="{99C23F6F-4AD8-4BC1-8B1E-0F60C332076C}"/>
    <cellStyle name="20% - Accent3 2 3 4 3 2 3" xfId="32836" xr:uid="{57C98D26-28E2-4A95-8327-064F6F14BDAC}"/>
    <cellStyle name="20% - Accent3 2 3 4 3 3" xfId="42135" xr:uid="{A5BD1656-CA0E-468B-8BB3-C946E921248E}"/>
    <cellStyle name="20% - Accent3 2 3 4 3 4" xfId="23537" xr:uid="{9FAF0D57-6353-4E06-87CE-343C6FBDEF27}"/>
    <cellStyle name="20% - Accent3 2 3 4 4" xfId="10873" xr:uid="{AA619288-3053-4AD8-B250-65365D63424B}"/>
    <cellStyle name="20% - Accent3 2 3 4 4 2" xfId="47215" xr:uid="{D25A86A6-A2DF-48FB-BAA2-B9006F7C7DFF}"/>
    <cellStyle name="20% - Accent3 2 3 4 4 3" xfId="28619" xr:uid="{3DC85048-EF28-4ECD-93B1-A845C1D25EC3}"/>
    <cellStyle name="20% - Accent3 2 3 4 5" xfId="37918" xr:uid="{0CF39256-6793-4B8B-9500-C942E2647156}"/>
    <cellStyle name="20% - Accent3 2 3 4 6" xfId="19320" xr:uid="{C9168092-3880-4F2B-A345-28D90A4417AF}"/>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17648" xr:uid="{32FDF16D-4D4C-4E6D-9358-DF3FAFB5FB32}"/>
    <cellStyle name="20% - Accent3 2 3 5 2 2 2 2" xfId="53990" xr:uid="{7FD2DA7A-5CCE-4726-AD2A-A0384818B4B0}"/>
    <cellStyle name="20% - Accent3 2 3 5 2 2 2 3" xfId="35394" xr:uid="{C6A21233-F87D-42B2-BF95-24D56BC78D63}"/>
    <cellStyle name="20% - Accent3 2 3 5 2 2 3" xfId="44693" xr:uid="{9F6EE516-1E8E-4D46-9770-34096B0129B7}"/>
    <cellStyle name="20% - Accent3 2 3 5 2 2 4" xfId="26095" xr:uid="{1BA5B191-58C1-4325-B25E-4DC2A5FD3949}"/>
    <cellStyle name="20% - Accent3 2 3 5 2 3" xfId="13431" xr:uid="{09AD6705-B171-4621-A419-D69B8C6C519F}"/>
    <cellStyle name="20% - Accent3 2 3 5 2 3 2" xfId="49773" xr:uid="{24E30C93-4D2D-49FA-92C1-6C58447F5622}"/>
    <cellStyle name="20% - Accent3 2 3 5 2 3 3" xfId="31177" xr:uid="{6DC5AF3E-4C3F-49C2-A1EC-7472AA13239A}"/>
    <cellStyle name="20% - Accent3 2 3 5 2 4" xfId="40476" xr:uid="{9379E9A0-39A9-4FBF-84A2-D123FA49F9B3}"/>
    <cellStyle name="20% - Accent3 2 3 5 2 5" xfId="21878" xr:uid="{B9F28993-DE3D-4F22-A39F-464D16D77963}"/>
    <cellStyle name="20% - Accent3 2 3 5 3" xfId="6177" xr:uid="{00000000-0005-0000-0000-00007B010000}"/>
    <cellStyle name="20% - Accent3 2 3 5 3 2" xfId="15503" xr:uid="{E5A58465-EFDC-4EB3-988B-42EA2AD28A9F}"/>
    <cellStyle name="20% - Accent3 2 3 5 3 2 2" xfId="51845" xr:uid="{00A5AFCB-BE56-478D-8D32-6294189637D0}"/>
    <cellStyle name="20% - Accent3 2 3 5 3 2 3" xfId="33249" xr:uid="{734D9D26-9A04-40B7-BAF4-662B00585DF5}"/>
    <cellStyle name="20% - Accent3 2 3 5 3 3" xfId="42548" xr:uid="{AA0871E6-4582-451B-8183-24EDB4B9A13D}"/>
    <cellStyle name="20% - Accent3 2 3 5 3 4" xfId="23950" xr:uid="{E2F789A5-BA3B-4860-836C-42B1A267778A}"/>
    <cellStyle name="20% - Accent3 2 3 5 4" xfId="11286" xr:uid="{2626E9C8-F7F5-42BA-BB2F-51FB95A4826C}"/>
    <cellStyle name="20% - Accent3 2 3 5 4 2" xfId="47628" xr:uid="{084E404D-FEAD-45AF-90CF-87131713E7B2}"/>
    <cellStyle name="20% - Accent3 2 3 5 4 3" xfId="29032" xr:uid="{695074BF-EBF9-4728-9388-85F7D251CCAC}"/>
    <cellStyle name="20% - Accent3 2 3 5 5" xfId="38331" xr:uid="{60DCC431-D9C4-49AA-8506-2BB6F74DE25E}"/>
    <cellStyle name="20% - Accent3 2 3 5 6" xfId="19733" xr:uid="{F72703AD-5BE1-415D-83BE-2009F77F38D2}"/>
    <cellStyle name="20% - Accent3 2 3 6" xfId="2284" xr:uid="{00000000-0005-0000-0000-00007C010000}"/>
    <cellStyle name="20% - Accent3 2 3 6 2" xfId="6590" xr:uid="{00000000-0005-0000-0000-00007D010000}"/>
    <cellStyle name="20% - Accent3 2 3 6 2 2" xfId="15916" xr:uid="{CCCE5C19-4B02-4CB6-917F-D13C099EBD65}"/>
    <cellStyle name="20% - Accent3 2 3 6 2 2 2" xfId="52258" xr:uid="{E9250548-5F00-42B7-B820-EA2E63686E9B}"/>
    <cellStyle name="20% - Accent3 2 3 6 2 2 3" xfId="33662" xr:uid="{4D9183F6-B639-4DBC-8333-A764195A8A88}"/>
    <cellStyle name="20% - Accent3 2 3 6 2 3" xfId="42961" xr:uid="{0A923847-C7FF-42F6-A65F-1EAAFF91E5FF}"/>
    <cellStyle name="20% - Accent3 2 3 6 2 4" xfId="24363" xr:uid="{026E3E49-AD93-425F-B20B-C71E88375F83}"/>
    <cellStyle name="20% - Accent3 2 3 6 3" xfId="11699" xr:uid="{4525ADB1-D2E5-4073-AF9E-91CDDF0D6575}"/>
    <cellStyle name="20% - Accent3 2 3 6 3 2" xfId="48041" xr:uid="{9335B76D-C946-4FAD-99B1-3A6A9EFDFCCF}"/>
    <cellStyle name="20% - Accent3 2 3 6 3 3" xfId="29445" xr:uid="{95CE0A88-35CD-4F73-845D-1E2E81C3D0E3}"/>
    <cellStyle name="20% - Accent3 2 3 6 4" xfId="38744" xr:uid="{9B4C1F36-5399-4C7F-BBB3-C21D715A6145}"/>
    <cellStyle name="20% - Accent3 2 3 6 5" xfId="20146" xr:uid="{DE227F49-56D7-4FB6-BFDB-7E7C6E8E1B9D}"/>
    <cellStyle name="20% - Accent3 2 3 7" xfId="4524" xr:uid="{00000000-0005-0000-0000-00007E010000}"/>
    <cellStyle name="20% - Accent3 2 3 7 2" xfId="13850" xr:uid="{33E54607-1918-4092-B558-606A144B9558}"/>
    <cellStyle name="20% - Accent3 2 3 7 2 2" xfId="50192" xr:uid="{F60FFC93-26CF-4C16-BECC-13C36944C790}"/>
    <cellStyle name="20% - Accent3 2 3 7 2 3" xfId="31596" xr:uid="{06B26BDC-88AB-400C-826A-7EF5767A09D3}"/>
    <cellStyle name="20% - Accent3 2 3 7 3" xfId="40895" xr:uid="{9F26DC35-0F93-4149-9780-72E4D595CBEC}"/>
    <cellStyle name="20% - Accent3 2 3 7 4" xfId="22297" xr:uid="{171E2A8A-F55E-436A-9105-03EF46A3026F}"/>
    <cellStyle name="20% - Accent3 2 3 8" xfId="8999" xr:uid="{2B5D0148-B6EA-4DEA-92B1-644886C27051}"/>
    <cellStyle name="20% - Accent3 2 3 8 2" xfId="36069" xr:uid="{D1E870E0-F9E9-4F6A-B1E1-C6991C772D3A}"/>
    <cellStyle name="20% - Accent3 2 3 8 2 2" xfId="54664" xr:uid="{456E7F4F-CC23-45E8-89FE-E0884F6ED6AF}"/>
    <cellStyle name="20% - Accent3 2 3 8 3" xfId="45367" xr:uid="{B19D86CA-37BA-4FBA-9CFE-BE1B4762868A}"/>
    <cellStyle name="20% - Accent3 2 3 8 4" xfId="26770" xr:uid="{A6430BB2-37C1-4595-87DA-93D90DC16E7F}"/>
    <cellStyle name="20% - Accent3 2 3 9" xfId="9633" xr:uid="{6161204F-37DE-4C36-8D73-85BA05C69A53}"/>
    <cellStyle name="20% - Accent3 2 3 9 2" xfId="45975" xr:uid="{F28F48C7-FED6-422A-B87A-DA4F98B002C6}"/>
    <cellStyle name="20% - Accent3 2 3 9 3" xfId="27379" xr:uid="{FD3519DA-4576-421E-A160-CF42FA03BE09}"/>
    <cellStyle name="20% - Accent3 2 4" xfId="587" xr:uid="{00000000-0005-0000-0000-00007F010000}"/>
    <cellStyle name="20% - Accent3 2 4 2" xfId="2858" xr:uid="{00000000-0005-0000-0000-000080010000}"/>
    <cellStyle name="20% - Accent3 2 4 2 2" xfId="7080" xr:uid="{00000000-0005-0000-0000-000081010000}"/>
    <cellStyle name="20% - Accent3 2 4 2 2 2" xfId="16406" xr:uid="{CF283AAD-9673-4B22-9135-8D990DF8BBE7}"/>
    <cellStyle name="20% - Accent3 2 4 2 2 2 2" xfId="52748" xr:uid="{F5A27F21-0A86-49C9-A43A-59E57BF9DF42}"/>
    <cellStyle name="20% - Accent3 2 4 2 2 2 3" xfId="34152" xr:uid="{953BB4E1-6EF2-443B-819E-DBF1FC6EC1D3}"/>
    <cellStyle name="20% - Accent3 2 4 2 2 3" xfId="43451" xr:uid="{2A02D5AC-CC87-4F85-AA7F-AF4ABB8EA900}"/>
    <cellStyle name="20% - Accent3 2 4 2 2 4" xfId="24853" xr:uid="{6BDC6D0B-7B94-45DB-A6B2-39ABF4C3DE1A}"/>
    <cellStyle name="20% - Accent3 2 4 2 3" xfId="12189" xr:uid="{3513B433-AE46-4FB8-B459-168C3DE39403}"/>
    <cellStyle name="20% - Accent3 2 4 2 3 2" xfId="48531" xr:uid="{BA3ECE1E-32EA-4731-895F-0E0E67A87CE5}"/>
    <cellStyle name="20% - Accent3 2 4 2 3 3" xfId="29935" xr:uid="{3DF69307-E47A-4B27-B5AB-3FEC8D72A670}"/>
    <cellStyle name="20% - Accent3 2 4 2 4" xfId="39234" xr:uid="{BADC80AD-F875-4E91-AB86-54B01864ED38}"/>
    <cellStyle name="20% - Accent3 2 4 2 5" xfId="20636" xr:uid="{0D271E54-C3EC-42B7-95C3-6862C20F7F3A}"/>
    <cellStyle name="20% - Accent3 2 4 3" xfId="4935" xr:uid="{00000000-0005-0000-0000-000082010000}"/>
    <cellStyle name="20% - Accent3 2 4 3 2" xfId="14261" xr:uid="{8E094AF9-B266-4BC2-BBFD-B85FAFA480AD}"/>
    <cellStyle name="20% - Accent3 2 4 3 2 2" xfId="50603" xr:uid="{2616BF9E-58AD-4440-82D5-0851EAD2255D}"/>
    <cellStyle name="20% - Accent3 2 4 3 2 3" xfId="32007" xr:uid="{CD0772B7-A909-4D10-B28D-D30870E50458}"/>
    <cellStyle name="20% - Accent3 2 4 3 3" xfId="41306" xr:uid="{F6B8851B-CBB9-40A8-815C-56BB5E2F8369}"/>
    <cellStyle name="20% - Accent3 2 4 3 4" xfId="22708" xr:uid="{63BB2930-00F7-4433-93EB-47E99194D5C2}"/>
    <cellStyle name="20% - Accent3 2 4 4" xfId="9216" xr:uid="{A12C3877-5492-4CD3-AD22-81B3F0AB1EDD}"/>
    <cellStyle name="20% - Accent3 2 4 4 2" xfId="36278" xr:uid="{9B35F3A9-114C-4F61-9EBF-68FC410D7953}"/>
    <cellStyle name="20% - Accent3 2 4 4 2 2" xfId="54872" xr:uid="{9F249797-3639-4601-BAFA-034EA4FE6B09}"/>
    <cellStyle name="20% - Accent3 2 4 4 3" xfId="45575" xr:uid="{7E1BEEE4-95C7-48FA-934D-09854D87FA2E}"/>
    <cellStyle name="20% - Accent3 2 4 4 4" xfId="26979" xr:uid="{293D31EF-04AD-4F10-AFDE-8EDCA78E3258}"/>
    <cellStyle name="20% - Accent3 2 4 5" xfId="10044" xr:uid="{87EFAEDE-44EC-44E0-B6A5-697DB45945AA}"/>
    <cellStyle name="20% - Accent3 2 4 5 2" xfId="46386" xr:uid="{A70C6CD2-1364-426B-BADF-02B68508581C}"/>
    <cellStyle name="20% - Accent3 2 4 5 3" xfId="27790" xr:uid="{0D7DA664-FF96-4B90-B7FF-7A3AEC5674CB}"/>
    <cellStyle name="20% - Accent3 2 4 6" xfId="37089" xr:uid="{6CCBC6E7-036C-46B9-AE16-03026B43C241}"/>
    <cellStyle name="20% - Accent3 2 4 7" xfId="18491" xr:uid="{EB4F6514-C4CE-47CE-8C02-7B1C62F96A72}"/>
    <cellStyle name="20% - Accent3 2 5" xfId="1040" xr:uid="{00000000-0005-0000-0000-000083010000}"/>
    <cellStyle name="20% - Accent3 2 5 2" xfId="3271" xr:uid="{00000000-0005-0000-0000-000084010000}"/>
    <cellStyle name="20% - Accent3 2 5 2 2" xfId="7493" xr:uid="{00000000-0005-0000-0000-000085010000}"/>
    <cellStyle name="20% - Accent3 2 5 2 2 2" xfId="16819" xr:uid="{A4F25DAE-E67F-4D8D-9713-F245D26248B5}"/>
    <cellStyle name="20% - Accent3 2 5 2 2 2 2" xfId="53161" xr:uid="{B620A769-7A2E-4D99-B23B-72111BB3D214}"/>
    <cellStyle name="20% - Accent3 2 5 2 2 2 3" xfId="34565" xr:uid="{A01914A0-2A34-4A86-B9DD-CC04183BD999}"/>
    <cellStyle name="20% - Accent3 2 5 2 2 3" xfId="43864" xr:uid="{E83A667B-EBEC-4D64-A512-FB6210885546}"/>
    <cellStyle name="20% - Accent3 2 5 2 2 4" xfId="25266" xr:uid="{38B33C48-7EBC-4264-823F-A73A7F1C0F5F}"/>
    <cellStyle name="20% - Accent3 2 5 2 3" xfId="12602" xr:uid="{A232CF19-2B26-403C-A215-0BD7B3F39FD4}"/>
    <cellStyle name="20% - Accent3 2 5 2 3 2" xfId="48944" xr:uid="{731889E4-C985-45A5-B49B-257035A0A454}"/>
    <cellStyle name="20% - Accent3 2 5 2 3 3" xfId="30348" xr:uid="{075C82E3-FEB8-4F68-A0FA-95A9FBA02DD6}"/>
    <cellStyle name="20% - Accent3 2 5 2 4" xfId="39647" xr:uid="{BC76B74E-7E90-446E-8048-F80ECDEB7C7D}"/>
    <cellStyle name="20% - Accent3 2 5 2 5" xfId="21049" xr:uid="{2A144EA3-142C-42E8-9ABA-DA5B3D411F77}"/>
    <cellStyle name="20% - Accent3 2 5 3" xfId="5348" xr:uid="{00000000-0005-0000-0000-000086010000}"/>
    <cellStyle name="20% - Accent3 2 5 3 2" xfId="14674" xr:uid="{07F720D7-840E-4FB5-B03A-600F06F80E22}"/>
    <cellStyle name="20% - Accent3 2 5 3 2 2" xfId="51016" xr:uid="{EC3A52F1-8869-44D1-AF08-A9AB27D9C6D3}"/>
    <cellStyle name="20% - Accent3 2 5 3 2 3" xfId="32420" xr:uid="{2030A8BA-BA31-4C00-BD9B-BF20FEA531AF}"/>
    <cellStyle name="20% - Accent3 2 5 3 3" xfId="41719" xr:uid="{7539D666-FD20-4C89-BA5F-A736802069D4}"/>
    <cellStyle name="20% - Accent3 2 5 3 4" xfId="23121" xr:uid="{466205C1-A79C-4055-A991-2985CA631C15}"/>
    <cellStyle name="20% - Accent3 2 5 4" xfId="10457" xr:uid="{1DB86AFA-29B4-4666-A4F6-411757EB1372}"/>
    <cellStyle name="20% - Accent3 2 5 4 2" xfId="46799" xr:uid="{793E4C77-3021-4E38-A061-8928FB819346}"/>
    <cellStyle name="20% - Accent3 2 5 4 3" xfId="28203" xr:uid="{4972EE1B-B690-47A0-8097-E27F9AEB0F43}"/>
    <cellStyle name="20% - Accent3 2 5 5" xfId="37502" xr:uid="{A41122A5-55E4-40E3-8903-3D2A615C65CF}"/>
    <cellStyle name="20% - Accent3 2 5 6" xfId="18904" xr:uid="{DF075CA8-9658-4B24-BA4C-E7AC1F69F451}"/>
    <cellStyle name="20% - Accent3 2 6" xfId="1454" xr:uid="{00000000-0005-0000-0000-000087010000}"/>
    <cellStyle name="20% - Accent3 2 6 2" xfId="3684" xr:uid="{00000000-0005-0000-0000-000088010000}"/>
    <cellStyle name="20% - Accent3 2 6 2 2" xfId="7906" xr:uid="{00000000-0005-0000-0000-000089010000}"/>
    <cellStyle name="20% - Accent3 2 6 2 2 2" xfId="17232" xr:uid="{B73B3CC2-7C84-4890-B703-6741D92A3C73}"/>
    <cellStyle name="20% - Accent3 2 6 2 2 2 2" xfId="53574" xr:uid="{ECABC7B7-F2EE-4304-8ADF-B4CCD1BBBB71}"/>
    <cellStyle name="20% - Accent3 2 6 2 2 2 3" xfId="34978" xr:uid="{E05F4C1A-D9F5-4D9F-8F06-0587EE3EABF9}"/>
    <cellStyle name="20% - Accent3 2 6 2 2 3" xfId="44277" xr:uid="{6D507B70-C400-4406-A6A9-7FC59B8E6893}"/>
    <cellStyle name="20% - Accent3 2 6 2 2 4" xfId="25679" xr:uid="{5EA5CB65-FBE9-447C-89F8-863607EB9133}"/>
    <cellStyle name="20% - Accent3 2 6 2 3" xfId="13015" xr:uid="{6F3C6A27-7DB8-4AE6-ACF5-10D9BB4F48D8}"/>
    <cellStyle name="20% - Accent3 2 6 2 3 2" xfId="49357" xr:uid="{284A57AD-4F31-44A1-B432-0F4B1E9B2C08}"/>
    <cellStyle name="20% - Accent3 2 6 2 3 3" xfId="30761" xr:uid="{0594621C-BEAF-4976-89C3-B782B2036364}"/>
    <cellStyle name="20% - Accent3 2 6 2 4" xfId="40060" xr:uid="{3756E87D-739A-4D9D-AE15-6F6DB54ED08C}"/>
    <cellStyle name="20% - Accent3 2 6 2 5" xfId="21462" xr:uid="{F76C4184-D325-46D8-BA99-C347BC7A7146}"/>
    <cellStyle name="20% - Accent3 2 6 3" xfId="5761" xr:uid="{00000000-0005-0000-0000-00008A010000}"/>
    <cellStyle name="20% - Accent3 2 6 3 2" xfId="15087" xr:uid="{D6DFE9C6-A66C-45B4-8A7D-5115AD8E1EF4}"/>
    <cellStyle name="20% - Accent3 2 6 3 2 2" xfId="51429" xr:uid="{7E777CD2-4C02-4397-97C0-18C8849D1553}"/>
    <cellStyle name="20% - Accent3 2 6 3 2 3" xfId="32833" xr:uid="{6354B1F8-8169-4B8C-8033-25BF25CE99CF}"/>
    <cellStyle name="20% - Accent3 2 6 3 3" xfId="42132" xr:uid="{0AF11354-B146-4D77-AF31-10BF14AC7941}"/>
    <cellStyle name="20% - Accent3 2 6 3 4" xfId="23534" xr:uid="{00467537-9CBA-444C-BA9B-9558E6CD424E}"/>
    <cellStyle name="20% - Accent3 2 6 4" xfId="10870" xr:uid="{3D25E1D8-2164-44CC-A9D5-AF59608777FD}"/>
    <cellStyle name="20% - Accent3 2 6 4 2" xfId="47212" xr:uid="{D5612BD2-A4D6-42A3-A411-2CAA62039AC2}"/>
    <cellStyle name="20% - Accent3 2 6 4 3" xfId="28616" xr:uid="{75FD4871-2FD7-4B09-A9F4-CB850EC91358}"/>
    <cellStyle name="20% - Accent3 2 6 5" xfId="37915" xr:uid="{A7BE8DAC-9928-469F-9445-3D162BE29019}"/>
    <cellStyle name="20% - Accent3 2 6 6" xfId="19317" xr:uid="{EF43C8E1-6B31-4CD0-B7E0-CC1ABAC1F964}"/>
    <cellStyle name="20% - Accent3 2 7" xfId="1868" xr:uid="{00000000-0005-0000-0000-00008B010000}"/>
    <cellStyle name="20% - Accent3 2 7 2" xfId="4097" xr:uid="{00000000-0005-0000-0000-00008C010000}"/>
    <cellStyle name="20% - Accent3 2 7 2 2" xfId="8319" xr:uid="{00000000-0005-0000-0000-00008D010000}"/>
    <cellStyle name="20% - Accent3 2 7 2 2 2" xfId="17645" xr:uid="{B9715A7E-F282-4E3C-A364-C16EC373CE44}"/>
    <cellStyle name="20% - Accent3 2 7 2 2 2 2" xfId="53987" xr:uid="{33B3C3C0-AC02-481F-8B01-2C01C182199C}"/>
    <cellStyle name="20% - Accent3 2 7 2 2 2 3" xfId="35391" xr:uid="{0CC24663-639F-4BFE-BE67-CBF215496192}"/>
    <cellStyle name="20% - Accent3 2 7 2 2 3" xfId="44690" xr:uid="{2A51CC01-00A7-4B75-9077-5F0BE5D66B7C}"/>
    <cellStyle name="20% - Accent3 2 7 2 2 4" xfId="26092" xr:uid="{99A03588-47F5-4E9D-9D81-F77D9F191783}"/>
    <cellStyle name="20% - Accent3 2 7 2 3" xfId="13428" xr:uid="{93BB38E9-6611-4A76-9689-BE4B864BF76B}"/>
    <cellStyle name="20% - Accent3 2 7 2 3 2" xfId="49770" xr:uid="{6A1768E6-3E54-4B4A-841B-04C631897B89}"/>
    <cellStyle name="20% - Accent3 2 7 2 3 3" xfId="31174" xr:uid="{8D9537E9-16DD-4C38-936D-E4E90E7F8975}"/>
    <cellStyle name="20% - Accent3 2 7 2 4" xfId="40473" xr:uid="{3D08F5EF-C87F-4A32-85F7-9FBD246A5BE9}"/>
    <cellStyle name="20% - Accent3 2 7 2 5" xfId="21875" xr:uid="{E0F197C0-19C0-4B93-8005-AF8DD3E05C66}"/>
    <cellStyle name="20% - Accent3 2 7 3" xfId="6174" xr:uid="{00000000-0005-0000-0000-00008E010000}"/>
    <cellStyle name="20% - Accent3 2 7 3 2" xfId="15500" xr:uid="{CA4772C1-E7D2-4669-8263-1FB0E850CDA9}"/>
    <cellStyle name="20% - Accent3 2 7 3 2 2" xfId="51842" xr:uid="{43AAF9E1-9A31-4ED3-9CEA-FEDFB0189AC8}"/>
    <cellStyle name="20% - Accent3 2 7 3 2 3" xfId="33246" xr:uid="{2F95E713-7826-4A56-BECF-29B34AED5254}"/>
    <cellStyle name="20% - Accent3 2 7 3 3" xfId="42545" xr:uid="{682A9D71-E6B8-42D2-A75F-FABD1593BF93}"/>
    <cellStyle name="20% - Accent3 2 7 3 4" xfId="23947" xr:uid="{127A7050-44AD-45DD-BA77-13C4A095F6B9}"/>
    <cellStyle name="20% - Accent3 2 7 4" xfId="11283" xr:uid="{8572EC94-7CE1-4943-9AAA-BCA24153AA67}"/>
    <cellStyle name="20% - Accent3 2 7 4 2" xfId="47625" xr:uid="{D0290473-39FC-4598-AA20-1217B82FDAB7}"/>
    <cellStyle name="20% - Accent3 2 7 4 3" xfId="29029" xr:uid="{8E3B3166-5C84-4A23-B0B4-69FE8B4D8BF0}"/>
    <cellStyle name="20% - Accent3 2 7 5" xfId="38328" xr:uid="{134ADC7D-AEDA-4EFD-A8EC-E50EE40AE850}"/>
    <cellStyle name="20% - Accent3 2 7 6" xfId="19730" xr:uid="{D1851BB0-3E96-4B8E-9C92-44B3DAC13880}"/>
    <cellStyle name="20% - Accent3 2 8" xfId="2281" xr:uid="{00000000-0005-0000-0000-00008F010000}"/>
    <cellStyle name="20% - Accent3 2 8 2" xfId="6587" xr:uid="{00000000-0005-0000-0000-000090010000}"/>
    <cellStyle name="20% - Accent3 2 8 2 2" xfId="15913" xr:uid="{53BA68D7-2CB9-46E4-949E-423772B0C1DF}"/>
    <cellStyle name="20% - Accent3 2 8 2 2 2" xfId="52255" xr:uid="{38520944-E16E-4BC0-80A5-CA02A2DA273D}"/>
    <cellStyle name="20% - Accent3 2 8 2 2 3" xfId="33659" xr:uid="{B52F7C94-5D43-4FCC-A8DB-314C76AB7110}"/>
    <cellStyle name="20% - Accent3 2 8 2 3" xfId="42958" xr:uid="{D17D8090-6653-4127-B09E-F72D9D55BAC9}"/>
    <cellStyle name="20% - Accent3 2 8 2 4" xfId="24360" xr:uid="{12B3916C-4FAB-4E0F-B5C0-3C69C8507736}"/>
    <cellStyle name="20% - Accent3 2 8 3" xfId="11696" xr:uid="{64F64471-F176-4811-A3DF-632158156C92}"/>
    <cellStyle name="20% - Accent3 2 8 3 2" xfId="48038" xr:uid="{9FED9628-3D79-4276-9550-079AA7217AF7}"/>
    <cellStyle name="20% - Accent3 2 8 3 3" xfId="29442" xr:uid="{7D534F9E-603B-4059-820A-F1BA8E2F66C2}"/>
    <cellStyle name="20% - Accent3 2 8 4" xfId="38741" xr:uid="{0A65396F-DC93-4949-B5EA-7CB57076AB67}"/>
    <cellStyle name="20% - Accent3 2 8 5" xfId="20143" xr:uid="{38D78896-23AC-4D66-87E0-FB78D96ABE16}"/>
    <cellStyle name="20% - Accent3 2 9" xfId="4521" xr:uid="{00000000-0005-0000-0000-000091010000}"/>
    <cellStyle name="20% - Accent3 2 9 2" xfId="13847" xr:uid="{ECC45143-4FDF-45E8-AFD6-19B2B3DACCB7}"/>
    <cellStyle name="20% - Accent3 2 9 2 2" xfId="50189" xr:uid="{E027B88D-21D4-4941-8369-715CA8913984}"/>
    <cellStyle name="20% - Accent3 2 9 2 3" xfId="31593" xr:uid="{B8BA8A43-7F3A-4D4B-8AC2-54242A2A6F5B}"/>
    <cellStyle name="20% - Accent3 2 9 3" xfId="40892" xr:uid="{EEF23CC2-C8EF-4CF0-80C1-6CB82CFBDC67}"/>
    <cellStyle name="20% - Accent3 2 9 4" xfId="22294" xr:uid="{2EDFA672-938E-403B-A421-F8A2CA5E0B57}"/>
    <cellStyle name="20% - Accent3 3" xfId="22" xr:uid="{00000000-0005-0000-0000-000092010000}"/>
    <cellStyle name="20% - Accent3 3 10" xfId="9634" xr:uid="{6688ED8B-6941-4A3D-A8DC-CB042B7E082E}"/>
    <cellStyle name="20% - Accent3 3 10 2" xfId="45976" xr:uid="{5081BA3C-7239-4DBB-A492-E6775D0910C8}"/>
    <cellStyle name="20% - Accent3 3 10 3" xfId="27380" xr:uid="{6B6FC950-6888-4581-8CD3-6CA7B4164EF1}"/>
    <cellStyle name="20% - Accent3 3 11" xfId="36679" xr:uid="{2DF912A1-B7D8-4244-BB42-5EEE3F8D3BF6}"/>
    <cellStyle name="20% - Accent3 3 12" xfId="18081" xr:uid="{42BFBBB3-E179-4F00-A6F3-539D0F6A322C}"/>
    <cellStyle name="20% - Accent3 3 2" xfId="23" xr:uid="{00000000-0005-0000-0000-000093010000}"/>
    <cellStyle name="20% - Accent3 3 2 10" xfId="36680" xr:uid="{AAEEC8C2-F8FE-46A0-88E5-17C478005CD3}"/>
    <cellStyle name="20% - Accent3 3 2 11" xfId="18082" xr:uid="{A04917E0-6E30-4A22-A7D6-72D6E20A6D91}"/>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16411" xr:uid="{F4C9BC31-9043-4226-93E7-389185A00018}"/>
    <cellStyle name="20% - Accent3 3 2 2 2 2 2 2" xfId="52753" xr:uid="{608F37AA-12BF-4F51-BFA8-5E4E7358F8A8}"/>
    <cellStyle name="20% - Accent3 3 2 2 2 2 2 3" xfId="34157" xr:uid="{EA68CD6A-63D3-4591-85EA-05F58BF22D0C}"/>
    <cellStyle name="20% - Accent3 3 2 2 2 2 3" xfId="43456" xr:uid="{43B4CC4E-D26E-4AEF-8C90-979680E4DC3E}"/>
    <cellStyle name="20% - Accent3 3 2 2 2 2 4" xfId="24858" xr:uid="{2E1C822E-4B15-4004-AA1B-4C8FCDED09D7}"/>
    <cellStyle name="20% - Accent3 3 2 2 2 3" xfId="12194" xr:uid="{26201FB7-695B-4524-9FCF-0EC60B6A3618}"/>
    <cellStyle name="20% - Accent3 3 2 2 2 3 2" xfId="48536" xr:uid="{58B17671-9F87-48D8-9B62-AD1EE5FB9AA0}"/>
    <cellStyle name="20% - Accent3 3 2 2 2 3 3" xfId="29940" xr:uid="{2B89CE26-02C7-4495-B2C9-555CF8381EF0}"/>
    <cellStyle name="20% - Accent3 3 2 2 2 4" xfId="39239" xr:uid="{1EA635E8-5725-46BC-82ED-44E6E8DC81E6}"/>
    <cellStyle name="20% - Accent3 3 2 2 2 5" xfId="20641" xr:uid="{8EADD4F1-CDEE-496F-A0B4-82A1B014EE0C}"/>
    <cellStyle name="20% - Accent3 3 2 2 3" xfId="4940" xr:uid="{00000000-0005-0000-0000-000097010000}"/>
    <cellStyle name="20% - Accent3 3 2 2 3 2" xfId="14266" xr:uid="{3D0BF20C-0989-4CB5-8347-3D836F18CFC8}"/>
    <cellStyle name="20% - Accent3 3 2 2 3 2 2" xfId="50608" xr:uid="{C8FA65A1-12BC-4B7C-A17F-FA8B7602DC46}"/>
    <cellStyle name="20% - Accent3 3 2 2 3 2 3" xfId="32012" xr:uid="{0A2B7E6C-77F9-484A-8AF6-D80704C28D16}"/>
    <cellStyle name="20% - Accent3 3 2 2 3 3" xfId="41311" xr:uid="{919D8416-9A49-454E-8F53-5E132E31CB5C}"/>
    <cellStyle name="20% - Accent3 3 2 2 3 4" xfId="22713" xr:uid="{C875B48E-2FB3-4E54-8BEE-5DF474EB7050}"/>
    <cellStyle name="20% - Accent3 3 2 2 4" xfId="9497" xr:uid="{43A0E151-F418-49A1-AF18-121DEB02B6D4}"/>
    <cellStyle name="20% - Accent3 3 2 2 4 2" xfId="36558" xr:uid="{1AC738D8-F80C-49D6-806A-E5ACE9AE85E6}"/>
    <cellStyle name="20% - Accent3 3 2 2 4 2 2" xfId="55152" xr:uid="{281BC912-E714-4B1A-8CCB-E1C85099033D}"/>
    <cellStyle name="20% - Accent3 3 2 2 4 3" xfId="45855" xr:uid="{DA28AEC4-9EC5-4D48-9462-B67E71F65025}"/>
    <cellStyle name="20% - Accent3 3 2 2 4 4" xfId="27259" xr:uid="{3AEBCB94-F497-420B-BFC6-C4F00B998F4D}"/>
    <cellStyle name="20% - Accent3 3 2 2 5" xfId="10049" xr:uid="{BA24156F-9A12-41D0-BB01-DE9800B8024B}"/>
    <cellStyle name="20% - Accent3 3 2 2 5 2" xfId="46391" xr:uid="{89FB52F0-F24C-413E-BA9C-57449886F202}"/>
    <cellStyle name="20% - Accent3 3 2 2 5 3" xfId="27795" xr:uid="{5060094D-12B7-4C4C-9CD2-0D4B7F450692}"/>
    <cellStyle name="20% - Accent3 3 2 2 6" xfId="37094" xr:uid="{64B116D6-9B70-441C-A667-DCBD4A7EB247}"/>
    <cellStyle name="20% - Accent3 3 2 2 7" xfId="18496" xr:uid="{7E1E141A-7A4A-4A94-9EEA-35654911BFBC}"/>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16824" xr:uid="{5288CD4F-7BD2-491D-A3CB-C0CE274BD544}"/>
    <cellStyle name="20% - Accent3 3 2 3 2 2 2 2" xfId="53166" xr:uid="{FBA43C4A-C1AB-4BF9-8790-6CD2E6345C06}"/>
    <cellStyle name="20% - Accent3 3 2 3 2 2 2 3" xfId="34570" xr:uid="{98D08992-0AE8-44AA-B123-CFFEE20A3435}"/>
    <cellStyle name="20% - Accent3 3 2 3 2 2 3" xfId="43869" xr:uid="{C07F7DE5-BC96-42D4-B77D-7932AE3CA62A}"/>
    <cellStyle name="20% - Accent3 3 2 3 2 2 4" xfId="25271" xr:uid="{F08ED6E8-D785-4B23-9182-D6B4B0C1C770}"/>
    <cellStyle name="20% - Accent3 3 2 3 2 3" xfId="12607" xr:uid="{48561623-85C5-4750-9CBC-CB331E71F9D5}"/>
    <cellStyle name="20% - Accent3 3 2 3 2 3 2" xfId="48949" xr:uid="{903768B3-DE3F-4871-B606-70856773BB1B}"/>
    <cellStyle name="20% - Accent3 3 2 3 2 3 3" xfId="30353" xr:uid="{34E96E82-D845-466C-A8D8-45EE269223A6}"/>
    <cellStyle name="20% - Accent3 3 2 3 2 4" xfId="39652" xr:uid="{851847C3-B814-4F79-B1E2-0E8103810361}"/>
    <cellStyle name="20% - Accent3 3 2 3 2 5" xfId="21054" xr:uid="{D5EDE03F-F204-4D1F-A648-086BE4A1C19D}"/>
    <cellStyle name="20% - Accent3 3 2 3 3" xfId="5353" xr:uid="{00000000-0005-0000-0000-00009B010000}"/>
    <cellStyle name="20% - Accent3 3 2 3 3 2" xfId="14679" xr:uid="{EEBDFB85-BFAC-4D15-BA0A-F4F18D18A8BA}"/>
    <cellStyle name="20% - Accent3 3 2 3 3 2 2" xfId="51021" xr:uid="{7A087539-50FE-4D74-9787-2ADECD1F09AA}"/>
    <cellStyle name="20% - Accent3 3 2 3 3 2 3" xfId="32425" xr:uid="{206FC804-C9B3-4F45-8FA3-8A817003236B}"/>
    <cellStyle name="20% - Accent3 3 2 3 3 3" xfId="41724" xr:uid="{C9BB274E-E48C-4AF2-93E8-FED2A8475400}"/>
    <cellStyle name="20% - Accent3 3 2 3 3 4" xfId="23126" xr:uid="{90FE2B69-8B76-4355-8218-AA0FDE7F5107}"/>
    <cellStyle name="20% - Accent3 3 2 3 4" xfId="10462" xr:uid="{294E6119-A3C8-42A2-B2B2-23223013F06F}"/>
    <cellStyle name="20% - Accent3 3 2 3 4 2" xfId="46804" xr:uid="{45614BDD-2E1C-4C24-A7C1-7EBA60F9DCF1}"/>
    <cellStyle name="20% - Accent3 3 2 3 4 3" xfId="28208" xr:uid="{C66DFB4C-3FD2-4678-B836-D22ACB9033D7}"/>
    <cellStyle name="20% - Accent3 3 2 3 5" xfId="37507" xr:uid="{8798D576-C995-482D-B2E7-A50E9D2BCD25}"/>
    <cellStyle name="20% - Accent3 3 2 3 6" xfId="18909" xr:uid="{512EE8A7-520B-49A3-BF9F-B8462D75F169}"/>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17237" xr:uid="{A0B69F2D-2F6D-4252-A85E-A101B7737E82}"/>
    <cellStyle name="20% - Accent3 3 2 4 2 2 2 2" xfId="53579" xr:uid="{E61AE5F7-D62D-4BE3-B1D1-8C063946460A}"/>
    <cellStyle name="20% - Accent3 3 2 4 2 2 2 3" xfId="34983" xr:uid="{972F209F-5B38-4C22-BAF5-075E2708B930}"/>
    <cellStyle name="20% - Accent3 3 2 4 2 2 3" xfId="44282" xr:uid="{B1079CE4-2454-4B3B-B871-D3CA6C069657}"/>
    <cellStyle name="20% - Accent3 3 2 4 2 2 4" xfId="25684" xr:uid="{49713A23-19D4-4DB7-A69C-D4E95D2AA8B1}"/>
    <cellStyle name="20% - Accent3 3 2 4 2 3" xfId="13020" xr:uid="{40190201-ABBC-416C-AAF5-056F4A812F2E}"/>
    <cellStyle name="20% - Accent3 3 2 4 2 3 2" xfId="49362" xr:uid="{3D61A839-AC5F-4038-9F0A-F25A9187FB9D}"/>
    <cellStyle name="20% - Accent3 3 2 4 2 3 3" xfId="30766" xr:uid="{65B163C7-7DCB-4203-9463-78AF03D77D47}"/>
    <cellStyle name="20% - Accent3 3 2 4 2 4" xfId="40065" xr:uid="{1ADBE130-6A73-4809-8C30-BC655259617B}"/>
    <cellStyle name="20% - Accent3 3 2 4 2 5" xfId="21467" xr:uid="{9A1CF58C-ABC5-448E-9F65-16686CD73247}"/>
    <cellStyle name="20% - Accent3 3 2 4 3" xfId="5766" xr:uid="{00000000-0005-0000-0000-00009F010000}"/>
    <cellStyle name="20% - Accent3 3 2 4 3 2" xfId="15092" xr:uid="{CD35619B-B71C-441B-896B-7CB2CCE7222E}"/>
    <cellStyle name="20% - Accent3 3 2 4 3 2 2" xfId="51434" xr:uid="{9B020C0E-F4A5-42E1-8161-0EF8314F338A}"/>
    <cellStyle name="20% - Accent3 3 2 4 3 2 3" xfId="32838" xr:uid="{E3EA0C15-CB6F-457B-826D-2190517BD57A}"/>
    <cellStyle name="20% - Accent3 3 2 4 3 3" xfId="42137" xr:uid="{E82E54AC-A0DB-46F4-AC4C-8AC93E2DAC0C}"/>
    <cellStyle name="20% - Accent3 3 2 4 3 4" xfId="23539" xr:uid="{3732D796-499B-435A-A80E-5812BA6BCC3C}"/>
    <cellStyle name="20% - Accent3 3 2 4 4" xfId="10875" xr:uid="{F28BBFFF-9E49-48FB-A4FB-02859F2855C1}"/>
    <cellStyle name="20% - Accent3 3 2 4 4 2" xfId="47217" xr:uid="{81788F38-D61C-4F77-870B-C4A78D9B0700}"/>
    <cellStyle name="20% - Accent3 3 2 4 4 3" xfId="28621" xr:uid="{61786648-E8A3-4ABF-99D5-693857CF9A46}"/>
    <cellStyle name="20% - Accent3 3 2 4 5" xfId="37920" xr:uid="{6B1218E7-CBBB-48C7-8B42-2E4F5CF011FA}"/>
    <cellStyle name="20% - Accent3 3 2 4 6" xfId="19322" xr:uid="{D2965B75-652E-4D8A-989E-6154DD580217}"/>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17650" xr:uid="{74DAC47E-4095-4908-9EF0-1BF048CDE8DD}"/>
    <cellStyle name="20% - Accent3 3 2 5 2 2 2 2" xfId="53992" xr:uid="{27995D03-9CD3-45DC-9B9D-FE0C3B556B83}"/>
    <cellStyle name="20% - Accent3 3 2 5 2 2 2 3" xfId="35396" xr:uid="{E8CD884D-D762-41ED-A892-BF6986E0D40A}"/>
    <cellStyle name="20% - Accent3 3 2 5 2 2 3" xfId="44695" xr:uid="{97AB8D34-BB0A-43E8-B50F-98962EBC25DA}"/>
    <cellStyle name="20% - Accent3 3 2 5 2 2 4" xfId="26097" xr:uid="{58BA69FE-C70D-4A07-8905-11DF6279A0B0}"/>
    <cellStyle name="20% - Accent3 3 2 5 2 3" xfId="13433" xr:uid="{FD45F8D9-6229-4FA1-93B5-DA00A3FB26A8}"/>
    <cellStyle name="20% - Accent3 3 2 5 2 3 2" xfId="49775" xr:uid="{40FC3E87-FCF2-4AAF-8907-E8B845EAA554}"/>
    <cellStyle name="20% - Accent3 3 2 5 2 3 3" xfId="31179" xr:uid="{1505D365-E936-4AFB-AB82-06A7B8CF4F6B}"/>
    <cellStyle name="20% - Accent3 3 2 5 2 4" xfId="40478" xr:uid="{A3333B5C-F547-4AD4-899B-866B997E1B88}"/>
    <cellStyle name="20% - Accent3 3 2 5 2 5" xfId="21880" xr:uid="{203E089B-3BD8-4791-9C30-11B600BAD305}"/>
    <cellStyle name="20% - Accent3 3 2 5 3" xfId="6179" xr:uid="{00000000-0005-0000-0000-0000A3010000}"/>
    <cellStyle name="20% - Accent3 3 2 5 3 2" xfId="15505" xr:uid="{181BE5A9-95E7-4011-8A67-A3FD82590F65}"/>
    <cellStyle name="20% - Accent3 3 2 5 3 2 2" xfId="51847" xr:uid="{C61B332D-3909-4E71-9586-F6C2A8A97428}"/>
    <cellStyle name="20% - Accent3 3 2 5 3 2 3" xfId="33251" xr:uid="{60445DE0-83B6-485F-9468-B620CC77A105}"/>
    <cellStyle name="20% - Accent3 3 2 5 3 3" xfId="42550" xr:uid="{6B53F34B-1D3F-4C44-A4C4-4DEA92FE8576}"/>
    <cellStyle name="20% - Accent3 3 2 5 3 4" xfId="23952" xr:uid="{12C4234C-7912-4F54-A907-A8A3A32F3129}"/>
    <cellStyle name="20% - Accent3 3 2 5 4" xfId="11288" xr:uid="{9F8B5B89-62A0-4238-8169-C9C076ABB19D}"/>
    <cellStyle name="20% - Accent3 3 2 5 4 2" xfId="47630" xr:uid="{7F90E630-1B41-4B56-A9AD-27D11B9CB3D4}"/>
    <cellStyle name="20% - Accent3 3 2 5 4 3" xfId="29034" xr:uid="{F19D9D19-EA0A-43C9-872B-C46EEF4E4069}"/>
    <cellStyle name="20% - Accent3 3 2 5 5" xfId="38333" xr:uid="{12502002-3C65-4262-B487-3B85054CD9A9}"/>
    <cellStyle name="20% - Accent3 3 2 5 6" xfId="19735" xr:uid="{0FA132C1-24D3-4D3D-B6E3-980B08B462EC}"/>
    <cellStyle name="20% - Accent3 3 2 6" xfId="2286" xr:uid="{00000000-0005-0000-0000-0000A4010000}"/>
    <cellStyle name="20% - Accent3 3 2 6 2" xfId="6592" xr:uid="{00000000-0005-0000-0000-0000A5010000}"/>
    <cellStyle name="20% - Accent3 3 2 6 2 2" xfId="15918" xr:uid="{5B36C6FE-95C2-44C4-B183-F058B0BFE73D}"/>
    <cellStyle name="20% - Accent3 3 2 6 2 2 2" xfId="52260" xr:uid="{8678657D-545C-470F-B324-F456F1311E99}"/>
    <cellStyle name="20% - Accent3 3 2 6 2 2 3" xfId="33664" xr:uid="{5254E6FC-F5B0-4FAB-9DB4-A76752D6BA89}"/>
    <cellStyle name="20% - Accent3 3 2 6 2 3" xfId="42963" xr:uid="{5C9C62CB-731D-447E-8628-F3C6C8F03CD8}"/>
    <cellStyle name="20% - Accent3 3 2 6 2 4" xfId="24365" xr:uid="{6408FDAC-8036-4DEA-8925-DB37DAABA517}"/>
    <cellStyle name="20% - Accent3 3 2 6 3" xfId="11701" xr:uid="{7AC09C44-B8EB-476F-8B2D-291BBE7D5821}"/>
    <cellStyle name="20% - Accent3 3 2 6 3 2" xfId="48043" xr:uid="{B8A1B6D9-D10D-4E4D-B560-AA54F4789B47}"/>
    <cellStyle name="20% - Accent3 3 2 6 3 3" xfId="29447" xr:uid="{339BCF4B-5D7B-40F2-BA84-354C83477CCC}"/>
    <cellStyle name="20% - Accent3 3 2 6 4" xfId="38746" xr:uid="{0D7EE9FF-B27C-4E79-AEB4-94096ADA2854}"/>
    <cellStyle name="20% - Accent3 3 2 6 5" xfId="20148" xr:uid="{FE224FF6-1654-49C6-B139-38B3E5F9C5BE}"/>
    <cellStyle name="20% - Accent3 3 2 7" xfId="4526" xr:uid="{00000000-0005-0000-0000-0000A6010000}"/>
    <cellStyle name="20% - Accent3 3 2 7 2" xfId="13852" xr:uid="{EED41F6B-8EF4-43DA-A46C-62BD28D15690}"/>
    <cellStyle name="20% - Accent3 3 2 7 2 2" xfId="50194" xr:uid="{9E03F2B0-6A2F-4BAB-8350-2907BC9D5678}"/>
    <cellStyle name="20% - Accent3 3 2 7 2 3" xfId="31598" xr:uid="{4C2FE353-890D-47D4-BB41-FEA55BE97E7C}"/>
    <cellStyle name="20% - Accent3 3 2 7 3" xfId="40897" xr:uid="{DCCF09F4-4300-4720-87B7-E7A12722A324}"/>
    <cellStyle name="20% - Accent3 3 2 7 4" xfId="22299" xr:uid="{93227160-E8D0-4068-A192-5910F395AC46}"/>
    <cellStyle name="20% - Accent3 3 2 8" xfId="9072" xr:uid="{422EC144-F6F8-460E-8B93-316BBF9707FB}"/>
    <cellStyle name="20% - Accent3 3 2 8 2" xfId="36142" xr:uid="{1A1DBCC6-48F0-43FA-976A-BEC64C1E47C8}"/>
    <cellStyle name="20% - Accent3 3 2 8 2 2" xfId="54737" xr:uid="{02C318EF-B14C-454D-B456-DB0AE649A4A1}"/>
    <cellStyle name="20% - Accent3 3 2 8 3" xfId="45440" xr:uid="{B159E606-0F6D-484F-8D50-EA3B1944A492}"/>
    <cellStyle name="20% - Accent3 3 2 8 4" xfId="26843" xr:uid="{442B368F-07FF-4B14-8D76-88EED3CCDECD}"/>
    <cellStyle name="20% - Accent3 3 2 9" xfId="9635" xr:uid="{421FA360-CDDA-457F-A687-6328E5708091}"/>
    <cellStyle name="20% - Accent3 3 2 9 2" xfId="45977" xr:uid="{C9C39A1A-8155-4266-8D9E-8F3C5A2B8A9D}"/>
    <cellStyle name="20% - Accent3 3 2 9 3" xfId="27381" xr:uid="{96D971F5-C35A-4E30-AEE1-50A79AFC168E}"/>
    <cellStyle name="20% - Accent3 3 3" xfId="591" xr:uid="{00000000-0005-0000-0000-0000A7010000}"/>
    <cellStyle name="20% - Accent3 3 3 2" xfId="2862" xr:uid="{00000000-0005-0000-0000-0000A8010000}"/>
    <cellStyle name="20% - Accent3 3 3 2 2" xfId="7084" xr:uid="{00000000-0005-0000-0000-0000A9010000}"/>
    <cellStyle name="20% - Accent3 3 3 2 2 2" xfId="16410" xr:uid="{73E700CF-6118-4F53-BA15-0898101C5C71}"/>
    <cellStyle name="20% - Accent3 3 3 2 2 2 2" xfId="52752" xr:uid="{F70B4B8A-92DB-45EA-9F47-1AEE514C5162}"/>
    <cellStyle name="20% - Accent3 3 3 2 2 2 3" xfId="34156" xr:uid="{5681CAFD-6D07-4B53-BFDE-0C8B32C49BB2}"/>
    <cellStyle name="20% - Accent3 3 3 2 2 3" xfId="43455" xr:uid="{A80A9301-505A-4846-B599-844D1258E30D}"/>
    <cellStyle name="20% - Accent3 3 3 2 2 4" xfId="24857" xr:uid="{DB4CB691-EA15-4A11-91C1-9A70D11A0698}"/>
    <cellStyle name="20% - Accent3 3 3 2 3" xfId="12193" xr:uid="{8C235DDD-FBAE-4D29-8636-AF9A7B4F7C2C}"/>
    <cellStyle name="20% - Accent3 3 3 2 3 2" xfId="48535" xr:uid="{A1730C0C-F5F0-48B8-B76C-58703C59B481}"/>
    <cellStyle name="20% - Accent3 3 3 2 3 3" xfId="29939" xr:uid="{F8CCDFD6-F1EC-4A99-8B13-59961C35C952}"/>
    <cellStyle name="20% - Accent3 3 3 2 4" xfId="39238" xr:uid="{05F5204A-DA04-43C7-BCFB-73E3DD55890A}"/>
    <cellStyle name="20% - Accent3 3 3 2 5" xfId="20640" xr:uid="{EB785AA9-1D29-46A5-9B70-891601AD8226}"/>
    <cellStyle name="20% - Accent3 3 3 3" xfId="4939" xr:uid="{00000000-0005-0000-0000-0000AA010000}"/>
    <cellStyle name="20% - Accent3 3 3 3 2" xfId="14265" xr:uid="{402092CD-1264-4448-A0B0-97D34E2004FB}"/>
    <cellStyle name="20% - Accent3 3 3 3 2 2" xfId="50607" xr:uid="{D22F3ADC-53B8-4AD0-961C-4E3171474CBB}"/>
    <cellStyle name="20% - Accent3 3 3 3 2 3" xfId="32011" xr:uid="{1C1FF705-FF0A-41A8-9149-E12B6D3E497C}"/>
    <cellStyle name="20% - Accent3 3 3 3 3" xfId="41310" xr:uid="{C3833641-244A-4259-A6FB-FA471089B830}"/>
    <cellStyle name="20% - Accent3 3 3 3 4" xfId="22712" xr:uid="{2BCFA0F9-6713-478A-A109-0BBAB434AF60}"/>
    <cellStyle name="20% - Accent3 3 3 4" xfId="9290" xr:uid="{8511D0A3-BAF4-4D49-BFEA-2ED828678819}"/>
    <cellStyle name="20% - Accent3 3 3 4 2" xfId="36351" xr:uid="{99E640B8-33F3-4F00-A2F6-6361BB664EEB}"/>
    <cellStyle name="20% - Accent3 3 3 4 2 2" xfId="54945" xr:uid="{9D2E01AB-6233-400D-9FBC-C682851312DB}"/>
    <cellStyle name="20% - Accent3 3 3 4 3" xfId="45648" xr:uid="{235B2362-A303-4C6F-8A4C-41806685BA18}"/>
    <cellStyle name="20% - Accent3 3 3 4 4" xfId="27052" xr:uid="{EA2821F9-2E75-4414-B8D1-4C201133682F}"/>
    <cellStyle name="20% - Accent3 3 3 5" xfId="10048" xr:uid="{54A4A5BD-9ECF-4450-BBEB-426DD02F20CF}"/>
    <cellStyle name="20% - Accent3 3 3 5 2" xfId="46390" xr:uid="{F6AE419A-7BB3-4991-95C7-F20A289FE1B8}"/>
    <cellStyle name="20% - Accent3 3 3 5 3" xfId="27794" xr:uid="{2EBFAB18-AC9D-43E3-A3C4-49F2D96D39EF}"/>
    <cellStyle name="20% - Accent3 3 3 6" xfId="37093" xr:uid="{BCE2F9B2-3648-4F8F-BE32-900F490E1C6A}"/>
    <cellStyle name="20% - Accent3 3 3 7" xfId="18495" xr:uid="{3C2C9462-7FD0-4528-B519-86C06590844F}"/>
    <cellStyle name="20% - Accent3 3 4" xfId="1044" xr:uid="{00000000-0005-0000-0000-0000AB010000}"/>
    <cellStyle name="20% - Accent3 3 4 2" xfId="3275" xr:uid="{00000000-0005-0000-0000-0000AC010000}"/>
    <cellStyle name="20% - Accent3 3 4 2 2" xfId="7497" xr:uid="{00000000-0005-0000-0000-0000AD010000}"/>
    <cellStyle name="20% - Accent3 3 4 2 2 2" xfId="16823" xr:uid="{428FDF2E-8860-4D36-92A7-DF68B2ECED50}"/>
    <cellStyle name="20% - Accent3 3 4 2 2 2 2" xfId="53165" xr:uid="{001ACBC9-65C8-424B-BBDF-EC5B2ED3A6A0}"/>
    <cellStyle name="20% - Accent3 3 4 2 2 2 3" xfId="34569" xr:uid="{84700C55-CDEB-4944-886A-F714E27764AF}"/>
    <cellStyle name="20% - Accent3 3 4 2 2 3" xfId="43868" xr:uid="{CF0D8311-9179-4D90-AE4A-74A17083929A}"/>
    <cellStyle name="20% - Accent3 3 4 2 2 4" xfId="25270" xr:uid="{9B3EC087-0596-425E-8135-FF732D77D8DE}"/>
    <cellStyle name="20% - Accent3 3 4 2 3" xfId="12606" xr:uid="{B49289B4-B52C-4148-A553-B936DBA57805}"/>
    <cellStyle name="20% - Accent3 3 4 2 3 2" xfId="48948" xr:uid="{7438F93F-D408-48F9-A720-E23A55F1209D}"/>
    <cellStyle name="20% - Accent3 3 4 2 3 3" xfId="30352" xr:uid="{21939C82-5ACA-4256-9F1B-F22EEB25A5A8}"/>
    <cellStyle name="20% - Accent3 3 4 2 4" xfId="39651" xr:uid="{98FABCF2-5EEB-49AD-BF1C-0131D20D0D95}"/>
    <cellStyle name="20% - Accent3 3 4 2 5" xfId="21053" xr:uid="{901DBE05-93C2-4C30-BFA0-F48FE3F4E261}"/>
    <cellStyle name="20% - Accent3 3 4 3" xfId="5352" xr:uid="{00000000-0005-0000-0000-0000AE010000}"/>
    <cellStyle name="20% - Accent3 3 4 3 2" xfId="14678" xr:uid="{E607E9CD-BA31-43D5-95B2-ABA468AD8C6A}"/>
    <cellStyle name="20% - Accent3 3 4 3 2 2" xfId="51020" xr:uid="{F0B602F7-4E71-4CDD-96DC-681218F17094}"/>
    <cellStyle name="20% - Accent3 3 4 3 2 3" xfId="32424" xr:uid="{18983166-970E-4163-A7A0-FC11322700BC}"/>
    <cellStyle name="20% - Accent3 3 4 3 3" xfId="41723" xr:uid="{93026D29-12D7-47E2-8C20-013F4140B109}"/>
    <cellStyle name="20% - Accent3 3 4 3 4" xfId="23125" xr:uid="{EC0C91CB-A0B9-4D53-9C09-B18A3D858F27}"/>
    <cellStyle name="20% - Accent3 3 4 4" xfId="10461" xr:uid="{AD2E4109-1318-464F-94A0-DFB5B3B020B0}"/>
    <cellStyle name="20% - Accent3 3 4 4 2" xfId="46803" xr:uid="{7C1C2608-3D47-4AD6-B6F1-332F71D786BD}"/>
    <cellStyle name="20% - Accent3 3 4 4 3" xfId="28207" xr:uid="{91F9D3B2-85C4-4D90-A77C-481D90D187D3}"/>
    <cellStyle name="20% - Accent3 3 4 5" xfId="37506" xr:uid="{077FD951-5D69-4F4C-B447-33BDB37B203A}"/>
    <cellStyle name="20% - Accent3 3 4 6" xfId="18908" xr:uid="{E1F57CE0-9C7A-42F6-BA48-BD04D5842FD9}"/>
    <cellStyle name="20% - Accent3 3 5" xfId="1458" xr:uid="{00000000-0005-0000-0000-0000AF010000}"/>
    <cellStyle name="20% - Accent3 3 5 2" xfId="3688" xr:uid="{00000000-0005-0000-0000-0000B0010000}"/>
    <cellStyle name="20% - Accent3 3 5 2 2" xfId="7910" xr:uid="{00000000-0005-0000-0000-0000B1010000}"/>
    <cellStyle name="20% - Accent3 3 5 2 2 2" xfId="17236" xr:uid="{62EA8B7D-3E6F-4C6E-A808-28D7A45E2353}"/>
    <cellStyle name="20% - Accent3 3 5 2 2 2 2" xfId="53578" xr:uid="{F0C7DA87-FCA3-4564-9991-05CB1B14C6A4}"/>
    <cellStyle name="20% - Accent3 3 5 2 2 2 3" xfId="34982" xr:uid="{18269DC8-AD47-40FD-8794-3E0C1E5C5C55}"/>
    <cellStyle name="20% - Accent3 3 5 2 2 3" xfId="44281" xr:uid="{C1C0AE1D-F50F-47DB-B2E7-9785AF8E1D12}"/>
    <cellStyle name="20% - Accent3 3 5 2 2 4" xfId="25683" xr:uid="{15D15834-346D-4740-9CC9-FAF5602647A0}"/>
    <cellStyle name="20% - Accent3 3 5 2 3" xfId="13019" xr:uid="{91245880-A340-45BF-BD78-C4D00CE57A8C}"/>
    <cellStyle name="20% - Accent3 3 5 2 3 2" xfId="49361" xr:uid="{A69D2A68-6435-4DF7-93CA-65A12B1CF16B}"/>
    <cellStyle name="20% - Accent3 3 5 2 3 3" xfId="30765" xr:uid="{26E55961-6637-40C7-910B-B3C57E8BE7F7}"/>
    <cellStyle name="20% - Accent3 3 5 2 4" xfId="40064" xr:uid="{0212EB66-9E86-4F42-84DC-9F3E62E96618}"/>
    <cellStyle name="20% - Accent3 3 5 2 5" xfId="21466" xr:uid="{875DB5C4-9986-4612-95DD-768165C59336}"/>
    <cellStyle name="20% - Accent3 3 5 3" xfId="5765" xr:uid="{00000000-0005-0000-0000-0000B2010000}"/>
    <cellStyle name="20% - Accent3 3 5 3 2" xfId="15091" xr:uid="{F0A74E61-3233-4674-8916-5180839BC0A4}"/>
    <cellStyle name="20% - Accent3 3 5 3 2 2" xfId="51433" xr:uid="{30ABE481-9747-42CE-8805-5DC7468150BC}"/>
    <cellStyle name="20% - Accent3 3 5 3 2 3" xfId="32837" xr:uid="{7666BE9D-89B7-4BAD-8B59-F0036A023A83}"/>
    <cellStyle name="20% - Accent3 3 5 3 3" xfId="42136" xr:uid="{FE4E9381-ADAB-40AC-8542-C8B49327B133}"/>
    <cellStyle name="20% - Accent3 3 5 3 4" xfId="23538" xr:uid="{BE9A45D9-C7C6-4C96-A99F-2E3586692B90}"/>
    <cellStyle name="20% - Accent3 3 5 4" xfId="10874" xr:uid="{BF96D196-0541-4C35-B656-51E49C05015F}"/>
    <cellStyle name="20% - Accent3 3 5 4 2" xfId="47216" xr:uid="{07D76816-16A2-4ED1-856B-C114E209272A}"/>
    <cellStyle name="20% - Accent3 3 5 4 3" xfId="28620" xr:uid="{BB226EA6-B0DF-4BC5-9BA1-8482C7616107}"/>
    <cellStyle name="20% - Accent3 3 5 5" xfId="37919" xr:uid="{D494C13E-849D-4CA5-A153-2479A9D9D4F7}"/>
    <cellStyle name="20% - Accent3 3 5 6" xfId="19321" xr:uid="{3C6781FD-AF26-46CC-9C82-D010A48AF679}"/>
    <cellStyle name="20% - Accent3 3 6" xfId="1872" xr:uid="{00000000-0005-0000-0000-0000B3010000}"/>
    <cellStyle name="20% - Accent3 3 6 2" xfId="4101" xr:uid="{00000000-0005-0000-0000-0000B4010000}"/>
    <cellStyle name="20% - Accent3 3 6 2 2" xfId="8323" xr:uid="{00000000-0005-0000-0000-0000B5010000}"/>
    <cellStyle name="20% - Accent3 3 6 2 2 2" xfId="17649" xr:uid="{972A1252-BFC1-4B4D-9BFC-8F8643A7ACC0}"/>
    <cellStyle name="20% - Accent3 3 6 2 2 2 2" xfId="53991" xr:uid="{213D9702-FF93-428C-BA0F-BD0D0672A0FA}"/>
    <cellStyle name="20% - Accent3 3 6 2 2 2 3" xfId="35395" xr:uid="{03017311-64DB-40B6-9E86-D8D291EC1602}"/>
    <cellStyle name="20% - Accent3 3 6 2 2 3" xfId="44694" xr:uid="{B5E5BAD2-E160-45B4-B1AF-ADB80EB004DC}"/>
    <cellStyle name="20% - Accent3 3 6 2 2 4" xfId="26096" xr:uid="{5C3760EE-02B9-48DB-ACF1-29F1B60181D2}"/>
    <cellStyle name="20% - Accent3 3 6 2 3" xfId="13432" xr:uid="{8352BE08-DAE9-4552-9328-85BB9A49E703}"/>
    <cellStyle name="20% - Accent3 3 6 2 3 2" xfId="49774" xr:uid="{7551A8AD-4BC8-4DCD-AA96-0104184B0633}"/>
    <cellStyle name="20% - Accent3 3 6 2 3 3" xfId="31178" xr:uid="{79D20D3F-AE0C-45A8-BEB7-5C3123B78645}"/>
    <cellStyle name="20% - Accent3 3 6 2 4" xfId="40477" xr:uid="{8F1EC222-512A-4BA0-B4EF-568CE6B03146}"/>
    <cellStyle name="20% - Accent3 3 6 2 5" xfId="21879" xr:uid="{583A0D38-CD64-455F-8B8D-6C797AC21526}"/>
    <cellStyle name="20% - Accent3 3 6 3" xfId="6178" xr:uid="{00000000-0005-0000-0000-0000B6010000}"/>
    <cellStyle name="20% - Accent3 3 6 3 2" xfId="15504" xr:uid="{3A611F4B-BE47-481A-9CEC-84C3BD3F9BDC}"/>
    <cellStyle name="20% - Accent3 3 6 3 2 2" xfId="51846" xr:uid="{238CA65E-D456-439D-BDCC-839CAEC9761B}"/>
    <cellStyle name="20% - Accent3 3 6 3 2 3" xfId="33250" xr:uid="{AA5F72EA-6323-4840-845D-7A36A47264D0}"/>
    <cellStyle name="20% - Accent3 3 6 3 3" xfId="42549" xr:uid="{B267ED05-ABBA-4191-B15C-85D3008E8D44}"/>
    <cellStyle name="20% - Accent3 3 6 3 4" xfId="23951" xr:uid="{C9796D61-8FC3-4AD1-9E64-173B1599879A}"/>
    <cellStyle name="20% - Accent3 3 6 4" xfId="11287" xr:uid="{A21AE9FD-452D-45B9-85CB-C2A19D3E7A03}"/>
    <cellStyle name="20% - Accent3 3 6 4 2" xfId="47629" xr:uid="{F59CF375-E316-45F1-9E52-CFC899BB3242}"/>
    <cellStyle name="20% - Accent3 3 6 4 3" xfId="29033" xr:uid="{20B37418-31E6-43F9-9870-13C37C64A0A1}"/>
    <cellStyle name="20% - Accent3 3 6 5" xfId="38332" xr:uid="{274C8D42-06EB-42A8-AE0D-8B6011986609}"/>
    <cellStyle name="20% - Accent3 3 6 6" xfId="19734" xr:uid="{2DD5D79C-12EB-47BE-B837-793D505BEC6A}"/>
    <cellStyle name="20% - Accent3 3 7" xfId="2285" xr:uid="{00000000-0005-0000-0000-0000B7010000}"/>
    <cellStyle name="20% - Accent3 3 7 2" xfId="6591" xr:uid="{00000000-0005-0000-0000-0000B8010000}"/>
    <cellStyle name="20% - Accent3 3 7 2 2" xfId="15917" xr:uid="{2B582F08-93FB-461D-B211-26E20DE13289}"/>
    <cellStyle name="20% - Accent3 3 7 2 2 2" xfId="52259" xr:uid="{7017462D-8D9E-44B8-BACB-37BDA3B7AD92}"/>
    <cellStyle name="20% - Accent3 3 7 2 2 3" xfId="33663" xr:uid="{BEDEFF0A-E6BB-4A2D-97D0-185049A22BA8}"/>
    <cellStyle name="20% - Accent3 3 7 2 3" xfId="42962" xr:uid="{186FA3DC-FE0D-4733-8223-3C6D9A85E92B}"/>
    <cellStyle name="20% - Accent3 3 7 2 4" xfId="24364" xr:uid="{1E95608F-032E-42F4-B569-358B88BB9BE0}"/>
    <cellStyle name="20% - Accent3 3 7 3" xfId="11700" xr:uid="{4AD3321D-360B-494F-BF0F-157531C124B2}"/>
    <cellStyle name="20% - Accent3 3 7 3 2" xfId="48042" xr:uid="{D6C5FFF1-F617-4858-8667-311AB6A6344E}"/>
    <cellStyle name="20% - Accent3 3 7 3 3" xfId="29446" xr:uid="{6906A827-CB07-4C3D-8168-60A9544B216C}"/>
    <cellStyle name="20% - Accent3 3 7 4" xfId="38745" xr:uid="{A31B220C-9E20-40D0-A59A-0CB3C4A43FC5}"/>
    <cellStyle name="20% - Accent3 3 7 5" xfId="20147" xr:uid="{908702DC-7E78-4EC2-B1B3-2B9DC3C550BD}"/>
    <cellStyle name="20% - Accent3 3 8" xfId="4525" xr:uid="{00000000-0005-0000-0000-0000B9010000}"/>
    <cellStyle name="20% - Accent3 3 8 2" xfId="13851" xr:uid="{F90DF205-5D63-4C72-8DF0-91E677237FEF}"/>
    <cellStyle name="20% - Accent3 3 8 2 2" xfId="50193" xr:uid="{26DE5118-5EF7-4861-84B7-2D06F51C81F6}"/>
    <cellStyle name="20% - Accent3 3 8 2 3" xfId="31597" xr:uid="{D89939BF-8ACA-4279-AA8C-51B438B7D503}"/>
    <cellStyle name="20% - Accent3 3 8 3" xfId="40896" xr:uid="{2641A312-CE92-4574-B9AE-9D42A86202C2}"/>
    <cellStyle name="20% - Accent3 3 8 4" xfId="22298" xr:uid="{C9EB8039-1609-4264-A1B5-FA26277BC9CA}"/>
    <cellStyle name="20% - Accent3 3 9" xfId="8865" xr:uid="{FFA3EBA3-F40D-47A2-8AA1-A3A9E7BB9A8E}"/>
    <cellStyle name="20% - Accent3 3 9 2" xfId="35935" xr:uid="{4814AC14-FFDC-48E1-A653-D2FB61FAD19A}"/>
    <cellStyle name="20% - Accent3 3 9 2 2" xfId="54530" xr:uid="{CFEDC299-2B22-4A89-A5A7-0DC0BFABA24F}"/>
    <cellStyle name="20% - Accent3 3 9 3" xfId="45233" xr:uid="{B6E74BFC-2A76-4660-8B27-B479AA54B3B7}"/>
    <cellStyle name="20% - Accent3 3 9 4" xfId="26636" xr:uid="{E9055500-33B7-4A8B-977A-14D85187CA84}"/>
    <cellStyle name="20% - Accent3 4" xfId="24" xr:uid="{00000000-0005-0000-0000-0000BA010000}"/>
    <cellStyle name="20% - Accent3 4 10" xfId="36681" xr:uid="{5471F2B4-E8C0-40D3-82C0-A796CF6737EC}"/>
    <cellStyle name="20% - Accent3 4 11" xfId="18083" xr:uid="{8DBC0425-2AB4-4D97-A971-C55CFFFF8F75}"/>
    <cellStyle name="20% - Accent3 4 2" xfId="593" xr:uid="{00000000-0005-0000-0000-0000BB010000}"/>
    <cellStyle name="20% - Accent3 4 2 2" xfId="2864" xr:uid="{00000000-0005-0000-0000-0000BC010000}"/>
    <cellStyle name="20% - Accent3 4 2 2 2" xfId="7086" xr:uid="{00000000-0005-0000-0000-0000BD010000}"/>
    <cellStyle name="20% - Accent3 4 2 2 2 2" xfId="16412" xr:uid="{D0370BC9-C4B8-427E-A186-A44AE3C9EABB}"/>
    <cellStyle name="20% - Accent3 4 2 2 2 2 2" xfId="52754" xr:uid="{E5BD6825-2E2B-4532-8559-CD041CB293D7}"/>
    <cellStyle name="20% - Accent3 4 2 2 2 2 3" xfId="34158" xr:uid="{37C7E1A8-B54B-417C-A5A0-4B538A194688}"/>
    <cellStyle name="20% - Accent3 4 2 2 2 3" xfId="43457" xr:uid="{B3BB646F-A165-4815-BB0F-D00D96FC25E5}"/>
    <cellStyle name="20% - Accent3 4 2 2 2 4" xfId="24859" xr:uid="{E20C8EC8-25FE-4913-95FF-8B9D97227F7F}"/>
    <cellStyle name="20% - Accent3 4 2 2 3" xfId="12195" xr:uid="{C9C9500D-5FC1-47BC-9919-F948B0C95B23}"/>
    <cellStyle name="20% - Accent3 4 2 2 3 2" xfId="48537" xr:uid="{8A374470-7D0B-4C46-B2B2-6049F96F725A}"/>
    <cellStyle name="20% - Accent3 4 2 2 3 3" xfId="29941" xr:uid="{FA151BC5-383D-44D8-8405-274E48402322}"/>
    <cellStyle name="20% - Accent3 4 2 2 4" xfId="39240" xr:uid="{409F15A8-F3A0-44CB-8A4A-85AE34D2C536}"/>
    <cellStyle name="20% - Accent3 4 2 2 5" xfId="20642" xr:uid="{3DA26624-7CE4-4325-BB88-42D570D43397}"/>
    <cellStyle name="20% - Accent3 4 2 3" xfId="4941" xr:uid="{00000000-0005-0000-0000-0000BE010000}"/>
    <cellStyle name="20% - Accent3 4 2 3 2" xfId="14267" xr:uid="{935FAC71-544B-424A-B4A1-C01E2B9042CD}"/>
    <cellStyle name="20% - Accent3 4 2 3 2 2" xfId="50609" xr:uid="{A3430163-3A81-4AB5-89D4-9B06192C8513}"/>
    <cellStyle name="20% - Accent3 4 2 3 2 3" xfId="32013" xr:uid="{58721562-AE73-4275-BFE8-D902ABBD427B}"/>
    <cellStyle name="20% - Accent3 4 2 3 3" xfId="41312" xr:uid="{9BBAEA0B-F6B0-4492-BF2E-EE1AE8DEB18A}"/>
    <cellStyle name="20% - Accent3 4 2 3 4" xfId="22714" xr:uid="{0067441D-1728-4492-BC79-8D203AD4FE33}"/>
    <cellStyle name="20% - Accent3 4 2 4" xfId="9376" xr:uid="{92AC27CA-0B0B-4AFE-8457-D3F19BE2837F}"/>
    <cellStyle name="20% - Accent3 4 2 4 2" xfId="36437" xr:uid="{C028D97B-EA3A-43CD-AC57-836FF012C25E}"/>
    <cellStyle name="20% - Accent3 4 2 4 2 2" xfId="55031" xr:uid="{FAAF82A9-02FA-471D-8095-318F2A1855D8}"/>
    <cellStyle name="20% - Accent3 4 2 4 3" xfId="45734" xr:uid="{1C3727A5-B4FC-4677-8953-1B1F4D0A387F}"/>
    <cellStyle name="20% - Accent3 4 2 4 4" xfId="27138" xr:uid="{75EDAC54-09AB-426E-81D9-252DE2A22441}"/>
    <cellStyle name="20% - Accent3 4 2 5" xfId="10050" xr:uid="{25F98590-63C8-4AA9-A10B-5167B7918FD2}"/>
    <cellStyle name="20% - Accent3 4 2 5 2" xfId="46392" xr:uid="{ACB04040-EA8F-4954-ABC7-DA52F8471FDB}"/>
    <cellStyle name="20% - Accent3 4 2 5 3" xfId="27796" xr:uid="{10A9F282-4606-43B9-919B-C9D554D5F816}"/>
    <cellStyle name="20% - Accent3 4 2 6" xfId="37095" xr:uid="{C2F5E8B8-81CB-4064-9295-6A86040E63F7}"/>
    <cellStyle name="20% - Accent3 4 2 7" xfId="18497" xr:uid="{7A8C54E9-2B98-460B-808E-DB6D4060A4BC}"/>
    <cellStyle name="20% - Accent3 4 3" xfId="1046" xr:uid="{00000000-0005-0000-0000-0000BF010000}"/>
    <cellStyle name="20% - Accent3 4 3 2" xfId="3277" xr:uid="{00000000-0005-0000-0000-0000C0010000}"/>
    <cellStyle name="20% - Accent3 4 3 2 2" xfId="7499" xr:uid="{00000000-0005-0000-0000-0000C1010000}"/>
    <cellStyle name="20% - Accent3 4 3 2 2 2" xfId="16825" xr:uid="{785252C2-7F9E-42ED-94DC-8151D9232B23}"/>
    <cellStyle name="20% - Accent3 4 3 2 2 2 2" xfId="53167" xr:uid="{4C9570D3-1CA8-4C9E-A798-63809976C4EA}"/>
    <cellStyle name="20% - Accent3 4 3 2 2 2 3" xfId="34571" xr:uid="{137B4D99-24A0-4F2B-B54F-78BCAD40F9D1}"/>
    <cellStyle name="20% - Accent3 4 3 2 2 3" xfId="43870" xr:uid="{86A1E68E-F24F-46BA-90D4-F6456E6C1E00}"/>
    <cellStyle name="20% - Accent3 4 3 2 2 4" xfId="25272" xr:uid="{0D8EEE1B-96F3-4329-809E-A5023DBDC2B1}"/>
    <cellStyle name="20% - Accent3 4 3 2 3" xfId="12608" xr:uid="{1B05040B-AE69-4095-8716-316D78EEF311}"/>
    <cellStyle name="20% - Accent3 4 3 2 3 2" xfId="48950" xr:uid="{B64CBA7C-6EB4-414F-AA8F-6142A1089D61}"/>
    <cellStyle name="20% - Accent3 4 3 2 3 3" xfId="30354" xr:uid="{2FA1368B-A5C5-41CB-AB7C-E5D31F094D22}"/>
    <cellStyle name="20% - Accent3 4 3 2 4" xfId="39653" xr:uid="{331CCC26-4AB5-42A1-A091-BB4BF7226E52}"/>
    <cellStyle name="20% - Accent3 4 3 2 5" xfId="21055" xr:uid="{FF5BB6E8-B9BC-4BAF-95D2-6AEE4BF836B6}"/>
    <cellStyle name="20% - Accent3 4 3 3" xfId="5354" xr:uid="{00000000-0005-0000-0000-0000C2010000}"/>
    <cellStyle name="20% - Accent3 4 3 3 2" xfId="14680" xr:uid="{0D6E033B-EC11-45A8-82CB-304823C8D15E}"/>
    <cellStyle name="20% - Accent3 4 3 3 2 2" xfId="51022" xr:uid="{C58EBDE6-7ECB-46D9-A377-48A6EBBFD93A}"/>
    <cellStyle name="20% - Accent3 4 3 3 2 3" xfId="32426" xr:uid="{4F7CE448-02CB-40A3-8B3F-66DDF78752C4}"/>
    <cellStyle name="20% - Accent3 4 3 3 3" xfId="41725" xr:uid="{2FE388AA-7CBE-448F-AB4A-A8BB4C807B62}"/>
    <cellStyle name="20% - Accent3 4 3 3 4" xfId="23127" xr:uid="{86DA2B8D-8007-4D10-9890-B762670DC03C}"/>
    <cellStyle name="20% - Accent3 4 3 4" xfId="10463" xr:uid="{4601E360-3617-4AF5-B0DC-9BBAEF5F3942}"/>
    <cellStyle name="20% - Accent3 4 3 4 2" xfId="46805" xr:uid="{23E8827D-E156-4D4B-BAFF-48E4020F3332}"/>
    <cellStyle name="20% - Accent3 4 3 4 3" xfId="28209" xr:uid="{FD5CB8F8-E4E6-45B4-A7BD-1C3BB5DFEF64}"/>
    <cellStyle name="20% - Accent3 4 3 5" xfId="37508" xr:uid="{53D666EE-3431-4A60-B7E1-D7F071457ADF}"/>
    <cellStyle name="20% - Accent3 4 3 6" xfId="18910" xr:uid="{B4ED0551-0EE3-44C4-AE4E-D979DA097F65}"/>
    <cellStyle name="20% - Accent3 4 4" xfId="1460" xr:uid="{00000000-0005-0000-0000-0000C3010000}"/>
    <cellStyle name="20% - Accent3 4 4 2" xfId="3690" xr:uid="{00000000-0005-0000-0000-0000C4010000}"/>
    <cellStyle name="20% - Accent3 4 4 2 2" xfId="7912" xr:uid="{00000000-0005-0000-0000-0000C5010000}"/>
    <cellStyle name="20% - Accent3 4 4 2 2 2" xfId="17238" xr:uid="{CF1C1FFF-EC14-442F-883F-A12F6D835BA7}"/>
    <cellStyle name="20% - Accent3 4 4 2 2 2 2" xfId="53580" xr:uid="{B52188CC-F2A8-4B3C-AC6E-4B22175CBF93}"/>
    <cellStyle name="20% - Accent3 4 4 2 2 2 3" xfId="34984" xr:uid="{7009E3B8-7A18-40C9-AD90-8EF0C1DBAA52}"/>
    <cellStyle name="20% - Accent3 4 4 2 2 3" xfId="44283" xr:uid="{7D370A46-FD00-44A9-99D4-50872C8D27EC}"/>
    <cellStyle name="20% - Accent3 4 4 2 2 4" xfId="25685" xr:uid="{3B806F7F-6DF0-4262-B59C-284F9C110333}"/>
    <cellStyle name="20% - Accent3 4 4 2 3" xfId="13021" xr:uid="{57043F67-7E6D-41E0-BC6A-3D1FAA1E7A1D}"/>
    <cellStyle name="20% - Accent3 4 4 2 3 2" xfId="49363" xr:uid="{A815B049-B452-4645-B492-D420B65EC5F2}"/>
    <cellStyle name="20% - Accent3 4 4 2 3 3" xfId="30767" xr:uid="{54E45193-CDBF-456F-BFEE-1E14E3BFB62E}"/>
    <cellStyle name="20% - Accent3 4 4 2 4" xfId="40066" xr:uid="{9092AC01-B5EC-40A5-84C1-18396A09FDB4}"/>
    <cellStyle name="20% - Accent3 4 4 2 5" xfId="21468" xr:uid="{2EDBD9E0-737F-4FD2-B680-D6BDADDF9738}"/>
    <cellStyle name="20% - Accent3 4 4 3" xfId="5767" xr:uid="{00000000-0005-0000-0000-0000C6010000}"/>
    <cellStyle name="20% - Accent3 4 4 3 2" xfId="15093" xr:uid="{C4200C5D-9668-476F-95DA-608768AAFDB8}"/>
    <cellStyle name="20% - Accent3 4 4 3 2 2" xfId="51435" xr:uid="{CE764FF8-D289-41A2-B107-8080B32AD1E9}"/>
    <cellStyle name="20% - Accent3 4 4 3 2 3" xfId="32839" xr:uid="{AF327672-8FEF-4D8B-894F-45728B8BC4EF}"/>
    <cellStyle name="20% - Accent3 4 4 3 3" xfId="42138" xr:uid="{5672E1B3-B8C7-4749-8B0B-696A76EB37AF}"/>
    <cellStyle name="20% - Accent3 4 4 3 4" xfId="23540" xr:uid="{6845399E-00D6-45D0-AD44-55DE9DDD0DD5}"/>
    <cellStyle name="20% - Accent3 4 4 4" xfId="10876" xr:uid="{5B8BF588-9ED4-4463-8E12-AE6FBB5A8082}"/>
    <cellStyle name="20% - Accent3 4 4 4 2" xfId="47218" xr:uid="{79C2BE3C-A343-454D-B5BB-AF55881130C1}"/>
    <cellStyle name="20% - Accent3 4 4 4 3" xfId="28622" xr:uid="{10A7B0C7-D0CB-48E2-8355-3B27CB5530B8}"/>
    <cellStyle name="20% - Accent3 4 4 5" xfId="37921" xr:uid="{BBBDC9CE-1E14-425C-9DF4-A084DF856385}"/>
    <cellStyle name="20% - Accent3 4 4 6" xfId="19323" xr:uid="{C15F9F85-9911-4F3A-9EE5-717AA2E35590}"/>
    <cellStyle name="20% - Accent3 4 5" xfId="1874" xr:uid="{00000000-0005-0000-0000-0000C7010000}"/>
    <cellStyle name="20% - Accent3 4 5 2" xfId="4103" xr:uid="{00000000-0005-0000-0000-0000C8010000}"/>
    <cellStyle name="20% - Accent3 4 5 2 2" xfId="8325" xr:uid="{00000000-0005-0000-0000-0000C9010000}"/>
    <cellStyle name="20% - Accent3 4 5 2 2 2" xfId="17651" xr:uid="{252E0D79-42A8-4141-893F-6C6E3741AD62}"/>
    <cellStyle name="20% - Accent3 4 5 2 2 2 2" xfId="53993" xr:uid="{5DE2B316-A587-43D1-84BE-E6BC0B1B66C5}"/>
    <cellStyle name="20% - Accent3 4 5 2 2 2 3" xfId="35397" xr:uid="{C2F725DD-03E4-4701-99AD-D11BCAEEB576}"/>
    <cellStyle name="20% - Accent3 4 5 2 2 3" xfId="44696" xr:uid="{1D7052D5-6171-4D9D-A3E4-996CF45611F3}"/>
    <cellStyle name="20% - Accent3 4 5 2 2 4" xfId="26098" xr:uid="{E8DE017F-CA6C-4833-988B-0CBF0BD3F4CE}"/>
    <cellStyle name="20% - Accent3 4 5 2 3" xfId="13434" xr:uid="{8FB9F94B-3C96-455B-A7BB-8928725AFF73}"/>
    <cellStyle name="20% - Accent3 4 5 2 3 2" xfId="49776" xr:uid="{ACA9713E-07A3-40BF-A8E0-82A4B52C6398}"/>
    <cellStyle name="20% - Accent3 4 5 2 3 3" xfId="31180" xr:uid="{63A08790-4B09-47CB-9D6C-91650731F21A}"/>
    <cellStyle name="20% - Accent3 4 5 2 4" xfId="40479" xr:uid="{7A188648-A5BE-460F-A336-8BA41BCFEBA2}"/>
    <cellStyle name="20% - Accent3 4 5 2 5" xfId="21881" xr:uid="{2FED35DA-0B75-4332-9540-C3DCE610326E}"/>
    <cellStyle name="20% - Accent3 4 5 3" xfId="6180" xr:uid="{00000000-0005-0000-0000-0000CA010000}"/>
    <cellStyle name="20% - Accent3 4 5 3 2" xfId="15506" xr:uid="{2CDC8830-59B4-41BD-89F4-9A48073CADEF}"/>
    <cellStyle name="20% - Accent3 4 5 3 2 2" xfId="51848" xr:uid="{61D10997-E738-4AF9-82EE-DFC23A3B2885}"/>
    <cellStyle name="20% - Accent3 4 5 3 2 3" xfId="33252" xr:uid="{89D55146-4B13-4A59-81B9-FBDE6BDBF0A0}"/>
    <cellStyle name="20% - Accent3 4 5 3 3" xfId="42551" xr:uid="{37F4F9E9-6DF5-4DF3-9384-7A8E9A90CC0D}"/>
    <cellStyle name="20% - Accent3 4 5 3 4" xfId="23953" xr:uid="{F5101BBA-782D-4645-9D76-09B94B56E1C2}"/>
    <cellStyle name="20% - Accent3 4 5 4" xfId="11289" xr:uid="{E25E512E-392A-4BA3-8646-3DEB4320B68E}"/>
    <cellStyle name="20% - Accent3 4 5 4 2" xfId="47631" xr:uid="{2BF3BDE8-B264-4AEE-80B4-17B0FF9870E9}"/>
    <cellStyle name="20% - Accent3 4 5 4 3" xfId="29035" xr:uid="{BFC1B4CC-A45C-4D4A-9940-A2517092D447}"/>
    <cellStyle name="20% - Accent3 4 5 5" xfId="38334" xr:uid="{046EC942-7A42-4397-99BD-19B8B6484622}"/>
    <cellStyle name="20% - Accent3 4 5 6" xfId="19736" xr:uid="{1A8DBF39-C988-42FE-B0E9-10937A07915B}"/>
    <cellStyle name="20% - Accent3 4 6" xfId="2287" xr:uid="{00000000-0005-0000-0000-0000CB010000}"/>
    <cellStyle name="20% - Accent3 4 6 2" xfId="6593" xr:uid="{00000000-0005-0000-0000-0000CC010000}"/>
    <cellStyle name="20% - Accent3 4 6 2 2" xfId="15919" xr:uid="{4F81CD71-6153-4CB8-8053-21B73F8C25B8}"/>
    <cellStyle name="20% - Accent3 4 6 2 2 2" xfId="52261" xr:uid="{5097B3BB-7970-4E86-A75D-6A6D90E25AF4}"/>
    <cellStyle name="20% - Accent3 4 6 2 2 3" xfId="33665" xr:uid="{9E6C18F5-5CA7-4371-9528-8FA0B41A876B}"/>
    <cellStyle name="20% - Accent3 4 6 2 3" xfId="42964" xr:uid="{F2D77F11-F063-4E74-993C-E08C4408ED6B}"/>
    <cellStyle name="20% - Accent3 4 6 2 4" xfId="24366" xr:uid="{9826E06F-51E1-4EB6-BE00-0F1D270CB73D}"/>
    <cellStyle name="20% - Accent3 4 6 3" xfId="11702" xr:uid="{E6CD7AEC-2291-496F-B608-99792006D33E}"/>
    <cellStyle name="20% - Accent3 4 6 3 2" xfId="48044" xr:uid="{3798F622-C66E-4F5C-A431-35CD927A3815}"/>
    <cellStyle name="20% - Accent3 4 6 3 3" xfId="29448" xr:uid="{BD485BE3-908C-47FE-A625-0CCF2EE54A07}"/>
    <cellStyle name="20% - Accent3 4 6 4" xfId="38747" xr:uid="{8BD36ED7-71E9-42CE-94C8-2B57BBCF832E}"/>
    <cellStyle name="20% - Accent3 4 6 5" xfId="20149" xr:uid="{F85CEF4D-7528-46F8-9EB7-30F966342301}"/>
    <cellStyle name="20% - Accent3 4 7" xfId="4527" xr:uid="{00000000-0005-0000-0000-0000CD010000}"/>
    <cellStyle name="20% - Accent3 4 7 2" xfId="13853" xr:uid="{744C4E35-3C37-4C47-BC22-8891C76A474E}"/>
    <cellStyle name="20% - Accent3 4 7 2 2" xfId="50195" xr:uid="{C43294EC-60E1-4366-8EFE-E566ABA38B87}"/>
    <cellStyle name="20% - Accent3 4 7 2 3" xfId="31599" xr:uid="{C54EA467-906C-4BE5-AC34-C67EA4BBD485}"/>
    <cellStyle name="20% - Accent3 4 7 3" xfId="40898" xr:uid="{5CC553DA-4D33-4B6B-8D7D-B2FD9FBDCC99}"/>
    <cellStyle name="20% - Accent3 4 7 4" xfId="22300" xr:uid="{25DA1CC0-3545-4012-A45D-F89BC8E43E0A}"/>
    <cellStyle name="20% - Accent3 4 8" xfId="8951" xr:uid="{3CB7770B-4F12-4C44-B65D-06C641FEE851}"/>
    <cellStyle name="20% - Accent3 4 8 2" xfId="36021" xr:uid="{AAEC3419-3CB4-4F1C-92FF-459032940020}"/>
    <cellStyle name="20% - Accent3 4 8 2 2" xfId="54616" xr:uid="{43124A39-85D0-4FE3-9B54-5B369BEDF096}"/>
    <cellStyle name="20% - Accent3 4 8 3" xfId="45319" xr:uid="{83095584-4D67-4B14-9B66-24C1823EEE4E}"/>
    <cellStyle name="20% - Accent3 4 8 4" xfId="26722" xr:uid="{38FB71CA-1301-4C88-AEFB-A1C718EF5252}"/>
    <cellStyle name="20% - Accent3 4 9" xfId="9636" xr:uid="{D57FC744-9145-4526-A0DC-AF63A300CDAD}"/>
    <cellStyle name="20% - Accent3 4 9 2" xfId="45978" xr:uid="{EE0555D2-D551-4933-84AD-9BAE118DBFD8}"/>
    <cellStyle name="20% - Accent3 4 9 3" xfId="27382" xr:uid="{090E0324-B0BE-4DE8-9E7F-D37722112D77}"/>
    <cellStyle name="20% - Accent3 5" xfId="586" xr:uid="{00000000-0005-0000-0000-0000CE010000}"/>
    <cellStyle name="20% - Accent3 5 2" xfId="2857" xr:uid="{00000000-0005-0000-0000-0000CF010000}"/>
    <cellStyle name="20% - Accent3 5 2 2" xfId="7079" xr:uid="{00000000-0005-0000-0000-0000D0010000}"/>
    <cellStyle name="20% - Accent3 5 2 2 2" xfId="16405" xr:uid="{0B3F0835-5846-4C16-A172-F3810A06EF0C}"/>
    <cellStyle name="20% - Accent3 5 2 2 2 2" xfId="52747" xr:uid="{CAB53478-06E3-49E5-92F3-8AC6CA5F401D}"/>
    <cellStyle name="20% - Accent3 5 2 2 2 3" xfId="34151" xr:uid="{4AE13AA0-C845-493F-9E68-6D17CC496976}"/>
    <cellStyle name="20% - Accent3 5 2 2 3" xfId="43450" xr:uid="{04EEE2B9-B918-443C-91C3-EBC2942A1540}"/>
    <cellStyle name="20% - Accent3 5 2 2 4" xfId="24852" xr:uid="{D4D5A5BD-CF86-4A3D-AC83-6624BC9993EC}"/>
    <cellStyle name="20% - Accent3 5 2 3" xfId="12188" xr:uid="{23CEDF5B-FDCE-49F3-8CF5-AF8D09F764F8}"/>
    <cellStyle name="20% - Accent3 5 2 3 2" xfId="48530" xr:uid="{B0D45C28-3A46-4B16-95E8-73E5A7D86960}"/>
    <cellStyle name="20% - Accent3 5 2 3 3" xfId="29934" xr:uid="{160325F2-B3CD-4CF0-B4E3-3FCF5D27FB60}"/>
    <cellStyle name="20% - Accent3 5 2 4" xfId="39233" xr:uid="{760275DE-E4BA-4711-9C9C-20BB7FD03D51}"/>
    <cellStyle name="20% - Accent3 5 2 5" xfId="20635" xr:uid="{27FED462-1DBE-4731-8FF2-EC20F5737B3B}"/>
    <cellStyle name="20% - Accent3 5 3" xfId="4934" xr:uid="{00000000-0005-0000-0000-0000D1010000}"/>
    <cellStyle name="20% - Accent3 5 3 2" xfId="14260" xr:uid="{94AAFA25-DBFE-4BDC-AD86-9826D958D374}"/>
    <cellStyle name="20% - Accent3 5 3 2 2" xfId="50602" xr:uid="{BE2F6B5E-2BFF-4544-B79B-4D8AAB60A542}"/>
    <cellStyle name="20% - Accent3 5 3 2 3" xfId="32006" xr:uid="{F3EB2705-2DD3-4C4E-86F4-41C00F2F6BE3}"/>
    <cellStyle name="20% - Accent3 5 3 3" xfId="41305" xr:uid="{B3604FEF-F56C-455A-8227-B6A10F44D823}"/>
    <cellStyle name="20% - Accent3 5 3 4" xfId="22707" xr:uid="{BD1A4A48-8993-40CB-ACC5-D7B4986194C5}"/>
    <cellStyle name="20% - Accent3 5 4" xfId="9184" xr:uid="{F51B2D95-9593-4370-A6D2-AFEF087D7920}"/>
    <cellStyle name="20% - Accent3 5 4 2" xfId="36248" xr:uid="{0600576E-98CA-4175-B4D3-053E1AB83BB3}"/>
    <cellStyle name="20% - Accent3 5 4 2 2" xfId="54842" xr:uid="{2A919478-BABE-4E90-B78F-B297D0023102}"/>
    <cellStyle name="20% - Accent3 5 4 3" xfId="45545" xr:uid="{E05D606F-272E-4420-A00B-57E675C15F62}"/>
    <cellStyle name="20% - Accent3 5 4 4" xfId="26949" xr:uid="{A792D28C-FF37-4F01-A6A8-CB0648A82B51}"/>
    <cellStyle name="20% - Accent3 5 5" xfId="10043" xr:uid="{E181666B-AD71-408D-9DFE-30FAE66A0D71}"/>
    <cellStyle name="20% - Accent3 5 5 2" xfId="46385" xr:uid="{3B8751A8-C685-481A-BFFD-C4FCEABF4A5D}"/>
    <cellStyle name="20% - Accent3 5 5 3" xfId="27789" xr:uid="{B810AC77-0AA1-4424-B3F2-AB90A970A49F}"/>
    <cellStyle name="20% - Accent3 5 6" xfId="37088" xr:uid="{A0845B08-13D3-4378-8218-30EBAF473FC0}"/>
    <cellStyle name="20% - Accent3 5 7" xfId="18490" xr:uid="{06C66D71-D2D3-42FB-894F-5B4FBF4FD7BA}"/>
    <cellStyle name="20% - Accent3 6" xfId="1039" xr:uid="{00000000-0005-0000-0000-0000D2010000}"/>
    <cellStyle name="20% - Accent3 6 2" xfId="3270" xr:uid="{00000000-0005-0000-0000-0000D3010000}"/>
    <cellStyle name="20% - Accent3 6 2 2" xfId="7492" xr:uid="{00000000-0005-0000-0000-0000D4010000}"/>
    <cellStyle name="20% - Accent3 6 2 2 2" xfId="16818" xr:uid="{DEE077EB-A6D3-4B66-9E8D-94528FF864E2}"/>
    <cellStyle name="20% - Accent3 6 2 2 2 2" xfId="53160" xr:uid="{B589965D-636D-45DE-8571-6551C7AE5357}"/>
    <cellStyle name="20% - Accent3 6 2 2 2 3" xfId="34564" xr:uid="{E176621C-2E4F-4C19-A1F1-68D2F1C08A4C}"/>
    <cellStyle name="20% - Accent3 6 2 2 3" xfId="43863" xr:uid="{389D99E9-A570-4713-8DF5-192D9FE9A14E}"/>
    <cellStyle name="20% - Accent3 6 2 2 4" xfId="25265" xr:uid="{8A8A90BF-C8B7-41FE-8481-4CE9BABD2CAC}"/>
    <cellStyle name="20% - Accent3 6 2 3" xfId="12601" xr:uid="{6CCC85BA-CBE3-4DBF-88AD-AF9C968B2433}"/>
    <cellStyle name="20% - Accent3 6 2 3 2" xfId="48943" xr:uid="{B4D782FA-431A-4AF0-9FEE-C1442286EE31}"/>
    <cellStyle name="20% - Accent3 6 2 3 3" xfId="30347" xr:uid="{A4B70FEE-7397-43A0-B265-BA69B7564013}"/>
    <cellStyle name="20% - Accent3 6 2 4" xfId="39646" xr:uid="{4129974B-05AF-4071-9B99-47BCE44CEF76}"/>
    <cellStyle name="20% - Accent3 6 2 5" xfId="21048" xr:uid="{512DA91F-CA13-40EC-9F39-4D0E723F3736}"/>
    <cellStyle name="20% - Accent3 6 3" xfId="5347" xr:uid="{00000000-0005-0000-0000-0000D5010000}"/>
    <cellStyle name="20% - Accent3 6 3 2" xfId="14673" xr:uid="{3B4A7277-472A-4161-9EAC-67D23C22C855}"/>
    <cellStyle name="20% - Accent3 6 3 2 2" xfId="51015" xr:uid="{94520A2F-3ADC-4EE0-9555-56FE14BE9A97}"/>
    <cellStyle name="20% - Accent3 6 3 2 3" xfId="32419" xr:uid="{37F2C6F6-18C3-4C7E-BB5F-85D987DA5190}"/>
    <cellStyle name="20% - Accent3 6 3 3" xfId="41718" xr:uid="{1D640D66-E625-4236-B064-B2DECEF36277}"/>
    <cellStyle name="20% - Accent3 6 3 4" xfId="23120" xr:uid="{C73E2624-4113-49A8-862A-B5047FB77F38}"/>
    <cellStyle name="20% - Accent3 6 4" xfId="10456" xr:uid="{4C594415-61E2-4B1A-B72A-B76C10655FB8}"/>
    <cellStyle name="20% - Accent3 6 4 2" xfId="46798" xr:uid="{2850330E-8C3F-4747-BEDD-73B27C904414}"/>
    <cellStyle name="20% - Accent3 6 4 3" xfId="28202" xr:uid="{467E2079-21FB-46A9-9701-2AA491EBF7AF}"/>
    <cellStyle name="20% - Accent3 6 5" xfId="37501" xr:uid="{6764A032-CD83-426B-B952-82550ECCEA11}"/>
    <cellStyle name="20% - Accent3 6 6" xfId="18903" xr:uid="{585B946A-48C9-43B4-A52C-DB8BAF7E9AAD}"/>
    <cellStyle name="20% - Accent3 7" xfId="1453" xr:uid="{00000000-0005-0000-0000-0000D6010000}"/>
    <cellStyle name="20% - Accent3 7 2" xfId="3683" xr:uid="{00000000-0005-0000-0000-0000D7010000}"/>
    <cellStyle name="20% - Accent3 7 2 2" xfId="7905" xr:uid="{00000000-0005-0000-0000-0000D8010000}"/>
    <cellStyle name="20% - Accent3 7 2 2 2" xfId="17231" xr:uid="{B4080579-7AD2-4098-9D70-EDB9F695C220}"/>
    <cellStyle name="20% - Accent3 7 2 2 2 2" xfId="53573" xr:uid="{7F3648E5-AE43-4A1B-87A0-3720295A6DD2}"/>
    <cellStyle name="20% - Accent3 7 2 2 2 3" xfId="34977" xr:uid="{90DBB295-D230-4518-B826-782FC69832E7}"/>
    <cellStyle name="20% - Accent3 7 2 2 3" xfId="44276" xr:uid="{C858540E-AB26-4B57-8E46-45C20D17A096}"/>
    <cellStyle name="20% - Accent3 7 2 2 4" xfId="25678" xr:uid="{14BD5A34-B7EF-4E78-BED1-987A7412F5EF}"/>
    <cellStyle name="20% - Accent3 7 2 3" xfId="13014" xr:uid="{91036804-00E4-431E-A0CA-C7F50B54C0F6}"/>
    <cellStyle name="20% - Accent3 7 2 3 2" xfId="49356" xr:uid="{6BC36362-B382-4340-B0C6-F96A263DA272}"/>
    <cellStyle name="20% - Accent3 7 2 3 3" xfId="30760" xr:uid="{79B3D104-891E-4892-85D6-7B80909C42F4}"/>
    <cellStyle name="20% - Accent3 7 2 4" xfId="40059" xr:uid="{186A4621-A2A3-4C37-833D-98E62C38F945}"/>
    <cellStyle name="20% - Accent3 7 2 5" xfId="21461" xr:uid="{CFA29C34-7C6C-4821-921E-8BD19CD3093B}"/>
    <cellStyle name="20% - Accent3 7 3" xfId="5760" xr:uid="{00000000-0005-0000-0000-0000D9010000}"/>
    <cellStyle name="20% - Accent3 7 3 2" xfId="15086" xr:uid="{B5357DFA-733E-47E5-8FC3-3A628C3D7465}"/>
    <cellStyle name="20% - Accent3 7 3 2 2" xfId="51428" xr:uid="{DF8A25D0-74DB-4451-B006-C18A149707FE}"/>
    <cellStyle name="20% - Accent3 7 3 2 3" xfId="32832" xr:uid="{62DE87EA-1E31-4532-B761-24EB1ABBB0D5}"/>
    <cellStyle name="20% - Accent3 7 3 3" xfId="42131" xr:uid="{721605D3-C4FA-40CE-85DC-1ED30C5BE6D3}"/>
    <cellStyle name="20% - Accent3 7 3 4" xfId="23533" xr:uid="{54E3E0E2-06D1-42F9-A457-EADF9C0FD170}"/>
    <cellStyle name="20% - Accent3 7 4" xfId="10869" xr:uid="{DF547004-72C1-43B8-AB22-B933B8CAE61C}"/>
    <cellStyle name="20% - Accent3 7 4 2" xfId="47211" xr:uid="{28A9C842-9561-46F2-BA33-1F597A72AFAB}"/>
    <cellStyle name="20% - Accent3 7 4 3" xfId="28615" xr:uid="{306BA15C-7595-4306-8AB9-E84219FE71EB}"/>
    <cellStyle name="20% - Accent3 7 5" xfId="37914" xr:uid="{3A370F33-FBA1-412C-AF22-F3891088AE74}"/>
    <cellStyle name="20% - Accent3 7 6" xfId="19316" xr:uid="{90CD3F36-7AEF-4505-AC9F-364356791904}"/>
    <cellStyle name="20% - Accent3 8" xfId="1867" xr:uid="{00000000-0005-0000-0000-0000DA010000}"/>
    <cellStyle name="20% - Accent3 8 2" xfId="4096" xr:uid="{00000000-0005-0000-0000-0000DB010000}"/>
    <cellStyle name="20% - Accent3 8 2 2" xfId="8318" xr:uid="{00000000-0005-0000-0000-0000DC010000}"/>
    <cellStyle name="20% - Accent3 8 2 2 2" xfId="17644" xr:uid="{29DFA3C2-1441-46C3-B098-9A5EE702681F}"/>
    <cellStyle name="20% - Accent3 8 2 2 2 2" xfId="53986" xr:uid="{FEAEDEF7-F7BC-4C9A-9716-C06D89EA0251}"/>
    <cellStyle name="20% - Accent3 8 2 2 2 3" xfId="35390" xr:uid="{973B1206-3647-4683-901E-1A4EBB1DB83C}"/>
    <cellStyle name="20% - Accent3 8 2 2 3" xfId="44689" xr:uid="{2F36BB42-9E4D-4B21-B6DD-735F51B37C6C}"/>
    <cellStyle name="20% - Accent3 8 2 2 4" xfId="26091" xr:uid="{E2EDA9FB-B259-46F4-ACDA-CAFDA7A8561E}"/>
    <cellStyle name="20% - Accent3 8 2 3" xfId="13427" xr:uid="{EE1CD118-9554-4FA9-91C6-D93CC87D0B22}"/>
    <cellStyle name="20% - Accent3 8 2 3 2" xfId="49769" xr:uid="{AE8F14B2-32A9-47A8-B761-064A2F820ED3}"/>
    <cellStyle name="20% - Accent3 8 2 3 3" xfId="31173" xr:uid="{3F438F1E-DD46-4C3F-8EA5-0E6F606F24DA}"/>
    <cellStyle name="20% - Accent3 8 2 4" xfId="40472" xr:uid="{14B9F7A8-747F-44AF-A0AE-4147609985DB}"/>
    <cellStyle name="20% - Accent3 8 2 5" xfId="21874" xr:uid="{C4F7C2DF-5151-4D17-8110-79E3B60AA5C9}"/>
    <cellStyle name="20% - Accent3 8 3" xfId="6173" xr:uid="{00000000-0005-0000-0000-0000DD010000}"/>
    <cellStyle name="20% - Accent3 8 3 2" xfId="15499" xr:uid="{E681EF49-BC9A-4799-9B5B-1E13EFE88FA3}"/>
    <cellStyle name="20% - Accent3 8 3 2 2" xfId="51841" xr:uid="{BE70A4EB-DF46-4439-9452-5DC7C7CAB9FD}"/>
    <cellStyle name="20% - Accent3 8 3 2 3" xfId="33245" xr:uid="{3C0075F5-C732-484F-AEDC-136B83691B25}"/>
    <cellStyle name="20% - Accent3 8 3 3" xfId="42544" xr:uid="{61CF8670-3EC8-4E6D-B660-072AFBB4FC27}"/>
    <cellStyle name="20% - Accent3 8 3 4" xfId="23946" xr:uid="{15A46494-7F03-47B2-8702-4292F9108114}"/>
    <cellStyle name="20% - Accent3 8 4" xfId="11282" xr:uid="{1004B2BC-BB99-4B6F-B4EE-573AFFC1C85F}"/>
    <cellStyle name="20% - Accent3 8 4 2" xfId="47624" xr:uid="{9FCAA590-1B6E-4837-ADE8-CAB9388602DF}"/>
    <cellStyle name="20% - Accent3 8 4 3" xfId="29028" xr:uid="{3A0A9FEF-FCA8-4BB4-AAFF-B78A776FB64F}"/>
    <cellStyle name="20% - Accent3 8 5" xfId="38327" xr:uid="{96D80668-9B24-4C6E-AB52-2599BE860D7A}"/>
    <cellStyle name="20% - Accent3 8 6" xfId="19729" xr:uid="{E4178A94-5F3A-49F9-B808-05D48A988F75}"/>
    <cellStyle name="20% - Accent3 9" xfId="2280" xr:uid="{00000000-0005-0000-0000-0000DE010000}"/>
    <cellStyle name="20% - Accent3 9 2" xfId="6586" xr:uid="{00000000-0005-0000-0000-0000DF010000}"/>
    <cellStyle name="20% - Accent3 9 2 2" xfId="15912" xr:uid="{1896BD6B-404C-4C69-8C12-9A0C2E832E5D}"/>
    <cellStyle name="20% - Accent3 9 2 2 2" xfId="52254" xr:uid="{E50CF3E7-96EF-409B-8062-E4F57C65D301}"/>
    <cellStyle name="20% - Accent3 9 2 2 3" xfId="33658" xr:uid="{FE9BF923-F682-433D-83C4-B0F5A7E27991}"/>
    <cellStyle name="20% - Accent3 9 2 3" xfId="42957" xr:uid="{C8FC89BE-2C47-4F69-9C62-561804A8340E}"/>
    <cellStyle name="20% - Accent3 9 2 4" xfId="24359" xr:uid="{C524F93A-25A6-421B-90FC-708D04979147}"/>
    <cellStyle name="20% - Accent3 9 3" xfId="11695" xr:uid="{F57B5CA2-D611-4AA8-A601-3971D62C2A10}"/>
    <cellStyle name="20% - Accent3 9 3 2" xfId="48037" xr:uid="{3976BDD7-7CF1-42B1-8044-A895116EFFC3}"/>
    <cellStyle name="20% - Accent3 9 3 3" xfId="29441" xr:uid="{325442F3-8A64-47DA-9F08-425E1EAE4F30}"/>
    <cellStyle name="20% - Accent3 9 4" xfId="38740" xr:uid="{A310F354-F787-4800-9C6C-DB938F1315A9}"/>
    <cellStyle name="20% - Accent3 9 5" xfId="20142" xr:uid="{ADFD646F-29C6-4E26-8B5C-B086914C932E}"/>
    <cellStyle name="20% - Accent4" xfId="25" builtinId="42" customBuiltin="1"/>
    <cellStyle name="20% - Accent4 10" xfId="4528" xr:uid="{00000000-0005-0000-0000-0000E1010000}"/>
    <cellStyle name="20% - Accent4 10 2" xfId="13854" xr:uid="{E77AC812-F840-4C21-81D6-65B8041EB691}"/>
    <cellStyle name="20% - Accent4 10 2 2" xfId="50196" xr:uid="{BAFDABB7-E0E6-4AAF-A8A7-9DC2E91FDC14}"/>
    <cellStyle name="20% - Accent4 10 2 3" xfId="31600" xr:uid="{6EC3A6B9-230B-4F94-A203-40ECD998F370}"/>
    <cellStyle name="20% - Accent4 10 3" xfId="40899" xr:uid="{A910BDD7-83E7-4FB5-ADCB-E1DF5E5B79E2}"/>
    <cellStyle name="20% - Accent4 10 4" xfId="22301" xr:uid="{98BEF0D9-0EB6-45C5-9E6E-BD195F5FBEBA}"/>
    <cellStyle name="20% - Accent4 11" xfId="8764" xr:uid="{4A9BF508-806C-496D-AEC5-5842E4A62892}"/>
    <cellStyle name="20% - Accent4 11 2" xfId="35834" xr:uid="{101254C6-3620-4F63-9659-A51076DD4999}"/>
    <cellStyle name="20% - Accent4 11 2 2" xfId="54429" xr:uid="{C583A2B2-39BF-4BE9-A99F-C45117C0B36B}"/>
    <cellStyle name="20% - Accent4 11 3" xfId="45132" xr:uid="{CA1E8DEC-A027-4EE2-AD11-7796DE90E889}"/>
    <cellStyle name="20% - Accent4 11 4" xfId="26535" xr:uid="{E877BA96-2BEC-4739-A5C7-5AA2ABDEF434}"/>
    <cellStyle name="20% - Accent4 12" xfId="9637" xr:uid="{FFAD3563-54B6-4A8A-8F84-C5465C0DDFDD}"/>
    <cellStyle name="20% - Accent4 12 2" xfId="45979" xr:uid="{834F9E70-3FB1-476B-A0D5-0C784434820C}"/>
    <cellStyle name="20% - Accent4 12 3" xfId="27383" xr:uid="{D2A9DFD3-458B-42BA-96D9-B11652FED021}"/>
    <cellStyle name="20% - Accent4 13" xfId="36682" xr:uid="{78C46C4C-0DE0-47CB-A521-3ACF088B4FF3}"/>
    <cellStyle name="20% - Accent4 14" xfId="18084" xr:uid="{CB27130A-4125-4B5A-BEAE-4B8131B560C1}"/>
    <cellStyle name="20% - Accent4 2" xfId="26" xr:uid="{00000000-0005-0000-0000-0000E2010000}"/>
    <cellStyle name="20% - Accent4 2 10" xfId="8794" xr:uid="{31A2F477-5237-45C2-B43F-25AC049A95FF}"/>
    <cellStyle name="20% - Accent4 2 10 2" xfId="35864" xr:uid="{6B124A7C-C788-4D81-A14B-3A00968424E1}"/>
    <cellStyle name="20% - Accent4 2 10 2 2" xfId="54459" xr:uid="{9CCDAA5D-C4E4-4AA5-BDE9-6B128F01FE4D}"/>
    <cellStyle name="20% - Accent4 2 10 3" xfId="45162" xr:uid="{C35904EA-1C62-4F14-BB46-EC2B78B649DB}"/>
    <cellStyle name="20% - Accent4 2 10 4" xfId="26565" xr:uid="{BA005A14-9A25-4593-AF87-D182F5818F1E}"/>
    <cellStyle name="20% - Accent4 2 11" xfId="9638" xr:uid="{E817223E-FACC-4384-9A86-4B6493A2EF6D}"/>
    <cellStyle name="20% - Accent4 2 11 2" xfId="45980" xr:uid="{7D8F8707-41C8-4FF5-9BF5-9863226321A9}"/>
    <cellStyle name="20% - Accent4 2 11 3" xfId="27384" xr:uid="{CBB607B0-DFEA-43D2-A74C-F4F7237A12DB}"/>
    <cellStyle name="20% - Accent4 2 12" xfId="36683" xr:uid="{D64E033E-5083-4B52-BF13-F306A5023D44}"/>
    <cellStyle name="20% - Accent4 2 13" xfId="18085" xr:uid="{46926807-6B8A-4D94-BFEA-98E5E3A8EE21}"/>
    <cellStyle name="20% - Accent4 2 2" xfId="27" xr:uid="{00000000-0005-0000-0000-0000E3010000}"/>
    <cellStyle name="20% - Accent4 2 2 10" xfId="9639" xr:uid="{EF30DE33-C832-40A5-8D96-F416D959429A}"/>
    <cellStyle name="20% - Accent4 2 2 10 2" xfId="45981" xr:uid="{FC5D92C5-CB10-4D75-B0B0-E2EA464FEF15}"/>
    <cellStyle name="20% - Accent4 2 2 10 3" xfId="27385" xr:uid="{5F807228-20C5-447A-A48F-B64C86D6DD10}"/>
    <cellStyle name="20% - Accent4 2 2 11" xfId="36684" xr:uid="{9BB86F95-BA4C-42A4-B4CD-30C3FDD3B1BC}"/>
    <cellStyle name="20% - Accent4 2 2 12" xfId="18086" xr:uid="{86584FB5-EBAD-40DC-B84D-CF56AF536CE0}"/>
    <cellStyle name="20% - Accent4 2 2 2" xfId="28" xr:uid="{00000000-0005-0000-0000-0000E4010000}"/>
    <cellStyle name="20% - Accent4 2 2 2 10" xfId="36685" xr:uid="{685A03DC-8AB9-4304-BFE6-128FC8BA1EBA}"/>
    <cellStyle name="20% - Accent4 2 2 2 11" xfId="18087" xr:uid="{E2FD4BB7-7AC6-420E-88CC-5A62A41F7EAA}"/>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16416" xr:uid="{774AFFC3-F592-4F5F-AC48-3A110DB5849A}"/>
    <cellStyle name="20% - Accent4 2 2 2 2 2 2 2 2" xfId="52758" xr:uid="{E3D37F1E-FFCB-4B20-B768-D86A05086E44}"/>
    <cellStyle name="20% - Accent4 2 2 2 2 2 2 2 3" xfId="34162" xr:uid="{7BC83E2E-DDE1-4E8A-A82F-EE0976A70BE2}"/>
    <cellStyle name="20% - Accent4 2 2 2 2 2 2 3" xfId="43461" xr:uid="{0FADAB45-182E-4390-B6CE-90E28DD7DABD}"/>
    <cellStyle name="20% - Accent4 2 2 2 2 2 2 4" xfId="24863" xr:uid="{6DFFD18F-92DC-4189-868A-5203A833FC5A}"/>
    <cellStyle name="20% - Accent4 2 2 2 2 2 3" xfId="12199" xr:uid="{883BABEA-3B82-4F67-B501-D3C744B07EB5}"/>
    <cellStyle name="20% - Accent4 2 2 2 2 2 3 2" xfId="48541" xr:uid="{18FEF394-AFE6-4FE9-9CF4-3F4E6EC3CB54}"/>
    <cellStyle name="20% - Accent4 2 2 2 2 2 3 3" xfId="29945" xr:uid="{ACFC7082-FC03-4302-A136-11E9A6665F53}"/>
    <cellStyle name="20% - Accent4 2 2 2 2 2 4" xfId="39244" xr:uid="{7E88DB2F-DA20-4132-8DEF-DB60360F3687}"/>
    <cellStyle name="20% - Accent4 2 2 2 2 2 5" xfId="20646" xr:uid="{F700B25A-4BBB-4459-BA7A-9B8E04BC2C6E}"/>
    <cellStyle name="20% - Accent4 2 2 2 2 3" xfId="4945" xr:uid="{00000000-0005-0000-0000-0000E8010000}"/>
    <cellStyle name="20% - Accent4 2 2 2 2 3 2" xfId="14271" xr:uid="{D115B72E-C18E-49D7-A9DE-648B46200F3B}"/>
    <cellStyle name="20% - Accent4 2 2 2 2 3 2 2" xfId="50613" xr:uid="{E6C2A5EA-2EA7-44C4-A8F2-DD9B898B84F8}"/>
    <cellStyle name="20% - Accent4 2 2 2 2 3 2 3" xfId="32017" xr:uid="{69420CCC-7802-47C5-9393-11D63764B7F7}"/>
    <cellStyle name="20% - Accent4 2 2 2 2 3 3" xfId="41316" xr:uid="{5D595098-9A2E-4988-9FF7-B4FF795EE88C}"/>
    <cellStyle name="20% - Accent4 2 2 2 2 3 4" xfId="22718" xr:uid="{C53310A4-B731-40FB-AA73-F19E50C934DB}"/>
    <cellStyle name="20% - Accent4 2 2 2 2 4" xfId="9529" xr:uid="{0C40CE19-1873-4316-818D-CC943AAFBB7B}"/>
    <cellStyle name="20% - Accent4 2 2 2 2 4 2" xfId="36590" xr:uid="{C89A6A62-5092-41A7-8DC7-9B2FBE348291}"/>
    <cellStyle name="20% - Accent4 2 2 2 2 4 2 2" xfId="55184" xr:uid="{0A19FC3B-6EFF-494E-982E-0830438A2D7D}"/>
    <cellStyle name="20% - Accent4 2 2 2 2 4 3" xfId="45887" xr:uid="{BF0AE191-5AAE-4DCF-82F3-21B93A5DF2F4}"/>
    <cellStyle name="20% - Accent4 2 2 2 2 4 4" xfId="27291" xr:uid="{D688688F-A80F-49BB-8641-0425BE1EB58F}"/>
    <cellStyle name="20% - Accent4 2 2 2 2 5" xfId="10054" xr:uid="{9BA03B8A-2E99-4E38-8CFF-FBC6B25947FA}"/>
    <cellStyle name="20% - Accent4 2 2 2 2 5 2" xfId="46396" xr:uid="{6BCA7F28-EBA8-4EF7-A7FA-DEEAD3FFEA96}"/>
    <cellStyle name="20% - Accent4 2 2 2 2 5 3" xfId="27800" xr:uid="{54FDD2DF-8A2A-46C2-89A5-723959C0D427}"/>
    <cellStyle name="20% - Accent4 2 2 2 2 6" xfId="37099" xr:uid="{CB2909C7-230B-4C6B-B912-DE7574153497}"/>
    <cellStyle name="20% - Accent4 2 2 2 2 7" xfId="18501" xr:uid="{9785793A-E415-463B-8CC4-6A4A0D841A3E}"/>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16829" xr:uid="{FF173594-7CA5-4989-AD89-82FAC7804E3A}"/>
    <cellStyle name="20% - Accent4 2 2 2 3 2 2 2 2" xfId="53171" xr:uid="{E1A61EC2-8F8C-496F-A188-D79C32F836FA}"/>
    <cellStyle name="20% - Accent4 2 2 2 3 2 2 2 3" xfId="34575" xr:uid="{9FB38AB1-15BE-4604-B357-6F6182F1F879}"/>
    <cellStyle name="20% - Accent4 2 2 2 3 2 2 3" xfId="43874" xr:uid="{E341905F-9377-40A8-B281-DB398E78EBF0}"/>
    <cellStyle name="20% - Accent4 2 2 2 3 2 2 4" xfId="25276" xr:uid="{2EA66761-82C5-4C19-83B6-B1B6715D1A5E}"/>
    <cellStyle name="20% - Accent4 2 2 2 3 2 3" xfId="12612" xr:uid="{4886F48B-EFA9-4CAA-897F-EDBABB68F0A8}"/>
    <cellStyle name="20% - Accent4 2 2 2 3 2 3 2" xfId="48954" xr:uid="{D5C5C821-FEE9-43AC-89B9-830826BD4003}"/>
    <cellStyle name="20% - Accent4 2 2 2 3 2 3 3" xfId="30358" xr:uid="{4A125BF4-0780-41AA-AEEE-29EE6B8FE807}"/>
    <cellStyle name="20% - Accent4 2 2 2 3 2 4" xfId="39657" xr:uid="{A0F8515D-58C8-4283-8127-719E6BC3FF39}"/>
    <cellStyle name="20% - Accent4 2 2 2 3 2 5" xfId="21059" xr:uid="{36839D4A-3827-49FF-A208-254BD5DED648}"/>
    <cellStyle name="20% - Accent4 2 2 2 3 3" xfId="5358" xr:uid="{00000000-0005-0000-0000-0000EC010000}"/>
    <cellStyle name="20% - Accent4 2 2 2 3 3 2" xfId="14684" xr:uid="{E27E8F5A-D3C8-474A-82E8-2FEDCCD380C2}"/>
    <cellStyle name="20% - Accent4 2 2 2 3 3 2 2" xfId="51026" xr:uid="{E001B1B4-10BA-4A14-881F-138EA0829266}"/>
    <cellStyle name="20% - Accent4 2 2 2 3 3 2 3" xfId="32430" xr:uid="{4E9DC3C3-A3BD-40B9-8A40-4AA136B3D117}"/>
    <cellStyle name="20% - Accent4 2 2 2 3 3 3" xfId="41729" xr:uid="{7C3110EF-014F-4D6D-B7BB-525C5A64A015}"/>
    <cellStyle name="20% - Accent4 2 2 2 3 3 4" xfId="23131" xr:uid="{DC78D0B4-E7BF-411A-BEA9-270F6F730FB5}"/>
    <cellStyle name="20% - Accent4 2 2 2 3 4" xfId="10467" xr:uid="{CEBC09C8-3575-4685-AE33-B562A2A61B97}"/>
    <cellStyle name="20% - Accent4 2 2 2 3 4 2" xfId="46809" xr:uid="{4A308095-6C96-4629-BAB7-4F89CC062F90}"/>
    <cellStyle name="20% - Accent4 2 2 2 3 4 3" xfId="28213" xr:uid="{F4770976-B987-4D1B-8E44-524DA4DCE9D0}"/>
    <cellStyle name="20% - Accent4 2 2 2 3 5" xfId="37512" xr:uid="{D9D2C751-B76F-45E1-9D64-0D67A498230A}"/>
    <cellStyle name="20% - Accent4 2 2 2 3 6" xfId="18914" xr:uid="{0054ADC8-C6C7-4A38-BE05-A10E0F008F69}"/>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17242" xr:uid="{1CC063C8-B2FE-46A6-8F82-22C06C84DAD8}"/>
    <cellStyle name="20% - Accent4 2 2 2 4 2 2 2 2" xfId="53584" xr:uid="{29796061-A209-40F5-826A-D7F044008EEF}"/>
    <cellStyle name="20% - Accent4 2 2 2 4 2 2 2 3" xfId="34988" xr:uid="{2043A40E-C579-4E0E-B92B-2B65C99A1693}"/>
    <cellStyle name="20% - Accent4 2 2 2 4 2 2 3" xfId="44287" xr:uid="{1DAF11BF-7664-4043-9220-C416D4E0EBF7}"/>
    <cellStyle name="20% - Accent4 2 2 2 4 2 2 4" xfId="25689" xr:uid="{09D86562-339B-41F3-8AD5-3D588E6E6D5F}"/>
    <cellStyle name="20% - Accent4 2 2 2 4 2 3" xfId="13025" xr:uid="{B3C2E656-8D31-4192-A5AE-854DCBCE3849}"/>
    <cellStyle name="20% - Accent4 2 2 2 4 2 3 2" xfId="49367" xr:uid="{73134339-6335-4A0D-BDB9-2BAC677D3041}"/>
    <cellStyle name="20% - Accent4 2 2 2 4 2 3 3" xfId="30771" xr:uid="{54240331-5E1D-41F9-8FC5-C36687D30582}"/>
    <cellStyle name="20% - Accent4 2 2 2 4 2 4" xfId="40070" xr:uid="{6DC93985-6196-405D-A255-B497C1E8AB5B}"/>
    <cellStyle name="20% - Accent4 2 2 2 4 2 5" xfId="21472" xr:uid="{045ADCA6-5F82-44BF-A871-134DCAE52BC1}"/>
    <cellStyle name="20% - Accent4 2 2 2 4 3" xfId="5771" xr:uid="{00000000-0005-0000-0000-0000F0010000}"/>
    <cellStyle name="20% - Accent4 2 2 2 4 3 2" xfId="15097" xr:uid="{A7C5577E-180F-4B37-8CA8-9C7376158488}"/>
    <cellStyle name="20% - Accent4 2 2 2 4 3 2 2" xfId="51439" xr:uid="{8EAE5A08-D4D9-48F5-A0A9-EF84F7AC6FA1}"/>
    <cellStyle name="20% - Accent4 2 2 2 4 3 2 3" xfId="32843" xr:uid="{B502CA7F-7FF1-4031-8AE9-0AD7668F65E5}"/>
    <cellStyle name="20% - Accent4 2 2 2 4 3 3" xfId="42142" xr:uid="{A85A30FF-BAA7-47FC-9B30-DDF1C5FACECF}"/>
    <cellStyle name="20% - Accent4 2 2 2 4 3 4" xfId="23544" xr:uid="{E7408275-E06D-4ECD-ADC0-532B13C56D67}"/>
    <cellStyle name="20% - Accent4 2 2 2 4 4" xfId="10880" xr:uid="{8FB00C76-3B21-4AE9-BF92-E6F110AE6DCE}"/>
    <cellStyle name="20% - Accent4 2 2 2 4 4 2" xfId="47222" xr:uid="{E93FA759-1E0B-49E5-B165-98BBD364C954}"/>
    <cellStyle name="20% - Accent4 2 2 2 4 4 3" xfId="28626" xr:uid="{CF924B9F-CBDA-4BC5-87B3-921D0B73DC4A}"/>
    <cellStyle name="20% - Accent4 2 2 2 4 5" xfId="37925" xr:uid="{632CF108-6AFF-4365-84AA-570B5E553F5A}"/>
    <cellStyle name="20% - Accent4 2 2 2 4 6" xfId="19327" xr:uid="{BDEFDAAE-A172-4494-AE0B-A9C859F4B744}"/>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17655" xr:uid="{3F45A1D1-397A-4C48-965E-D5B8E3BC0564}"/>
    <cellStyle name="20% - Accent4 2 2 2 5 2 2 2 2" xfId="53997" xr:uid="{BA71ED10-67CF-459E-AB94-AE0FF9EC3080}"/>
    <cellStyle name="20% - Accent4 2 2 2 5 2 2 2 3" xfId="35401" xr:uid="{80DFD4A9-9E85-4E47-81FC-708214712226}"/>
    <cellStyle name="20% - Accent4 2 2 2 5 2 2 3" xfId="44700" xr:uid="{B645B2AE-F324-45F0-96E0-7CF56F18827A}"/>
    <cellStyle name="20% - Accent4 2 2 2 5 2 2 4" xfId="26102" xr:uid="{2C1834B6-4DE3-4F3A-8722-4DFE7B0EAAA2}"/>
    <cellStyle name="20% - Accent4 2 2 2 5 2 3" xfId="13438" xr:uid="{631E87D6-3EEB-4F13-A13C-4B05A4B8A442}"/>
    <cellStyle name="20% - Accent4 2 2 2 5 2 3 2" xfId="49780" xr:uid="{600FDD46-07DB-4A08-A078-74D2157402F0}"/>
    <cellStyle name="20% - Accent4 2 2 2 5 2 3 3" xfId="31184" xr:uid="{CFA2F6FC-047E-46C4-9885-167130B3109E}"/>
    <cellStyle name="20% - Accent4 2 2 2 5 2 4" xfId="40483" xr:uid="{ED29D01C-1449-4BCA-B066-E0BE78F3DC02}"/>
    <cellStyle name="20% - Accent4 2 2 2 5 2 5" xfId="21885" xr:uid="{1224C67C-5B47-4130-9311-4C73ED2E4416}"/>
    <cellStyle name="20% - Accent4 2 2 2 5 3" xfId="6184" xr:uid="{00000000-0005-0000-0000-0000F4010000}"/>
    <cellStyle name="20% - Accent4 2 2 2 5 3 2" xfId="15510" xr:uid="{5D863FC9-F916-402A-902B-EA57F5AE231D}"/>
    <cellStyle name="20% - Accent4 2 2 2 5 3 2 2" xfId="51852" xr:uid="{4C0BF9BA-7388-428A-9A83-A2D1A7562F6D}"/>
    <cellStyle name="20% - Accent4 2 2 2 5 3 2 3" xfId="33256" xr:uid="{11A8A741-49BA-44DD-8035-94B67B952CE1}"/>
    <cellStyle name="20% - Accent4 2 2 2 5 3 3" xfId="42555" xr:uid="{6AFA2678-226D-4F7C-81A7-3986738938DA}"/>
    <cellStyle name="20% - Accent4 2 2 2 5 3 4" xfId="23957" xr:uid="{E072B2F6-C4E8-48AE-9FF5-918547DC2B2C}"/>
    <cellStyle name="20% - Accent4 2 2 2 5 4" xfId="11293" xr:uid="{428B21BA-09AB-4A41-A40B-83198F864679}"/>
    <cellStyle name="20% - Accent4 2 2 2 5 4 2" xfId="47635" xr:uid="{9BD6E9D5-1034-4659-B073-AEAE9E0559FE}"/>
    <cellStyle name="20% - Accent4 2 2 2 5 4 3" xfId="29039" xr:uid="{561B62B0-5090-436E-B839-A6278850ECFB}"/>
    <cellStyle name="20% - Accent4 2 2 2 5 5" xfId="38338" xr:uid="{9C0AAEDB-A6A2-4380-B156-B8DD4F97DE80}"/>
    <cellStyle name="20% - Accent4 2 2 2 5 6" xfId="19740" xr:uid="{EC86FF6B-F819-47DF-A3CA-AE0B5FF85AD0}"/>
    <cellStyle name="20% - Accent4 2 2 2 6" xfId="2291" xr:uid="{00000000-0005-0000-0000-0000F5010000}"/>
    <cellStyle name="20% - Accent4 2 2 2 6 2" xfId="6597" xr:uid="{00000000-0005-0000-0000-0000F6010000}"/>
    <cellStyle name="20% - Accent4 2 2 2 6 2 2" xfId="15923" xr:uid="{8919CD19-CEB0-486E-BFE8-1E7B47B7BEFC}"/>
    <cellStyle name="20% - Accent4 2 2 2 6 2 2 2" xfId="52265" xr:uid="{43001536-E435-4425-8689-8EA4A55A7F2C}"/>
    <cellStyle name="20% - Accent4 2 2 2 6 2 2 3" xfId="33669" xr:uid="{DD71106C-9BD6-4485-83E8-CDC5E8EAAB65}"/>
    <cellStyle name="20% - Accent4 2 2 2 6 2 3" xfId="42968" xr:uid="{35FB5DD1-A58A-4BE4-B69E-81C637FB9157}"/>
    <cellStyle name="20% - Accent4 2 2 2 6 2 4" xfId="24370" xr:uid="{2470A086-A6D7-47D6-8871-ECCC152C8A4B}"/>
    <cellStyle name="20% - Accent4 2 2 2 6 3" xfId="11706" xr:uid="{FA6C2F5C-EC9E-47D7-8BB4-882D6275CE57}"/>
    <cellStyle name="20% - Accent4 2 2 2 6 3 2" xfId="48048" xr:uid="{2C756DC4-0D30-420A-8FA2-5DEB5AE55ECF}"/>
    <cellStyle name="20% - Accent4 2 2 2 6 3 3" xfId="29452" xr:uid="{5615518C-C6CF-47FF-A27C-05C4CA62BA05}"/>
    <cellStyle name="20% - Accent4 2 2 2 6 4" xfId="38751" xr:uid="{220C431E-0516-4A67-B310-B4312F8E476B}"/>
    <cellStyle name="20% - Accent4 2 2 2 6 5" xfId="20153" xr:uid="{ADA41DE7-0F65-4628-B9EC-257AA35F39D3}"/>
    <cellStyle name="20% - Accent4 2 2 2 7" xfId="4531" xr:uid="{00000000-0005-0000-0000-0000F7010000}"/>
    <cellStyle name="20% - Accent4 2 2 2 7 2" xfId="13857" xr:uid="{D7E0FE12-9317-48A5-BCDF-DA720FF6A237}"/>
    <cellStyle name="20% - Accent4 2 2 2 7 2 2" xfId="50199" xr:uid="{615F7FBE-EF46-491B-8376-2F60B1177972}"/>
    <cellStyle name="20% - Accent4 2 2 2 7 2 3" xfId="31603" xr:uid="{61F09978-FEE3-4933-9C3D-181EDE1CF2A1}"/>
    <cellStyle name="20% - Accent4 2 2 2 7 3" xfId="40902" xr:uid="{7A6CEBDE-AB3C-46FA-94BB-3F7A123239C9}"/>
    <cellStyle name="20% - Accent4 2 2 2 7 4" xfId="22304" xr:uid="{645A5574-7F30-4C48-99C0-20EA765BD131}"/>
    <cellStyle name="20% - Accent4 2 2 2 8" xfId="9104" xr:uid="{526BE306-22BA-4A85-81B2-34AEB56F0D90}"/>
    <cellStyle name="20% - Accent4 2 2 2 8 2" xfId="36174" xr:uid="{343D0447-048F-4AC9-B8A8-3FDE6DCC155A}"/>
    <cellStyle name="20% - Accent4 2 2 2 8 2 2" xfId="54769" xr:uid="{66D9226C-6987-4733-AD46-D5F0BD4CA557}"/>
    <cellStyle name="20% - Accent4 2 2 2 8 3" xfId="45472" xr:uid="{7DDAD8D9-FC85-4559-B0D8-C89B2605C9BB}"/>
    <cellStyle name="20% - Accent4 2 2 2 8 4" xfId="26875" xr:uid="{94691987-F09A-4154-89D2-FC28D7D87CD7}"/>
    <cellStyle name="20% - Accent4 2 2 2 9" xfId="9640" xr:uid="{91314245-148D-4F80-94FA-161F27150182}"/>
    <cellStyle name="20% - Accent4 2 2 2 9 2" xfId="45982" xr:uid="{F426219B-5206-4F0B-A8B1-6314133FEADD}"/>
    <cellStyle name="20% - Accent4 2 2 2 9 3" xfId="27386" xr:uid="{F59B5517-7B4C-4BCC-9737-9ED85920D8CB}"/>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16415" xr:uid="{FE04221A-1F22-47D1-9767-340D8D43D7B3}"/>
    <cellStyle name="20% - Accent4 2 2 3 2 2 2 2" xfId="52757" xr:uid="{2B69F5D8-F182-495C-9931-314DF7017804}"/>
    <cellStyle name="20% - Accent4 2 2 3 2 2 2 3" xfId="34161" xr:uid="{8A212B68-5F8F-4EAA-AA7B-88461585D48E}"/>
    <cellStyle name="20% - Accent4 2 2 3 2 2 3" xfId="43460" xr:uid="{7558ADC3-A69D-4D96-82EB-2953739874BB}"/>
    <cellStyle name="20% - Accent4 2 2 3 2 2 4" xfId="24862" xr:uid="{9A72AD63-242A-471F-A080-54D7CDB95847}"/>
    <cellStyle name="20% - Accent4 2 2 3 2 3" xfId="12198" xr:uid="{AE4580FE-F075-4E22-A5A4-1A3C04138C12}"/>
    <cellStyle name="20% - Accent4 2 2 3 2 3 2" xfId="48540" xr:uid="{1D62E3FE-8AE5-4999-92A0-A8F9A043BF35}"/>
    <cellStyle name="20% - Accent4 2 2 3 2 3 3" xfId="29944" xr:uid="{28B0BE90-CD3C-488B-A719-24E30D4F2B37}"/>
    <cellStyle name="20% - Accent4 2 2 3 2 4" xfId="39243" xr:uid="{2B4130E8-3784-4411-B9C9-0C694603C029}"/>
    <cellStyle name="20% - Accent4 2 2 3 2 5" xfId="20645" xr:uid="{7EA9BA4E-8379-4FDF-991E-E1D5FC17EC01}"/>
    <cellStyle name="20% - Accent4 2 2 3 3" xfId="4944" xr:uid="{00000000-0005-0000-0000-0000FB010000}"/>
    <cellStyle name="20% - Accent4 2 2 3 3 2" xfId="14270" xr:uid="{58FC0DFC-2627-473A-AAD4-5A71AAEBFA2C}"/>
    <cellStyle name="20% - Accent4 2 2 3 3 2 2" xfId="50612" xr:uid="{5F79F960-6E33-42DC-87E1-FB3FF919C0BE}"/>
    <cellStyle name="20% - Accent4 2 2 3 3 2 3" xfId="32016" xr:uid="{BFA962E1-82FB-4EB1-B110-F8887EACD509}"/>
    <cellStyle name="20% - Accent4 2 2 3 3 3" xfId="41315" xr:uid="{AA9C689B-7EDC-4799-B786-31C79672E3B1}"/>
    <cellStyle name="20% - Accent4 2 2 3 3 4" xfId="22717" xr:uid="{92E9A20E-D1B6-4048-AB4B-BBFFB3B132AF}"/>
    <cellStyle name="20% - Accent4 2 2 3 4" xfId="9322" xr:uid="{003BBE99-27AA-4036-A373-4475953A88F4}"/>
    <cellStyle name="20% - Accent4 2 2 3 4 2" xfId="36383" xr:uid="{8DBD86AB-78C7-4E6E-86D7-E8DBA676128A}"/>
    <cellStyle name="20% - Accent4 2 2 3 4 2 2" xfId="54977" xr:uid="{825F43B9-F945-4F6F-AE90-FABA235D69FC}"/>
    <cellStyle name="20% - Accent4 2 2 3 4 3" xfId="45680" xr:uid="{04BCD73F-BC46-40E2-B821-786694CCCB7C}"/>
    <cellStyle name="20% - Accent4 2 2 3 4 4" xfId="27084" xr:uid="{317B2D57-DAB9-4791-ADA2-51180795250D}"/>
    <cellStyle name="20% - Accent4 2 2 3 5" xfId="10053" xr:uid="{1ACE3252-CED2-4BEC-9739-F4534EB2177E}"/>
    <cellStyle name="20% - Accent4 2 2 3 5 2" xfId="46395" xr:uid="{DF0876CD-4AEA-44DE-9E6B-7370B0D3F4F2}"/>
    <cellStyle name="20% - Accent4 2 2 3 5 3" xfId="27799" xr:uid="{57B598E5-589E-4524-9BF4-9C055F018BC8}"/>
    <cellStyle name="20% - Accent4 2 2 3 6" xfId="37098" xr:uid="{5C50A740-66F7-46DF-9560-03C75EB4F04C}"/>
    <cellStyle name="20% - Accent4 2 2 3 7" xfId="18500" xr:uid="{B026B55D-718A-49CB-A730-7E51D302DDBB}"/>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16828" xr:uid="{81E84774-3F05-44F1-AC97-68F9C4F9C75D}"/>
    <cellStyle name="20% - Accent4 2 2 4 2 2 2 2" xfId="53170" xr:uid="{A701FDDD-2CFA-4632-BA9C-0A6E0CD56C5A}"/>
    <cellStyle name="20% - Accent4 2 2 4 2 2 2 3" xfId="34574" xr:uid="{542D80D6-3E9F-4FC2-AE90-C4C5DE51A4B0}"/>
    <cellStyle name="20% - Accent4 2 2 4 2 2 3" xfId="43873" xr:uid="{157CECC6-BD22-480C-A5C3-1F42B427AAAD}"/>
    <cellStyle name="20% - Accent4 2 2 4 2 2 4" xfId="25275" xr:uid="{54094AE6-8179-4855-9374-D9955C371FED}"/>
    <cellStyle name="20% - Accent4 2 2 4 2 3" xfId="12611" xr:uid="{21A0F846-2A3A-4731-8DC1-48F4335EC6DB}"/>
    <cellStyle name="20% - Accent4 2 2 4 2 3 2" xfId="48953" xr:uid="{731A291C-483F-411D-8D93-C42BB7B56A3B}"/>
    <cellStyle name="20% - Accent4 2 2 4 2 3 3" xfId="30357" xr:uid="{8D677265-062A-4188-B0F5-5842E8C64FCE}"/>
    <cellStyle name="20% - Accent4 2 2 4 2 4" xfId="39656" xr:uid="{24C30B53-4D8E-496E-9685-2F6BFE0003E2}"/>
    <cellStyle name="20% - Accent4 2 2 4 2 5" xfId="21058" xr:uid="{04641F8A-0BCB-4112-8C62-CCBABE52AE16}"/>
    <cellStyle name="20% - Accent4 2 2 4 3" xfId="5357" xr:uid="{00000000-0005-0000-0000-0000FF010000}"/>
    <cellStyle name="20% - Accent4 2 2 4 3 2" xfId="14683" xr:uid="{9FE3663D-8DBF-4099-A3E2-A56508765F17}"/>
    <cellStyle name="20% - Accent4 2 2 4 3 2 2" xfId="51025" xr:uid="{DD5BDD2F-6F37-4AFE-84FE-5675B66B486A}"/>
    <cellStyle name="20% - Accent4 2 2 4 3 2 3" xfId="32429" xr:uid="{5D33B6FB-4370-4722-9F0C-E5804198BDDD}"/>
    <cellStyle name="20% - Accent4 2 2 4 3 3" xfId="41728" xr:uid="{08905A8E-73DF-4136-B4FD-272B900BA19C}"/>
    <cellStyle name="20% - Accent4 2 2 4 3 4" xfId="23130" xr:uid="{613E3FAE-A191-49AE-86BE-7C55A4CE604C}"/>
    <cellStyle name="20% - Accent4 2 2 4 4" xfId="10466" xr:uid="{45033D17-667C-41F4-BBE6-336B8725FBBC}"/>
    <cellStyle name="20% - Accent4 2 2 4 4 2" xfId="46808" xr:uid="{0B23C619-6E75-4F59-93CB-D9AF8A96E8AD}"/>
    <cellStyle name="20% - Accent4 2 2 4 4 3" xfId="28212" xr:uid="{2BA5975C-E9C9-4471-A838-471FB65B049E}"/>
    <cellStyle name="20% - Accent4 2 2 4 5" xfId="37511" xr:uid="{BA9B7868-96D4-491D-81C0-3EC3DF69D348}"/>
    <cellStyle name="20% - Accent4 2 2 4 6" xfId="18913" xr:uid="{F593E735-7BA4-4247-8FCF-F3E06A38ED0A}"/>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17241" xr:uid="{160C47F6-8482-4334-8425-2EA22C3E1B0D}"/>
    <cellStyle name="20% - Accent4 2 2 5 2 2 2 2" xfId="53583" xr:uid="{9475433E-9AAD-4819-93C9-7D03217E12AF}"/>
    <cellStyle name="20% - Accent4 2 2 5 2 2 2 3" xfId="34987" xr:uid="{0F2D8A1E-2A9B-4595-AD23-2572E25EDCFC}"/>
    <cellStyle name="20% - Accent4 2 2 5 2 2 3" xfId="44286" xr:uid="{2E8C6D4A-ADCA-41D9-AECE-9D5069EBCB8C}"/>
    <cellStyle name="20% - Accent4 2 2 5 2 2 4" xfId="25688" xr:uid="{99861EF9-9062-4742-BFAB-A8DEBE2F2FF7}"/>
    <cellStyle name="20% - Accent4 2 2 5 2 3" xfId="13024" xr:uid="{31F14819-A89C-43D8-8805-E9A99FEAA8EE}"/>
    <cellStyle name="20% - Accent4 2 2 5 2 3 2" xfId="49366" xr:uid="{0DFE9B9A-1A27-46E0-89B0-2562A4DB4F5F}"/>
    <cellStyle name="20% - Accent4 2 2 5 2 3 3" xfId="30770" xr:uid="{FC7B52C5-47B5-417A-8286-1CB9BC44BEC8}"/>
    <cellStyle name="20% - Accent4 2 2 5 2 4" xfId="40069" xr:uid="{3D0971E1-BD33-4D00-BA28-5A1284755DBB}"/>
    <cellStyle name="20% - Accent4 2 2 5 2 5" xfId="21471" xr:uid="{43D01392-3C9A-41CB-A4AB-A57F16595871}"/>
    <cellStyle name="20% - Accent4 2 2 5 3" xfId="5770" xr:uid="{00000000-0005-0000-0000-000003020000}"/>
    <cellStyle name="20% - Accent4 2 2 5 3 2" xfId="15096" xr:uid="{9C25544A-EFE1-4978-8D1B-E3CE43B7D08D}"/>
    <cellStyle name="20% - Accent4 2 2 5 3 2 2" xfId="51438" xr:uid="{709758D2-E6E6-4FFE-8F86-85D3FE32348D}"/>
    <cellStyle name="20% - Accent4 2 2 5 3 2 3" xfId="32842" xr:uid="{3DC6572B-8D6E-4B90-AE71-53C81E80F9E8}"/>
    <cellStyle name="20% - Accent4 2 2 5 3 3" xfId="42141" xr:uid="{5BCBE1B3-9FB4-4B50-A8D4-6AE21A52871E}"/>
    <cellStyle name="20% - Accent4 2 2 5 3 4" xfId="23543" xr:uid="{1FAC970D-D6BE-4235-B329-17385E0F35A7}"/>
    <cellStyle name="20% - Accent4 2 2 5 4" xfId="10879" xr:uid="{8A1C3AE2-95FB-46D9-ACE9-7D9EAC93EB44}"/>
    <cellStyle name="20% - Accent4 2 2 5 4 2" xfId="47221" xr:uid="{D84E73AE-74CB-4D95-8258-FA57B8415B5C}"/>
    <cellStyle name="20% - Accent4 2 2 5 4 3" xfId="28625" xr:uid="{EB82FFE8-FFD1-46BF-9FC9-51C0E71405F6}"/>
    <cellStyle name="20% - Accent4 2 2 5 5" xfId="37924" xr:uid="{B2E40531-B8EF-42DE-9C2F-34757A963E4C}"/>
    <cellStyle name="20% - Accent4 2 2 5 6" xfId="19326" xr:uid="{35B4F764-F8CA-4D5C-B7C2-41FDF78F9F4C}"/>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17654" xr:uid="{9B01C016-A36A-473D-9851-F626FF6127BB}"/>
    <cellStyle name="20% - Accent4 2 2 6 2 2 2 2" xfId="53996" xr:uid="{3017FD1D-8285-4EA5-A132-3BFCC9C5C04F}"/>
    <cellStyle name="20% - Accent4 2 2 6 2 2 2 3" xfId="35400" xr:uid="{88188BBF-2F90-427A-BDC7-39B03AFF71EF}"/>
    <cellStyle name="20% - Accent4 2 2 6 2 2 3" xfId="44699" xr:uid="{B72F0E9F-A32A-4BD9-A2C2-5F244008ECE3}"/>
    <cellStyle name="20% - Accent4 2 2 6 2 2 4" xfId="26101" xr:uid="{CAD9FA52-CBEF-4041-8B93-539BF9A361C2}"/>
    <cellStyle name="20% - Accent4 2 2 6 2 3" xfId="13437" xr:uid="{5A6AEBF7-1A3D-413F-BCF7-E21B6E7F7AC2}"/>
    <cellStyle name="20% - Accent4 2 2 6 2 3 2" xfId="49779" xr:uid="{6BB61BAC-7974-420B-8643-CE1CE48C1DFD}"/>
    <cellStyle name="20% - Accent4 2 2 6 2 3 3" xfId="31183" xr:uid="{FD34BC8F-D8AD-4B25-8009-294AFBDCF118}"/>
    <cellStyle name="20% - Accent4 2 2 6 2 4" xfId="40482" xr:uid="{FF6D6AA1-56AD-46B4-8239-B7DA39EB9EFF}"/>
    <cellStyle name="20% - Accent4 2 2 6 2 5" xfId="21884" xr:uid="{431AE9D0-3388-4808-B993-C7700851502E}"/>
    <cellStyle name="20% - Accent4 2 2 6 3" xfId="6183" xr:uid="{00000000-0005-0000-0000-000007020000}"/>
    <cellStyle name="20% - Accent4 2 2 6 3 2" xfId="15509" xr:uid="{3082D338-53CF-442F-ACDD-0F6DADB12CC0}"/>
    <cellStyle name="20% - Accent4 2 2 6 3 2 2" xfId="51851" xr:uid="{AB4B75C3-3E2F-4D41-9371-0835AE3B3CEE}"/>
    <cellStyle name="20% - Accent4 2 2 6 3 2 3" xfId="33255" xr:uid="{2B4C8BE9-EA6F-4509-A549-191531D3FC42}"/>
    <cellStyle name="20% - Accent4 2 2 6 3 3" xfId="42554" xr:uid="{C6BBDB75-52EF-4FF6-A872-0C4A1CE0EA3D}"/>
    <cellStyle name="20% - Accent4 2 2 6 3 4" xfId="23956" xr:uid="{0348ECE5-A464-482B-A805-BECAFA9DE6F8}"/>
    <cellStyle name="20% - Accent4 2 2 6 4" xfId="11292" xr:uid="{4A27CE9A-225E-4ABA-949C-4514587684D7}"/>
    <cellStyle name="20% - Accent4 2 2 6 4 2" xfId="47634" xr:uid="{F6FE7737-4447-4AE2-ACB5-1D2F4FDDDF28}"/>
    <cellStyle name="20% - Accent4 2 2 6 4 3" xfId="29038" xr:uid="{E148622A-1E9B-4A69-A50B-DED4D6287470}"/>
    <cellStyle name="20% - Accent4 2 2 6 5" xfId="38337" xr:uid="{159225EF-B1D9-476F-BABF-1EA27059D0B4}"/>
    <cellStyle name="20% - Accent4 2 2 6 6" xfId="19739" xr:uid="{505A63CE-F668-4CAA-9E9B-632901C68618}"/>
    <cellStyle name="20% - Accent4 2 2 7" xfId="2290" xr:uid="{00000000-0005-0000-0000-000008020000}"/>
    <cellStyle name="20% - Accent4 2 2 7 2" xfId="6596" xr:uid="{00000000-0005-0000-0000-000009020000}"/>
    <cellStyle name="20% - Accent4 2 2 7 2 2" xfId="15922" xr:uid="{5F14ED0B-AA5E-4354-A4A4-93D18D63BCEE}"/>
    <cellStyle name="20% - Accent4 2 2 7 2 2 2" xfId="52264" xr:uid="{0CB7F8F7-8FCF-4F30-9680-C329C4B24093}"/>
    <cellStyle name="20% - Accent4 2 2 7 2 2 3" xfId="33668" xr:uid="{43EFB335-6BA7-486D-AAA1-26DC1E565738}"/>
    <cellStyle name="20% - Accent4 2 2 7 2 3" xfId="42967" xr:uid="{C0DDFEED-34D0-4EDE-8731-AEF020EB384B}"/>
    <cellStyle name="20% - Accent4 2 2 7 2 4" xfId="24369" xr:uid="{EFF428E5-E81C-44A8-BB9E-BBE5B7C6B6BC}"/>
    <cellStyle name="20% - Accent4 2 2 7 3" xfId="11705" xr:uid="{D2893B49-9CD3-4FD8-9237-89C959BE89B6}"/>
    <cellStyle name="20% - Accent4 2 2 7 3 2" xfId="48047" xr:uid="{07D9CAD5-7B92-4F0D-A61F-67E73B521992}"/>
    <cellStyle name="20% - Accent4 2 2 7 3 3" xfId="29451" xr:uid="{82248B37-3803-4211-A0CD-0AF4BDA02507}"/>
    <cellStyle name="20% - Accent4 2 2 7 4" xfId="38750" xr:uid="{9F6CD8D2-8C4B-4C0C-8651-436EAD044FC2}"/>
    <cellStyle name="20% - Accent4 2 2 7 5" xfId="20152" xr:uid="{984F1089-07A4-4678-91E7-89AE1176F269}"/>
    <cellStyle name="20% - Accent4 2 2 8" xfId="4530" xr:uid="{00000000-0005-0000-0000-00000A020000}"/>
    <cellStyle name="20% - Accent4 2 2 8 2" xfId="13856" xr:uid="{2DD53496-5825-46B2-B029-D0F46FB3BDD3}"/>
    <cellStyle name="20% - Accent4 2 2 8 2 2" xfId="50198" xr:uid="{2AEA673E-B755-47F5-AF44-D7BC4DD83F3B}"/>
    <cellStyle name="20% - Accent4 2 2 8 2 3" xfId="31602" xr:uid="{9441A716-F750-4FBA-9457-27ECD6F314A0}"/>
    <cellStyle name="20% - Accent4 2 2 8 3" xfId="40901" xr:uid="{36FE4772-D526-4B75-96E4-C7E709044215}"/>
    <cellStyle name="20% - Accent4 2 2 8 4" xfId="22303" xr:uid="{6C07D4C2-6B4A-4BEB-87FE-C8A2307FE29A}"/>
    <cellStyle name="20% - Accent4 2 2 9" xfId="8897" xr:uid="{3A58A73C-0193-4EAC-8E12-5BF8743CE9BA}"/>
    <cellStyle name="20% - Accent4 2 2 9 2" xfId="35967" xr:uid="{2AAE9A09-2A5F-43DB-838B-55C0167D8021}"/>
    <cellStyle name="20% - Accent4 2 2 9 2 2" xfId="54562" xr:uid="{9EE0B99F-5780-43E9-B610-19BAD90B68A1}"/>
    <cellStyle name="20% - Accent4 2 2 9 3" xfId="45265" xr:uid="{41F4CC2F-EAEF-4EAB-9D03-731111ADBCA4}"/>
    <cellStyle name="20% - Accent4 2 2 9 4" xfId="26668" xr:uid="{C1292076-F873-4A0A-BD17-06CDDEDB63E6}"/>
    <cellStyle name="20% - Accent4 2 3" xfId="29" xr:uid="{00000000-0005-0000-0000-00000B020000}"/>
    <cellStyle name="20% - Accent4 2 3 10" xfId="36686" xr:uid="{B921CD31-21CF-49E3-8BBF-8C6A288B4CCF}"/>
    <cellStyle name="20% - Accent4 2 3 11" xfId="18088" xr:uid="{B44C280B-3444-4616-A5CF-7EE6E6DCC3D0}"/>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16417" xr:uid="{5DCB0DC9-7873-49C8-84EC-F030C784CE53}"/>
    <cellStyle name="20% - Accent4 2 3 2 2 2 2 2" xfId="52759" xr:uid="{C0098E17-56AC-45C8-840E-1961B52ECE62}"/>
    <cellStyle name="20% - Accent4 2 3 2 2 2 2 3" xfId="34163" xr:uid="{A274F8B5-6554-4DFA-84B2-5B6714007D5E}"/>
    <cellStyle name="20% - Accent4 2 3 2 2 2 3" xfId="43462" xr:uid="{6799B494-9058-415B-B7ED-AA331685957D}"/>
    <cellStyle name="20% - Accent4 2 3 2 2 2 4" xfId="24864" xr:uid="{D06DC493-1BDC-4516-A2FC-54657CD3C12E}"/>
    <cellStyle name="20% - Accent4 2 3 2 2 3" xfId="12200" xr:uid="{03FA6F9D-3526-432D-88B1-82509A4F2EF0}"/>
    <cellStyle name="20% - Accent4 2 3 2 2 3 2" xfId="48542" xr:uid="{591F2688-5786-42DC-8E36-854C97B77398}"/>
    <cellStyle name="20% - Accent4 2 3 2 2 3 3" xfId="29946" xr:uid="{C73E7752-407C-4F6C-8BB2-AEA75F2DBBAF}"/>
    <cellStyle name="20% - Accent4 2 3 2 2 4" xfId="39245" xr:uid="{E1BF4E32-E712-4669-8791-D12C049DB6B7}"/>
    <cellStyle name="20% - Accent4 2 3 2 2 5" xfId="20647" xr:uid="{53D9E4E2-F3B6-4636-A14A-50C095458FE9}"/>
    <cellStyle name="20% - Accent4 2 3 2 3" xfId="4946" xr:uid="{00000000-0005-0000-0000-00000F020000}"/>
    <cellStyle name="20% - Accent4 2 3 2 3 2" xfId="14272" xr:uid="{4905B646-4ECE-4833-9E17-427499902EC1}"/>
    <cellStyle name="20% - Accent4 2 3 2 3 2 2" xfId="50614" xr:uid="{8DE560FE-8379-49C2-B497-FB47409B967E}"/>
    <cellStyle name="20% - Accent4 2 3 2 3 2 3" xfId="32018" xr:uid="{5E013661-5CA4-40FA-9E95-575CAFE2142C}"/>
    <cellStyle name="20% - Accent4 2 3 2 3 3" xfId="41317" xr:uid="{40FE46BB-61E4-47DC-B795-4E1B8908D548}"/>
    <cellStyle name="20% - Accent4 2 3 2 3 4" xfId="22719" xr:uid="{F629EDFB-2DCA-44DA-8ED3-72DCF5958628}"/>
    <cellStyle name="20% - Accent4 2 3 2 4" xfId="9426" xr:uid="{5B247D51-FBFD-4799-8395-E3F1C04297B8}"/>
    <cellStyle name="20% - Accent4 2 3 2 4 2" xfId="36487" xr:uid="{4395C248-3A45-44C5-B11A-6F4DBBB6701E}"/>
    <cellStyle name="20% - Accent4 2 3 2 4 2 2" xfId="55081" xr:uid="{E1FD02C9-245A-4EAD-9533-88B5D13FB2BF}"/>
    <cellStyle name="20% - Accent4 2 3 2 4 3" xfId="45784" xr:uid="{73DAD0DC-1D3C-4E0D-860D-0D0527B7DE0A}"/>
    <cellStyle name="20% - Accent4 2 3 2 4 4" xfId="27188" xr:uid="{902453A8-F33E-48B3-AF7C-035A891EA95C}"/>
    <cellStyle name="20% - Accent4 2 3 2 5" xfId="10055" xr:uid="{6C848795-7E21-4688-809D-C2A70C74FC19}"/>
    <cellStyle name="20% - Accent4 2 3 2 5 2" xfId="46397" xr:uid="{28334122-118C-4CFB-8D4E-228DBA798BD1}"/>
    <cellStyle name="20% - Accent4 2 3 2 5 3" xfId="27801" xr:uid="{A4EEC2EA-AE83-46C7-AEA6-50515758D6C2}"/>
    <cellStyle name="20% - Accent4 2 3 2 6" xfId="37100" xr:uid="{19A0B3A6-CDD6-4CEA-993C-DC1E369DC827}"/>
    <cellStyle name="20% - Accent4 2 3 2 7" xfId="18502" xr:uid="{8F0B7AD7-5C29-4631-BE5F-C332626CE69A}"/>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16830" xr:uid="{399AB882-5576-4C5A-8556-9C6F5A394155}"/>
    <cellStyle name="20% - Accent4 2 3 3 2 2 2 2" xfId="53172" xr:uid="{FA0399FE-525F-4923-932B-67B7E876E195}"/>
    <cellStyle name="20% - Accent4 2 3 3 2 2 2 3" xfId="34576" xr:uid="{24B82013-107D-43A5-9AEC-0A29D98DD77E}"/>
    <cellStyle name="20% - Accent4 2 3 3 2 2 3" xfId="43875" xr:uid="{9EC0E066-8489-44D6-96BB-C75E87D43811}"/>
    <cellStyle name="20% - Accent4 2 3 3 2 2 4" xfId="25277" xr:uid="{8D09F4C9-4561-4C0B-A1FE-05124EE8DCE6}"/>
    <cellStyle name="20% - Accent4 2 3 3 2 3" xfId="12613" xr:uid="{4B29FA91-1355-4875-9182-77697964498A}"/>
    <cellStyle name="20% - Accent4 2 3 3 2 3 2" xfId="48955" xr:uid="{0C2FC2C3-B39B-4C2E-B9BB-F7235F707F25}"/>
    <cellStyle name="20% - Accent4 2 3 3 2 3 3" xfId="30359" xr:uid="{4D1927D3-A6C3-424C-ADF8-6DE0AA658FA6}"/>
    <cellStyle name="20% - Accent4 2 3 3 2 4" xfId="39658" xr:uid="{E5DBB06B-5282-4506-8D5E-F08890ECC1F3}"/>
    <cellStyle name="20% - Accent4 2 3 3 2 5" xfId="21060" xr:uid="{019FD94D-09AE-4B88-B3E0-7535FCE27C17}"/>
    <cellStyle name="20% - Accent4 2 3 3 3" xfId="5359" xr:uid="{00000000-0005-0000-0000-000013020000}"/>
    <cellStyle name="20% - Accent4 2 3 3 3 2" xfId="14685" xr:uid="{820D67CB-B846-452A-8F13-9908356B01BB}"/>
    <cellStyle name="20% - Accent4 2 3 3 3 2 2" xfId="51027" xr:uid="{71A54A70-09BF-4265-B152-6C76918071FC}"/>
    <cellStyle name="20% - Accent4 2 3 3 3 2 3" xfId="32431" xr:uid="{ECB106BE-1ACC-409E-A29B-12CB0666F61C}"/>
    <cellStyle name="20% - Accent4 2 3 3 3 3" xfId="41730" xr:uid="{B156D6B8-F58F-48D0-B139-829C384A1E8D}"/>
    <cellStyle name="20% - Accent4 2 3 3 3 4" xfId="23132" xr:uid="{56C8608C-8438-497B-963E-D50C1B2FB4A0}"/>
    <cellStyle name="20% - Accent4 2 3 3 4" xfId="10468" xr:uid="{9BCA9FDB-F4AD-4451-AE64-8FCAE2B8F4A3}"/>
    <cellStyle name="20% - Accent4 2 3 3 4 2" xfId="46810" xr:uid="{1090AF4B-693E-4200-BAFD-11F3705D38F2}"/>
    <cellStyle name="20% - Accent4 2 3 3 4 3" xfId="28214" xr:uid="{5D1B326E-99B2-4962-81C6-5796C765D398}"/>
    <cellStyle name="20% - Accent4 2 3 3 5" xfId="37513" xr:uid="{BB345DBD-0C80-4778-8F77-2289BA12DA14}"/>
    <cellStyle name="20% - Accent4 2 3 3 6" xfId="18915" xr:uid="{152387FE-9855-4CE7-96EB-4A2185CB4FF9}"/>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17243" xr:uid="{99ECFD3A-3790-49C2-BF36-CD16C211D3CA}"/>
    <cellStyle name="20% - Accent4 2 3 4 2 2 2 2" xfId="53585" xr:uid="{AE22451A-44E8-43DA-A1D9-5E2C10E25421}"/>
    <cellStyle name="20% - Accent4 2 3 4 2 2 2 3" xfId="34989" xr:uid="{BDF5E2E8-BD13-4904-9D93-05CFA3CF84BB}"/>
    <cellStyle name="20% - Accent4 2 3 4 2 2 3" xfId="44288" xr:uid="{030CD24E-FCD6-4D3E-9A04-53AC64D35D8D}"/>
    <cellStyle name="20% - Accent4 2 3 4 2 2 4" xfId="25690" xr:uid="{902773B8-FAE5-4778-9AE1-B791248E75F1}"/>
    <cellStyle name="20% - Accent4 2 3 4 2 3" xfId="13026" xr:uid="{B3B3AE04-5C0A-4FCE-966D-1FF45ACB1AB3}"/>
    <cellStyle name="20% - Accent4 2 3 4 2 3 2" xfId="49368" xr:uid="{28660BEA-083D-42F7-B925-E2FB3107848B}"/>
    <cellStyle name="20% - Accent4 2 3 4 2 3 3" xfId="30772" xr:uid="{F7501E1D-4497-4683-A822-AE0C08BF7729}"/>
    <cellStyle name="20% - Accent4 2 3 4 2 4" xfId="40071" xr:uid="{70FA434B-9213-4763-920C-B7F1164A1596}"/>
    <cellStyle name="20% - Accent4 2 3 4 2 5" xfId="21473" xr:uid="{6DDE66A8-F906-4947-B1E4-0A1793FAA338}"/>
    <cellStyle name="20% - Accent4 2 3 4 3" xfId="5772" xr:uid="{00000000-0005-0000-0000-000017020000}"/>
    <cellStyle name="20% - Accent4 2 3 4 3 2" xfId="15098" xr:uid="{12CD7570-AC59-4871-AEB5-E23A33EFCFF0}"/>
    <cellStyle name="20% - Accent4 2 3 4 3 2 2" xfId="51440" xr:uid="{1152F97D-8C8D-4489-8B03-A185A2592598}"/>
    <cellStyle name="20% - Accent4 2 3 4 3 2 3" xfId="32844" xr:uid="{B8F9D1EC-BB4F-4324-A255-701B231EF6A9}"/>
    <cellStyle name="20% - Accent4 2 3 4 3 3" xfId="42143" xr:uid="{B896041E-1CA8-4257-8FDB-75922192D3B9}"/>
    <cellStyle name="20% - Accent4 2 3 4 3 4" xfId="23545" xr:uid="{FEFC7ADD-1A9C-4DD8-8742-CF8AFDBE17A0}"/>
    <cellStyle name="20% - Accent4 2 3 4 4" xfId="10881" xr:uid="{E0E73DF0-4C71-4F7B-B655-F82C0CDBDD71}"/>
    <cellStyle name="20% - Accent4 2 3 4 4 2" xfId="47223" xr:uid="{F25FD846-7E52-40D2-8C39-864120CB3EBF}"/>
    <cellStyle name="20% - Accent4 2 3 4 4 3" xfId="28627" xr:uid="{8CBC96E3-4192-49EB-9AA8-A67293A72887}"/>
    <cellStyle name="20% - Accent4 2 3 4 5" xfId="37926" xr:uid="{54307E25-94BA-47A3-B921-584ADE7A7D98}"/>
    <cellStyle name="20% - Accent4 2 3 4 6" xfId="19328" xr:uid="{47AD6578-9CF2-4EE4-A57B-3F39B308F608}"/>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17656" xr:uid="{901EFA27-9971-4DA5-A585-24593E14D92B}"/>
    <cellStyle name="20% - Accent4 2 3 5 2 2 2 2" xfId="53998" xr:uid="{C81EB1E6-D87A-40E5-BDBF-24C4B32F8D90}"/>
    <cellStyle name="20% - Accent4 2 3 5 2 2 2 3" xfId="35402" xr:uid="{93E30683-525F-48F5-8B61-455B18D8550C}"/>
    <cellStyle name="20% - Accent4 2 3 5 2 2 3" xfId="44701" xr:uid="{4FA26E62-9418-46A9-BCE7-4059DAFCAE46}"/>
    <cellStyle name="20% - Accent4 2 3 5 2 2 4" xfId="26103" xr:uid="{091B27B8-EE8A-4184-B79F-5F0039783B8E}"/>
    <cellStyle name="20% - Accent4 2 3 5 2 3" xfId="13439" xr:uid="{BCC29A04-4EBC-4D78-BFA8-A0F25DA70A08}"/>
    <cellStyle name="20% - Accent4 2 3 5 2 3 2" xfId="49781" xr:uid="{28E0F706-4036-4F6F-8001-921D31AAE66A}"/>
    <cellStyle name="20% - Accent4 2 3 5 2 3 3" xfId="31185" xr:uid="{6B905D80-EFC8-4616-B6D0-6CF1A1E131AA}"/>
    <cellStyle name="20% - Accent4 2 3 5 2 4" xfId="40484" xr:uid="{714971E2-2AFB-4129-9AF9-93B9E8E6C630}"/>
    <cellStyle name="20% - Accent4 2 3 5 2 5" xfId="21886" xr:uid="{892961E2-B18B-41D8-B1E3-153B8D1E93A7}"/>
    <cellStyle name="20% - Accent4 2 3 5 3" xfId="6185" xr:uid="{00000000-0005-0000-0000-00001B020000}"/>
    <cellStyle name="20% - Accent4 2 3 5 3 2" xfId="15511" xr:uid="{32F576A4-59D7-4AEE-B45D-22A16DAF2DF1}"/>
    <cellStyle name="20% - Accent4 2 3 5 3 2 2" xfId="51853" xr:uid="{AB63F752-3653-458E-8DD7-90CF6D5AC057}"/>
    <cellStyle name="20% - Accent4 2 3 5 3 2 3" xfId="33257" xr:uid="{6043CB1D-F0D1-410D-AF38-9DB4FCCAB428}"/>
    <cellStyle name="20% - Accent4 2 3 5 3 3" xfId="42556" xr:uid="{82FD1A34-D933-4533-8E6B-8DC825183043}"/>
    <cellStyle name="20% - Accent4 2 3 5 3 4" xfId="23958" xr:uid="{F26F5DF7-CD6F-4B34-9860-DB0C0A4269EA}"/>
    <cellStyle name="20% - Accent4 2 3 5 4" xfId="11294" xr:uid="{95F8D7EA-C6F7-4557-A19B-B4E0B2EC8D0E}"/>
    <cellStyle name="20% - Accent4 2 3 5 4 2" xfId="47636" xr:uid="{1CF94125-6F73-424E-B76C-6589E5EB535F}"/>
    <cellStyle name="20% - Accent4 2 3 5 4 3" xfId="29040" xr:uid="{AEAD587D-F1C1-4424-9932-95D177CD7152}"/>
    <cellStyle name="20% - Accent4 2 3 5 5" xfId="38339" xr:uid="{0D05A546-AE48-4FC9-AC92-E4D22D847545}"/>
    <cellStyle name="20% - Accent4 2 3 5 6" xfId="19741" xr:uid="{FE59C733-A829-4AAB-838E-52BFDB8A8686}"/>
    <cellStyle name="20% - Accent4 2 3 6" xfId="2292" xr:uid="{00000000-0005-0000-0000-00001C020000}"/>
    <cellStyle name="20% - Accent4 2 3 6 2" xfId="6598" xr:uid="{00000000-0005-0000-0000-00001D020000}"/>
    <cellStyle name="20% - Accent4 2 3 6 2 2" xfId="15924" xr:uid="{8A1B68EF-FEC0-4D32-8DE3-86975FA43B93}"/>
    <cellStyle name="20% - Accent4 2 3 6 2 2 2" xfId="52266" xr:uid="{8D0106DB-473B-4825-AE13-19180543128A}"/>
    <cellStyle name="20% - Accent4 2 3 6 2 2 3" xfId="33670" xr:uid="{3EAE7D93-7817-4D0E-8A43-885349A13676}"/>
    <cellStyle name="20% - Accent4 2 3 6 2 3" xfId="42969" xr:uid="{FDB0D27B-D841-4BE8-A56A-9EBE814450D4}"/>
    <cellStyle name="20% - Accent4 2 3 6 2 4" xfId="24371" xr:uid="{DE127707-AF8D-474A-844D-5A5495C7E3F3}"/>
    <cellStyle name="20% - Accent4 2 3 6 3" xfId="11707" xr:uid="{05B9726A-68E4-481D-BB47-C48046F7527B}"/>
    <cellStyle name="20% - Accent4 2 3 6 3 2" xfId="48049" xr:uid="{FBE59B53-C961-40AC-A5DA-F3293E732D37}"/>
    <cellStyle name="20% - Accent4 2 3 6 3 3" xfId="29453" xr:uid="{BD6FA071-98B7-4AE4-B6C4-63702F334B7D}"/>
    <cellStyle name="20% - Accent4 2 3 6 4" xfId="38752" xr:uid="{F9E9D031-F9D4-413E-B575-3A9BCBDB55A1}"/>
    <cellStyle name="20% - Accent4 2 3 6 5" xfId="20154" xr:uid="{8F5597E7-D822-48CE-B42F-732135928278}"/>
    <cellStyle name="20% - Accent4 2 3 7" xfId="4532" xr:uid="{00000000-0005-0000-0000-00001E020000}"/>
    <cellStyle name="20% - Accent4 2 3 7 2" xfId="13858" xr:uid="{193F9EE9-A923-425F-83AE-C64AF75AA7E9}"/>
    <cellStyle name="20% - Accent4 2 3 7 2 2" xfId="50200" xr:uid="{DB9E3FCC-C9E3-41DC-BB97-C90F4A843DBA}"/>
    <cellStyle name="20% - Accent4 2 3 7 2 3" xfId="31604" xr:uid="{3C5A0162-3B57-4222-9737-040BB9766131}"/>
    <cellStyle name="20% - Accent4 2 3 7 3" xfId="40903" xr:uid="{B06673B7-6BA3-4D02-A9F3-6AEA6EA7EC28}"/>
    <cellStyle name="20% - Accent4 2 3 7 4" xfId="22305" xr:uid="{FE6D1596-2A29-40D5-8787-F17BEE4C8567}"/>
    <cellStyle name="20% - Accent4 2 3 8" xfId="9001" xr:uid="{B9DE6BBA-06E2-4FC8-B645-F20E60244072}"/>
    <cellStyle name="20% - Accent4 2 3 8 2" xfId="36071" xr:uid="{5C6C84A3-77ED-488F-A1E5-691716BB09CB}"/>
    <cellStyle name="20% - Accent4 2 3 8 2 2" xfId="54666" xr:uid="{595DF504-04E9-426B-AA29-4F2C45C0EC96}"/>
    <cellStyle name="20% - Accent4 2 3 8 3" xfId="45369" xr:uid="{FD373475-6181-4FA7-A587-5A9ED2B1F8AB}"/>
    <cellStyle name="20% - Accent4 2 3 8 4" xfId="26772" xr:uid="{45A90D25-3E07-4378-BE18-C717C8A65596}"/>
    <cellStyle name="20% - Accent4 2 3 9" xfId="9641" xr:uid="{A3F99059-C500-492C-9F04-3265AA220902}"/>
    <cellStyle name="20% - Accent4 2 3 9 2" xfId="45983" xr:uid="{1B268D77-62DD-4AFA-8996-71B45C08BB31}"/>
    <cellStyle name="20% - Accent4 2 3 9 3" xfId="27387" xr:uid="{8EE561BF-A13F-46EB-81BA-E15E5B004208}"/>
    <cellStyle name="20% - Accent4 2 4" xfId="595" xr:uid="{00000000-0005-0000-0000-00001F020000}"/>
    <cellStyle name="20% - Accent4 2 4 2" xfId="2866" xr:uid="{00000000-0005-0000-0000-000020020000}"/>
    <cellStyle name="20% - Accent4 2 4 2 2" xfId="7088" xr:uid="{00000000-0005-0000-0000-000021020000}"/>
    <cellStyle name="20% - Accent4 2 4 2 2 2" xfId="16414" xr:uid="{66FBA2AF-2659-4128-AC4F-38A6CF8E30AD}"/>
    <cellStyle name="20% - Accent4 2 4 2 2 2 2" xfId="52756" xr:uid="{3F039DC7-ECE1-4195-AF19-BCAB524A12D4}"/>
    <cellStyle name="20% - Accent4 2 4 2 2 2 3" xfId="34160" xr:uid="{D5A1EDCC-1FC0-4937-ABB8-A31F0F7AD09E}"/>
    <cellStyle name="20% - Accent4 2 4 2 2 3" xfId="43459" xr:uid="{3EA6E5D1-C246-401C-A522-A2C6A40501A5}"/>
    <cellStyle name="20% - Accent4 2 4 2 2 4" xfId="24861" xr:uid="{38E9D977-7DD1-4F92-97ED-AB65B697241F}"/>
    <cellStyle name="20% - Accent4 2 4 2 3" xfId="12197" xr:uid="{0A89DB57-55F5-41E5-BE56-255D2D73EB96}"/>
    <cellStyle name="20% - Accent4 2 4 2 3 2" xfId="48539" xr:uid="{A3616FD9-56C7-43BA-A89C-9E54FF69A8C6}"/>
    <cellStyle name="20% - Accent4 2 4 2 3 3" xfId="29943" xr:uid="{E528BBAD-CF74-4583-A5FE-2686217714B9}"/>
    <cellStyle name="20% - Accent4 2 4 2 4" xfId="39242" xr:uid="{1D76B8EA-370B-42C0-9840-E6ADE277C713}"/>
    <cellStyle name="20% - Accent4 2 4 2 5" xfId="20644" xr:uid="{3BC539F2-3321-424E-BA78-B74C476AA72C}"/>
    <cellStyle name="20% - Accent4 2 4 3" xfId="4943" xr:uid="{00000000-0005-0000-0000-000022020000}"/>
    <cellStyle name="20% - Accent4 2 4 3 2" xfId="14269" xr:uid="{74B194E8-94B8-4CDE-9B4E-334F175B777D}"/>
    <cellStyle name="20% - Accent4 2 4 3 2 2" xfId="50611" xr:uid="{75D4AF77-FDCB-4BD4-91F7-E8510C0BF38D}"/>
    <cellStyle name="20% - Accent4 2 4 3 2 3" xfId="32015" xr:uid="{88E9A030-591B-4D52-8909-46C6EE2BA05E}"/>
    <cellStyle name="20% - Accent4 2 4 3 3" xfId="41314" xr:uid="{2FADA2E2-779F-4FF5-89D8-11FEC62E9104}"/>
    <cellStyle name="20% - Accent4 2 4 3 4" xfId="22716" xr:uid="{A0616ACE-D401-43CA-B95F-E2663C14578F}"/>
    <cellStyle name="20% - Accent4 2 4 4" xfId="9218" xr:uid="{EEA9CEE5-7B27-41EB-B571-13D0ADC44445}"/>
    <cellStyle name="20% - Accent4 2 4 4 2" xfId="36280" xr:uid="{79AFDCB9-5612-4358-AEEB-E3E56E1DF475}"/>
    <cellStyle name="20% - Accent4 2 4 4 2 2" xfId="54874" xr:uid="{368C1B8E-19FE-433E-8DB9-B808219E7BB3}"/>
    <cellStyle name="20% - Accent4 2 4 4 3" xfId="45577" xr:uid="{7E461D11-C35F-4F26-8ADD-2217C9E1A00C}"/>
    <cellStyle name="20% - Accent4 2 4 4 4" xfId="26981" xr:uid="{349391BD-098B-41C8-BF3F-0339EEC1D236}"/>
    <cellStyle name="20% - Accent4 2 4 5" xfId="10052" xr:uid="{94187A43-FB2F-404D-BEEC-32E4A3CA1873}"/>
    <cellStyle name="20% - Accent4 2 4 5 2" xfId="46394" xr:uid="{C3DA5F84-DE8B-41BF-8A35-FFAC6C11CB06}"/>
    <cellStyle name="20% - Accent4 2 4 5 3" xfId="27798" xr:uid="{4726AFC6-3604-467B-AC58-29728C862F5E}"/>
    <cellStyle name="20% - Accent4 2 4 6" xfId="37097" xr:uid="{CC50E36F-C855-41E9-86EA-1E1FD5FAAA36}"/>
    <cellStyle name="20% - Accent4 2 4 7" xfId="18499" xr:uid="{6F30AB0B-73AC-478E-9F9E-CB80CE57F1EF}"/>
    <cellStyle name="20% - Accent4 2 5" xfId="1048" xr:uid="{00000000-0005-0000-0000-000023020000}"/>
    <cellStyle name="20% - Accent4 2 5 2" xfId="3279" xr:uid="{00000000-0005-0000-0000-000024020000}"/>
    <cellStyle name="20% - Accent4 2 5 2 2" xfId="7501" xr:uid="{00000000-0005-0000-0000-000025020000}"/>
    <cellStyle name="20% - Accent4 2 5 2 2 2" xfId="16827" xr:uid="{E841303E-126B-4F69-AA54-325300F1BE18}"/>
    <cellStyle name="20% - Accent4 2 5 2 2 2 2" xfId="53169" xr:uid="{B1126854-DA22-4EC9-A755-2CD3DECB45D0}"/>
    <cellStyle name="20% - Accent4 2 5 2 2 2 3" xfId="34573" xr:uid="{401BF899-0F2D-4165-9C11-0E8C5A23A86C}"/>
    <cellStyle name="20% - Accent4 2 5 2 2 3" xfId="43872" xr:uid="{DCDC9B5F-8803-446B-A232-4160A6B34470}"/>
    <cellStyle name="20% - Accent4 2 5 2 2 4" xfId="25274" xr:uid="{976FB6CD-2BC2-497D-B499-A0271E78DA1F}"/>
    <cellStyle name="20% - Accent4 2 5 2 3" xfId="12610" xr:uid="{07B49FA5-37D0-40C7-B47C-D433D3A0F592}"/>
    <cellStyle name="20% - Accent4 2 5 2 3 2" xfId="48952" xr:uid="{D09FEC4D-2C82-487B-A26D-5737D38A2533}"/>
    <cellStyle name="20% - Accent4 2 5 2 3 3" xfId="30356" xr:uid="{7A253B2B-86E7-4358-9261-D4CBF51F910F}"/>
    <cellStyle name="20% - Accent4 2 5 2 4" xfId="39655" xr:uid="{B1296779-D3F3-466E-8272-423FC3EB63C6}"/>
    <cellStyle name="20% - Accent4 2 5 2 5" xfId="21057" xr:uid="{A8925F66-59B0-4899-9BD4-97D846951314}"/>
    <cellStyle name="20% - Accent4 2 5 3" xfId="5356" xr:uid="{00000000-0005-0000-0000-000026020000}"/>
    <cellStyle name="20% - Accent4 2 5 3 2" xfId="14682" xr:uid="{CDA2BD39-1D86-40C3-BC33-8EA200869693}"/>
    <cellStyle name="20% - Accent4 2 5 3 2 2" xfId="51024" xr:uid="{5A378034-48DD-4A1F-A818-207C330D9057}"/>
    <cellStyle name="20% - Accent4 2 5 3 2 3" xfId="32428" xr:uid="{87784896-9E15-4D7F-BF5D-9DD256984976}"/>
    <cellStyle name="20% - Accent4 2 5 3 3" xfId="41727" xr:uid="{4E3D2DAC-EC2A-41B4-A700-14C0CC042209}"/>
    <cellStyle name="20% - Accent4 2 5 3 4" xfId="23129" xr:uid="{7877AE77-BD20-4311-947A-B163AD053A42}"/>
    <cellStyle name="20% - Accent4 2 5 4" xfId="10465" xr:uid="{00573F84-487E-4B36-9D93-B1D4F80F61F7}"/>
    <cellStyle name="20% - Accent4 2 5 4 2" xfId="46807" xr:uid="{C54183D3-8C7D-485B-86DE-71165505C39D}"/>
    <cellStyle name="20% - Accent4 2 5 4 3" xfId="28211" xr:uid="{DFB9E9EB-DA06-492A-878F-16E4E0B8A1CB}"/>
    <cellStyle name="20% - Accent4 2 5 5" xfId="37510" xr:uid="{910C2205-B1F7-4287-B492-0D2E222C3C7A}"/>
    <cellStyle name="20% - Accent4 2 5 6" xfId="18912" xr:uid="{7704391D-F65B-48D1-A4C5-FB5F80FAFE4B}"/>
    <cellStyle name="20% - Accent4 2 6" xfId="1462" xr:uid="{00000000-0005-0000-0000-000027020000}"/>
    <cellStyle name="20% - Accent4 2 6 2" xfId="3692" xr:uid="{00000000-0005-0000-0000-000028020000}"/>
    <cellStyle name="20% - Accent4 2 6 2 2" xfId="7914" xr:uid="{00000000-0005-0000-0000-000029020000}"/>
    <cellStyle name="20% - Accent4 2 6 2 2 2" xfId="17240" xr:uid="{74C41813-ACFF-457A-ABCE-802242E1D168}"/>
    <cellStyle name="20% - Accent4 2 6 2 2 2 2" xfId="53582" xr:uid="{4123CF97-ABB6-4B9F-BD66-9185D9FDD602}"/>
    <cellStyle name="20% - Accent4 2 6 2 2 2 3" xfId="34986" xr:uid="{ECD59BBD-57F3-480D-968C-AB94FDE3B958}"/>
    <cellStyle name="20% - Accent4 2 6 2 2 3" xfId="44285" xr:uid="{948A75E8-A3C9-4F40-969B-6A19D6EABBA1}"/>
    <cellStyle name="20% - Accent4 2 6 2 2 4" xfId="25687" xr:uid="{AA580E40-5423-46F4-9D09-3A1969C719B0}"/>
    <cellStyle name="20% - Accent4 2 6 2 3" xfId="13023" xr:uid="{F99A8D64-5B71-4E08-B440-27FA489F4B09}"/>
    <cellStyle name="20% - Accent4 2 6 2 3 2" xfId="49365" xr:uid="{F239FA23-34B8-403E-91E0-FB03504E34AB}"/>
    <cellStyle name="20% - Accent4 2 6 2 3 3" xfId="30769" xr:uid="{7027AD01-D56D-46C9-B561-1E8C13F7DB77}"/>
    <cellStyle name="20% - Accent4 2 6 2 4" xfId="40068" xr:uid="{CECFC59D-8423-4526-BE27-23F203E98CBA}"/>
    <cellStyle name="20% - Accent4 2 6 2 5" xfId="21470" xr:uid="{5B0B1963-C09C-4FC3-B0BD-B18FAE5EDFEE}"/>
    <cellStyle name="20% - Accent4 2 6 3" xfId="5769" xr:uid="{00000000-0005-0000-0000-00002A020000}"/>
    <cellStyle name="20% - Accent4 2 6 3 2" xfId="15095" xr:uid="{C16C91E2-4563-4320-9ECE-5A3CCAFDCB43}"/>
    <cellStyle name="20% - Accent4 2 6 3 2 2" xfId="51437" xr:uid="{1712E6E9-0399-4377-9A4C-1AE1B8F13DE2}"/>
    <cellStyle name="20% - Accent4 2 6 3 2 3" xfId="32841" xr:uid="{CC64260F-1267-4AC3-8ED9-93C01DB8FDAE}"/>
    <cellStyle name="20% - Accent4 2 6 3 3" xfId="42140" xr:uid="{DA071460-4173-4EE3-84B0-FC7F2C1F54CA}"/>
    <cellStyle name="20% - Accent4 2 6 3 4" xfId="23542" xr:uid="{9BB9C626-4399-4E5A-AD36-D7E11FBF683A}"/>
    <cellStyle name="20% - Accent4 2 6 4" xfId="10878" xr:uid="{8F484DC4-CC48-45D7-907E-6A9BD5E66172}"/>
    <cellStyle name="20% - Accent4 2 6 4 2" xfId="47220" xr:uid="{C0B06352-CAD2-406D-BB91-60CF1EAF28D3}"/>
    <cellStyle name="20% - Accent4 2 6 4 3" xfId="28624" xr:uid="{F72BE88A-D7C3-43F8-8099-E2B020342F3C}"/>
    <cellStyle name="20% - Accent4 2 6 5" xfId="37923" xr:uid="{81649044-9BC2-40BB-9B74-5C00B334A537}"/>
    <cellStyle name="20% - Accent4 2 6 6" xfId="19325" xr:uid="{7FCE2DE0-9499-490C-800E-056A57FC0B5F}"/>
    <cellStyle name="20% - Accent4 2 7" xfId="1876" xr:uid="{00000000-0005-0000-0000-00002B020000}"/>
    <cellStyle name="20% - Accent4 2 7 2" xfId="4105" xr:uid="{00000000-0005-0000-0000-00002C020000}"/>
    <cellStyle name="20% - Accent4 2 7 2 2" xfId="8327" xr:uid="{00000000-0005-0000-0000-00002D020000}"/>
    <cellStyle name="20% - Accent4 2 7 2 2 2" xfId="17653" xr:uid="{9289AB4D-AD4D-4AD2-8AD5-3ECCFE8800D1}"/>
    <cellStyle name="20% - Accent4 2 7 2 2 2 2" xfId="53995" xr:uid="{23B5EFDF-3539-4AC1-A76B-728A7F7377EA}"/>
    <cellStyle name="20% - Accent4 2 7 2 2 2 3" xfId="35399" xr:uid="{1363C2B2-6358-4A30-B2D8-407BA21086A1}"/>
    <cellStyle name="20% - Accent4 2 7 2 2 3" xfId="44698" xr:uid="{6BB72EE8-C70A-49B8-805C-8833D5DC0388}"/>
    <cellStyle name="20% - Accent4 2 7 2 2 4" xfId="26100" xr:uid="{20A96D86-6E5F-4210-862C-E7FEBDFC614E}"/>
    <cellStyle name="20% - Accent4 2 7 2 3" xfId="13436" xr:uid="{EE0905D8-7FFA-4C0E-89D8-7E48938B29F1}"/>
    <cellStyle name="20% - Accent4 2 7 2 3 2" xfId="49778" xr:uid="{9CC8E3E2-DA6F-4CE1-A92F-E56DE4CDC840}"/>
    <cellStyle name="20% - Accent4 2 7 2 3 3" xfId="31182" xr:uid="{F987952B-640F-4A57-98A9-F5B410DFDAB9}"/>
    <cellStyle name="20% - Accent4 2 7 2 4" xfId="40481" xr:uid="{DA515595-ECF7-420F-A34F-B616C7B9E0D4}"/>
    <cellStyle name="20% - Accent4 2 7 2 5" xfId="21883" xr:uid="{B0136FC1-3205-4D32-9C45-6C51D55D9CF3}"/>
    <cellStyle name="20% - Accent4 2 7 3" xfId="6182" xr:uid="{00000000-0005-0000-0000-00002E020000}"/>
    <cellStyle name="20% - Accent4 2 7 3 2" xfId="15508" xr:uid="{0566F99B-70BB-4A50-B0B3-891E9EE7B3A7}"/>
    <cellStyle name="20% - Accent4 2 7 3 2 2" xfId="51850" xr:uid="{339104F1-06F4-49C6-A2D3-934E95E319A3}"/>
    <cellStyle name="20% - Accent4 2 7 3 2 3" xfId="33254" xr:uid="{D6FE2315-5803-4D63-92AA-8716F6CE99E0}"/>
    <cellStyle name="20% - Accent4 2 7 3 3" xfId="42553" xr:uid="{E2189115-4158-432F-8765-48113D0058CF}"/>
    <cellStyle name="20% - Accent4 2 7 3 4" xfId="23955" xr:uid="{8992D112-2175-4391-9DA6-B5807459F499}"/>
    <cellStyle name="20% - Accent4 2 7 4" xfId="11291" xr:uid="{CA6D18A4-AB62-43E3-A728-230B19BD8E9F}"/>
    <cellStyle name="20% - Accent4 2 7 4 2" xfId="47633" xr:uid="{0C38A4A6-4C72-4BE3-8912-1A9C605EC841}"/>
    <cellStyle name="20% - Accent4 2 7 4 3" xfId="29037" xr:uid="{09D9A1E7-D6E8-4DD9-B19D-19CC56515D2B}"/>
    <cellStyle name="20% - Accent4 2 7 5" xfId="38336" xr:uid="{F150366B-2130-4565-920C-0116FDCF96B9}"/>
    <cellStyle name="20% - Accent4 2 7 6" xfId="19738" xr:uid="{8F30E2CE-6041-4407-9D57-C1F8CF93C55B}"/>
    <cellStyle name="20% - Accent4 2 8" xfId="2289" xr:uid="{00000000-0005-0000-0000-00002F020000}"/>
    <cellStyle name="20% - Accent4 2 8 2" xfId="6595" xr:uid="{00000000-0005-0000-0000-000030020000}"/>
    <cellStyle name="20% - Accent4 2 8 2 2" xfId="15921" xr:uid="{A647CCAF-4F4C-413A-8BDB-F88FB66976E4}"/>
    <cellStyle name="20% - Accent4 2 8 2 2 2" xfId="52263" xr:uid="{C586208C-9842-4001-9868-0DD2E566648C}"/>
    <cellStyle name="20% - Accent4 2 8 2 2 3" xfId="33667" xr:uid="{4312D68B-C520-44C1-BFA2-334A03C806A4}"/>
    <cellStyle name="20% - Accent4 2 8 2 3" xfId="42966" xr:uid="{CA8941B2-5BE6-420D-8511-9A6508E69056}"/>
    <cellStyle name="20% - Accent4 2 8 2 4" xfId="24368" xr:uid="{EFFF511C-0125-4800-B582-E940AD346CB0}"/>
    <cellStyle name="20% - Accent4 2 8 3" xfId="11704" xr:uid="{E1327340-DBF3-4AA7-AEDC-573AD0F3FDE3}"/>
    <cellStyle name="20% - Accent4 2 8 3 2" xfId="48046" xr:uid="{38C53FCD-9FC5-49D1-B094-9DE1E92EBB25}"/>
    <cellStyle name="20% - Accent4 2 8 3 3" xfId="29450" xr:uid="{760C1F7E-1818-4C31-BD05-3FD04DB09F13}"/>
    <cellStyle name="20% - Accent4 2 8 4" xfId="38749" xr:uid="{690433C5-C2A6-44EE-9A63-F64F0D727262}"/>
    <cellStyle name="20% - Accent4 2 8 5" xfId="20151" xr:uid="{6013D2C6-2B7C-4D59-A699-3B1B5A40CF20}"/>
    <cellStyle name="20% - Accent4 2 9" xfId="4529" xr:uid="{00000000-0005-0000-0000-000031020000}"/>
    <cellStyle name="20% - Accent4 2 9 2" xfId="13855" xr:uid="{C0456839-4B43-4BA9-980B-0DF6545A140E}"/>
    <cellStyle name="20% - Accent4 2 9 2 2" xfId="50197" xr:uid="{3B7C24E5-69D2-4B4D-9C28-8EDED8CA21C6}"/>
    <cellStyle name="20% - Accent4 2 9 2 3" xfId="31601" xr:uid="{C03948F0-A670-4268-81F8-1F2A2BD04021}"/>
    <cellStyle name="20% - Accent4 2 9 3" xfId="40900" xr:uid="{B3390780-CACA-4837-BD15-175085D10BB3}"/>
    <cellStyle name="20% - Accent4 2 9 4" xfId="22302" xr:uid="{2B3A3589-9D4B-49AD-9F95-B29D8B615C7D}"/>
    <cellStyle name="20% - Accent4 3" xfId="30" xr:uid="{00000000-0005-0000-0000-000032020000}"/>
    <cellStyle name="20% - Accent4 3 10" xfId="9642" xr:uid="{F40C3829-6BEA-4D46-B4F5-134AD8F72099}"/>
    <cellStyle name="20% - Accent4 3 10 2" xfId="45984" xr:uid="{042CC2B7-6A6E-4C05-9938-7D1DD80AE677}"/>
    <cellStyle name="20% - Accent4 3 10 3" xfId="27388" xr:uid="{D93F731C-2084-4439-8297-88E27A4AD5F2}"/>
    <cellStyle name="20% - Accent4 3 11" xfId="36687" xr:uid="{9FEF58C3-17D6-4752-8AD0-2104B15FFC73}"/>
    <cellStyle name="20% - Accent4 3 12" xfId="18089" xr:uid="{8A7008CE-8978-40EC-BC56-DD166508E3FC}"/>
    <cellStyle name="20% - Accent4 3 2" xfId="31" xr:uid="{00000000-0005-0000-0000-000033020000}"/>
    <cellStyle name="20% - Accent4 3 2 10" xfId="36688" xr:uid="{0155D044-3191-4C90-99C7-84B684BBDBFF}"/>
    <cellStyle name="20% - Accent4 3 2 11" xfId="18090" xr:uid="{D2C5E42E-FB3D-43F6-B01E-1AA26C1C2B85}"/>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16419" xr:uid="{DC87F1C5-91DD-4316-95FE-52BF90F7613F}"/>
    <cellStyle name="20% - Accent4 3 2 2 2 2 2 2" xfId="52761" xr:uid="{358A682D-8CF1-47E9-9860-779FF05909A9}"/>
    <cellStyle name="20% - Accent4 3 2 2 2 2 2 3" xfId="34165" xr:uid="{51B89313-6212-44BA-89F2-3A72719514D6}"/>
    <cellStyle name="20% - Accent4 3 2 2 2 2 3" xfId="43464" xr:uid="{95A66B13-4EFF-41E4-BDEF-1BBD6FD31B72}"/>
    <cellStyle name="20% - Accent4 3 2 2 2 2 4" xfId="24866" xr:uid="{A3DC970D-676A-4C4C-B517-AF14CCDA19EE}"/>
    <cellStyle name="20% - Accent4 3 2 2 2 3" xfId="12202" xr:uid="{8FF5785A-D3AD-469C-AF5A-5BC5BA855B1B}"/>
    <cellStyle name="20% - Accent4 3 2 2 2 3 2" xfId="48544" xr:uid="{36D2E1F5-E070-41B5-826E-4EB44AC1570A}"/>
    <cellStyle name="20% - Accent4 3 2 2 2 3 3" xfId="29948" xr:uid="{C167D8E1-6A33-4150-AA42-83429E11544F}"/>
    <cellStyle name="20% - Accent4 3 2 2 2 4" xfId="39247" xr:uid="{7C1D3260-DEE5-43C2-81F8-FB07354B6CA1}"/>
    <cellStyle name="20% - Accent4 3 2 2 2 5" xfId="20649" xr:uid="{3E0A0CE6-AFB7-4451-B2B2-188768782572}"/>
    <cellStyle name="20% - Accent4 3 2 2 3" xfId="4948" xr:uid="{00000000-0005-0000-0000-000037020000}"/>
    <cellStyle name="20% - Accent4 3 2 2 3 2" xfId="14274" xr:uid="{2E7ABD21-BDEF-46CB-9E36-28992214261F}"/>
    <cellStyle name="20% - Accent4 3 2 2 3 2 2" xfId="50616" xr:uid="{DD083577-1F69-423C-8590-1E4A3938BE49}"/>
    <cellStyle name="20% - Accent4 3 2 2 3 2 3" xfId="32020" xr:uid="{78E49A65-81F7-4520-B0C0-081043CA0516}"/>
    <cellStyle name="20% - Accent4 3 2 2 3 3" xfId="41319" xr:uid="{1CF00BDF-2F8A-4BC6-A68C-5911F609CEB2}"/>
    <cellStyle name="20% - Accent4 3 2 2 3 4" xfId="22721" xr:uid="{5EFE718A-D081-413A-944C-7F80C41B91B5}"/>
    <cellStyle name="20% - Accent4 3 2 2 4" xfId="9499" xr:uid="{019308F4-938B-408B-A627-483AF94276A0}"/>
    <cellStyle name="20% - Accent4 3 2 2 4 2" xfId="36560" xr:uid="{13E878F3-8553-4E2B-8CE3-EF0A41C17EC1}"/>
    <cellStyle name="20% - Accent4 3 2 2 4 2 2" xfId="55154" xr:uid="{AAABC82F-D3EF-4FCF-856D-FC43DAEE29B4}"/>
    <cellStyle name="20% - Accent4 3 2 2 4 3" xfId="45857" xr:uid="{D927D2CE-B699-4DEC-AA53-8B6B7BA40CC8}"/>
    <cellStyle name="20% - Accent4 3 2 2 4 4" xfId="27261" xr:uid="{89B74CD5-B277-4846-8E28-7D66FEF57887}"/>
    <cellStyle name="20% - Accent4 3 2 2 5" xfId="10057" xr:uid="{D854EEB4-7FBD-40D2-BF0A-7117DE02624C}"/>
    <cellStyle name="20% - Accent4 3 2 2 5 2" xfId="46399" xr:uid="{2460EF1A-2EEC-4300-ACA9-03C6091E99E6}"/>
    <cellStyle name="20% - Accent4 3 2 2 5 3" xfId="27803" xr:uid="{762D445F-4E26-4A26-AAED-C7BE6A5E8711}"/>
    <cellStyle name="20% - Accent4 3 2 2 6" xfId="37102" xr:uid="{B603BBFD-FA71-43B0-9333-67AA7FB90DAA}"/>
    <cellStyle name="20% - Accent4 3 2 2 7" xfId="18504" xr:uid="{6A07589C-1642-4E25-90EB-855CD75F8147}"/>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16832" xr:uid="{D7049991-F1EE-487F-B6D0-FB5183988671}"/>
    <cellStyle name="20% - Accent4 3 2 3 2 2 2 2" xfId="53174" xr:uid="{E5F0FCC1-AAC8-48E6-8479-98DEC98401FC}"/>
    <cellStyle name="20% - Accent4 3 2 3 2 2 2 3" xfId="34578" xr:uid="{22FC1CFA-8497-4631-A6ED-8673CBFB719C}"/>
    <cellStyle name="20% - Accent4 3 2 3 2 2 3" xfId="43877" xr:uid="{5CEA9C71-5703-4725-9F8D-F1DD145E32B6}"/>
    <cellStyle name="20% - Accent4 3 2 3 2 2 4" xfId="25279" xr:uid="{D8223BA5-B11B-4149-A974-CAA2BFB2F29D}"/>
    <cellStyle name="20% - Accent4 3 2 3 2 3" xfId="12615" xr:uid="{C301F9AE-0D80-4CF5-AB82-D389945CB4B2}"/>
    <cellStyle name="20% - Accent4 3 2 3 2 3 2" xfId="48957" xr:uid="{B2AEF0D5-7891-4445-9E32-B5BC1B913BB4}"/>
    <cellStyle name="20% - Accent4 3 2 3 2 3 3" xfId="30361" xr:uid="{1C7058A0-DAB2-4242-B06A-9F51FFB7F8D3}"/>
    <cellStyle name="20% - Accent4 3 2 3 2 4" xfId="39660" xr:uid="{64781332-3BFD-4A8C-A0B8-FA23AC28C407}"/>
    <cellStyle name="20% - Accent4 3 2 3 2 5" xfId="21062" xr:uid="{0B08DFC3-D74B-4B8C-B8F7-54370ABE081C}"/>
    <cellStyle name="20% - Accent4 3 2 3 3" xfId="5361" xr:uid="{00000000-0005-0000-0000-00003B020000}"/>
    <cellStyle name="20% - Accent4 3 2 3 3 2" xfId="14687" xr:uid="{E65E45A1-A592-465B-B733-FB410FA7698E}"/>
    <cellStyle name="20% - Accent4 3 2 3 3 2 2" xfId="51029" xr:uid="{87E8DA75-42B8-4FE8-90EE-EA85F80755DF}"/>
    <cellStyle name="20% - Accent4 3 2 3 3 2 3" xfId="32433" xr:uid="{FC2CE085-E2A2-42EF-AEC4-454348086E16}"/>
    <cellStyle name="20% - Accent4 3 2 3 3 3" xfId="41732" xr:uid="{17BD3CDB-3A64-4407-B607-7D03A5570BE7}"/>
    <cellStyle name="20% - Accent4 3 2 3 3 4" xfId="23134" xr:uid="{35C4BAF5-2F30-4FD1-A365-4400A79ACC09}"/>
    <cellStyle name="20% - Accent4 3 2 3 4" xfId="10470" xr:uid="{07825D2A-8C79-4FD4-AC8C-8130621DA464}"/>
    <cellStyle name="20% - Accent4 3 2 3 4 2" xfId="46812" xr:uid="{86ADAFAD-7766-4F7D-9336-5C394C94DF61}"/>
    <cellStyle name="20% - Accent4 3 2 3 4 3" xfId="28216" xr:uid="{D031D273-D454-40B2-ADEA-6165EE2527EE}"/>
    <cellStyle name="20% - Accent4 3 2 3 5" xfId="37515" xr:uid="{7ABED4EE-3F18-4515-926F-6335E30A7D25}"/>
    <cellStyle name="20% - Accent4 3 2 3 6" xfId="18917" xr:uid="{974CFA3F-64DD-40A2-ACEA-D26A209C7BB4}"/>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17245" xr:uid="{B0579944-A61E-4B7E-8356-5C7FA969CF51}"/>
    <cellStyle name="20% - Accent4 3 2 4 2 2 2 2" xfId="53587" xr:uid="{3D9205ED-3B83-4138-B63B-27BD0D537BF6}"/>
    <cellStyle name="20% - Accent4 3 2 4 2 2 2 3" xfId="34991" xr:uid="{0CEE81C5-831D-4077-AC8C-4DB94593BF3F}"/>
    <cellStyle name="20% - Accent4 3 2 4 2 2 3" xfId="44290" xr:uid="{75090613-48CF-4CD8-8727-53A27A6785BD}"/>
    <cellStyle name="20% - Accent4 3 2 4 2 2 4" xfId="25692" xr:uid="{057B3F45-EDDF-45A2-9B1A-58E10C886A45}"/>
    <cellStyle name="20% - Accent4 3 2 4 2 3" xfId="13028" xr:uid="{8A0891DD-BD2A-476F-97FB-7445C955E608}"/>
    <cellStyle name="20% - Accent4 3 2 4 2 3 2" xfId="49370" xr:uid="{326D4237-DFC0-4652-B26C-A62592057448}"/>
    <cellStyle name="20% - Accent4 3 2 4 2 3 3" xfId="30774" xr:uid="{908959CA-5488-4B7B-848F-E18E62638826}"/>
    <cellStyle name="20% - Accent4 3 2 4 2 4" xfId="40073" xr:uid="{BD4D8890-11CC-4A60-8F69-28E8B50B5DCA}"/>
    <cellStyle name="20% - Accent4 3 2 4 2 5" xfId="21475" xr:uid="{9D644382-E0E8-4EA0-8373-ED215675E902}"/>
    <cellStyle name="20% - Accent4 3 2 4 3" xfId="5774" xr:uid="{00000000-0005-0000-0000-00003F020000}"/>
    <cellStyle name="20% - Accent4 3 2 4 3 2" xfId="15100" xr:uid="{CF66FA0F-9BAB-4C8B-A610-E56850A6DEE5}"/>
    <cellStyle name="20% - Accent4 3 2 4 3 2 2" xfId="51442" xr:uid="{DE0A9B43-6938-4187-AD96-54B0C55E28E2}"/>
    <cellStyle name="20% - Accent4 3 2 4 3 2 3" xfId="32846" xr:uid="{B5A3061A-A35C-4C93-91C3-D0D47980A20A}"/>
    <cellStyle name="20% - Accent4 3 2 4 3 3" xfId="42145" xr:uid="{434F3D29-6F74-44A6-93FB-F37ED2F6A112}"/>
    <cellStyle name="20% - Accent4 3 2 4 3 4" xfId="23547" xr:uid="{2A560403-CE18-4CA2-A047-336F89911E6B}"/>
    <cellStyle name="20% - Accent4 3 2 4 4" xfId="10883" xr:uid="{CCB9F807-E8C8-4CBB-832D-39EBE0097104}"/>
    <cellStyle name="20% - Accent4 3 2 4 4 2" xfId="47225" xr:uid="{B8CC78FB-4039-46D7-99F7-F47F025CBCE0}"/>
    <cellStyle name="20% - Accent4 3 2 4 4 3" xfId="28629" xr:uid="{D98075A5-90DB-4373-9CB3-0DF17DBD0BFD}"/>
    <cellStyle name="20% - Accent4 3 2 4 5" xfId="37928" xr:uid="{DB550F54-EAEB-4ACF-B834-5F2C6C272015}"/>
    <cellStyle name="20% - Accent4 3 2 4 6" xfId="19330" xr:uid="{EE037AD3-A44C-4DBB-970E-B406886816C6}"/>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17658" xr:uid="{0E31D99F-C164-4A9D-838F-EC0FC30E0068}"/>
    <cellStyle name="20% - Accent4 3 2 5 2 2 2 2" xfId="54000" xr:uid="{3AF1446C-D5D9-43B4-B61A-FCEC7EF4F6D3}"/>
    <cellStyle name="20% - Accent4 3 2 5 2 2 2 3" xfId="35404" xr:uid="{B8C4F4A6-C78D-4E4D-B333-1BB0CCA9C9B8}"/>
    <cellStyle name="20% - Accent4 3 2 5 2 2 3" xfId="44703" xr:uid="{C479DF94-362A-4ADF-9EC9-98D418DBB18A}"/>
    <cellStyle name="20% - Accent4 3 2 5 2 2 4" xfId="26105" xr:uid="{2ED8D4E5-9BF2-4360-83E3-8224477B7DC3}"/>
    <cellStyle name="20% - Accent4 3 2 5 2 3" xfId="13441" xr:uid="{67021C88-44FF-413D-B4E4-D46C9985559A}"/>
    <cellStyle name="20% - Accent4 3 2 5 2 3 2" xfId="49783" xr:uid="{953830DC-1F0D-4ACD-AAA6-BF1F27946249}"/>
    <cellStyle name="20% - Accent4 3 2 5 2 3 3" xfId="31187" xr:uid="{1A2C82A1-CEF0-49E5-9C29-03B8A6414080}"/>
    <cellStyle name="20% - Accent4 3 2 5 2 4" xfId="40486" xr:uid="{2474BAE0-B544-4AD5-91A6-38423888B647}"/>
    <cellStyle name="20% - Accent4 3 2 5 2 5" xfId="21888" xr:uid="{879028DC-0370-4041-B503-A705F938D0A0}"/>
    <cellStyle name="20% - Accent4 3 2 5 3" xfId="6187" xr:uid="{00000000-0005-0000-0000-000043020000}"/>
    <cellStyle name="20% - Accent4 3 2 5 3 2" xfId="15513" xr:uid="{FC03B292-F343-43AB-A657-55F9106FE78F}"/>
    <cellStyle name="20% - Accent4 3 2 5 3 2 2" xfId="51855" xr:uid="{8B96946B-F07E-4A50-852A-DC130A70437C}"/>
    <cellStyle name="20% - Accent4 3 2 5 3 2 3" xfId="33259" xr:uid="{D64190FF-63D9-411A-81DE-E4EC07479076}"/>
    <cellStyle name="20% - Accent4 3 2 5 3 3" xfId="42558" xr:uid="{53284EA9-572C-4F6F-9EB7-53F1507E3A78}"/>
    <cellStyle name="20% - Accent4 3 2 5 3 4" xfId="23960" xr:uid="{22B345FD-C846-4242-821A-0F9B923673F9}"/>
    <cellStyle name="20% - Accent4 3 2 5 4" xfId="11296" xr:uid="{040EB8A8-2A8F-447F-86FD-BB8FB151B252}"/>
    <cellStyle name="20% - Accent4 3 2 5 4 2" xfId="47638" xr:uid="{FB432438-6467-42E6-B215-B76D21500143}"/>
    <cellStyle name="20% - Accent4 3 2 5 4 3" xfId="29042" xr:uid="{7274EFA6-63F8-41BE-BE79-576BDE6046BE}"/>
    <cellStyle name="20% - Accent4 3 2 5 5" xfId="38341" xr:uid="{F577777B-1016-47BE-90BD-C2B0A6FE9C8C}"/>
    <cellStyle name="20% - Accent4 3 2 5 6" xfId="19743" xr:uid="{18FBCA30-24D0-4F1F-8AEF-8BFCC0225D9B}"/>
    <cellStyle name="20% - Accent4 3 2 6" xfId="2294" xr:uid="{00000000-0005-0000-0000-000044020000}"/>
    <cellStyle name="20% - Accent4 3 2 6 2" xfId="6600" xr:uid="{00000000-0005-0000-0000-000045020000}"/>
    <cellStyle name="20% - Accent4 3 2 6 2 2" xfId="15926" xr:uid="{A40D8613-F07B-4D9D-A4AA-F2CBDB84671A}"/>
    <cellStyle name="20% - Accent4 3 2 6 2 2 2" xfId="52268" xr:uid="{08BEB6ED-1F77-449D-AA62-A80A2A04D410}"/>
    <cellStyle name="20% - Accent4 3 2 6 2 2 3" xfId="33672" xr:uid="{BB836AEA-67AB-46DB-AF59-BDAFC6CA493E}"/>
    <cellStyle name="20% - Accent4 3 2 6 2 3" xfId="42971" xr:uid="{28F8EBA4-65D3-4A59-ABEC-55CBCE673E19}"/>
    <cellStyle name="20% - Accent4 3 2 6 2 4" xfId="24373" xr:uid="{575C28BB-69CC-490F-A95C-31CE1BD717FB}"/>
    <cellStyle name="20% - Accent4 3 2 6 3" xfId="11709" xr:uid="{9989DFE4-D6E5-4A19-ADBC-D330E16C7CE5}"/>
    <cellStyle name="20% - Accent4 3 2 6 3 2" xfId="48051" xr:uid="{FA21E834-0F83-4A1F-90FE-2CEC4C298111}"/>
    <cellStyle name="20% - Accent4 3 2 6 3 3" xfId="29455" xr:uid="{6A5EC43E-037D-4430-94F1-9DFD0D295F0C}"/>
    <cellStyle name="20% - Accent4 3 2 6 4" xfId="38754" xr:uid="{53F2B9F0-0170-44BB-B168-E73B7B821EA5}"/>
    <cellStyle name="20% - Accent4 3 2 6 5" xfId="20156" xr:uid="{B8FBC23C-75CA-4385-8961-022679DD0702}"/>
    <cellStyle name="20% - Accent4 3 2 7" xfId="4534" xr:uid="{00000000-0005-0000-0000-000046020000}"/>
    <cellStyle name="20% - Accent4 3 2 7 2" xfId="13860" xr:uid="{3DA3D413-C675-42B9-BB7C-0628143DB9AD}"/>
    <cellStyle name="20% - Accent4 3 2 7 2 2" xfId="50202" xr:uid="{5E086522-8B28-4EE1-BEE7-C73E6DDB07DC}"/>
    <cellStyle name="20% - Accent4 3 2 7 2 3" xfId="31606" xr:uid="{456426C3-CC2D-4992-A519-1993EB1D096F}"/>
    <cellStyle name="20% - Accent4 3 2 7 3" xfId="40905" xr:uid="{7BACCE36-BF57-4754-BC8A-C8A9576C99E5}"/>
    <cellStyle name="20% - Accent4 3 2 7 4" xfId="22307" xr:uid="{FC4480E7-067C-46DE-B64F-BEE3AFB674A5}"/>
    <cellStyle name="20% - Accent4 3 2 8" xfId="9074" xr:uid="{BA25EAA8-2B5F-4309-91A3-FC61FCEF209C}"/>
    <cellStyle name="20% - Accent4 3 2 8 2" xfId="36144" xr:uid="{AE251D06-F908-46D4-BC55-2817AC8BB23E}"/>
    <cellStyle name="20% - Accent4 3 2 8 2 2" xfId="54739" xr:uid="{9BBCF7C9-B761-405F-8F5E-0982AD726B5E}"/>
    <cellStyle name="20% - Accent4 3 2 8 3" xfId="45442" xr:uid="{AA0F6559-5C85-444C-951D-FFCB81BE3837}"/>
    <cellStyle name="20% - Accent4 3 2 8 4" xfId="26845" xr:uid="{968818F9-A74E-4717-A9C1-80E3392541BA}"/>
    <cellStyle name="20% - Accent4 3 2 9" xfId="9643" xr:uid="{B8ABF8E1-218F-4723-99C6-8000749D8AEF}"/>
    <cellStyle name="20% - Accent4 3 2 9 2" xfId="45985" xr:uid="{8942080E-6E71-497B-B8C1-4CFDEDA4A0B0}"/>
    <cellStyle name="20% - Accent4 3 2 9 3" xfId="27389" xr:uid="{E5865BD7-9AED-4282-B8E1-D549B097A7A3}"/>
    <cellStyle name="20% - Accent4 3 3" xfId="599" xr:uid="{00000000-0005-0000-0000-000047020000}"/>
    <cellStyle name="20% - Accent4 3 3 2" xfId="2870" xr:uid="{00000000-0005-0000-0000-000048020000}"/>
    <cellStyle name="20% - Accent4 3 3 2 2" xfId="7092" xr:uid="{00000000-0005-0000-0000-000049020000}"/>
    <cellStyle name="20% - Accent4 3 3 2 2 2" xfId="16418" xr:uid="{DEA0AC8A-5921-4E84-9D6A-50C82F55B350}"/>
    <cellStyle name="20% - Accent4 3 3 2 2 2 2" xfId="52760" xr:uid="{0A82D8AB-0522-482D-81ED-FB363E5826B3}"/>
    <cellStyle name="20% - Accent4 3 3 2 2 2 3" xfId="34164" xr:uid="{0283D6DF-E12E-4049-8B82-B570288C8D4A}"/>
    <cellStyle name="20% - Accent4 3 3 2 2 3" xfId="43463" xr:uid="{F9E61AFD-2BCE-4C62-BDC2-C6073F2EA270}"/>
    <cellStyle name="20% - Accent4 3 3 2 2 4" xfId="24865" xr:uid="{CE834119-BDF4-480C-B610-ED015F31B569}"/>
    <cellStyle name="20% - Accent4 3 3 2 3" xfId="12201" xr:uid="{F4B0A66E-31CE-4AA6-A892-8379DFD9C24C}"/>
    <cellStyle name="20% - Accent4 3 3 2 3 2" xfId="48543" xr:uid="{F186E49B-DE3B-4CF6-BB6D-E0AD29886B22}"/>
    <cellStyle name="20% - Accent4 3 3 2 3 3" xfId="29947" xr:uid="{09D6604B-403F-41B5-8953-3F8371CE7692}"/>
    <cellStyle name="20% - Accent4 3 3 2 4" xfId="39246" xr:uid="{6D8C4AD2-F3F2-4DCA-9855-6EDFCD6CADD0}"/>
    <cellStyle name="20% - Accent4 3 3 2 5" xfId="20648" xr:uid="{7EAADC9F-6E48-4DA4-B17F-45196C69AC81}"/>
    <cellStyle name="20% - Accent4 3 3 3" xfId="4947" xr:uid="{00000000-0005-0000-0000-00004A020000}"/>
    <cellStyle name="20% - Accent4 3 3 3 2" xfId="14273" xr:uid="{BA0BE9D0-66D8-41AA-9066-50980BFA2E37}"/>
    <cellStyle name="20% - Accent4 3 3 3 2 2" xfId="50615" xr:uid="{E0A3F8F1-4B98-4F1F-8E33-389C26B90A58}"/>
    <cellStyle name="20% - Accent4 3 3 3 2 3" xfId="32019" xr:uid="{7C36DD6E-1410-4B3E-9D7C-ABE72466E527}"/>
    <cellStyle name="20% - Accent4 3 3 3 3" xfId="41318" xr:uid="{C5535FF7-FDAC-4DF4-810A-5E800F1C708D}"/>
    <cellStyle name="20% - Accent4 3 3 3 4" xfId="22720" xr:uid="{3DB7CC8E-9F48-4124-8988-656D5AB8295A}"/>
    <cellStyle name="20% - Accent4 3 3 4" xfId="9292" xr:uid="{E33AB5E9-A8F9-45CB-AD95-0E461E901C30}"/>
    <cellStyle name="20% - Accent4 3 3 4 2" xfId="36353" xr:uid="{46AB9E88-F1D5-4716-B03B-17D6B697FB7E}"/>
    <cellStyle name="20% - Accent4 3 3 4 2 2" xfId="54947" xr:uid="{6E65DBBC-A2DD-40EF-A5F6-8DF27B5D1B3B}"/>
    <cellStyle name="20% - Accent4 3 3 4 3" xfId="45650" xr:uid="{0DE5D03E-EAD5-4522-BDB7-33613CFEA2A9}"/>
    <cellStyle name="20% - Accent4 3 3 4 4" xfId="27054" xr:uid="{6E39A715-D74B-42CF-BAA1-107A01A072B0}"/>
    <cellStyle name="20% - Accent4 3 3 5" xfId="10056" xr:uid="{ACA2172D-FFAC-4922-8800-1F8039953C66}"/>
    <cellStyle name="20% - Accent4 3 3 5 2" xfId="46398" xr:uid="{37A9E038-9BE9-47A6-B64F-A3FA45AB7974}"/>
    <cellStyle name="20% - Accent4 3 3 5 3" xfId="27802" xr:uid="{544CC225-8B1A-42FC-974B-45256C18877E}"/>
    <cellStyle name="20% - Accent4 3 3 6" xfId="37101" xr:uid="{80C10AE9-8F1A-4C72-9D26-6F3CF57CEC31}"/>
    <cellStyle name="20% - Accent4 3 3 7" xfId="18503" xr:uid="{1E371E15-273F-4423-B089-BAA121EC0B69}"/>
    <cellStyle name="20% - Accent4 3 4" xfId="1052" xr:uid="{00000000-0005-0000-0000-00004B020000}"/>
    <cellStyle name="20% - Accent4 3 4 2" xfId="3283" xr:uid="{00000000-0005-0000-0000-00004C020000}"/>
    <cellStyle name="20% - Accent4 3 4 2 2" xfId="7505" xr:uid="{00000000-0005-0000-0000-00004D020000}"/>
    <cellStyle name="20% - Accent4 3 4 2 2 2" xfId="16831" xr:uid="{8636EF80-0777-4DBF-AB8E-F446A98C001B}"/>
    <cellStyle name="20% - Accent4 3 4 2 2 2 2" xfId="53173" xr:uid="{06BD8A97-EDF0-4BE8-BEC6-42B9FF086D1C}"/>
    <cellStyle name="20% - Accent4 3 4 2 2 2 3" xfId="34577" xr:uid="{9406D3ED-8E72-4F6C-947F-72C6F060777F}"/>
    <cellStyle name="20% - Accent4 3 4 2 2 3" xfId="43876" xr:uid="{5A384C47-4BA2-49A2-8B09-EF750064F3A3}"/>
    <cellStyle name="20% - Accent4 3 4 2 2 4" xfId="25278" xr:uid="{D573712A-924D-42E8-94C6-FB596C43B094}"/>
    <cellStyle name="20% - Accent4 3 4 2 3" xfId="12614" xr:uid="{DC4C25E3-C796-4FCF-B750-755DB1871AAC}"/>
    <cellStyle name="20% - Accent4 3 4 2 3 2" xfId="48956" xr:uid="{6A1CA9B9-EC39-461A-ADB4-AB81C2E76104}"/>
    <cellStyle name="20% - Accent4 3 4 2 3 3" xfId="30360" xr:uid="{24113A02-E033-45FE-9F56-948B206353DD}"/>
    <cellStyle name="20% - Accent4 3 4 2 4" xfId="39659" xr:uid="{3CD7F1D6-3BD6-4CEB-9027-98E2767C939F}"/>
    <cellStyle name="20% - Accent4 3 4 2 5" xfId="21061" xr:uid="{8BA63138-AB11-42DE-9E91-93215A25FF1C}"/>
    <cellStyle name="20% - Accent4 3 4 3" xfId="5360" xr:uid="{00000000-0005-0000-0000-00004E020000}"/>
    <cellStyle name="20% - Accent4 3 4 3 2" xfId="14686" xr:uid="{C25CC3C6-A7F8-4B3D-B6D7-2C50629A1402}"/>
    <cellStyle name="20% - Accent4 3 4 3 2 2" xfId="51028" xr:uid="{C4967016-5787-48A3-B4FA-2B091AE07B18}"/>
    <cellStyle name="20% - Accent4 3 4 3 2 3" xfId="32432" xr:uid="{2F6E375B-EA8B-40D3-BD27-8C8DF1AFD21C}"/>
    <cellStyle name="20% - Accent4 3 4 3 3" xfId="41731" xr:uid="{328E0E86-1B79-473B-89D0-967504686207}"/>
    <cellStyle name="20% - Accent4 3 4 3 4" xfId="23133" xr:uid="{482530CB-DB9D-4DDA-8877-F24ACC0B3935}"/>
    <cellStyle name="20% - Accent4 3 4 4" xfId="10469" xr:uid="{AA9AFF65-3377-4BCB-BB33-4281A8948D1A}"/>
    <cellStyle name="20% - Accent4 3 4 4 2" xfId="46811" xr:uid="{9F45E990-AFE1-47D1-A28C-43E0AFBE2BC3}"/>
    <cellStyle name="20% - Accent4 3 4 4 3" xfId="28215" xr:uid="{869D595C-DFA6-41B6-8B67-64A8AC2888A8}"/>
    <cellStyle name="20% - Accent4 3 4 5" xfId="37514" xr:uid="{5AB1C3CD-FA3C-4F92-BFA0-B278E1558F53}"/>
    <cellStyle name="20% - Accent4 3 4 6" xfId="18916" xr:uid="{84FDC340-6185-4BE9-A8A0-E93CCDFE772B}"/>
    <cellStyle name="20% - Accent4 3 5" xfId="1466" xr:uid="{00000000-0005-0000-0000-00004F020000}"/>
    <cellStyle name="20% - Accent4 3 5 2" xfId="3696" xr:uid="{00000000-0005-0000-0000-000050020000}"/>
    <cellStyle name="20% - Accent4 3 5 2 2" xfId="7918" xr:uid="{00000000-0005-0000-0000-000051020000}"/>
    <cellStyle name="20% - Accent4 3 5 2 2 2" xfId="17244" xr:uid="{E8070D32-6B72-471E-9716-C94D5BAEB4F2}"/>
    <cellStyle name="20% - Accent4 3 5 2 2 2 2" xfId="53586" xr:uid="{12EF7B8D-DF0C-4779-A878-FD0CC22DD8FB}"/>
    <cellStyle name="20% - Accent4 3 5 2 2 2 3" xfId="34990" xr:uid="{379540EC-6FB1-4F17-9236-9BD5B9FC071D}"/>
    <cellStyle name="20% - Accent4 3 5 2 2 3" xfId="44289" xr:uid="{B1D97AAD-EA0D-4AD6-817A-3FC121D0A2F8}"/>
    <cellStyle name="20% - Accent4 3 5 2 2 4" xfId="25691" xr:uid="{D3EBE8B1-B7AC-4A81-8361-4F8D5A19F8D4}"/>
    <cellStyle name="20% - Accent4 3 5 2 3" xfId="13027" xr:uid="{9D995092-701B-4CF6-A2AA-7EC81EDBD4D9}"/>
    <cellStyle name="20% - Accent4 3 5 2 3 2" xfId="49369" xr:uid="{8CA434B4-A1EE-4E47-8896-349AC91DA4F7}"/>
    <cellStyle name="20% - Accent4 3 5 2 3 3" xfId="30773" xr:uid="{DAAA5BA2-4EFC-41C9-B490-058FCD5BAE6A}"/>
    <cellStyle name="20% - Accent4 3 5 2 4" xfId="40072" xr:uid="{1BFDF926-5FCA-4B28-B4DD-4D83ADAD3459}"/>
    <cellStyle name="20% - Accent4 3 5 2 5" xfId="21474" xr:uid="{9F29D894-46A8-4142-97FA-F80752BC06AC}"/>
    <cellStyle name="20% - Accent4 3 5 3" xfId="5773" xr:uid="{00000000-0005-0000-0000-000052020000}"/>
    <cellStyle name="20% - Accent4 3 5 3 2" xfId="15099" xr:uid="{C37C0A9E-06B6-470E-91FD-D2C15D41E87C}"/>
    <cellStyle name="20% - Accent4 3 5 3 2 2" xfId="51441" xr:uid="{AEE711CB-1F88-4733-9339-58F2F9486CC0}"/>
    <cellStyle name="20% - Accent4 3 5 3 2 3" xfId="32845" xr:uid="{8A1747EB-B4AC-441A-A415-E4EAFE7FFD94}"/>
    <cellStyle name="20% - Accent4 3 5 3 3" xfId="42144" xr:uid="{E632E7DA-0CD8-4196-B9D2-01ACA3AC7A84}"/>
    <cellStyle name="20% - Accent4 3 5 3 4" xfId="23546" xr:uid="{508C4E56-E748-462D-80AA-C254A4BD4D13}"/>
    <cellStyle name="20% - Accent4 3 5 4" xfId="10882" xr:uid="{35E1873E-45FF-4CB4-A685-6F7B7D3AD43A}"/>
    <cellStyle name="20% - Accent4 3 5 4 2" xfId="47224" xr:uid="{C42C3E43-2FFC-4AE0-8C3C-EC3F9C6355BC}"/>
    <cellStyle name="20% - Accent4 3 5 4 3" xfId="28628" xr:uid="{6F6F958E-340F-4BE0-AD0D-43E422241CC1}"/>
    <cellStyle name="20% - Accent4 3 5 5" xfId="37927" xr:uid="{FFCEEBB5-9B06-4AE0-A8A0-D7D5AF5C3E05}"/>
    <cellStyle name="20% - Accent4 3 5 6" xfId="19329" xr:uid="{B536B9AF-087C-434F-BF8F-566236C0C012}"/>
    <cellStyle name="20% - Accent4 3 6" xfId="1880" xr:uid="{00000000-0005-0000-0000-000053020000}"/>
    <cellStyle name="20% - Accent4 3 6 2" xfId="4109" xr:uid="{00000000-0005-0000-0000-000054020000}"/>
    <cellStyle name="20% - Accent4 3 6 2 2" xfId="8331" xr:uid="{00000000-0005-0000-0000-000055020000}"/>
    <cellStyle name="20% - Accent4 3 6 2 2 2" xfId="17657" xr:uid="{419730A0-996B-4E7D-B7F8-A5596D01F2CE}"/>
    <cellStyle name="20% - Accent4 3 6 2 2 2 2" xfId="53999" xr:uid="{B50954BB-8F24-4A08-8FA2-0A464E936BB7}"/>
    <cellStyle name="20% - Accent4 3 6 2 2 2 3" xfId="35403" xr:uid="{EDD710FC-482E-419D-A2CC-D2C57B5FFA3E}"/>
    <cellStyle name="20% - Accent4 3 6 2 2 3" xfId="44702" xr:uid="{0952DF83-2724-4CD6-AFF4-D51EF32BB531}"/>
    <cellStyle name="20% - Accent4 3 6 2 2 4" xfId="26104" xr:uid="{1057BB51-398D-4063-B425-769B0F385EBC}"/>
    <cellStyle name="20% - Accent4 3 6 2 3" xfId="13440" xr:uid="{A2F8C34C-359F-4007-8802-0D74912E1579}"/>
    <cellStyle name="20% - Accent4 3 6 2 3 2" xfId="49782" xr:uid="{C9E62472-1D1F-416B-838F-9D0A08624DF4}"/>
    <cellStyle name="20% - Accent4 3 6 2 3 3" xfId="31186" xr:uid="{266B2B05-2B56-46B4-9FC7-FB34056CF82F}"/>
    <cellStyle name="20% - Accent4 3 6 2 4" xfId="40485" xr:uid="{514AC32B-30B4-45B4-9681-0D3F73FD62CE}"/>
    <cellStyle name="20% - Accent4 3 6 2 5" xfId="21887" xr:uid="{1CE945DD-CE2F-4C87-B7D4-ADC41F754599}"/>
    <cellStyle name="20% - Accent4 3 6 3" xfId="6186" xr:uid="{00000000-0005-0000-0000-000056020000}"/>
    <cellStyle name="20% - Accent4 3 6 3 2" xfId="15512" xr:uid="{236BF80D-C078-4C08-9E1C-ADC1084231CF}"/>
    <cellStyle name="20% - Accent4 3 6 3 2 2" xfId="51854" xr:uid="{F1D8198B-A078-4A87-ABB8-9A6148127765}"/>
    <cellStyle name="20% - Accent4 3 6 3 2 3" xfId="33258" xr:uid="{2E6991D6-CBB8-4E5B-BB9F-A57642453CA3}"/>
    <cellStyle name="20% - Accent4 3 6 3 3" xfId="42557" xr:uid="{FDBA4360-60DA-4927-A39A-F059F41A3BDF}"/>
    <cellStyle name="20% - Accent4 3 6 3 4" xfId="23959" xr:uid="{11008880-BE49-479B-8042-23C66FF63EA1}"/>
    <cellStyle name="20% - Accent4 3 6 4" xfId="11295" xr:uid="{1F46BAD6-2A84-419A-982A-0A10AF06793E}"/>
    <cellStyle name="20% - Accent4 3 6 4 2" xfId="47637" xr:uid="{9318BF8B-2BBD-4AB9-BB71-3ECCBE4307F6}"/>
    <cellStyle name="20% - Accent4 3 6 4 3" xfId="29041" xr:uid="{BB29B1B3-8778-45B1-A7F2-2E2838B674D0}"/>
    <cellStyle name="20% - Accent4 3 6 5" xfId="38340" xr:uid="{10CFB293-318D-4728-83B6-F17532C3D688}"/>
    <cellStyle name="20% - Accent4 3 6 6" xfId="19742" xr:uid="{F937A95F-ED99-4E42-AF53-8780E5F1E362}"/>
    <cellStyle name="20% - Accent4 3 7" xfId="2293" xr:uid="{00000000-0005-0000-0000-000057020000}"/>
    <cellStyle name="20% - Accent4 3 7 2" xfId="6599" xr:uid="{00000000-0005-0000-0000-000058020000}"/>
    <cellStyle name="20% - Accent4 3 7 2 2" xfId="15925" xr:uid="{95B4D1BC-EB42-4CBD-A75C-C4D8B812D330}"/>
    <cellStyle name="20% - Accent4 3 7 2 2 2" xfId="52267" xr:uid="{3F7484EB-E295-4898-BAE8-9B99710AEE9B}"/>
    <cellStyle name="20% - Accent4 3 7 2 2 3" xfId="33671" xr:uid="{01247408-8589-4872-A09C-69DB2F3DDA2A}"/>
    <cellStyle name="20% - Accent4 3 7 2 3" xfId="42970" xr:uid="{B5F12BDA-9EA2-4A5E-B7B0-A9183A8E4A76}"/>
    <cellStyle name="20% - Accent4 3 7 2 4" xfId="24372" xr:uid="{FF91B4F0-FB63-4D46-9CB4-095C6DC608A7}"/>
    <cellStyle name="20% - Accent4 3 7 3" xfId="11708" xr:uid="{9114B3B5-813C-4234-AA6C-A24C02709AC8}"/>
    <cellStyle name="20% - Accent4 3 7 3 2" xfId="48050" xr:uid="{59A98E11-4A65-4227-85AE-0572102203A3}"/>
    <cellStyle name="20% - Accent4 3 7 3 3" xfId="29454" xr:uid="{AE054526-F9C0-4F1E-AFCD-A2C7E2AEBED4}"/>
    <cellStyle name="20% - Accent4 3 7 4" xfId="38753" xr:uid="{13787917-42BD-4452-B491-103A4A75FE9B}"/>
    <cellStyle name="20% - Accent4 3 7 5" xfId="20155" xr:uid="{EC983DD2-27CF-42C0-9E4B-F69E6E01A9FE}"/>
    <cellStyle name="20% - Accent4 3 8" xfId="4533" xr:uid="{00000000-0005-0000-0000-000059020000}"/>
    <cellStyle name="20% - Accent4 3 8 2" xfId="13859" xr:uid="{1843385E-8C0B-4470-B9C3-0D8F4A64F0BD}"/>
    <cellStyle name="20% - Accent4 3 8 2 2" xfId="50201" xr:uid="{E359E60E-5AD7-486F-BA6E-0712435DD435}"/>
    <cellStyle name="20% - Accent4 3 8 2 3" xfId="31605" xr:uid="{C5109A52-B518-4F8F-B9A8-345D0B6021D4}"/>
    <cellStyle name="20% - Accent4 3 8 3" xfId="40904" xr:uid="{CBF4A3AE-DB62-40E9-B9B8-EC84DEE9B9A1}"/>
    <cellStyle name="20% - Accent4 3 8 4" xfId="22306" xr:uid="{7BA11AA6-FA40-47E4-B5D7-9839E0A4AE77}"/>
    <cellStyle name="20% - Accent4 3 9" xfId="8867" xr:uid="{27FB4CEF-7F56-4AEC-B5AC-6B6A1477FBD8}"/>
    <cellStyle name="20% - Accent4 3 9 2" xfId="35937" xr:uid="{1893373B-1CD7-4466-B6FB-15927E330A29}"/>
    <cellStyle name="20% - Accent4 3 9 2 2" xfId="54532" xr:uid="{0277B64F-749A-4D21-A3C7-E9770668E666}"/>
    <cellStyle name="20% - Accent4 3 9 3" xfId="45235" xr:uid="{1A64019A-10A5-4BC8-B830-0C577840EF90}"/>
    <cellStyle name="20% - Accent4 3 9 4" xfId="26638" xr:uid="{70ED9350-FAF3-4022-8A09-EF2C2ACB8152}"/>
    <cellStyle name="20% - Accent4 4" xfId="32" xr:uid="{00000000-0005-0000-0000-00005A020000}"/>
    <cellStyle name="20% - Accent4 4 10" xfId="36689" xr:uid="{6DE147AD-60FA-4A87-968C-E64219822F68}"/>
    <cellStyle name="20% - Accent4 4 11" xfId="18091" xr:uid="{16C17ED8-BFCC-4007-97A5-29989BF9191E}"/>
    <cellStyle name="20% - Accent4 4 2" xfId="601" xr:uid="{00000000-0005-0000-0000-00005B020000}"/>
    <cellStyle name="20% - Accent4 4 2 2" xfId="2872" xr:uid="{00000000-0005-0000-0000-00005C020000}"/>
    <cellStyle name="20% - Accent4 4 2 2 2" xfId="7094" xr:uid="{00000000-0005-0000-0000-00005D020000}"/>
    <cellStyle name="20% - Accent4 4 2 2 2 2" xfId="16420" xr:uid="{9AFCA4BB-A499-4192-9FA9-E1FDCF3F77D6}"/>
    <cellStyle name="20% - Accent4 4 2 2 2 2 2" xfId="52762" xr:uid="{61EA61A5-4538-40C5-A038-6CC1820363BE}"/>
    <cellStyle name="20% - Accent4 4 2 2 2 2 3" xfId="34166" xr:uid="{ED744A28-F949-431E-8DAF-CFD06BD3ABCB}"/>
    <cellStyle name="20% - Accent4 4 2 2 2 3" xfId="43465" xr:uid="{A659FA27-CA82-4BE5-BE4B-0A0F3EED84D1}"/>
    <cellStyle name="20% - Accent4 4 2 2 2 4" xfId="24867" xr:uid="{76D37180-81A5-489E-B1F9-AAD4526A74A4}"/>
    <cellStyle name="20% - Accent4 4 2 2 3" xfId="12203" xr:uid="{9C49F308-7AB0-4421-A57B-F80AC9341E24}"/>
    <cellStyle name="20% - Accent4 4 2 2 3 2" xfId="48545" xr:uid="{0959D51B-8551-47B1-AD15-8FA381DFA65E}"/>
    <cellStyle name="20% - Accent4 4 2 2 3 3" xfId="29949" xr:uid="{98CBDDC3-A2F7-496C-9398-50C6876CF920}"/>
    <cellStyle name="20% - Accent4 4 2 2 4" xfId="39248" xr:uid="{3A5BAA63-56BF-4D12-BD1A-E8018593FD1A}"/>
    <cellStyle name="20% - Accent4 4 2 2 5" xfId="20650" xr:uid="{0488B6A2-A28C-4328-AC93-F4EBB7DEE22D}"/>
    <cellStyle name="20% - Accent4 4 2 3" xfId="4949" xr:uid="{00000000-0005-0000-0000-00005E020000}"/>
    <cellStyle name="20% - Accent4 4 2 3 2" xfId="14275" xr:uid="{A2CC1513-0307-45A4-876E-422149C29D52}"/>
    <cellStyle name="20% - Accent4 4 2 3 2 2" xfId="50617" xr:uid="{08DDA40C-C52E-4B80-90C6-79DD57027A39}"/>
    <cellStyle name="20% - Accent4 4 2 3 2 3" xfId="32021" xr:uid="{C79796F3-45C5-476E-82F5-657C3F28BFCA}"/>
    <cellStyle name="20% - Accent4 4 2 3 3" xfId="41320" xr:uid="{481EA22B-BF5C-42FF-842D-BABC45C40768}"/>
    <cellStyle name="20% - Accent4 4 2 3 4" xfId="22722" xr:uid="{B9E6DE0D-1D26-4F05-829F-41EF0F867A95}"/>
    <cellStyle name="20% - Accent4 4 2 4" xfId="9378" xr:uid="{761B3D4A-2751-4646-8A50-05A0DD408525}"/>
    <cellStyle name="20% - Accent4 4 2 4 2" xfId="36439" xr:uid="{615FF9B3-690D-4DAE-93EF-409F004D5C91}"/>
    <cellStyle name="20% - Accent4 4 2 4 2 2" xfId="55033" xr:uid="{D33F30B2-37FF-4292-B6F6-2713D16FAF13}"/>
    <cellStyle name="20% - Accent4 4 2 4 3" xfId="45736" xr:uid="{7BA9C40E-8BB2-4CDE-A36B-AC66CA0BC810}"/>
    <cellStyle name="20% - Accent4 4 2 4 4" xfId="27140" xr:uid="{C6E8633E-5F13-47DA-9C18-8903C602D0A6}"/>
    <cellStyle name="20% - Accent4 4 2 5" xfId="10058" xr:uid="{0F166B75-DB68-4FFA-9515-28B0F02259BF}"/>
    <cellStyle name="20% - Accent4 4 2 5 2" xfId="46400" xr:uid="{8CDECF6C-3E09-408B-83A6-EBB6A33C5C81}"/>
    <cellStyle name="20% - Accent4 4 2 5 3" xfId="27804" xr:uid="{46A9065E-00E7-4FB5-AF65-E75F83A89C7D}"/>
    <cellStyle name="20% - Accent4 4 2 6" xfId="37103" xr:uid="{AFD81858-40FA-4345-8E3A-EEA94AC03649}"/>
    <cellStyle name="20% - Accent4 4 2 7" xfId="18505" xr:uid="{A8EEEE81-9CCF-4113-9D95-54E77D68D18E}"/>
    <cellStyle name="20% - Accent4 4 3" xfId="1054" xr:uid="{00000000-0005-0000-0000-00005F020000}"/>
    <cellStyle name="20% - Accent4 4 3 2" xfId="3285" xr:uid="{00000000-0005-0000-0000-000060020000}"/>
    <cellStyle name="20% - Accent4 4 3 2 2" xfId="7507" xr:uid="{00000000-0005-0000-0000-000061020000}"/>
    <cellStyle name="20% - Accent4 4 3 2 2 2" xfId="16833" xr:uid="{32BFC825-DCFE-4D1D-8769-A576325A0ECE}"/>
    <cellStyle name="20% - Accent4 4 3 2 2 2 2" xfId="53175" xr:uid="{435303E1-8493-424C-8856-4656D5490849}"/>
    <cellStyle name="20% - Accent4 4 3 2 2 2 3" xfId="34579" xr:uid="{3DB9C085-C6FE-4F07-A04B-A6B8AFC24F85}"/>
    <cellStyle name="20% - Accent4 4 3 2 2 3" xfId="43878" xr:uid="{45B37C68-FB83-473D-BB16-398699CDEECE}"/>
    <cellStyle name="20% - Accent4 4 3 2 2 4" xfId="25280" xr:uid="{B8F6EA68-2D18-4D62-9416-0121B00FF65D}"/>
    <cellStyle name="20% - Accent4 4 3 2 3" xfId="12616" xr:uid="{FC647DC7-ACC6-4DD8-BA5F-6BA869C15259}"/>
    <cellStyle name="20% - Accent4 4 3 2 3 2" xfId="48958" xr:uid="{14C43068-4E99-4D87-8207-E6338BF24715}"/>
    <cellStyle name="20% - Accent4 4 3 2 3 3" xfId="30362" xr:uid="{F72EAC45-012E-4AAA-BF36-0F90E7869120}"/>
    <cellStyle name="20% - Accent4 4 3 2 4" xfId="39661" xr:uid="{12563825-9C14-4DDE-9EDD-AC709BEA77AA}"/>
    <cellStyle name="20% - Accent4 4 3 2 5" xfId="21063" xr:uid="{AE0BE759-6D82-485A-9A63-08F443A8A818}"/>
    <cellStyle name="20% - Accent4 4 3 3" xfId="5362" xr:uid="{00000000-0005-0000-0000-000062020000}"/>
    <cellStyle name="20% - Accent4 4 3 3 2" xfId="14688" xr:uid="{170B685E-6CA2-4557-A097-BFB5EA7FE9F9}"/>
    <cellStyle name="20% - Accent4 4 3 3 2 2" xfId="51030" xr:uid="{5CAB8337-EAC8-4886-97A6-A50142B8BD2B}"/>
    <cellStyle name="20% - Accent4 4 3 3 2 3" xfId="32434" xr:uid="{778E9634-2832-438F-9133-04D09FA3913D}"/>
    <cellStyle name="20% - Accent4 4 3 3 3" xfId="41733" xr:uid="{5E5AA2C2-2601-4C3B-B74C-4781C8DD6A7A}"/>
    <cellStyle name="20% - Accent4 4 3 3 4" xfId="23135" xr:uid="{9F6B1A5E-CB2E-4BDA-BDB3-CAF2A784D989}"/>
    <cellStyle name="20% - Accent4 4 3 4" xfId="10471" xr:uid="{49FCEBDA-EFF7-43CE-B0EB-FB11AD4543C9}"/>
    <cellStyle name="20% - Accent4 4 3 4 2" xfId="46813" xr:uid="{C32DDD41-CAAD-4648-9A52-6851876A9E56}"/>
    <cellStyle name="20% - Accent4 4 3 4 3" xfId="28217" xr:uid="{B0AD1873-B097-460C-976E-1863A6E710D2}"/>
    <cellStyle name="20% - Accent4 4 3 5" xfId="37516" xr:uid="{CAFD593C-DAA7-4832-8E49-8A34AD19D36A}"/>
    <cellStyle name="20% - Accent4 4 3 6" xfId="18918" xr:uid="{DB4593B3-9525-4BE5-AF4C-0206E78A6562}"/>
    <cellStyle name="20% - Accent4 4 4" xfId="1468" xr:uid="{00000000-0005-0000-0000-000063020000}"/>
    <cellStyle name="20% - Accent4 4 4 2" xfId="3698" xr:uid="{00000000-0005-0000-0000-000064020000}"/>
    <cellStyle name="20% - Accent4 4 4 2 2" xfId="7920" xr:uid="{00000000-0005-0000-0000-000065020000}"/>
    <cellStyle name="20% - Accent4 4 4 2 2 2" xfId="17246" xr:uid="{BEFB637D-7508-463A-8456-67BF762D68AC}"/>
    <cellStyle name="20% - Accent4 4 4 2 2 2 2" xfId="53588" xr:uid="{BFFA10EB-8508-40F8-8D44-A5E344B15185}"/>
    <cellStyle name="20% - Accent4 4 4 2 2 2 3" xfId="34992" xr:uid="{B91955ED-C97B-43BD-984C-3BADCF925664}"/>
    <cellStyle name="20% - Accent4 4 4 2 2 3" xfId="44291" xr:uid="{5E89C547-3A9D-4667-8D4E-5FDE894405B1}"/>
    <cellStyle name="20% - Accent4 4 4 2 2 4" xfId="25693" xr:uid="{B1A9AB52-46D5-4211-8CD4-BFAFEE541B08}"/>
    <cellStyle name="20% - Accent4 4 4 2 3" xfId="13029" xr:uid="{7DA0AE7F-E064-496D-8790-0F77D63E2F64}"/>
    <cellStyle name="20% - Accent4 4 4 2 3 2" xfId="49371" xr:uid="{7688FD8D-A987-42A2-A2E8-74B9C4B71B4F}"/>
    <cellStyle name="20% - Accent4 4 4 2 3 3" xfId="30775" xr:uid="{10A05C57-9AEA-4564-B178-B04B4AD09C22}"/>
    <cellStyle name="20% - Accent4 4 4 2 4" xfId="40074" xr:uid="{E1BC1B03-0101-4EB4-B42E-BCC448F7ACA1}"/>
    <cellStyle name="20% - Accent4 4 4 2 5" xfId="21476" xr:uid="{97D8FC40-C8BC-4916-B4A2-25C2F6282FC7}"/>
    <cellStyle name="20% - Accent4 4 4 3" xfId="5775" xr:uid="{00000000-0005-0000-0000-000066020000}"/>
    <cellStyle name="20% - Accent4 4 4 3 2" xfId="15101" xr:uid="{B06219DA-D049-42B4-8723-8CAA361508A8}"/>
    <cellStyle name="20% - Accent4 4 4 3 2 2" xfId="51443" xr:uid="{7A6E87C1-AE3F-4AB3-88F9-68B3834DF24E}"/>
    <cellStyle name="20% - Accent4 4 4 3 2 3" xfId="32847" xr:uid="{7C6EDBB4-FABB-457A-A84B-B5117FD88436}"/>
    <cellStyle name="20% - Accent4 4 4 3 3" xfId="42146" xr:uid="{CD5A0B78-63F7-42BA-8359-A11EDED40F4A}"/>
    <cellStyle name="20% - Accent4 4 4 3 4" xfId="23548" xr:uid="{CDC1F07D-3DCB-4B1B-A335-64CC44F7465D}"/>
    <cellStyle name="20% - Accent4 4 4 4" xfId="10884" xr:uid="{F2C95672-866E-4990-B548-85B897C9C5F8}"/>
    <cellStyle name="20% - Accent4 4 4 4 2" xfId="47226" xr:uid="{30D076F8-8FF8-4FB3-AA3D-6CA90EFEDC57}"/>
    <cellStyle name="20% - Accent4 4 4 4 3" xfId="28630" xr:uid="{91D8D92C-1D0C-4DEB-A3D0-7B35E2BC7734}"/>
    <cellStyle name="20% - Accent4 4 4 5" xfId="37929" xr:uid="{E2186777-CCB1-41D0-9465-138CCA320E85}"/>
    <cellStyle name="20% - Accent4 4 4 6" xfId="19331" xr:uid="{9A7F79C2-BBDA-45CA-928F-F2DADB0E6EAA}"/>
    <cellStyle name="20% - Accent4 4 5" xfId="1882" xr:uid="{00000000-0005-0000-0000-000067020000}"/>
    <cellStyle name="20% - Accent4 4 5 2" xfId="4111" xr:uid="{00000000-0005-0000-0000-000068020000}"/>
    <cellStyle name="20% - Accent4 4 5 2 2" xfId="8333" xr:uid="{00000000-0005-0000-0000-000069020000}"/>
    <cellStyle name="20% - Accent4 4 5 2 2 2" xfId="17659" xr:uid="{653EC9F7-E156-4EB4-81F9-C97D28878829}"/>
    <cellStyle name="20% - Accent4 4 5 2 2 2 2" xfId="54001" xr:uid="{F01956C4-C097-4996-BF7C-4C45F6573DF3}"/>
    <cellStyle name="20% - Accent4 4 5 2 2 2 3" xfId="35405" xr:uid="{E57B2D47-320C-4047-9746-2230653DBF34}"/>
    <cellStyle name="20% - Accent4 4 5 2 2 3" xfId="44704" xr:uid="{ED461825-3A74-446F-AB2E-653900D9D064}"/>
    <cellStyle name="20% - Accent4 4 5 2 2 4" xfId="26106" xr:uid="{B716E1CC-9A14-41B6-9EBD-E85C1461EB73}"/>
    <cellStyle name="20% - Accent4 4 5 2 3" xfId="13442" xr:uid="{F86DED90-A1BE-4CFC-9DBA-E6A606B693DE}"/>
    <cellStyle name="20% - Accent4 4 5 2 3 2" xfId="49784" xr:uid="{0AAFA56B-345C-47D7-985F-5E15B6E564AC}"/>
    <cellStyle name="20% - Accent4 4 5 2 3 3" xfId="31188" xr:uid="{9D462639-3F64-47E7-A505-28A623C423F6}"/>
    <cellStyle name="20% - Accent4 4 5 2 4" xfId="40487" xr:uid="{D3035989-3A53-4BD1-8DEB-931443D6ADD9}"/>
    <cellStyle name="20% - Accent4 4 5 2 5" xfId="21889" xr:uid="{4F6D961D-CB66-470E-82D3-D859F3F17B54}"/>
    <cellStyle name="20% - Accent4 4 5 3" xfId="6188" xr:uid="{00000000-0005-0000-0000-00006A020000}"/>
    <cellStyle name="20% - Accent4 4 5 3 2" xfId="15514" xr:uid="{A4980443-02E6-4C94-BF5C-123ECCFDF451}"/>
    <cellStyle name="20% - Accent4 4 5 3 2 2" xfId="51856" xr:uid="{9E5BDFFE-9B32-43C1-88CC-140AD4CD54E6}"/>
    <cellStyle name="20% - Accent4 4 5 3 2 3" xfId="33260" xr:uid="{6D76B7DB-F8CC-4D8A-A5CA-98A0516946C5}"/>
    <cellStyle name="20% - Accent4 4 5 3 3" xfId="42559" xr:uid="{32AD1FC1-E72D-4536-B7A8-6BF4933D5A41}"/>
    <cellStyle name="20% - Accent4 4 5 3 4" xfId="23961" xr:uid="{5C566B5C-B5DB-43E5-B941-A16DF12DD6A2}"/>
    <cellStyle name="20% - Accent4 4 5 4" xfId="11297" xr:uid="{8B1DBFD6-A4FF-458F-8339-66F70270FD3B}"/>
    <cellStyle name="20% - Accent4 4 5 4 2" xfId="47639" xr:uid="{620BC5F9-6522-47A8-8EBD-2E0DE409F718}"/>
    <cellStyle name="20% - Accent4 4 5 4 3" xfId="29043" xr:uid="{476662EA-6A09-4BE6-B692-7A6314B3C3F1}"/>
    <cellStyle name="20% - Accent4 4 5 5" xfId="38342" xr:uid="{25FDAA73-9686-48E4-953A-89408FCE0E41}"/>
    <cellStyle name="20% - Accent4 4 5 6" xfId="19744" xr:uid="{0E2FE53D-9F1A-4CF4-B764-298D4257CE8D}"/>
    <cellStyle name="20% - Accent4 4 6" xfId="2295" xr:uid="{00000000-0005-0000-0000-00006B020000}"/>
    <cellStyle name="20% - Accent4 4 6 2" xfId="6601" xr:uid="{00000000-0005-0000-0000-00006C020000}"/>
    <cellStyle name="20% - Accent4 4 6 2 2" xfId="15927" xr:uid="{B14D40E1-30F1-4D1B-AFAB-EEC18ECB1986}"/>
    <cellStyle name="20% - Accent4 4 6 2 2 2" xfId="52269" xr:uid="{9122EFA3-E745-4994-9AE5-6D550CCBB3A5}"/>
    <cellStyle name="20% - Accent4 4 6 2 2 3" xfId="33673" xr:uid="{497515DE-7AB8-46F0-9A44-CF0736EC04DB}"/>
    <cellStyle name="20% - Accent4 4 6 2 3" xfId="42972" xr:uid="{D364EFFF-7BB1-45AC-A20E-D2DA0E46CE88}"/>
    <cellStyle name="20% - Accent4 4 6 2 4" xfId="24374" xr:uid="{6FEEC158-E9BD-445F-919A-69523B12996E}"/>
    <cellStyle name="20% - Accent4 4 6 3" xfId="11710" xr:uid="{15CD1359-7DE6-41F8-A2F6-E9B071914E89}"/>
    <cellStyle name="20% - Accent4 4 6 3 2" xfId="48052" xr:uid="{FB0F7636-733A-4269-95D3-C8A60F0AB9C6}"/>
    <cellStyle name="20% - Accent4 4 6 3 3" xfId="29456" xr:uid="{46D44B61-0BD4-4FD1-83C7-EB21CAC3A837}"/>
    <cellStyle name="20% - Accent4 4 6 4" xfId="38755" xr:uid="{504778A5-E08A-4AD2-83EC-72DB9CE011FD}"/>
    <cellStyle name="20% - Accent4 4 6 5" xfId="20157" xr:uid="{D74E1D4C-054C-4350-A082-E3AA67F34574}"/>
    <cellStyle name="20% - Accent4 4 7" xfId="4535" xr:uid="{00000000-0005-0000-0000-00006D020000}"/>
    <cellStyle name="20% - Accent4 4 7 2" xfId="13861" xr:uid="{4A1E46C4-1E14-4EE1-8F00-2C25F48F323F}"/>
    <cellStyle name="20% - Accent4 4 7 2 2" xfId="50203" xr:uid="{EB1645D1-2957-4B96-BCC7-6D90EFBBA90D}"/>
    <cellStyle name="20% - Accent4 4 7 2 3" xfId="31607" xr:uid="{0EEA06F5-6A2B-49F7-AA33-AAB795606016}"/>
    <cellStyle name="20% - Accent4 4 7 3" xfId="40906" xr:uid="{B1C30A4D-255C-40A3-8159-C6567B5F279D}"/>
    <cellStyle name="20% - Accent4 4 7 4" xfId="22308" xr:uid="{97F1FD0F-0341-4582-95F4-A552163035C2}"/>
    <cellStyle name="20% - Accent4 4 8" xfId="8953" xr:uid="{66D1590A-BB3A-4B79-BA94-169F97E79370}"/>
    <cellStyle name="20% - Accent4 4 8 2" xfId="36023" xr:uid="{AF7594A2-1403-4FDD-BB34-1BDB7E526321}"/>
    <cellStyle name="20% - Accent4 4 8 2 2" xfId="54618" xr:uid="{2B9D11C4-43ED-4398-9691-E570AC25B43A}"/>
    <cellStyle name="20% - Accent4 4 8 3" xfId="45321" xr:uid="{745BA665-42D2-48B5-9972-040885543A19}"/>
    <cellStyle name="20% - Accent4 4 8 4" xfId="26724" xr:uid="{FD1EEAFD-4F5A-40EE-A349-42136DA08895}"/>
    <cellStyle name="20% - Accent4 4 9" xfId="9644" xr:uid="{0A831891-DE33-41B4-A9AA-6BA3D3934067}"/>
    <cellStyle name="20% - Accent4 4 9 2" xfId="45986" xr:uid="{A2F0BE21-6049-4F0D-A7E9-F721345DFC56}"/>
    <cellStyle name="20% - Accent4 4 9 3" xfId="27390" xr:uid="{68966F24-75D9-4C9B-8A0D-CD16B4348ED4}"/>
    <cellStyle name="20% - Accent4 5" xfId="594" xr:uid="{00000000-0005-0000-0000-00006E020000}"/>
    <cellStyle name="20% - Accent4 5 2" xfId="2865" xr:uid="{00000000-0005-0000-0000-00006F020000}"/>
    <cellStyle name="20% - Accent4 5 2 2" xfId="7087" xr:uid="{00000000-0005-0000-0000-000070020000}"/>
    <cellStyle name="20% - Accent4 5 2 2 2" xfId="16413" xr:uid="{BC07591F-627E-49C1-A621-EF704A5329C8}"/>
    <cellStyle name="20% - Accent4 5 2 2 2 2" xfId="52755" xr:uid="{EF1AB4B6-C9B6-476D-940A-F2A9FF8716A5}"/>
    <cellStyle name="20% - Accent4 5 2 2 2 3" xfId="34159" xr:uid="{BB65ACF7-6618-4EAB-87A5-45B70279C14A}"/>
    <cellStyle name="20% - Accent4 5 2 2 3" xfId="43458" xr:uid="{9237B313-507E-4653-92CA-32BD7E34F264}"/>
    <cellStyle name="20% - Accent4 5 2 2 4" xfId="24860" xr:uid="{ADE3C86B-2D19-4AD4-8AA0-B045A5431121}"/>
    <cellStyle name="20% - Accent4 5 2 3" xfId="12196" xr:uid="{882F5483-C057-4C2E-BA81-90849D25019D}"/>
    <cellStyle name="20% - Accent4 5 2 3 2" xfId="48538" xr:uid="{6795E5D0-E303-4960-9CA3-6483B56ADA8E}"/>
    <cellStyle name="20% - Accent4 5 2 3 3" xfId="29942" xr:uid="{9A5834F9-5098-4452-9197-B1F05F013914}"/>
    <cellStyle name="20% - Accent4 5 2 4" xfId="39241" xr:uid="{44B07204-B476-4505-A9DD-95AF754495DE}"/>
    <cellStyle name="20% - Accent4 5 2 5" xfId="20643" xr:uid="{F5DE4A02-5DD0-4B71-A2AF-134A2709BC40}"/>
    <cellStyle name="20% - Accent4 5 3" xfId="4942" xr:uid="{00000000-0005-0000-0000-000071020000}"/>
    <cellStyle name="20% - Accent4 5 3 2" xfId="14268" xr:uid="{F335CDAF-C9EE-43F9-8253-E5104B070C8B}"/>
    <cellStyle name="20% - Accent4 5 3 2 2" xfId="50610" xr:uid="{D5B26C12-2D08-4108-9578-464EE258D084}"/>
    <cellStyle name="20% - Accent4 5 3 2 3" xfId="32014" xr:uid="{F90775AC-E871-462E-9C3A-0FF91E74C2C7}"/>
    <cellStyle name="20% - Accent4 5 3 3" xfId="41313" xr:uid="{8F07BAC7-D0E6-4B5D-89D0-FD71DBE4A3EB}"/>
    <cellStyle name="20% - Accent4 5 3 4" xfId="22715" xr:uid="{3DFF58CE-9980-49F6-9575-D207368F1F8C}"/>
    <cellStyle name="20% - Accent4 5 4" xfId="9186" xr:uid="{E62ED282-F767-404B-ADA1-4F8E5B4D01EB}"/>
    <cellStyle name="20% - Accent4 5 4 2" xfId="36250" xr:uid="{7562B489-D3B1-4FBC-9F47-F787DEC51FA1}"/>
    <cellStyle name="20% - Accent4 5 4 2 2" xfId="54844" xr:uid="{1DE84A34-37FF-4F31-8CAE-271EBDB2CE8C}"/>
    <cellStyle name="20% - Accent4 5 4 3" xfId="45547" xr:uid="{7C4C9295-CB3F-4597-BA80-8F54B12A8C68}"/>
    <cellStyle name="20% - Accent4 5 4 4" xfId="26951" xr:uid="{5B54DCDE-B3E2-410D-AFA2-A5AAF65926E3}"/>
    <cellStyle name="20% - Accent4 5 5" xfId="10051" xr:uid="{215202B7-E4AC-4032-B500-9B6FB1AFC90E}"/>
    <cellStyle name="20% - Accent4 5 5 2" xfId="46393" xr:uid="{D94896BA-BD7E-47D4-A179-8C36515739BE}"/>
    <cellStyle name="20% - Accent4 5 5 3" xfId="27797" xr:uid="{1DAFBF7A-3BA9-4320-8573-784D2DB0561E}"/>
    <cellStyle name="20% - Accent4 5 6" xfId="37096" xr:uid="{DC8EDA90-0863-43EA-B109-C7C6D921BE69}"/>
    <cellStyle name="20% - Accent4 5 7" xfId="18498" xr:uid="{2CC51650-2DAF-47F7-9E21-71B91D226CF5}"/>
    <cellStyle name="20% - Accent4 6" xfId="1047" xr:uid="{00000000-0005-0000-0000-000072020000}"/>
    <cellStyle name="20% - Accent4 6 2" xfId="3278" xr:uid="{00000000-0005-0000-0000-000073020000}"/>
    <cellStyle name="20% - Accent4 6 2 2" xfId="7500" xr:uid="{00000000-0005-0000-0000-000074020000}"/>
    <cellStyle name="20% - Accent4 6 2 2 2" xfId="16826" xr:uid="{F197294B-C707-4783-BB0C-A787C93D4F53}"/>
    <cellStyle name="20% - Accent4 6 2 2 2 2" xfId="53168" xr:uid="{2E3F9946-864B-49C2-BCE6-E965D7CB9C77}"/>
    <cellStyle name="20% - Accent4 6 2 2 2 3" xfId="34572" xr:uid="{E401C9B6-949D-48FA-A4F6-AAE10B4B32BC}"/>
    <cellStyle name="20% - Accent4 6 2 2 3" xfId="43871" xr:uid="{3DCC31BA-3098-4FF0-9B37-33408224CAD8}"/>
    <cellStyle name="20% - Accent4 6 2 2 4" xfId="25273" xr:uid="{CAB2F3F5-39FE-45FA-BA52-CFC3E3EED098}"/>
    <cellStyle name="20% - Accent4 6 2 3" xfId="12609" xr:uid="{82823DD6-A509-44FF-BF89-F8ED3F349F92}"/>
    <cellStyle name="20% - Accent4 6 2 3 2" xfId="48951" xr:uid="{FB0ACB3E-21E4-4522-BE3D-7F9F7BD8549D}"/>
    <cellStyle name="20% - Accent4 6 2 3 3" xfId="30355" xr:uid="{97D1150F-A710-4AA0-9352-63AC2ABE52C8}"/>
    <cellStyle name="20% - Accent4 6 2 4" xfId="39654" xr:uid="{B0335BA9-C04D-40D6-ACD1-8B358A2355E3}"/>
    <cellStyle name="20% - Accent4 6 2 5" xfId="21056" xr:uid="{8C1FB930-5C82-4662-A04F-FCC0E708157F}"/>
    <cellStyle name="20% - Accent4 6 3" xfId="5355" xr:uid="{00000000-0005-0000-0000-000075020000}"/>
    <cellStyle name="20% - Accent4 6 3 2" xfId="14681" xr:uid="{E7C4BC39-C572-4E09-A253-CE8EDF280CEA}"/>
    <cellStyle name="20% - Accent4 6 3 2 2" xfId="51023" xr:uid="{C8845810-00AA-40BC-A3AD-FCAE935A90EA}"/>
    <cellStyle name="20% - Accent4 6 3 2 3" xfId="32427" xr:uid="{CAF4DB9D-5123-42F8-8710-FAEFDC9DE6BA}"/>
    <cellStyle name="20% - Accent4 6 3 3" xfId="41726" xr:uid="{5EA9CF3E-030E-441A-A565-8A21179AD929}"/>
    <cellStyle name="20% - Accent4 6 3 4" xfId="23128" xr:uid="{1E67AB73-69CB-41EF-8C98-45CADC6D3572}"/>
    <cellStyle name="20% - Accent4 6 4" xfId="10464" xr:uid="{822672B7-5898-4FFC-B3D1-CEDCBD164E7A}"/>
    <cellStyle name="20% - Accent4 6 4 2" xfId="46806" xr:uid="{9479BD34-7660-431B-B921-2184DEA1F2E0}"/>
    <cellStyle name="20% - Accent4 6 4 3" xfId="28210" xr:uid="{9BA29E85-93C1-4BF5-AACF-0721C6CFAF8D}"/>
    <cellStyle name="20% - Accent4 6 5" xfId="37509" xr:uid="{B2535D46-49EB-4F88-BF38-1AC8EDB18B7C}"/>
    <cellStyle name="20% - Accent4 6 6" xfId="18911" xr:uid="{9DBAF652-1A00-4AC9-AEE5-7C95906990C6}"/>
    <cellStyle name="20% - Accent4 7" xfId="1461" xr:uid="{00000000-0005-0000-0000-000076020000}"/>
    <cellStyle name="20% - Accent4 7 2" xfId="3691" xr:uid="{00000000-0005-0000-0000-000077020000}"/>
    <cellStyle name="20% - Accent4 7 2 2" xfId="7913" xr:uid="{00000000-0005-0000-0000-000078020000}"/>
    <cellStyle name="20% - Accent4 7 2 2 2" xfId="17239" xr:uid="{D7E5CF16-91BC-42B1-BB6C-A9E894F7638D}"/>
    <cellStyle name="20% - Accent4 7 2 2 2 2" xfId="53581" xr:uid="{A9D614FF-399C-42DE-8376-1B99962FE04B}"/>
    <cellStyle name="20% - Accent4 7 2 2 2 3" xfId="34985" xr:uid="{DE8225AD-BF33-4853-94AB-D22C60295F80}"/>
    <cellStyle name="20% - Accent4 7 2 2 3" xfId="44284" xr:uid="{D33F1055-4B4E-4B0C-98E3-A4417C59A7DA}"/>
    <cellStyle name="20% - Accent4 7 2 2 4" xfId="25686" xr:uid="{25F7A8ED-ED70-4E2C-AD0D-9CDDEC6D1E41}"/>
    <cellStyle name="20% - Accent4 7 2 3" xfId="13022" xr:uid="{3DE18281-70EC-44A4-8D56-D73F6894C378}"/>
    <cellStyle name="20% - Accent4 7 2 3 2" xfId="49364" xr:uid="{3D593B17-7BD0-45B9-BF6E-CAB92565C8FF}"/>
    <cellStyle name="20% - Accent4 7 2 3 3" xfId="30768" xr:uid="{9A430FF0-473F-42AF-9A41-EEEE4CAA3CFE}"/>
    <cellStyle name="20% - Accent4 7 2 4" xfId="40067" xr:uid="{316A7D17-770D-49C9-8F63-AF719A915FB3}"/>
    <cellStyle name="20% - Accent4 7 2 5" xfId="21469" xr:uid="{653E0247-B3E4-4D41-AE2C-3483DE3594CC}"/>
    <cellStyle name="20% - Accent4 7 3" xfId="5768" xr:uid="{00000000-0005-0000-0000-000079020000}"/>
    <cellStyle name="20% - Accent4 7 3 2" xfId="15094" xr:uid="{FF8435F7-3B9A-4638-A360-1ED2946AB2FE}"/>
    <cellStyle name="20% - Accent4 7 3 2 2" xfId="51436" xr:uid="{B8DA58CB-48D4-489A-82A8-03C5BEB7DC0C}"/>
    <cellStyle name="20% - Accent4 7 3 2 3" xfId="32840" xr:uid="{7A35CCB5-F5C3-4882-A28C-D02E3B574DC1}"/>
    <cellStyle name="20% - Accent4 7 3 3" xfId="42139" xr:uid="{37EDF22E-430F-46C1-BB91-08480E628DCC}"/>
    <cellStyle name="20% - Accent4 7 3 4" xfId="23541" xr:uid="{041CC9E8-A3F1-4B97-B449-40BEF37F670F}"/>
    <cellStyle name="20% - Accent4 7 4" xfId="10877" xr:uid="{8A17EC70-000D-4932-8D9B-15E3DF832AA4}"/>
    <cellStyle name="20% - Accent4 7 4 2" xfId="47219" xr:uid="{2CF45C92-03D9-4109-82FD-6FF27AEA1B2B}"/>
    <cellStyle name="20% - Accent4 7 4 3" xfId="28623" xr:uid="{9FBCFEBE-1662-412D-819B-DF640EC7F88A}"/>
    <cellStyle name="20% - Accent4 7 5" xfId="37922" xr:uid="{22A8EA16-A988-44F2-830F-7B9722886988}"/>
    <cellStyle name="20% - Accent4 7 6" xfId="19324" xr:uid="{B8CBF23C-BFC6-48E6-9022-3349392C63C0}"/>
    <cellStyle name="20% - Accent4 8" xfId="1875" xr:uid="{00000000-0005-0000-0000-00007A020000}"/>
    <cellStyle name="20% - Accent4 8 2" xfId="4104" xr:uid="{00000000-0005-0000-0000-00007B020000}"/>
    <cellStyle name="20% - Accent4 8 2 2" xfId="8326" xr:uid="{00000000-0005-0000-0000-00007C020000}"/>
    <cellStyle name="20% - Accent4 8 2 2 2" xfId="17652" xr:uid="{2F334861-F022-4B87-9C8B-D8FCCDFB1963}"/>
    <cellStyle name="20% - Accent4 8 2 2 2 2" xfId="53994" xr:uid="{84D52B42-9279-43D8-A874-D6BE02EAC3CD}"/>
    <cellStyle name="20% - Accent4 8 2 2 2 3" xfId="35398" xr:uid="{9E0E140B-8DFC-4B69-9402-060CD287AA51}"/>
    <cellStyle name="20% - Accent4 8 2 2 3" xfId="44697" xr:uid="{54B5B9EF-88DB-4A1B-B542-48D424C48CB0}"/>
    <cellStyle name="20% - Accent4 8 2 2 4" xfId="26099" xr:uid="{EEA33CDD-014C-4969-B8F2-30275DDDDC4C}"/>
    <cellStyle name="20% - Accent4 8 2 3" xfId="13435" xr:uid="{834C6A64-B23F-4301-AABF-047158ACBD1D}"/>
    <cellStyle name="20% - Accent4 8 2 3 2" xfId="49777" xr:uid="{9C7F7392-5097-41D7-94AF-C0CBF84301D2}"/>
    <cellStyle name="20% - Accent4 8 2 3 3" xfId="31181" xr:uid="{3424F496-B0CF-41DF-A44D-02CCC61EDD6B}"/>
    <cellStyle name="20% - Accent4 8 2 4" xfId="40480" xr:uid="{DF624CED-8F08-4E03-9DBD-0CFC6B8E207E}"/>
    <cellStyle name="20% - Accent4 8 2 5" xfId="21882" xr:uid="{88951372-0045-4BBF-9002-8FC195058E2C}"/>
    <cellStyle name="20% - Accent4 8 3" xfId="6181" xr:uid="{00000000-0005-0000-0000-00007D020000}"/>
    <cellStyle name="20% - Accent4 8 3 2" xfId="15507" xr:uid="{0768BF7E-203F-4FD1-B461-6A9A6CF9C1A6}"/>
    <cellStyle name="20% - Accent4 8 3 2 2" xfId="51849" xr:uid="{AC100FC0-1BCD-44E2-B2C9-AEE9BF5118A8}"/>
    <cellStyle name="20% - Accent4 8 3 2 3" xfId="33253" xr:uid="{9A27CFAE-5853-491B-B70D-36ADC4F56857}"/>
    <cellStyle name="20% - Accent4 8 3 3" xfId="42552" xr:uid="{2B43F5B1-0755-445F-A3F8-E14572D0F536}"/>
    <cellStyle name="20% - Accent4 8 3 4" xfId="23954" xr:uid="{F55720D1-743D-47F5-BAE4-4063F93BD31B}"/>
    <cellStyle name="20% - Accent4 8 4" xfId="11290" xr:uid="{825C09D9-7EC1-437C-B6CE-EB834200920F}"/>
    <cellStyle name="20% - Accent4 8 4 2" xfId="47632" xr:uid="{A21825EB-01FA-49CA-9EA5-4EFA9ED8A70D}"/>
    <cellStyle name="20% - Accent4 8 4 3" xfId="29036" xr:uid="{D00D7859-9C44-4E17-B060-9B5EDC356E9B}"/>
    <cellStyle name="20% - Accent4 8 5" xfId="38335" xr:uid="{20BC11AF-62CF-4B14-9F0C-8E40BCE93032}"/>
    <cellStyle name="20% - Accent4 8 6" xfId="19737" xr:uid="{8E60121F-B157-41D7-9DAB-2A158A852E6C}"/>
    <cellStyle name="20% - Accent4 9" xfId="2288" xr:uid="{00000000-0005-0000-0000-00007E020000}"/>
    <cellStyle name="20% - Accent4 9 2" xfId="6594" xr:uid="{00000000-0005-0000-0000-00007F020000}"/>
    <cellStyle name="20% - Accent4 9 2 2" xfId="15920" xr:uid="{5DB4EF9E-C27E-4D3C-AF30-1F06D740C2AE}"/>
    <cellStyle name="20% - Accent4 9 2 2 2" xfId="52262" xr:uid="{44C27AC5-1CDC-485F-B432-2C9A6486046B}"/>
    <cellStyle name="20% - Accent4 9 2 2 3" xfId="33666" xr:uid="{30104A58-6E35-403D-8539-79ABDB0313A1}"/>
    <cellStyle name="20% - Accent4 9 2 3" xfId="42965" xr:uid="{C5890F48-F09F-4DD4-85F2-D94B4F61DD10}"/>
    <cellStyle name="20% - Accent4 9 2 4" xfId="24367" xr:uid="{92E90060-58F1-43AA-9D1B-91824F796C53}"/>
    <cellStyle name="20% - Accent4 9 3" xfId="11703" xr:uid="{CAC9B882-F5C2-40B9-B07B-DB3A46DC0033}"/>
    <cellStyle name="20% - Accent4 9 3 2" xfId="48045" xr:uid="{8493BC79-DBD8-4D53-83F9-BCBD423D631B}"/>
    <cellStyle name="20% - Accent4 9 3 3" xfId="29449" xr:uid="{218579F5-63B6-4532-A983-02CA0CFBF80A}"/>
    <cellStyle name="20% - Accent4 9 4" xfId="38748" xr:uid="{DB8C699F-061F-41A1-A056-80B93D4E0A88}"/>
    <cellStyle name="20% - Accent4 9 5" xfId="20150" xr:uid="{40DC40DA-723B-4FD1-B990-533D0BD8E933}"/>
    <cellStyle name="20% - Accent5" xfId="33" builtinId="46" customBuiltin="1"/>
    <cellStyle name="20% - Accent5 10" xfId="4536" xr:uid="{00000000-0005-0000-0000-000081020000}"/>
    <cellStyle name="20% - Accent5 10 2" xfId="13862" xr:uid="{63922B84-7AD1-447F-85C3-4DBC89335139}"/>
    <cellStyle name="20% - Accent5 10 2 2" xfId="50204" xr:uid="{136AD147-7FDA-4454-A1CF-FFE5FD5DB71B}"/>
    <cellStyle name="20% - Accent5 10 2 3" xfId="31608" xr:uid="{80CDD97F-215B-4259-B812-983D3DF7A724}"/>
    <cellStyle name="20% - Accent5 10 3" xfId="40907" xr:uid="{1F3132CC-33CF-466A-AAA2-72A61F7A7C33}"/>
    <cellStyle name="20% - Accent5 10 4" xfId="22309" xr:uid="{5B6F8FDB-189F-4C10-A5A1-CA896B68D9DD}"/>
    <cellStyle name="20% - Accent5 11" xfId="8766" xr:uid="{A87C980D-48BC-4AA3-98F7-53B2F02F228C}"/>
    <cellStyle name="20% - Accent5 11 2" xfId="35836" xr:uid="{955217DC-3623-4E4B-B79A-B5A56777E2F3}"/>
    <cellStyle name="20% - Accent5 11 2 2" xfId="54431" xr:uid="{0A5475CB-69F6-4480-AA64-08F3076C62AD}"/>
    <cellStyle name="20% - Accent5 11 3" xfId="45134" xr:uid="{94AB55F8-11D0-4698-B987-98224281D78A}"/>
    <cellStyle name="20% - Accent5 11 4" xfId="26537" xr:uid="{10938B76-5478-4EFC-AC34-F76DC4603FB7}"/>
    <cellStyle name="20% - Accent5 12" xfId="9645" xr:uid="{13C8E3B5-E9D8-4187-A4B1-47EFB2202EF1}"/>
    <cellStyle name="20% - Accent5 12 2" xfId="45987" xr:uid="{EED658F1-C604-4B4A-8AD2-B5C2A2D58ABA}"/>
    <cellStyle name="20% - Accent5 12 3" xfId="27391" xr:uid="{32E65A68-EFBD-4FEC-AE90-E52221250B58}"/>
    <cellStyle name="20% - Accent5 13" xfId="36690" xr:uid="{119F8A91-8066-4973-AE65-17FC0DBD83A2}"/>
    <cellStyle name="20% - Accent5 14" xfId="18092" xr:uid="{C4309D11-4E75-4923-9445-6E60262032FC}"/>
    <cellStyle name="20% - Accent5 2" xfId="34" xr:uid="{00000000-0005-0000-0000-000082020000}"/>
    <cellStyle name="20% - Accent5 2 10" xfId="8796" xr:uid="{5BBF4372-A7B1-47A0-AC3D-4A60EDC1A5F8}"/>
    <cellStyle name="20% - Accent5 2 10 2" xfId="35866" xr:uid="{DCC59DF7-1C51-4712-8FE8-00CAE8E9E146}"/>
    <cellStyle name="20% - Accent5 2 10 2 2" xfId="54461" xr:uid="{0399268A-A6F4-4BCF-9914-F68BF4135DBD}"/>
    <cellStyle name="20% - Accent5 2 10 3" xfId="45164" xr:uid="{9829EBCE-2FA8-4C0B-BD0A-E851C36FAF12}"/>
    <cellStyle name="20% - Accent5 2 10 4" xfId="26567" xr:uid="{9343127D-16B7-42FB-A05E-DBEFBE2410D2}"/>
    <cellStyle name="20% - Accent5 2 11" xfId="9646" xr:uid="{F77899A7-5CAF-4917-BDBC-778A38BFC782}"/>
    <cellStyle name="20% - Accent5 2 11 2" xfId="45988" xr:uid="{A8FBDD6A-99F0-4D53-A1AB-4421E08132BF}"/>
    <cellStyle name="20% - Accent5 2 11 3" xfId="27392" xr:uid="{B9A9F52E-B8C2-4493-9633-7A126509EB38}"/>
    <cellStyle name="20% - Accent5 2 12" xfId="36691" xr:uid="{1E120D4C-BB64-4042-8E43-3CBB2B78F4DF}"/>
    <cellStyle name="20% - Accent5 2 13" xfId="18093" xr:uid="{4973702D-0221-4060-978F-BB4567882CB0}"/>
    <cellStyle name="20% - Accent5 2 2" xfId="35" xr:uid="{00000000-0005-0000-0000-000083020000}"/>
    <cellStyle name="20% - Accent5 2 2 10" xfId="9647" xr:uid="{2A648AB5-3FD7-431B-8A53-54F778F11539}"/>
    <cellStyle name="20% - Accent5 2 2 10 2" xfId="45989" xr:uid="{1B1941A3-9424-43CA-9BB9-D7CDA5203CE7}"/>
    <cellStyle name="20% - Accent5 2 2 10 3" xfId="27393" xr:uid="{D3F892AE-6166-47BE-A1C2-54502FB8D8C3}"/>
    <cellStyle name="20% - Accent5 2 2 11" xfId="36692" xr:uid="{28D2BDAE-08C7-4039-A77D-C4959DCA7831}"/>
    <cellStyle name="20% - Accent5 2 2 12" xfId="18094" xr:uid="{0F9938E1-F453-4EE6-B3CB-2076EA01AB84}"/>
    <cellStyle name="20% - Accent5 2 2 2" xfId="36" xr:uid="{00000000-0005-0000-0000-000084020000}"/>
    <cellStyle name="20% - Accent5 2 2 2 10" xfId="36693" xr:uid="{480E2714-FEC6-479B-9E9F-B3F052B0A5BA}"/>
    <cellStyle name="20% - Accent5 2 2 2 11" xfId="18095" xr:uid="{C80C3002-AF3E-4140-92FD-2D83E41EAB8E}"/>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16424" xr:uid="{058A4891-04CD-46F3-A51C-A7EBC052F5A7}"/>
    <cellStyle name="20% - Accent5 2 2 2 2 2 2 2 2" xfId="52766" xr:uid="{B4BF57AB-FF6A-4A1E-A8C3-3DD5279D7C88}"/>
    <cellStyle name="20% - Accent5 2 2 2 2 2 2 2 3" xfId="34170" xr:uid="{143A84DF-CE03-47F2-A507-A3723FAF1DE5}"/>
    <cellStyle name="20% - Accent5 2 2 2 2 2 2 3" xfId="43469" xr:uid="{3EDFE5B1-DA9D-472F-BFB4-8C0370A65139}"/>
    <cellStyle name="20% - Accent5 2 2 2 2 2 2 4" xfId="24871" xr:uid="{176183B3-C457-484C-9909-FB2B096DF5F0}"/>
    <cellStyle name="20% - Accent5 2 2 2 2 2 3" xfId="12207" xr:uid="{F834F868-2358-4E4F-95E6-210BDE310A2B}"/>
    <cellStyle name="20% - Accent5 2 2 2 2 2 3 2" xfId="48549" xr:uid="{1E6E5853-8085-4F74-8D11-0E7D9F05B5E2}"/>
    <cellStyle name="20% - Accent5 2 2 2 2 2 3 3" xfId="29953" xr:uid="{4E17FD26-8E06-4997-8309-4DCE8CFBFD2C}"/>
    <cellStyle name="20% - Accent5 2 2 2 2 2 4" xfId="39252" xr:uid="{8DD198A9-1704-4D4E-A18F-3B859332B7A9}"/>
    <cellStyle name="20% - Accent5 2 2 2 2 2 5" xfId="20654" xr:uid="{CCDA32EB-E6B7-43E9-8988-C445D20DB24F}"/>
    <cellStyle name="20% - Accent5 2 2 2 2 3" xfId="4953" xr:uid="{00000000-0005-0000-0000-000088020000}"/>
    <cellStyle name="20% - Accent5 2 2 2 2 3 2" xfId="14279" xr:uid="{708F557F-4378-44AF-8BD6-F078A22C3BA3}"/>
    <cellStyle name="20% - Accent5 2 2 2 2 3 2 2" xfId="50621" xr:uid="{A82A4FA0-1C50-43E6-AC2B-ECA75BDF4233}"/>
    <cellStyle name="20% - Accent5 2 2 2 2 3 2 3" xfId="32025" xr:uid="{8B6462DE-8272-480B-AEF0-0C3AE9297C74}"/>
    <cellStyle name="20% - Accent5 2 2 2 2 3 3" xfId="41324" xr:uid="{9B1BD777-8F35-4D52-9208-89B38AFA7394}"/>
    <cellStyle name="20% - Accent5 2 2 2 2 3 4" xfId="22726" xr:uid="{D93D8581-EF77-4492-B4DE-E1A21B0368CF}"/>
    <cellStyle name="20% - Accent5 2 2 2 2 4" xfId="9531" xr:uid="{5DC5F027-F767-49FB-B9DE-2ACABCF8AC5A}"/>
    <cellStyle name="20% - Accent5 2 2 2 2 4 2" xfId="36592" xr:uid="{63147719-C957-43EF-96E4-AE3253F46BCE}"/>
    <cellStyle name="20% - Accent5 2 2 2 2 4 2 2" xfId="55186" xr:uid="{396685DE-697C-4FAF-A438-72F1A31596CD}"/>
    <cellStyle name="20% - Accent5 2 2 2 2 4 3" xfId="45889" xr:uid="{CE460DB2-AC84-4867-A46D-AF77B0B6AD94}"/>
    <cellStyle name="20% - Accent5 2 2 2 2 4 4" xfId="27293" xr:uid="{1812ADA9-2AD2-4414-8538-06BA4284F6E6}"/>
    <cellStyle name="20% - Accent5 2 2 2 2 5" xfId="10062" xr:uid="{9EF337CD-C741-4916-8796-22298FFF2C21}"/>
    <cellStyle name="20% - Accent5 2 2 2 2 5 2" xfId="46404" xr:uid="{EB093951-8A57-428A-B036-065CF7EB6497}"/>
    <cellStyle name="20% - Accent5 2 2 2 2 5 3" xfId="27808" xr:uid="{23AB89F8-2AA7-43D5-BA43-34C10D75CC23}"/>
    <cellStyle name="20% - Accent5 2 2 2 2 6" xfId="37107" xr:uid="{491FA132-3E40-4AFA-B924-44EFEB097B7D}"/>
    <cellStyle name="20% - Accent5 2 2 2 2 7" xfId="18509" xr:uid="{8075E0BE-F9C1-4D7E-8651-3D9FD2F1DE9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16837" xr:uid="{7F55A830-3949-40A6-94F2-34EEE1A9E350}"/>
    <cellStyle name="20% - Accent5 2 2 2 3 2 2 2 2" xfId="53179" xr:uid="{17CC512D-3402-4FDB-83D8-181A96F61C53}"/>
    <cellStyle name="20% - Accent5 2 2 2 3 2 2 2 3" xfId="34583" xr:uid="{E3E1A690-D5E2-46F2-8A43-773F65943921}"/>
    <cellStyle name="20% - Accent5 2 2 2 3 2 2 3" xfId="43882" xr:uid="{A47E3E28-991A-4637-80C8-FEBD5D11F357}"/>
    <cellStyle name="20% - Accent5 2 2 2 3 2 2 4" xfId="25284" xr:uid="{FF8A75CC-C96E-432E-8DFC-1F2F29E73B00}"/>
    <cellStyle name="20% - Accent5 2 2 2 3 2 3" xfId="12620" xr:uid="{3ACAE793-A44C-4F4E-A1F6-DD76FC9BC62F}"/>
    <cellStyle name="20% - Accent5 2 2 2 3 2 3 2" xfId="48962" xr:uid="{BCA5209C-A592-438C-97E1-E7312E052A30}"/>
    <cellStyle name="20% - Accent5 2 2 2 3 2 3 3" xfId="30366" xr:uid="{0F668BFA-D4B2-4382-8D05-5D12A6F8B82D}"/>
    <cellStyle name="20% - Accent5 2 2 2 3 2 4" xfId="39665" xr:uid="{935DE5A5-C212-492F-8E08-7E25ECC18A8D}"/>
    <cellStyle name="20% - Accent5 2 2 2 3 2 5" xfId="21067" xr:uid="{8E508085-3FEA-4823-94BB-ABAF455B8CBD}"/>
    <cellStyle name="20% - Accent5 2 2 2 3 3" xfId="5366" xr:uid="{00000000-0005-0000-0000-00008C020000}"/>
    <cellStyle name="20% - Accent5 2 2 2 3 3 2" xfId="14692" xr:uid="{50AF6699-D2E2-4B4A-A4ED-6C177E632766}"/>
    <cellStyle name="20% - Accent5 2 2 2 3 3 2 2" xfId="51034" xr:uid="{B76F3A50-55D3-42E8-8CF5-73281FC31311}"/>
    <cellStyle name="20% - Accent5 2 2 2 3 3 2 3" xfId="32438" xr:uid="{13551149-C5F3-4D83-9D2C-95B25AA575A6}"/>
    <cellStyle name="20% - Accent5 2 2 2 3 3 3" xfId="41737" xr:uid="{42F5D625-F20C-4C54-B2CB-E1786AB83022}"/>
    <cellStyle name="20% - Accent5 2 2 2 3 3 4" xfId="23139" xr:uid="{A7F87301-7F19-4B8B-8CFA-285FA8853964}"/>
    <cellStyle name="20% - Accent5 2 2 2 3 4" xfId="10475" xr:uid="{88CE8DE5-060B-4C6D-86D3-CCB0F7D28176}"/>
    <cellStyle name="20% - Accent5 2 2 2 3 4 2" xfId="46817" xr:uid="{1D4D1834-36E5-446C-A1C9-AA91AA615898}"/>
    <cellStyle name="20% - Accent5 2 2 2 3 4 3" xfId="28221" xr:uid="{CADFEAED-E48B-418E-BAAA-6EDE3BA5FD7E}"/>
    <cellStyle name="20% - Accent5 2 2 2 3 5" xfId="37520" xr:uid="{6F74AE05-17B0-40C1-B4B7-11412110BF98}"/>
    <cellStyle name="20% - Accent5 2 2 2 3 6" xfId="18922" xr:uid="{72515A07-A262-4F34-8E8D-D2A35A922B73}"/>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17250" xr:uid="{C14BF3AC-44FB-41D1-9248-FA73921B8A6D}"/>
    <cellStyle name="20% - Accent5 2 2 2 4 2 2 2 2" xfId="53592" xr:uid="{21387CB4-9F38-426E-9483-0164A646214E}"/>
    <cellStyle name="20% - Accent5 2 2 2 4 2 2 2 3" xfId="34996" xr:uid="{9C440A3E-13AC-43C2-878E-BFBC116C5F38}"/>
    <cellStyle name="20% - Accent5 2 2 2 4 2 2 3" xfId="44295" xr:uid="{2F035046-081B-4AC8-8E4F-192892B0B946}"/>
    <cellStyle name="20% - Accent5 2 2 2 4 2 2 4" xfId="25697" xr:uid="{3C134B9A-1190-48B4-97CC-CF90027D7D2D}"/>
    <cellStyle name="20% - Accent5 2 2 2 4 2 3" xfId="13033" xr:uid="{DFE18C15-65C9-49F8-894A-EC47538A3BD3}"/>
    <cellStyle name="20% - Accent5 2 2 2 4 2 3 2" xfId="49375" xr:uid="{F3E95AE6-F16B-49E0-A1AF-05761D63F9A4}"/>
    <cellStyle name="20% - Accent5 2 2 2 4 2 3 3" xfId="30779" xr:uid="{AA7031DD-8AB2-4EB9-84E4-55001966A9F5}"/>
    <cellStyle name="20% - Accent5 2 2 2 4 2 4" xfId="40078" xr:uid="{A6FE1234-CF45-4BA2-AD2F-A76A1ED63BAB}"/>
    <cellStyle name="20% - Accent5 2 2 2 4 2 5" xfId="21480" xr:uid="{050B3FCA-D8B7-452A-B1BB-33ACD1A47A40}"/>
    <cellStyle name="20% - Accent5 2 2 2 4 3" xfId="5779" xr:uid="{00000000-0005-0000-0000-000090020000}"/>
    <cellStyle name="20% - Accent5 2 2 2 4 3 2" xfId="15105" xr:uid="{FE6D85CB-CF78-476F-BB08-C5313AD11B38}"/>
    <cellStyle name="20% - Accent5 2 2 2 4 3 2 2" xfId="51447" xr:uid="{55692B9E-6F45-48B8-BEB6-C7CEAE0A01E9}"/>
    <cellStyle name="20% - Accent5 2 2 2 4 3 2 3" xfId="32851" xr:uid="{D8B0B56C-5026-4850-8640-ACDEFB02095D}"/>
    <cellStyle name="20% - Accent5 2 2 2 4 3 3" xfId="42150" xr:uid="{4A5E78A4-2AF0-4F04-8A0D-A2A9075F9A90}"/>
    <cellStyle name="20% - Accent5 2 2 2 4 3 4" xfId="23552" xr:uid="{4119FEB4-4585-477C-A0AE-C4603406FEBC}"/>
    <cellStyle name="20% - Accent5 2 2 2 4 4" xfId="10888" xr:uid="{10091F47-7EE4-4B2E-84A8-2EA48C0885AC}"/>
    <cellStyle name="20% - Accent5 2 2 2 4 4 2" xfId="47230" xr:uid="{23EE232A-3816-41AE-B13B-25F618CAF6B0}"/>
    <cellStyle name="20% - Accent5 2 2 2 4 4 3" xfId="28634" xr:uid="{0304B3E2-12FC-44A1-BDC4-8C6BA2C4C577}"/>
    <cellStyle name="20% - Accent5 2 2 2 4 5" xfId="37933" xr:uid="{7D71CBA9-892B-4928-A9B2-769AD94D4A7F}"/>
    <cellStyle name="20% - Accent5 2 2 2 4 6" xfId="19335" xr:uid="{3B07833D-1641-4EB4-ACF9-8D612A089A0B}"/>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17663" xr:uid="{33DB1A09-0B23-48A9-98B3-7AFFDBEB5F54}"/>
    <cellStyle name="20% - Accent5 2 2 2 5 2 2 2 2" xfId="54005" xr:uid="{90217686-D509-4078-9D69-600008F4E32B}"/>
    <cellStyle name="20% - Accent5 2 2 2 5 2 2 2 3" xfId="35409" xr:uid="{C5650C4F-6538-4CED-8858-3F09B9A2C846}"/>
    <cellStyle name="20% - Accent5 2 2 2 5 2 2 3" xfId="44708" xr:uid="{7E3DE2F7-E7CB-4474-B46D-3EBECE4FFFE6}"/>
    <cellStyle name="20% - Accent5 2 2 2 5 2 2 4" xfId="26110" xr:uid="{520759EC-3A93-462D-8473-1DC3161DF698}"/>
    <cellStyle name="20% - Accent5 2 2 2 5 2 3" xfId="13446" xr:uid="{3E019600-FB6C-462D-B579-D80AF1EC221C}"/>
    <cellStyle name="20% - Accent5 2 2 2 5 2 3 2" xfId="49788" xr:uid="{F6C6073F-6E4D-4610-BEE0-EB507CA864BF}"/>
    <cellStyle name="20% - Accent5 2 2 2 5 2 3 3" xfId="31192" xr:uid="{3E656C15-BFFB-43B5-AD70-938612E29018}"/>
    <cellStyle name="20% - Accent5 2 2 2 5 2 4" xfId="40491" xr:uid="{BD9370D2-6598-4A74-96C7-C25742F7404E}"/>
    <cellStyle name="20% - Accent5 2 2 2 5 2 5" xfId="21893" xr:uid="{D68A9E56-BA33-405E-8687-4A0EEB0F95D1}"/>
    <cellStyle name="20% - Accent5 2 2 2 5 3" xfId="6192" xr:uid="{00000000-0005-0000-0000-000094020000}"/>
    <cellStyle name="20% - Accent5 2 2 2 5 3 2" xfId="15518" xr:uid="{8515B309-8F3D-4C65-85F5-335C0C08A9DC}"/>
    <cellStyle name="20% - Accent5 2 2 2 5 3 2 2" xfId="51860" xr:uid="{35813A34-B225-410E-A212-9BF5D7B32077}"/>
    <cellStyle name="20% - Accent5 2 2 2 5 3 2 3" xfId="33264" xr:uid="{E79027E5-34EA-4F4C-BB4F-4C82EDC03FBC}"/>
    <cellStyle name="20% - Accent5 2 2 2 5 3 3" xfId="42563" xr:uid="{72061C8F-9C25-451D-B711-852E1B5C6ACE}"/>
    <cellStyle name="20% - Accent5 2 2 2 5 3 4" xfId="23965" xr:uid="{E2FF1546-8175-4653-B431-3B279C439316}"/>
    <cellStyle name="20% - Accent5 2 2 2 5 4" xfId="11301" xr:uid="{D3F26CC4-8671-4A68-AC98-A71A5D9DEA3E}"/>
    <cellStyle name="20% - Accent5 2 2 2 5 4 2" xfId="47643" xr:uid="{C52B0077-74C2-45A4-AF58-1FACBA4784FB}"/>
    <cellStyle name="20% - Accent5 2 2 2 5 4 3" xfId="29047" xr:uid="{49FE6261-BA9A-4672-A15D-342D3E86E783}"/>
    <cellStyle name="20% - Accent5 2 2 2 5 5" xfId="38346" xr:uid="{B5D78E68-4061-4B90-BC73-8D93CB80B821}"/>
    <cellStyle name="20% - Accent5 2 2 2 5 6" xfId="19748" xr:uid="{B27DE662-E8B4-4B21-B597-58F026BF5A00}"/>
    <cellStyle name="20% - Accent5 2 2 2 6" xfId="2299" xr:uid="{00000000-0005-0000-0000-000095020000}"/>
    <cellStyle name="20% - Accent5 2 2 2 6 2" xfId="6605" xr:uid="{00000000-0005-0000-0000-000096020000}"/>
    <cellStyle name="20% - Accent5 2 2 2 6 2 2" xfId="15931" xr:uid="{F9564A39-5C96-4D4F-8B91-FF1B6157E573}"/>
    <cellStyle name="20% - Accent5 2 2 2 6 2 2 2" xfId="52273" xr:uid="{0A724EB0-770F-4334-A616-7A04DED8C710}"/>
    <cellStyle name="20% - Accent5 2 2 2 6 2 2 3" xfId="33677" xr:uid="{EF1BA2AD-190E-43EA-8924-B5649802F221}"/>
    <cellStyle name="20% - Accent5 2 2 2 6 2 3" xfId="42976" xr:uid="{1C59E0DD-356D-4150-8C34-AB052DB07FD4}"/>
    <cellStyle name="20% - Accent5 2 2 2 6 2 4" xfId="24378" xr:uid="{F2E07437-8D03-4CA5-8844-321A8D9886D7}"/>
    <cellStyle name="20% - Accent5 2 2 2 6 3" xfId="11714" xr:uid="{FC001088-0E3F-4506-BEF9-D79393015200}"/>
    <cellStyle name="20% - Accent5 2 2 2 6 3 2" xfId="48056" xr:uid="{3CCAD080-4160-466F-A43F-1D8E2E991BEB}"/>
    <cellStyle name="20% - Accent5 2 2 2 6 3 3" xfId="29460" xr:uid="{62D5F61C-5003-4BCF-89D0-53AA26ABB713}"/>
    <cellStyle name="20% - Accent5 2 2 2 6 4" xfId="38759" xr:uid="{0E4C3679-8847-4461-9E1F-7B06A12C8B1B}"/>
    <cellStyle name="20% - Accent5 2 2 2 6 5" xfId="20161" xr:uid="{A4A1AEDD-3558-4E0F-81B4-929F186ACE78}"/>
    <cellStyle name="20% - Accent5 2 2 2 7" xfId="4539" xr:uid="{00000000-0005-0000-0000-000097020000}"/>
    <cellStyle name="20% - Accent5 2 2 2 7 2" xfId="13865" xr:uid="{D2B4CD14-6F4D-4CAB-8DB3-EBC57A9AF512}"/>
    <cellStyle name="20% - Accent5 2 2 2 7 2 2" xfId="50207" xr:uid="{C96E1FDC-29D3-422C-81B5-C39F3C989263}"/>
    <cellStyle name="20% - Accent5 2 2 2 7 2 3" xfId="31611" xr:uid="{35948914-C99C-457D-B927-FB42C13166F9}"/>
    <cellStyle name="20% - Accent5 2 2 2 7 3" xfId="40910" xr:uid="{4977A48A-6A41-4231-84EA-978C7101D9FB}"/>
    <cellStyle name="20% - Accent5 2 2 2 7 4" xfId="22312" xr:uid="{FE792F0A-2609-4155-8709-4ECCB43C3DC8}"/>
    <cellStyle name="20% - Accent5 2 2 2 8" xfId="9106" xr:uid="{E7B219CB-83A9-494A-83ED-783719A0F1D9}"/>
    <cellStyle name="20% - Accent5 2 2 2 8 2" xfId="36176" xr:uid="{31420105-F5C4-48E0-82D2-2D684412F8D7}"/>
    <cellStyle name="20% - Accent5 2 2 2 8 2 2" xfId="54771" xr:uid="{259E70BF-73FD-4A1D-8AC6-C25D06F8D023}"/>
    <cellStyle name="20% - Accent5 2 2 2 8 3" xfId="45474" xr:uid="{11844E51-9848-4F0D-8816-621DAA40220F}"/>
    <cellStyle name="20% - Accent5 2 2 2 8 4" xfId="26877" xr:uid="{2C27E1C7-0611-431B-B084-868F3D122A53}"/>
    <cellStyle name="20% - Accent5 2 2 2 9" xfId="9648" xr:uid="{956D5780-F266-418D-803A-A0FD4C48B07B}"/>
    <cellStyle name="20% - Accent5 2 2 2 9 2" xfId="45990" xr:uid="{08152E50-DD66-4E50-A77C-619CF8839B89}"/>
    <cellStyle name="20% - Accent5 2 2 2 9 3" xfId="27394" xr:uid="{7BDA4BDE-745E-4A36-88F9-CDDB23BB136A}"/>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16423" xr:uid="{7BC8957D-AD99-4961-ACB5-4B531558B6DB}"/>
    <cellStyle name="20% - Accent5 2 2 3 2 2 2 2" xfId="52765" xr:uid="{A32AE808-1DB9-4C25-B8D8-04F69E90F3EA}"/>
    <cellStyle name="20% - Accent5 2 2 3 2 2 2 3" xfId="34169" xr:uid="{C4CD4BF3-65BD-45A3-8A76-4717A0110769}"/>
    <cellStyle name="20% - Accent5 2 2 3 2 2 3" xfId="43468" xr:uid="{0CB1EA73-3245-4877-827C-D4DA3AD5CF00}"/>
    <cellStyle name="20% - Accent5 2 2 3 2 2 4" xfId="24870" xr:uid="{48E625E4-E60E-4D21-B130-28020B5155E6}"/>
    <cellStyle name="20% - Accent5 2 2 3 2 3" xfId="12206" xr:uid="{55F30431-5C6F-4B37-87FC-9EF6D7EB4063}"/>
    <cellStyle name="20% - Accent5 2 2 3 2 3 2" xfId="48548" xr:uid="{4C40FC4E-58C6-4605-8235-9CFCAA9C55F9}"/>
    <cellStyle name="20% - Accent5 2 2 3 2 3 3" xfId="29952" xr:uid="{2C124E45-B4B3-47F7-82D6-D8D66FC9775F}"/>
    <cellStyle name="20% - Accent5 2 2 3 2 4" xfId="39251" xr:uid="{3D0D481D-A276-4392-91A0-190986042EFC}"/>
    <cellStyle name="20% - Accent5 2 2 3 2 5" xfId="20653" xr:uid="{5EDE2A9C-BA67-4471-A7CE-F17FAAF5CA57}"/>
    <cellStyle name="20% - Accent5 2 2 3 3" xfId="4952" xr:uid="{00000000-0005-0000-0000-00009B020000}"/>
    <cellStyle name="20% - Accent5 2 2 3 3 2" xfId="14278" xr:uid="{1E63B90A-1915-4D30-98B0-7AC41EFD7C3E}"/>
    <cellStyle name="20% - Accent5 2 2 3 3 2 2" xfId="50620" xr:uid="{911280E6-F4AD-4493-AE75-DEC6D1754EA0}"/>
    <cellStyle name="20% - Accent5 2 2 3 3 2 3" xfId="32024" xr:uid="{3BE638CA-E88C-4B88-92FA-A9CFBA4DEBB0}"/>
    <cellStyle name="20% - Accent5 2 2 3 3 3" xfId="41323" xr:uid="{3194BB28-3BD9-4F07-9E86-CDB6F4F9BECE}"/>
    <cellStyle name="20% - Accent5 2 2 3 3 4" xfId="22725" xr:uid="{FBBAFC43-78AF-4C1C-92E1-59C8EE693216}"/>
    <cellStyle name="20% - Accent5 2 2 3 4" xfId="9324" xr:uid="{6094FEE1-8E2A-466F-9CDF-43EB9EE581FF}"/>
    <cellStyle name="20% - Accent5 2 2 3 4 2" xfId="36385" xr:uid="{788B7FDC-3E1F-43D1-A987-0D3AA562B864}"/>
    <cellStyle name="20% - Accent5 2 2 3 4 2 2" xfId="54979" xr:uid="{C672C1E5-0B7F-47BD-96A3-0EFCEE9AA9BC}"/>
    <cellStyle name="20% - Accent5 2 2 3 4 3" xfId="45682" xr:uid="{534239B9-E9B2-4997-A894-E623708B11E6}"/>
    <cellStyle name="20% - Accent5 2 2 3 4 4" xfId="27086" xr:uid="{526C6EB6-E97A-4B70-ADBC-008C7647E5AA}"/>
    <cellStyle name="20% - Accent5 2 2 3 5" xfId="10061" xr:uid="{92974C4A-C457-47B9-AB75-18573C78327C}"/>
    <cellStyle name="20% - Accent5 2 2 3 5 2" xfId="46403" xr:uid="{D889067C-7887-4DDF-8EE7-E656077D71C2}"/>
    <cellStyle name="20% - Accent5 2 2 3 5 3" xfId="27807" xr:uid="{C56A2CC5-C591-4DDC-A50C-D8DEF8568C24}"/>
    <cellStyle name="20% - Accent5 2 2 3 6" xfId="37106" xr:uid="{C04FE747-FFAC-45B0-808A-B2EDC4F7B1D0}"/>
    <cellStyle name="20% - Accent5 2 2 3 7" xfId="18508" xr:uid="{DBAFF009-4CCD-4723-B88A-5BA8886F4B1C}"/>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16836" xr:uid="{0C475538-1B39-4E57-A71C-B59EB87D332B}"/>
    <cellStyle name="20% - Accent5 2 2 4 2 2 2 2" xfId="53178" xr:uid="{431B1B10-D1EE-4CC7-9D3E-F74855E29FF0}"/>
    <cellStyle name="20% - Accent5 2 2 4 2 2 2 3" xfId="34582" xr:uid="{3120C62B-CAE1-4BA1-9AF2-3CEADB6F2CE4}"/>
    <cellStyle name="20% - Accent5 2 2 4 2 2 3" xfId="43881" xr:uid="{FE7BC298-7EB5-43CD-8EB5-6F370B074FD1}"/>
    <cellStyle name="20% - Accent5 2 2 4 2 2 4" xfId="25283" xr:uid="{7E20F695-20B5-496A-9B4D-74C5A4247523}"/>
    <cellStyle name="20% - Accent5 2 2 4 2 3" xfId="12619" xr:uid="{16B994D1-7D8D-4443-A11F-DEF5C89FEF0B}"/>
    <cellStyle name="20% - Accent5 2 2 4 2 3 2" xfId="48961" xr:uid="{AECDD0CA-B5E7-4A89-8249-F0A39ACAE260}"/>
    <cellStyle name="20% - Accent5 2 2 4 2 3 3" xfId="30365" xr:uid="{4455F938-5BEB-4DFE-A34F-36DF42C95810}"/>
    <cellStyle name="20% - Accent5 2 2 4 2 4" xfId="39664" xr:uid="{2573D2B9-04CE-486D-B533-C69B833576FF}"/>
    <cellStyle name="20% - Accent5 2 2 4 2 5" xfId="21066" xr:uid="{1A85BFE4-ECD0-4E1E-9627-8BF4C817EC19}"/>
    <cellStyle name="20% - Accent5 2 2 4 3" xfId="5365" xr:uid="{00000000-0005-0000-0000-00009F020000}"/>
    <cellStyle name="20% - Accent5 2 2 4 3 2" xfId="14691" xr:uid="{000848E3-1F0F-411E-9E30-D151C546B760}"/>
    <cellStyle name="20% - Accent5 2 2 4 3 2 2" xfId="51033" xr:uid="{8B9114BC-D83F-4BF0-9E55-5A892326CE9A}"/>
    <cellStyle name="20% - Accent5 2 2 4 3 2 3" xfId="32437" xr:uid="{6D695A01-4C16-4F8D-A0F4-81D4BDDCF9D1}"/>
    <cellStyle name="20% - Accent5 2 2 4 3 3" xfId="41736" xr:uid="{6D65480B-40C5-4B56-BEF8-EF69D3DA1324}"/>
    <cellStyle name="20% - Accent5 2 2 4 3 4" xfId="23138" xr:uid="{2475F5B9-41EC-4EA5-B501-FFFD16A437B2}"/>
    <cellStyle name="20% - Accent5 2 2 4 4" xfId="10474" xr:uid="{BCE0E952-FED8-4EA5-B3E3-4A3AD8B7A6FF}"/>
    <cellStyle name="20% - Accent5 2 2 4 4 2" xfId="46816" xr:uid="{1134FCD8-5FAE-4F41-AC9C-7148DE2913B7}"/>
    <cellStyle name="20% - Accent5 2 2 4 4 3" xfId="28220" xr:uid="{1C1BCB75-4653-4AE4-82F8-2E64FAF4B22F}"/>
    <cellStyle name="20% - Accent5 2 2 4 5" xfId="37519" xr:uid="{5E25A47E-DD08-4B17-962A-8CA3D336E0FB}"/>
    <cellStyle name="20% - Accent5 2 2 4 6" xfId="18921" xr:uid="{C8FF0789-4D89-4A58-A64C-9EFDEA664C2C}"/>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17249" xr:uid="{68CE9997-B7E8-46CF-B3A6-B1933C1DA717}"/>
    <cellStyle name="20% - Accent5 2 2 5 2 2 2 2" xfId="53591" xr:uid="{6E2D0E46-8C15-42F0-870D-880F85AECE8F}"/>
    <cellStyle name="20% - Accent5 2 2 5 2 2 2 3" xfId="34995" xr:uid="{6B881C46-F9C7-4487-8D83-ACFFA2C40E00}"/>
    <cellStyle name="20% - Accent5 2 2 5 2 2 3" xfId="44294" xr:uid="{C4EC0B26-E568-4170-9CF5-B10EE5AE92F0}"/>
    <cellStyle name="20% - Accent5 2 2 5 2 2 4" xfId="25696" xr:uid="{E884B008-5660-4717-AC37-458C1398E709}"/>
    <cellStyle name="20% - Accent5 2 2 5 2 3" xfId="13032" xr:uid="{00CCB692-D5D7-4FE3-97D0-0D6AE4B3E074}"/>
    <cellStyle name="20% - Accent5 2 2 5 2 3 2" xfId="49374" xr:uid="{A7032B7C-551F-4E7E-B466-5E34C84C79C1}"/>
    <cellStyle name="20% - Accent5 2 2 5 2 3 3" xfId="30778" xr:uid="{35DC404A-8B23-4041-B208-05DCAC53A14F}"/>
    <cellStyle name="20% - Accent5 2 2 5 2 4" xfId="40077" xr:uid="{00B7BE6C-485A-4394-BC6F-B599E85C7FD7}"/>
    <cellStyle name="20% - Accent5 2 2 5 2 5" xfId="21479" xr:uid="{0EB744F2-537E-4A6E-8244-284D4A38C03E}"/>
    <cellStyle name="20% - Accent5 2 2 5 3" xfId="5778" xr:uid="{00000000-0005-0000-0000-0000A3020000}"/>
    <cellStyle name="20% - Accent5 2 2 5 3 2" xfId="15104" xr:uid="{D24141E8-7E8D-40BD-9FBA-B0B8F9AF8FFC}"/>
    <cellStyle name="20% - Accent5 2 2 5 3 2 2" xfId="51446" xr:uid="{34A32E00-3B9F-462A-94E3-D6C909202D90}"/>
    <cellStyle name="20% - Accent5 2 2 5 3 2 3" xfId="32850" xr:uid="{371B3C25-9EF8-4FD9-852A-C2B3A802744B}"/>
    <cellStyle name="20% - Accent5 2 2 5 3 3" xfId="42149" xr:uid="{0A48006A-DB73-4924-8F3C-70B836724BE8}"/>
    <cellStyle name="20% - Accent5 2 2 5 3 4" xfId="23551" xr:uid="{AD0CE29C-D659-40F0-A5C3-B953BF94E072}"/>
    <cellStyle name="20% - Accent5 2 2 5 4" xfId="10887" xr:uid="{B456CCDB-02DB-4A24-8D1E-BE30994A05E2}"/>
    <cellStyle name="20% - Accent5 2 2 5 4 2" xfId="47229" xr:uid="{E6D4FD1B-4C41-473D-8862-C6BFE798316B}"/>
    <cellStyle name="20% - Accent5 2 2 5 4 3" xfId="28633" xr:uid="{25BC128F-E0F8-406B-9E17-C3EFAF1E0F09}"/>
    <cellStyle name="20% - Accent5 2 2 5 5" xfId="37932" xr:uid="{4EF10CB0-28A3-4C3B-AD09-7231D6C8203A}"/>
    <cellStyle name="20% - Accent5 2 2 5 6" xfId="19334" xr:uid="{9687FB79-10DE-40B9-9834-509D7CAE8A96}"/>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17662" xr:uid="{3CED65C5-9ADC-4314-9EE1-BAF3464D6CA6}"/>
    <cellStyle name="20% - Accent5 2 2 6 2 2 2 2" xfId="54004" xr:uid="{7A340AF7-E90D-419B-85D3-04E5E8182721}"/>
    <cellStyle name="20% - Accent5 2 2 6 2 2 2 3" xfId="35408" xr:uid="{46000BA9-BA3E-4716-95A2-3E717417F733}"/>
    <cellStyle name="20% - Accent5 2 2 6 2 2 3" xfId="44707" xr:uid="{B4D98273-D4F7-4BE2-8B9A-5E220CC65E0E}"/>
    <cellStyle name="20% - Accent5 2 2 6 2 2 4" xfId="26109" xr:uid="{6DC3E496-58D8-4BA5-9E8D-A64685943C12}"/>
    <cellStyle name="20% - Accent5 2 2 6 2 3" xfId="13445" xr:uid="{25BA8614-40DF-433B-B629-AFC1B3F6EB1A}"/>
    <cellStyle name="20% - Accent5 2 2 6 2 3 2" xfId="49787" xr:uid="{57C66243-A11A-48BF-9C01-8FBCFE805AB2}"/>
    <cellStyle name="20% - Accent5 2 2 6 2 3 3" xfId="31191" xr:uid="{B4962029-1F84-4A8D-A20C-00923C778DB6}"/>
    <cellStyle name="20% - Accent5 2 2 6 2 4" xfId="40490" xr:uid="{8D008806-E307-47F5-9D8F-5AD057F1BCEB}"/>
    <cellStyle name="20% - Accent5 2 2 6 2 5" xfId="21892" xr:uid="{1ED05EC7-719B-4144-8E3A-55500F9E589C}"/>
    <cellStyle name="20% - Accent5 2 2 6 3" xfId="6191" xr:uid="{00000000-0005-0000-0000-0000A7020000}"/>
    <cellStyle name="20% - Accent5 2 2 6 3 2" xfId="15517" xr:uid="{EC4C77DF-EDC8-418A-8F2C-38B3F4F1DB37}"/>
    <cellStyle name="20% - Accent5 2 2 6 3 2 2" xfId="51859" xr:uid="{0E4BBAC7-7F12-47D1-9C6D-14DDB8CD0967}"/>
    <cellStyle name="20% - Accent5 2 2 6 3 2 3" xfId="33263" xr:uid="{052133C2-3F27-4121-93B4-95C0F558FE25}"/>
    <cellStyle name="20% - Accent5 2 2 6 3 3" xfId="42562" xr:uid="{C30BE6F1-50A8-4946-BC22-127CDD4CCE5B}"/>
    <cellStyle name="20% - Accent5 2 2 6 3 4" xfId="23964" xr:uid="{5EEAA0CD-3E83-498D-A877-DE8401338970}"/>
    <cellStyle name="20% - Accent5 2 2 6 4" xfId="11300" xr:uid="{48198674-7B22-477C-BDB9-CE24934BF06B}"/>
    <cellStyle name="20% - Accent5 2 2 6 4 2" xfId="47642" xr:uid="{6AC60260-B744-45A7-B15C-13FD2033EADC}"/>
    <cellStyle name="20% - Accent5 2 2 6 4 3" xfId="29046" xr:uid="{84F1F60D-2549-4074-8512-056E8030D4F1}"/>
    <cellStyle name="20% - Accent5 2 2 6 5" xfId="38345" xr:uid="{D7D4F501-AD44-43B8-B24B-8285734D117B}"/>
    <cellStyle name="20% - Accent5 2 2 6 6" xfId="19747" xr:uid="{344B3960-55FC-426D-8932-38AC87DD046F}"/>
    <cellStyle name="20% - Accent5 2 2 7" xfId="2298" xr:uid="{00000000-0005-0000-0000-0000A8020000}"/>
    <cellStyle name="20% - Accent5 2 2 7 2" xfId="6604" xr:uid="{00000000-0005-0000-0000-0000A9020000}"/>
    <cellStyle name="20% - Accent5 2 2 7 2 2" xfId="15930" xr:uid="{34E19205-3032-414A-ADB6-EC4D0231C23F}"/>
    <cellStyle name="20% - Accent5 2 2 7 2 2 2" xfId="52272" xr:uid="{3B21855B-20AE-4105-930C-497430A39F8C}"/>
    <cellStyle name="20% - Accent5 2 2 7 2 2 3" xfId="33676" xr:uid="{7CE8AFE5-2EF6-44F0-B78B-DEB4D2EFC1BE}"/>
    <cellStyle name="20% - Accent5 2 2 7 2 3" xfId="42975" xr:uid="{52C12D08-2EEF-44C2-8836-7B6A9CCB8BBD}"/>
    <cellStyle name="20% - Accent5 2 2 7 2 4" xfId="24377" xr:uid="{FA2C14EC-20C7-47B3-AAE1-26ECAC7B5A38}"/>
    <cellStyle name="20% - Accent5 2 2 7 3" xfId="11713" xr:uid="{C17ADF42-8387-4A9A-A7DE-4EFC70DCD8EC}"/>
    <cellStyle name="20% - Accent5 2 2 7 3 2" xfId="48055" xr:uid="{B382B007-762A-49AF-A2F1-13CE343762F7}"/>
    <cellStyle name="20% - Accent5 2 2 7 3 3" xfId="29459" xr:uid="{71D26853-6835-4A71-97E9-B3AC4756F0BC}"/>
    <cellStyle name="20% - Accent5 2 2 7 4" xfId="38758" xr:uid="{2AFCE621-2313-4574-9312-40CDC9B9C4C0}"/>
    <cellStyle name="20% - Accent5 2 2 7 5" xfId="20160" xr:uid="{F12C929C-2F0B-46FF-A1F9-DE0860380218}"/>
    <cellStyle name="20% - Accent5 2 2 8" xfId="4538" xr:uid="{00000000-0005-0000-0000-0000AA020000}"/>
    <cellStyle name="20% - Accent5 2 2 8 2" xfId="13864" xr:uid="{18C48E88-EF11-4407-BD57-92D29D51BEC2}"/>
    <cellStyle name="20% - Accent5 2 2 8 2 2" xfId="50206" xr:uid="{9DD6C159-A3F2-4B34-A949-A8F4D8C697E6}"/>
    <cellStyle name="20% - Accent5 2 2 8 2 3" xfId="31610" xr:uid="{0AF15E46-A715-4CCC-A276-F001F4E66A97}"/>
    <cellStyle name="20% - Accent5 2 2 8 3" xfId="40909" xr:uid="{38453757-5422-4A10-8905-10744F8F1BC6}"/>
    <cellStyle name="20% - Accent5 2 2 8 4" xfId="22311" xr:uid="{AFC30E69-3A04-4017-93F2-EDC63978AD09}"/>
    <cellStyle name="20% - Accent5 2 2 9" xfId="8899" xr:uid="{0E8F9EC8-D565-41C9-B716-FF597FFF35B9}"/>
    <cellStyle name="20% - Accent5 2 2 9 2" xfId="35969" xr:uid="{42B43374-7168-44B5-BC03-4F5EB80A0E0B}"/>
    <cellStyle name="20% - Accent5 2 2 9 2 2" xfId="54564" xr:uid="{986C6BED-4868-4FA1-A466-0DCCDFC3E100}"/>
    <cellStyle name="20% - Accent5 2 2 9 3" xfId="45267" xr:uid="{8BDA41B7-2009-4F66-B3CE-14BE354B9B3B}"/>
    <cellStyle name="20% - Accent5 2 2 9 4" xfId="26670" xr:uid="{AB0E6E8D-80C7-45C4-ABD0-2EAEA7E0C3D3}"/>
    <cellStyle name="20% - Accent5 2 3" xfId="37" xr:uid="{00000000-0005-0000-0000-0000AB020000}"/>
    <cellStyle name="20% - Accent5 2 3 10" xfId="36694" xr:uid="{23AFFB3D-286A-4C9A-B1DA-B89B511EABFC}"/>
    <cellStyle name="20% - Accent5 2 3 11" xfId="18096" xr:uid="{3340807C-8D66-44A3-8435-F601CEDD073F}"/>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16425" xr:uid="{E5BD46E2-EDD4-4253-BE12-20F7CAE5643E}"/>
    <cellStyle name="20% - Accent5 2 3 2 2 2 2 2" xfId="52767" xr:uid="{CCFF8ECD-00AD-437A-BC9C-193675FD5E84}"/>
    <cellStyle name="20% - Accent5 2 3 2 2 2 2 3" xfId="34171" xr:uid="{B9D12DDD-C995-4F89-B9A0-82764672741D}"/>
    <cellStyle name="20% - Accent5 2 3 2 2 2 3" xfId="43470" xr:uid="{C74913FC-53F0-4771-9FE1-A89107713430}"/>
    <cellStyle name="20% - Accent5 2 3 2 2 2 4" xfId="24872" xr:uid="{F8A0EEC3-5FF7-45B1-9D28-AA0DC3703CD1}"/>
    <cellStyle name="20% - Accent5 2 3 2 2 3" xfId="12208" xr:uid="{07EC85E5-6BD8-477B-9BB8-CF0E53C526FE}"/>
    <cellStyle name="20% - Accent5 2 3 2 2 3 2" xfId="48550" xr:uid="{48AF504E-EB62-4DE2-8B9A-FA722FE940D8}"/>
    <cellStyle name="20% - Accent5 2 3 2 2 3 3" xfId="29954" xr:uid="{8475FF8A-0C1B-4337-97C7-705E63EBB933}"/>
    <cellStyle name="20% - Accent5 2 3 2 2 4" xfId="39253" xr:uid="{BDF5C0D6-1954-452A-8775-E9D6D33D2D1F}"/>
    <cellStyle name="20% - Accent5 2 3 2 2 5" xfId="20655" xr:uid="{A66030DD-4E55-43D4-9997-A7EDD8907143}"/>
    <cellStyle name="20% - Accent5 2 3 2 3" xfId="4954" xr:uid="{00000000-0005-0000-0000-0000AF020000}"/>
    <cellStyle name="20% - Accent5 2 3 2 3 2" xfId="14280" xr:uid="{36FB9F72-1E90-49C0-8BC2-AF1AF80DEB89}"/>
    <cellStyle name="20% - Accent5 2 3 2 3 2 2" xfId="50622" xr:uid="{3DB84F41-07EF-43A6-8510-4DD74E60C78B}"/>
    <cellStyle name="20% - Accent5 2 3 2 3 2 3" xfId="32026" xr:uid="{4A4C02F8-1CB2-4FD0-AC25-7DAF1DC7128B}"/>
    <cellStyle name="20% - Accent5 2 3 2 3 3" xfId="41325" xr:uid="{5768F546-9D3A-4C64-B1A6-9BBF5A4E804C}"/>
    <cellStyle name="20% - Accent5 2 3 2 3 4" xfId="22727" xr:uid="{A5757E18-EEBD-4322-B877-38C3B67B7C94}"/>
    <cellStyle name="20% - Accent5 2 3 2 4" xfId="9428" xr:uid="{B7820ACF-E1F3-4653-B5DD-FD829B169E84}"/>
    <cellStyle name="20% - Accent5 2 3 2 4 2" xfId="36489" xr:uid="{4108E31B-C851-4C15-AD62-AFF5C8469C5C}"/>
    <cellStyle name="20% - Accent5 2 3 2 4 2 2" xfId="55083" xr:uid="{97BC65C5-E5D7-4F6C-89BB-BBCB15D43AAB}"/>
    <cellStyle name="20% - Accent5 2 3 2 4 3" xfId="45786" xr:uid="{131BFD3C-AC35-47BE-A783-48233B6F018B}"/>
    <cellStyle name="20% - Accent5 2 3 2 4 4" xfId="27190" xr:uid="{1539ED50-489B-4166-9BDB-718A10A398DC}"/>
    <cellStyle name="20% - Accent5 2 3 2 5" xfId="10063" xr:uid="{69843F91-9B63-4BCF-BBC2-DD5FEEF797EE}"/>
    <cellStyle name="20% - Accent5 2 3 2 5 2" xfId="46405" xr:uid="{44B03E9D-2801-4D5D-BC06-7044C7903148}"/>
    <cellStyle name="20% - Accent5 2 3 2 5 3" xfId="27809" xr:uid="{F9C37F93-507A-44C1-AE1D-060BBA15CA3C}"/>
    <cellStyle name="20% - Accent5 2 3 2 6" xfId="37108" xr:uid="{B4F2BE47-94F5-4AE7-B10B-2C6DDF0BD766}"/>
    <cellStyle name="20% - Accent5 2 3 2 7" xfId="18510" xr:uid="{B1C28760-9278-47F0-9E9D-432B16FC6D78}"/>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16838" xr:uid="{E1965B7E-1082-4FA8-ACE8-F955FBF8CF08}"/>
    <cellStyle name="20% - Accent5 2 3 3 2 2 2 2" xfId="53180" xr:uid="{7152A99A-A257-403F-BA55-C5581862F3FE}"/>
    <cellStyle name="20% - Accent5 2 3 3 2 2 2 3" xfId="34584" xr:uid="{E45631CF-C345-434E-9C1F-95703A0C0359}"/>
    <cellStyle name="20% - Accent5 2 3 3 2 2 3" xfId="43883" xr:uid="{015EF17A-29CC-4BB6-8113-47E4E76170C7}"/>
    <cellStyle name="20% - Accent5 2 3 3 2 2 4" xfId="25285" xr:uid="{7CC887AF-E665-4962-A7FC-12602C8AEC25}"/>
    <cellStyle name="20% - Accent5 2 3 3 2 3" xfId="12621" xr:uid="{A721164B-DD46-4A42-8B72-C4A4CE513D77}"/>
    <cellStyle name="20% - Accent5 2 3 3 2 3 2" xfId="48963" xr:uid="{CFAC7262-B097-40C8-B87C-346E721B1A91}"/>
    <cellStyle name="20% - Accent5 2 3 3 2 3 3" xfId="30367" xr:uid="{C88EB0E8-1753-49FA-8E15-D47998A13663}"/>
    <cellStyle name="20% - Accent5 2 3 3 2 4" xfId="39666" xr:uid="{B1668336-7843-4915-8187-1E0A95264F46}"/>
    <cellStyle name="20% - Accent5 2 3 3 2 5" xfId="21068" xr:uid="{23431AF5-3006-4C3A-9319-ECE45DAE7510}"/>
    <cellStyle name="20% - Accent5 2 3 3 3" xfId="5367" xr:uid="{00000000-0005-0000-0000-0000B3020000}"/>
    <cellStyle name="20% - Accent5 2 3 3 3 2" xfId="14693" xr:uid="{55503218-E289-4D76-9551-E923FCB58D41}"/>
    <cellStyle name="20% - Accent5 2 3 3 3 2 2" xfId="51035" xr:uid="{BE09B70F-F7FA-45BB-B160-BC2D1CCCF21F}"/>
    <cellStyle name="20% - Accent5 2 3 3 3 2 3" xfId="32439" xr:uid="{75972A77-3150-4CD0-B329-09861668D54E}"/>
    <cellStyle name="20% - Accent5 2 3 3 3 3" xfId="41738" xr:uid="{1C7A555E-C2A9-412A-9DA9-A3E010C3FA23}"/>
    <cellStyle name="20% - Accent5 2 3 3 3 4" xfId="23140" xr:uid="{EA5CD5FE-D66F-4608-AE69-2812D656C14C}"/>
    <cellStyle name="20% - Accent5 2 3 3 4" xfId="10476" xr:uid="{89004861-CAB4-4892-894A-F66F71E7FC2B}"/>
    <cellStyle name="20% - Accent5 2 3 3 4 2" xfId="46818" xr:uid="{DED4BA3D-23F6-46FA-85C3-42534068DD64}"/>
    <cellStyle name="20% - Accent5 2 3 3 4 3" xfId="28222" xr:uid="{ADB6241D-2F94-4617-8AC4-594E286F83E8}"/>
    <cellStyle name="20% - Accent5 2 3 3 5" xfId="37521" xr:uid="{1FE51608-98FE-45C2-9101-134A99E7F676}"/>
    <cellStyle name="20% - Accent5 2 3 3 6" xfId="18923" xr:uid="{520CF424-02E4-4CCA-8133-68CFBD5CC871}"/>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17251" xr:uid="{B2881210-5E25-48C3-AD09-7AC2FCC3A58D}"/>
    <cellStyle name="20% - Accent5 2 3 4 2 2 2 2" xfId="53593" xr:uid="{CFD0751A-7E7F-41AA-8FBC-A4EA393C8AE5}"/>
    <cellStyle name="20% - Accent5 2 3 4 2 2 2 3" xfId="34997" xr:uid="{9564A0FC-7154-473D-8282-887E49AEA2D6}"/>
    <cellStyle name="20% - Accent5 2 3 4 2 2 3" xfId="44296" xr:uid="{E5AFD60C-2A8E-4A29-87C9-8B575D333A25}"/>
    <cellStyle name="20% - Accent5 2 3 4 2 2 4" xfId="25698" xr:uid="{B5115CBD-244A-4313-B64E-A80F98094CF7}"/>
    <cellStyle name="20% - Accent5 2 3 4 2 3" xfId="13034" xr:uid="{3C1D960B-1449-4F7B-873B-8D6F6024E5FF}"/>
    <cellStyle name="20% - Accent5 2 3 4 2 3 2" xfId="49376" xr:uid="{84E21FC3-08A2-42CE-837E-AB41CC9CF230}"/>
    <cellStyle name="20% - Accent5 2 3 4 2 3 3" xfId="30780" xr:uid="{23F64D82-9F46-412D-8F59-DB82AE16D7B0}"/>
    <cellStyle name="20% - Accent5 2 3 4 2 4" xfId="40079" xr:uid="{21D6CDE8-AF90-47C7-AF99-190CEEA876F0}"/>
    <cellStyle name="20% - Accent5 2 3 4 2 5" xfId="21481" xr:uid="{9E6DD1D3-579B-43FD-84BA-DFE3C5237D85}"/>
    <cellStyle name="20% - Accent5 2 3 4 3" xfId="5780" xr:uid="{00000000-0005-0000-0000-0000B7020000}"/>
    <cellStyle name="20% - Accent5 2 3 4 3 2" xfId="15106" xr:uid="{4B40EC2A-C1DB-44E1-B19D-707B3108B0A1}"/>
    <cellStyle name="20% - Accent5 2 3 4 3 2 2" xfId="51448" xr:uid="{7F39032A-C8E6-433B-A3E3-128247EC2AB7}"/>
    <cellStyle name="20% - Accent5 2 3 4 3 2 3" xfId="32852" xr:uid="{07DF7D65-C310-4924-9954-EFA6BE536BF5}"/>
    <cellStyle name="20% - Accent5 2 3 4 3 3" xfId="42151" xr:uid="{BC00FDAA-261F-44B3-B621-9B9BFD8A1AD2}"/>
    <cellStyle name="20% - Accent5 2 3 4 3 4" xfId="23553" xr:uid="{21119C7B-E96D-438F-B92D-33F865EF0462}"/>
    <cellStyle name="20% - Accent5 2 3 4 4" xfId="10889" xr:uid="{5B897345-FEFD-4AF4-9D70-D62597769BD6}"/>
    <cellStyle name="20% - Accent5 2 3 4 4 2" xfId="47231" xr:uid="{85402584-67D8-49BE-8C69-91D0D28B55F0}"/>
    <cellStyle name="20% - Accent5 2 3 4 4 3" xfId="28635" xr:uid="{3B0EA5E0-D3E6-49CD-8F91-EDD0154813F8}"/>
    <cellStyle name="20% - Accent5 2 3 4 5" xfId="37934" xr:uid="{30715E9D-34D2-4260-A4E6-26626B3BF655}"/>
    <cellStyle name="20% - Accent5 2 3 4 6" xfId="19336" xr:uid="{31077A03-CB06-44A2-B00A-3527C4233306}"/>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17664" xr:uid="{2915827B-9517-43CA-9ED6-508FE7896202}"/>
    <cellStyle name="20% - Accent5 2 3 5 2 2 2 2" xfId="54006" xr:uid="{A13C3C86-B17B-424D-B627-97DF73AD08F0}"/>
    <cellStyle name="20% - Accent5 2 3 5 2 2 2 3" xfId="35410" xr:uid="{831AF580-C1F8-4288-8704-BFA2E1F317DE}"/>
    <cellStyle name="20% - Accent5 2 3 5 2 2 3" xfId="44709" xr:uid="{846CE1E8-56F5-49CE-BA83-018700A1CF5A}"/>
    <cellStyle name="20% - Accent5 2 3 5 2 2 4" xfId="26111" xr:uid="{261209C6-D982-4D96-BB0F-0A0A0C13D3B2}"/>
    <cellStyle name="20% - Accent5 2 3 5 2 3" xfId="13447" xr:uid="{A8095E67-58F8-4349-A572-88DEEF69A113}"/>
    <cellStyle name="20% - Accent5 2 3 5 2 3 2" xfId="49789" xr:uid="{631AC83A-D448-4E60-BEC4-FDFF18775969}"/>
    <cellStyle name="20% - Accent5 2 3 5 2 3 3" xfId="31193" xr:uid="{FB679344-A546-4EB2-B19D-EE5A53A06E02}"/>
    <cellStyle name="20% - Accent5 2 3 5 2 4" xfId="40492" xr:uid="{C7A806F9-CC2B-43EB-B316-0FD44C4A6103}"/>
    <cellStyle name="20% - Accent5 2 3 5 2 5" xfId="21894" xr:uid="{FFDF30CA-7DDB-43E6-9ACA-33147818894F}"/>
    <cellStyle name="20% - Accent5 2 3 5 3" xfId="6193" xr:uid="{00000000-0005-0000-0000-0000BB020000}"/>
    <cellStyle name="20% - Accent5 2 3 5 3 2" xfId="15519" xr:uid="{E8D7FDFF-E650-4249-8F85-4BBD28D777C4}"/>
    <cellStyle name="20% - Accent5 2 3 5 3 2 2" xfId="51861" xr:uid="{1FE99CA4-55F8-4FBA-85F5-4521BE73E213}"/>
    <cellStyle name="20% - Accent5 2 3 5 3 2 3" xfId="33265" xr:uid="{BCA9B013-31C0-45A5-BA9D-1C0020A125BD}"/>
    <cellStyle name="20% - Accent5 2 3 5 3 3" xfId="42564" xr:uid="{76AE1E59-9C1D-4AE2-8169-58A8593C12FD}"/>
    <cellStyle name="20% - Accent5 2 3 5 3 4" xfId="23966" xr:uid="{73CE5D09-0A6B-48B6-B3FD-23C0A28BF507}"/>
    <cellStyle name="20% - Accent5 2 3 5 4" xfId="11302" xr:uid="{D45746DA-D36E-407E-A4D1-F2CFB339B918}"/>
    <cellStyle name="20% - Accent5 2 3 5 4 2" xfId="47644" xr:uid="{C336D1AF-E057-44DF-BB41-F22FBEA96BC6}"/>
    <cellStyle name="20% - Accent5 2 3 5 4 3" xfId="29048" xr:uid="{6FABC45F-9D43-4B19-955E-E816D3877EC3}"/>
    <cellStyle name="20% - Accent5 2 3 5 5" xfId="38347" xr:uid="{EB827A81-3AE8-476D-8194-DE7503F9CF3F}"/>
    <cellStyle name="20% - Accent5 2 3 5 6" xfId="19749" xr:uid="{ADB08584-E5EE-47F2-8283-A93E7232F794}"/>
    <cellStyle name="20% - Accent5 2 3 6" xfId="2300" xr:uid="{00000000-0005-0000-0000-0000BC020000}"/>
    <cellStyle name="20% - Accent5 2 3 6 2" xfId="6606" xr:uid="{00000000-0005-0000-0000-0000BD020000}"/>
    <cellStyle name="20% - Accent5 2 3 6 2 2" xfId="15932" xr:uid="{DDF1D8B2-AA3A-487A-9207-93574CD7F49A}"/>
    <cellStyle name="20% - Accent5 2 3 6 2 2 2" xfId="52274" xr:uid="{88547EFC-8E59-4EA6-A56C-C51C15F85C44}"/>
    <cellStyle name="20% - Accent5 2 3 6 2 2 3" xfId="33678" xr:uid="{C402CC05-1872-4A15-B733-37E7CAC7EBC1}"/>
    <cellStyle name="20% - Accent5 2 3 6 2 3" xfId="42977" xr:uid="{91B7DEDE-FA5F-46B4-B6C5-4CE124F5726F}"/>
    <cellStyle name="20% - Accent5 2 3 6 2 4" xfId="24379" xr:uid="{408CF154-7B29-4A2C-A92F-0237BA28D388}"/>
    <cellStyle name="20% - Accent5 2 3 6 3" xfId="11715" xr:uid="{D0102129-C572-44AF-99F4-F659A82C026D}"/>
    <cellStyle name="20% - Accent5 2 3 6 3 2" xfId="48057" xr:uid="{2E120C19-C133-4625-9771-CAAA53282B4A}"/>
    <cellStyle name="20% - Accent5 2 3 6 3 3" xfId="29461" xr:uid="{B3F6D424-2F25-4959-91B3-F6524C9B0471}"/>
    <cellStyle name="20% - Accent5 2 3 6 4" xfId="38760" xr:uid="{E9A6F08F-3C0B-4CDA-95E3-F3E273665E9F}"/>
    <cellStyle name="20% - Accent5 2 3 6 5" xfId="20162" xr:uid="{DA608990-A1A1-416D-B8B1-B40C7A5BFBB5}"/>
    <cellStyle name="20% - Accent5 2 3 7" xfId="4540" xr:uid="{00000000-0005-0000-0000-0000BE020000}"/>
    <cellStyle name="20% - Accent5 2 3 7 2" xfId="13866" xr:uid="{18BB0469-F256-4EE2-A123-EAE8A5000862}"/>
    <cellStyle name="20% - Accent5 2 3 7 2 2" xfId="50208" xr:uid="{7A93CEC8-8EA5-4420-A55A-6D73AC02B0F8}"/>
    <cellStyle name="20% - Accent5 2 3 7 2 3" xfId="31612" xr:uid="{4E947931-4F50-4F98-B4E7-EF17DCB69479}"/>
    <cellStyle name="20% - Accent5 2 3 7 3" xfId="40911" xr:uid="{2094FAD1-AD6A-4DBB-80FD-D795508D86FB}"/>
    <cellStyle name="20% - Accent5 2 3 7 4" xfId="22313" xr:uid="{D78086DA-FAF3-4AC1-BBF4-BE45F5A57B28}"/>
    <cellStyle name="20% - Accent5 2 3 8" xfId="9003" xr:uid="{9830E7D1-E361-4BA3-A986-3DCE647EEF8E}"/>
    <cellStyle name="20% - Accent5 2 3 8 2" xfId="36073" xr:uid="{87FCC8DA-850F-4665-B069-BE6A8D414D33}"/>
    <cellStyle name="20% - Accent5 2 3 8 2 2" xfId="54668" xr:uid="{711EA4E6-A125-468E-AB7D-B78531BB90D8}"/>
    <cellStyle name="20% - Accent5 2 3 8 3" xfId="45371" xr:uid="{F0B519D2-B3C2-4030-86CC-1C49EF823DB1}"/>
    <cellStyle name="20% - Accent5 2 3 8 4" xfId="26774" xr:uid="{ADC45EE8-D150-43D1-A88A-CF6A8E6D694F}"/>
    <cellStyle name="20% - Accent5 2 3 9" xfId="9649" xr:uid="{3132E675-13A7-40BE-9E32-D8ACC08C29CF}"/>
    <cellStyle name="20% - Accent5 2 3 9 2" xfId="45991" xr:uid="{B9C252C2-363F-4C39-8030-D5ED311F43C4}"/>
    <cellStyle name="20% - Accent5 2 3 9 3" xfId="27395" xr:uid="{AE0435E5-1108-4243-8E14-650B4EF38C8C}"/>
    <cellStyle name="20% - Accent5 2 4" xfId="603" xr:uid="{00000000-0005-0000-0000-0000BF020000}"/>
    <cellStyle name="20% - Accent5 2 4 2" xfId="2874" xr:uid="{00000000-0005-0000-0000-0000C0020000}"/>
    <cellStyle name="20% - Accent5 2 4 2 2" xfId="7096" xr:uid="{00000000-0005-0000-0000-0000C1020000}"/>
    <cellStyle name="20% - Accent5 2 4 2 2 2" xfId="16422" xr:uid="{BFDDCDB0-1796-4D15-A57E-E1D4B512542E}"/>
    <cellStyle name="20% - Accent5 2 4 2 2 2 2" xfId="52764" xr:uid="{D1E0450E-2274-44C1-92C2-D9B4832AB211}"/>
    <cellStyle name="20% - Accent5 2 4 2 2 2 3" xfId="34168" xr:uid="{56EB0105-1661-453F-AF4B-5CD9A1AA8793}"/>
    <cellStyle name="20% - Accent5 2 4 2 2 3" xfId="43467" xr:uid="{9963AE0D-7D4F-4E14-A307-D4CA4963547A}"/>
    <cellStyle name="20% - Accent5 2 4 2 2 4" xfId="24869" xr:uid="{6E5DD4F2-597D-42CD-8B42-73DF4700F7AC}"/>
    <cellStyle name="20% - Accent5 2 4 2 3" xfId="12205" xr:uid="{106918BE-E9FD-4E1E-A749-89716573611B}"/>
    <cellStyle name="20% - Accent5 2 4 2 3 2" xfId="48547" xr:uid="{457283C2-856B-412A-B9A5-9599DC72E271}"/>
    <cellStyle name="20% - Accent5 2 4 2 3 3" xfId="29951" xr:uid="{53A4EA54-D8E5-4EB4-8439-B6A72A5E2064}"/>
    <cellStyle name="20% - Accent5 2 4 2 4" xfId="39250" xr:uid="{C6F147F5-A214-49A7-8681-4C666B6C9C25}"/>
    <cellStyle name="20% - Accent5 2 4 2 5" xfId="20652" xr:uid="{31C85A8B-DC07-4A62-9DF5-A87FF201206C}"/>
    <cellStyle name="20% - Accent5 2 4 3" xfId="4951" xr:uid="{00000000-0005-0000-0000-0000C2020000}"/>
    <cellStyle name="20% - Accent5 2 4 3 2" xfId="14277" xr:uid="{86036A58-86FC-4464-BE03-1B71B944C421}"/>
    <cellStyle name="20% - Accent5 2 4 3 2 2" xfId="50619" xr:uid="{A0E06400-4DA2-475A-8F95-A7F6AB725A07}"/>
    <cellStyle name="20% - Accent5 2 4 3 2 3" xfId="32023" xr:uid="{4A969FBE-4BB5-4654-BC1F-27F2A12BDFA1}"/>
    <cellStyle name="20% - Accent5 2 4 3 3" xfId="41322" xr:uid="{CFF3A5DF-AA17-47AE-A497-475A60DEA4E7}"/>
    <cellStyle name="20% - Accent5 2 4 3 4" xfId="22724" xr:uid="{0703A643-BF6B-4DE9-B9DA-9D1838D14A9A}"/>
    <cellStyle name="20% - Accent5 2 4 4" xfId="9220" xr:uid="{A7B88928-FE72-4C1B-B74E-3CA76DBA84CC}"/>
    <cellStyle name="20% - Accent5 2 4 4 2" xfId="36282" xr:uid="{EE8C3939-52DE-43EF-A05F-7D70EB167145}"/>
    <cellStyle name="20% - Accent5 2 4 4 2 2" xfId="54876" xr:uid="{EBBBB228-168E-4D63-A8A5-6F57193A92A8}"/>
    <cellStyle name="20% - Accent5 2 4 4 3" xfId="45579" xr:uid="{BC15B760-0294-4D35-B831-0683BBFB6173}"/>
    <cellStyle name="20% - Accent5 2 4 4 4" xfId="26983" xr:uid="{B3C8DB85-6190-494C-9086-2AF5D55B1480}"/>
    <cellStyle name="20% - Accent5 2 4 5" xfId="10060" xr:uid="{797748F5-1F41-4665-9A34-E9F8EA40ABDE}"/>
    <cellStyle name="20% - Accent5 2 4 5 2" xfId="46402" xr:uid="{EBE215EC-5746-4A06-A94C-4E0B1818CCFB}"/>
    <cellStyle name="20% - Accent5 2 4 5 3" xfId="27806" xr:uid="{D834D791-B1E8-4112-A1D1-5360EB26103B}"/>
    <cellStyle name="20% - Accent5 2 4 6" xfId="37105" xr:uid="{6E1A47EB-0F46-4A1E-8186-F0083346D13A}"/>
    <cellStyle name="20% - Accent5 2 4 7" xfId="18507" xr:uid="{73AB70A9-D490-4A1E-BF7B-02799C0A49F0}"/>
    <cellStyle name="20% - Accent5 2 5" xfId="1056" xr:uid="{00000000-0005-0000-0000-0000C3020000}"/>
    <cellStyle name="20% - Accent5 2 5 2" xfId="3287" xr:uid="{00000000-0005-0000-0000-0000C4020000}"/>
    <cellStyle name="20% - Accent5 2 5 2 2" xfId="7509" xr:uid="{00000000-0005-0000-0000-0000C5020000}"/>
    <cellStyle name="20% - Accent5 2 5 2 2 2" xfId="16835" xr:uid="{D9EA8F25-87A2-46D0-9ABE-817EE3B64B2F}"/>
    <cellStyle name="20% - Accent5 2 5 2 2 2 2" xfId="53177" xr:uid="{93FD6D20-9F18-499E-85BC-718C16B85214}"/>
    <cellStyle name="20% - Accent5 2 5 2 2 2 3" xfId="34581" xr:uid="{C3ED5F91-4884-4857-93D2-9EF10C41337B}"/>
    <cellStyle name="20% - Accent5 2 5 2 2 3" xfId="43880" xr:uid="{4728E4E4-3B3A-4A44-A8DD-1FDE79B9A995}"/>
    <cellStyle name="20% - Accent5 2 5 2 2 4" xfId="25282" xr:uid="{DA736C42-B88D-4762-ABE5-BEAACF7296F4}"/>
    <cellStyle name="20% - Accent5 2 5 2 3" xfId="12618" xr:uid="{A27007E5-66E7-48C0-BCFB-315B5B341034}"/>
    <cellStyle name="20% - Accent5 2 5 2 3 2" xfId="48960" xr:uid="{8CE3EE74-D488-48EB-991D-0EB8571167B1}"/>
    <cellStyle name="20% - Accent5 2 5 2 3 3" xfId="30364" xr:uid="{EA39D588-A95F-473E-8C4F-5FD63BEAFA3A}"/>
    <cellStyle name="20% - Accent5 2 5 2 4" xfId="39663" xr:uid="{CF85EB9C-BF60-4CDB-B92F-01FEA9152FC1}"/>
    <cellStyle name="20% - Accent5 2 5 2 5" xfId="21065" xr:uid="{5DD23AA2-83B3-4344-8371-8B54A0A7205A}"/>
    <cellStyle name="20% - Accent5 2 5 3" xfId="5364" xr:uid="{00000000-0005-0000-0000-0000C6020000}"/>
    <cellStyle name="20% - Accent5 2 5 3 2" xfId="14690" xr:uid="{7D5C7D9A-591F-4485-960C-D9B8DAD38D1B}"/>
    <cellStyle name="20% - Accent5 2 5 3 2 2" xfId="51032" xr:uid="{260B1D0A-50A2-4E2E-BDEE-A9E6BA693F65}"/>
    <cellStyle name="20% - Accent5 2 5 3 2 3" xfId="32436" xr:uid="{2F8A492C-37D1-425D-B90A-96E09BB9B050}"/>
    <cellStyle name="20% - Accent5 2 5 3 3" xfId="41735" xr:uid="{0096EC3B-2C92-469F-99A5-CD028F004031}"/>
    <cellStyle name="20% - Accent5 2 5 3 4" xfId="23137" xr:uid="{70300562-D053-4B9A-A79E-DCEC74B297A2}"/>
    <cellStyle name="20% - Accent5 2 5 4" xfId="10473" xr:uid="{2D88BAFD-1DBB-4E79-AC2D-F4C1C3C0CDDA}"/>
    <cellStyle name="20% - Accent5 2 5 4 2" xfId="46815" xr:uid="{187FA0EE-90BE-415F-B3C1-E99B31A31F8D}"/>
    <cellStyle name="20% - Accent5 2 5 4 3" xfId="28219" xr:uid="{EEE8CB23-42CA-4AC8-935E-DBA0679FDEA4}"/>
    <cellStyle name="20% - Accent5 2 5 5" xfId="37518" xr:uid="{DAEAC0AE-9490-4205-99EC-79AD63217365}"/>
    <cellStyle name="20% - Accent5 2 5 6" xfId="18920" xr:uid="{A33B1FAB-2897-4781-BBF5-DB566BDDF5D6}"/>
    <cellStyle name="20% - Accent5 2 6" xfId="1470" xr:uid="{00000000-0005-0000-0000-0000C7020000}"/>
    <cellStyle name="20% - Accent5 2 6 2" xfId="3700" xr:uid="{00000000-0005-0000-0000-0000C8020000}"/>
    <cellStyle name="20% - Accent5 2 6 2 2" xfId="7922" xr:uid="{00000000-0005-0000-0000-0000C9020000}"/>
    <cellStyle name="20% - Accent5 2 6 2 2 2" xfId="17248" xr:uid="{5D6B12B3-8960-4B3E-AA65-8AC087DEF240}"/>
    <cellStyle name="20% - Accent5 2 6 2 2 2 2" xfId="53590" xr:uid="{D00FA496-83FF-4955-8DB8-90A3F9C7FCB6}"/>
    <cellStyle name="20% - Accent5 2 6 2 2 2 3" xfId="34994" xr:uid="{AED1015A-F38D-4CED-B18C-36AF306DFC7A}"/>
    <cellStyle name="20% - Accent5 2 6 2 2 3" xfId="44293" xr:uid="{ACB07E79-92AB-433D-83E0-DE0A26F67D18}"/>
    <cellStyle name="20% - Accent5 2 6 2 2 4" xfId="25695" xr:uid="{6D04E445-5A8E-4261-BE72-A3B7EA3A9D05}"/>
    <cellStyle name="20% - Accent5 2 6 2 3" xfId="13031" xr:uid="{99402A99-B7D8-4DF7-88E6-231E7776AF14}"/>
    <cellStyle name="20% - Accent5 2 6 2 3 2" xfId="49373" xr:uid="{D83E2397-4335-4CE8-A902-F023DF1B7BA0}"/>
    <cellStyle name="20% - Accent5 2 6 2 3 3" xfId="30777" xr:uid="{0F536970-BC8A-4E50-8E60-4E9C772B0248}"/>
    <cellStyle name="20% - Accent5 2 6 2 4" xfId="40076" xr:uid="{BCD06AFC-C41C-46C0-A690-88BCA4445F53}"/>
    <cellStyle name="20% - Accent5 2 6 2 5" xfId="21478" xr:uid="{39F41163-E934-4D27-8AD3-6BE4B4082079}"/>
    <cellStyle name="20% - Accent5 2 6 3" xfId="5777" xr:uid="{00000000-0005-0000-0000-0000CA020000}"/>
    <cellStyle name="20% - Accent5 2 6 3 2" xfId="15103" xr:uid="{492996F3-2AE1-48C5-A9F1-7B5C5770A45C}"/>
    <cellStyle name="20% - Accent5 2 6 3 2 2" xfId="51445" xr:uid="{46F2EE72-640B-4F7A-8EA1-7E44A4CC262E}"/>
    <cellStyle name="20% - Accent5 2 6 3 2 3" xfId="32849" xr:uid="{27FC8814-383E-4695-B690-BE3CF3C6B2A0}"/>
    <cellStyle name="20% - Accent5 2 6 3 3" xfId="42148" xr:uid="{7F09306B-ACA1-4ADF-9C1D-6F5C3920BA91}"/>
    <cellStyle name="20% - Accent5 2 6 3 4" xfId="23550" xr:uid="{8457D7AA-CD1A-4010-B6C4-CDDE8E62D150}"/>
    <cellStyle name="20% - Accent5 2 6 4" xfId="10886" xr:uid="{2EF01549-1877-42EB-BD8A-FC5082DAE19C}"/>
    <cellStyle name="20% - Accent5 2 6 4 2" xfId="47228" xr:uid="{24AD7389-5106-4A56-AD93-0ED472ADD994}"/>
    <cellStyle name="20% - Accent5 2 6 4 3" xfId="28632" xr:uid="{C5B308CF-53B9-45C5-A337-20E05191C1A1}"/>
    <cellStyle name="20% - Accent5 2 6 5" xfId="37931" xr:uid="{8B62FD91-CB43-40B5-A781-9DB68489B23A}"/>
    <cellStyle name="20% - Accent5 2 6 6" xfId="19333" xr:uid="{80336137-53A5-4108-81E0-5795CCBB9884}"/>
    <cellStyle name="20% - Accent5 2 7" xfId="1884" xr:uid="{00000000-0005-0000-0000-0000CB020000}"/>
    <cellStyle name="20% - Accent5 2 7 2" xfId="4113" xr:uid="{00000000-0005-0000-0000-0000CC020000}"/>
    <cellStyle name="20% - Accent5 2 7 2 2" xfId="8335" xr:uid="{00000000-0005-0000-0000-0000CD020000}"/>
    <cellStyle name="20% - Accent5 2 7 2 2 2" xfId="17661" xr:uid="{79D15C1D-B063-4CC1-B588-20BFE3FCD4EE}"/>
    <cellStyle name="20% - Accent5 2 7 2 2 2 2" xfId="54003" xr:uid="{59DD1DDB-64DD-4B47-83B6-A54BAD01B2D1}"/>
    <cellStyle name="20% - Accent5 2 7 2 2 2 3" xfId="35407" xr:uid="{FDD6C8AC-267C-4F75-8449-FBAABBA38B7B}"/>
    <cellStyle name="20% - Accent5 2 7 2 2 3" xfId="44706" xr:uid="{FE743F64-FBBD-498B-B592-ACF8074A39AA}"/>
    <cellStyle name="20% - Accent5 2 7 2 2 4" xfId="26108" xr:uid="{984CDF5D-65B5-42DF-B95F-4B2F6C49A5A8}"/>
    <cellStyle name="20% - Accent5 2 7 2 3" xfId="13444" xr:uid="{B321D1FF-AAB4-434D-8018-8276E6F8610E}"/>
    <cellStyle name="20% - Accent5 2 7 2 3 2" xfId="49786" xr:uid="{E88B926D-CB8D-49C0-B4F6-942921349D47}"/>
    <cellStyle name="20% - Accent5 2 7 2 3 3" xfId="31190" xr:uid="{36B60907-48D4-4829-B1DA-3D5D2B4296FC}"/>
    <cellStyle name="20% - Accent5 2 7 2 4" xfId="40489" xr:uid="{A858B798-39CD-4B20-99B0-6B4EC6EF7C5B}"/>
    <cellStyle name="20% - Accent5 2 7 2 5" xfId="21891" xr:uid="{C1E2D195-B5D8-45DA-9AED-88BC82635B28}"/>
    <cellStyle name="20% - Accent5 2 7 3" xfId="6190" xr:uid="{00000000-0005-0000-0000-0000CE020000}"/>
    <cellStyle name="20% - Accent5 2 7 3 2" xfId="15516" xr:uid="{E42DC123-7F30-4027-B11C-3B6A8D3E0F08}"/>
    <cellStyle name="20% - Accent5 2 7 3 2 2" xfId="51858" xr:uid="{44ED1929-B32E-47F6-9651-30ECE017FF73}"/>
    <cellStyle name="20% - Accent5 2 7 3 2 3" xfId="33262" xr:uid="{CAD7454C-A50D-48A4-AA0B-734BC45E47D1}"/>
    <cellStyle name="20% - Accent5 2 7 3 3" xfId="42561" xr:uid="{D18A77B2-A7C1-4111-A941-D7A61CC1F4FA}"/>
    <cellStyle name="20% - Accent5 2 7 3 4" xfId="23963" xr:uid="{462E057B-FAC9-47C4-BD09-F5DBBD251B3D}"/>
    <cellStyle name="20% - Accent5 2 7 4" xfId="11299" xr:uid="{D46F4900-CF47-4E5C-9D6D-511B40E9756F}"/>
    <cellStyle name="20% - Accent5 2 7 4 2" xfId="47641" xr:uid="{4E1938AA-1BD9-4F9D-94DA-120C4A4B6224}"/>
    <cellStyle name="20% - Accent5 2 7 4 3" xfId="29045" xr:uid="{9210E822-ABD0-4212-BA5B-6AC01361EA28}"/>
    <cellStyle name="20% - Accent5 2 7 5" xfId="38344" xr:uid="{3AFE1FF4-D593-47B8-9ABD-6333C76D1800}"/>
    <cellStyle name="20% - Accent5 2 7 6" xfId="19746" xr:uid="{858DFB61-DBBF-4C89-AABA-79B1E55928F3}"/>
    <cellStyle name="20% - Accent5 2 8" xfId="2297" xr:uid="{00000000-0005-0000-0000-0000CF020000}"/>
    <cellStyle name="20% - Accent5 2 8 2" xfId="6603" xr:uid="{00000000-0005-0000-0000-0000D0020000}"/>
    <cellStyle name="20% - Accent5 2 8 2 2" xfId="15929" xr:uid="{7140D3ED-4D70-4E86-B028-271F068DD835}"/>
    <cellStyle name="20% - Accent5 2 8 2 2 2" xfId="52271" xr:uid="{ABFE2853-E612-4465-A3E7-DD5CDBA32D97}"/>
    <cellStyle name="20% - Accent5 2 8 2 2 3" xfId="33675" xr:uid="{FEA4CE6F-BAA1-44C3-937D-53FCFC4630E8}"/>
    <cellStyle name="20% - Accent5 2 8 2 3" xfId="42974" xr:uid="{DA5995A7-2A7E-434B-AF25-A573AEFB3323}"/>
    <cellStyle name="20% - Accent5 2 8 2 4" xfId="24376" xr:uid="{F169BF63-39EF-488A-A712-1B29B1E83912}"/>
    <cellStyle name="20% - Accent5 2 8 3" xfId="11712" xr:uid="{32A95FBD-265B-43B4-A167-7466F3921AF3}"/>
    <cellStyle name="20% - Accent5 2 8 3 2" xfId="48054" xr:uid="{1B9BE727-2EBA-4AE4-B332-F141D502EA27}"/>
    <cellStyle name="20% - Accent5 2 8 3 3" xfId="29458" xr:uid="{047362CB-4449-4710-9CC1-3A6C67FECDB1}"/>
    <cellStyle name="20% - Accent5 2 8 4" xfId="38757" xr:uid="{BBF7B428-B3CC-42B1-B23F-E50247C4DF8F}"/>
    <cellStyle name="20% - Accent5 2 8 5" xfId="20159" xr:uid="{86741A8E-CAEC-4E94-AFC2-FC5219964738}"/>
    <cellStyle name="20% - Accent5 2 9" xfId="4537" xr:uid="{00000000-0005-0000-0000-0000D1020000}"/>
    <cellStyle name="20% - Accent5 2 9 2" xfId="13863" xr:uid="{B78D77B7-DA60-4438-A3A9-28677BB4F673}"/>
    <cellStyle name="20% - Accent5 2 9 2 2" xfId="50205" xr:uid="{AC9D8878-98F0-42D2-8787-2EC4775630E5}"/>
    <cellStyle name="20% - Accent5 2 9 2 3" xfId="31609" xr:uid="{89D20DA6-4AFB-4E20-B6A6-BE7F3D79B926}"/>
    <cellStyle name="20% - Accent5 2 9 3" xfId="40908" xr:uid="{7DF8EB7B-216C-486C-854D-801BCE6CDC66}"/>
    <cellStyle name="20% - Accent5 2 9 4" xfId="22310" xr:uid="{F19CCC14-FB8F-4401-98B6-4E3CAB7B6AB4}"/>
    <cellStyle name="20% - Accent5 3" xfId="38" xr:uid="{00000000-0005-0000-0000-0000D2020000}"/>
    <cellStyle name="20% - Accent5 3 10" xfId="9650" xr:uid="{DC4A3498-7AB8-4737-BB67-95AE5B4F9117}"/>
    <cellStyle name="20% - Accent5 3 10 2" xfId="45992" xr:uid="{BAA7D815-3F3F-44E4-A23B-FBB0F9A40227}"/>
    <cellStyle name="20% - Accent5 3 10 3" xfId="27396" xr:uid="{BF70BEFE-B690-458A-9E94-5B0D2A13501C}"/>
    <cellStyle name="20% - Accent5 3 11" xfId="36695" xr:uid="{A2FF6477-79CC-4732-8410-FF4BA7041158}"/>
    <cellStyle name="20% - Accent5 3 12" xfId="18097" xr:uid="{16E6EDFD-5F05-410E-934A-909DCA666B76}"/>
    <cellStyle name="20% - Accent5 3 2" xfId="39" xr:uid="{00000000-0005-0000-0000-0000D3020000}"/>
    <cellStyle name="20% - Accent5 3 2 10" xfId="36696" xr:uid="{BCDDA167-12B5-47BE-B5C4-36ED8ADA861A}"/>
    <cellStyle name="20% - Accent5 3 2 11" xfId="18098" xr:uid="{FB370951-B405-4487-8167-C4E1CF0A5DE7}"/>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16427" xr:uid="{9B971892-F12E-45EE-B80F-EADE51BD8AD4}"/>
    <cellStyle name="20% - Accent5 3 2 2 2 2 2 2" xfId="52769" xr:uid="{7F90904B-76F9-422F-98FB-A5BD0D2FEA11}"/>
    <cellStyle name="20% - Accent5 3 2 2 2 2 2 3" xfId="34173" xr:uid="{30AB2AC7-111A-43A7-9805-9DB585442F9D}"/>
    <cellStyle name="20% - Accent5 3 2 2 2 2 3" xfId="43472" xr:uid="{37F9C693-4447-4D48-890D-904F34BB1646}"/>
    <cellStyle name="20% - Accent5 3 2 2 2 2 4" xfId="24874" xr:uid="{0993BC94-BD33-40B0-B67B-14D2547CE415}"/>
    <cellStyle name="20% - Accent5 3 2 2 2 3" xfId="12210" xr:uid="{B87F72C8-4417-4F95-BAE6-12383FB69D5C}"/>
    <cellStyle name="20% - Accent5 3 2 2 2 3 2" xfId="48552" xr:uid="{95BAE782-3483-4E05-BE2A-D8673AFA0D2D}"/>
    <cellStyle name="20% - Accent5 3 2 2 2 3 3" xfId="29956" xr:uid="{1028AC4B-41A3-4E43-8181-83136FC5674C}"/>
    <cellStyle name="20% - Accent5 3 2 2 2 4" xfId="39255" xr:uid="{655E91C5-A96B-4C05-8DA6-CE4688BE65C2}"/>
    <cellStyle name="20% - Accent5 3 2 2 2 5" xfId="20657" xr:uid="{A6E4C4A1-BFB5-43B0-AB19-16656C6765DC}"/>
    <cellStyle name="20% - Accent5 3 2 2 3" xfId="4956" xr:uid="{00000000-0005-0000-0000-0000D7020000}"/>
    <cellStyle name="20% - Accent5 3 2 2 3 2" xfId="14282" xr:uid="{18FE205A-DF63-4E6A-9C52-357FC8337760}"/>
    <cellStyle name="20% - Accent5 3 2 2 3 2 2" xfId="50624" xr:uid="{AB8E5F62-E203-4168-986A-AA98E6899A3F}"/>
    <cellStyle name="20% - Accent5 3 2 2 3 2 3" xfId="32028" xr:uid="{075D0D3E-5B49-43EF-B5EB-6EEA9834832E}"/>
    <cellStyle name="20% - Accent5 3 2 2 3 3" xfId="41327" xr:uid="{F88B16B4-BB3E-40E7-8E09-FBFC47A90E22}"/>
    <cellStyle name="20% - Accent5 3 2 2 3 4" xfId="22729" xr:uid="{331DF96B-3EF0-4FC4-8541-9CFC36BD6C7F}"/>
    <cellStyle name="20% - Accent5 3 2 2 4" xfId="9501" xr:uid="{82A590A5-96D4-476E-8E6F-D81EEE08C409}"/>
    <cellStyle name="20% - Accent5 3 2 2 4 2" xfId="36562" xr:uid="{6E652766-85D3-47FC-B232-B0A5BF958121}"/>
    <cellStyle name="20% - Accent5 3 2 2 4 2 2" xfId="55156" xr:uid="{B734825F-498D-4168-9ADD-6994C0AB7F9D}"/>
    <cellStyle name="20% - Accent5 3 2 2 4 3" xfId="45859" xr:uid="{80068E5E-B6D3-4ECE-A7C3-44749B679BDF}"/>
    <cellStyle name="20% - Accent5 3 2 2 4 4" xfId="27263" xr:uid="{A7A706CB-080B-459B-B3BA-8A56415D40EF}"/>
    <cellStyle name="20% - Accent5 3 2 2 5" xfId="10065" xr:uid="{DD19EA4C-088D-49A3-8E0F-E21D7ED702AB}"/>
    <cellStyle name="20% - Accent5 3 2 2 5 2" xfId="46407" xr:uid="{1FFCD045-218D-42A8-A0D6-16CE6AE43522}"/>
    <cellStyle name="20% - Accent5 3 2 2 5 3" xfId="27811" xr:uid="{304FD2F8-0116-4E0D-B904-945B5B336821}"/>
    <cellStyle name="20% - Accent5 3 2 2 6" xfId="37110" xr:uid="{CC4EAFB2-58FC-4995-A1A0-E683BD4BE1DE}"/>
    <cellStyle name="20% - Accent5 3 2 2 7" xfId="18512" xr:uid="{71557433-A8A4-4827-820B-F17796B0E956}"/>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16840" xr:uid="{DE64FBDE-EEF8-45E6-A68C-850CA85C7312}"/>
    <cellStyle name="20% - Accent5 3 2 3 2 2 2 2" xfId="53182" xr:uid="{920E62D8-6274-4E62-BA69-4F5369E69DFE}"/>
    <cellStyle name="20% - Accent5 3 2 3 2 2 2 3" xfId="34586" xr:uid="{4FA28649-2388-4BC3-A8D8-246C47FFF23D}"/>
    <cellStyle name="20% - Accent5 3 2 3 2 2 3" xfId="43885" xr:uid="{F244927A-382B-48B4-86FE-CF1AD8DFC781}"/>
    <cellStyle name="20% - Accent5 3 2 3 2 2 4" xfId="25287" xr:uid="{E291F632-22B4-41EB-A7C3-DAE4230E07B1}"/>
    <cellStyle name="20% - Accent5 3 2 3 2 3" xfId="12623" xr:uid="{A960C938-472D-4248-8B25-7DF0A36C89DF}"/>
    <cellStyle name="20% - Accent5 3 2 3 2 3 2" xfId="48965" xr:uid="{F00EDCDA-793C-4BA8-A913-3A92260AFDE8}"/>
    <cellStyle name="20% - Accent5 3 2 3 2 3 3" xfId="30369" xr:uid="{305BA49C-9EB7-4A86-9E1F-184D10E745E2}"/>
    <cellStyle name="20% - Accent5 3 2 3 2 4" xfId="39668" xr:uid="{E442B526-2E21-4316-B818-5D926390268B}"/>
    <cellStyle name="20% - Accent5 3 2 3 2 5" xfId="21070" xr:uid="{C08A3025-09DA-43DA-917D-A835110253A9}"/>
    <cellStyle name="20% - Accent5 3 2 3 3" xfId="5369" xr:uid="{00000000-0005-0000-0000-0000DB020000}"/>
    <cellStyle name="20% - Accent5 3 2 3 3 2" xfId="14695" xr:uid="{E503B53B-1C5B-4BC5-9B4E-20857C67228F}"/>
    <cellStyle name="20% - Accent5 3 2 3 3 2 2" xfId="51037" xr:uid="{E35104BF-8BD0-4720-841C-CAB665BDF83F}"/>
    <cellStyle name="20% - Accent5 3 2 3 3 2 3" xfId="32441" xr:uid="{7D30A2BC-498A-4FA9-B2CD-E5FBEB274342}"/>
    <cellStyle name="20% - Accent5 3 2 3 3 3" xfId="41740" xr:uid="{B7BA7DA6-4041-4941-8257-61E1BD94DBAA}"/>
    <cellStyle name="20% - Accent5 3 2 3 3 4" xfId="23142" xr:uid="{61C933C7-21DA-44D0-ADB6-D18238C7F1F4}"/>
    <cellStyle name="20% - Accent5 3 2 3 4" xfId="10478" xr:uid="{EB44EC39-95F0-44BC-BDD6-9B23C4E0435D}"/>
    <cellStyle name="20% - Accent5 3 2 3 4 2" xfId="46820" xr:uid="{66C632C1-7B4D-4A88-8313-223422AB5949}"/>
    <cellStyle name="20% - Accent5 3 2 3 4 3" xfId="28224" xr:uid="{2C0E20BD-05B8-4209-909A-59D7E001FDB9}"/>
    <cellStyle name="20% - Accent5 3 2 3 5" xfId="37523" xr:uid="{34FD2021-C6DC-4D3E-88FF-1978BA1B38B9}"/>
    <cellStyle name="20% - Accent5 3 2 3 6" xfId="18925" xr:uid="{B8B73987-86C1-4C44-9BAE-69B4D58CC5CF}"/>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17253" xr:uid="{FC571E76-E883-44BD-AF4E-A96E8FC713F1}"/>
    <cellStyle name="20% - Accent5 3 2 4 2 2 2 2" xfId="53595" xr:uid="{EA7AC236-EE33-49A4-A4F6-15EE8C50CD76}"/>
    <cellStyle name="20% - Accent5 3 2 4 2 2 2 3" xfId="34999" xr:uid="{2FA28126-3D82-440F-B678-56E763FD70DA}"/>
    <cellStyle name="20% - Accent5 3 2 4 2 2 3" xfId="44298" xr:uid="{BF073C87-F77C-4DEA-A5D4-55BD7A25CE57}"/>
    <cellStyle name="20% - Accent5 3 2 4 2 2 4" xfId="25700" xr:uid="{17D80AF9-C7F8-4B4A-8610-BCB54E9A1BA0}"/>
    <cellStyle name="20% - Accent5 3 2 4 2 3" xfId="13036" xr:uid="{B69F511A-DC2E-48C8-9F47-25FE471BD9B4}"/>
    <cellStyle name="20% - Accent5 3 2 4 2 3 2" xfId="49378" xr:uid="{D27A9923-E749-4435-9C0E-65D5DD50F0EE}"/>
    <cellStyle name="20% - Accent5 3 2 4 2 3 3" xfId="30782" xr:uid="{9B9F1373-625D-47D5-9262-E2B345FCA240}"/>
    <cellStyle name="20% - Accent5 3 2 4 2 4" xfId="40081" xr:uid="{C001DCAB-3C10-4C5E-9F79-9AE9486A3056}"/>
    <cellStyle name="20% - Accent5 3 2 4 2 5" xfId="21483" xr:uid="{E4C63610-7ED6-4EE7-9C94-48C8E3FEAEA4}"/>
    <cellStyle name="20% - Accent5 3 2 4 3" xfId="5782" xr:uid="{00000000-0005-0000-0000-0000DF020000}"/>
    <cellStyle name="20% - Accent5 3 2 4 3 2" xfId="15108" xr:uid="{B9CBB4DB-ADA4-4E8F-9440-C4B3AFFC3310}"/>
    <cellStyle name="20% - Accent5 3 2 4 3 2 2" xfId="51450" xr:uid="{EB4F6742-1CFA-4E3D-ACB7-7F60C86B3B50}"/>
    <cellStyle name="20% - Accent5 3 2 4 3 2 3" xfId="32854" xr:uid="{F0C7025C-F18F-4A32-8A19-E0C16FD2F391}"/>
    <cellStyle name="20% - Accent5 3 2 4 3 3" xfId="42153" xr:uid="{97E7DB91-0FEE-41F3-95C4-B8BB731149DE}"/>
    <cellStyle name="20% - Accent5 3 2 4 3 4" xfId="23555" xr:uid="{64CD59C2-F3FB-4783-B2BF-846596081A99}"/>
    <cellStyle name="20% - Accent5 3 2 4 4" xfId="10891" xr:uid="{BC8203C6-06FE-4390-BBCF-D41D1BD6DAD2}"/>
    <cellStyle name="20% - Accent5 3 2 4 4 2" xfId="47233" xr:uid="{B3F0F043-DDB8-45BF-B6ED-C44C4A8FA252}"/>
    <cellStyle name="20% - Accent5 3 2 4 4 3" xfId="28637" xr:uid="{B35567B5-D6A7-4783-B76C-D321A68D519E}"/>
    <cellStyle name="20% - Accent5 3 2 4 5" xfId="37936" xr:uid="{50590821-3F15-4FAC-A206-51826B157557}"/>
    <cellStyle name="20% - Accent5 3 2 4 6" xfId="19338" xr:uid="{31B24DE2-7E43-44D9-956E-26641959D749}"/>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17666" xr:uid="{928B16B1-7567-4CE5-8B26-DDED0A46BED4}"/>
    <cellStyle name="20% - Accent5 3 2 5 2 2 2 2" xfId="54008" xr:uid="{7761BBF3-E8F3-42E1-ACC4-A678C88FFD26}"/>
    <cellStyle name="20% - Accent5 3 2 5 2 2 2 3" xfId="35412" xr:uid="{53902EE6-4D50-47FB-874B-5DF9B6138B7D}"/>
    <cellStyle name="20% - Accent5 3 2 5 2 2 3" xfId="44711" xr:uid="{B9ED719D-4BAF-496D-ACAC-35581C476A10}"/>
    <cellStyle name="20% - Accent5 3 2 5 2 2 4" xfId="26113" xr:uid="{DA2F5F0C-AF4F-4555-AE10-EAD78A478AAC}"/>
    <cellStyle name="20% - Accent5 3 2 5 2 3" xfId="13449" xr:uid="{FA5D070B-A486-4619-8CAD-B3ABE7205663}"/>
    <cellStyle name="20% - Accent5 3 2 5 2 3 2" xfId="49791" xr:uid="{A0E9E9B7-A5EE-480B-B6EF-2807C67653ED}"/>
    <cellStyle name="20% - Accent5 3 2 5 2 3 3" xfId="31195" xr:uid="{1DF0F29A-7A8B-45BB-9296-23C7DD6B005E}"/>
    <cellStyle name="20% - Accent5 3 2 5 2 4" xfId="40494" xr:uid="{4D6D46EE-1A2F-4202-ADF1-556B1505E702}"/>
    <cellStyle name="20% - Accent5 3 2 5 2 5" xfId="21896" xr:uid="{F06D2AA2-FFA6-4926-8958-D008E3C7A63E}"/>
    <cellStyle name="20% - Accent5 3 2 5 3" xfId="6195" xr:uid="{00000000-0005-0000-0000-0000E3020000}"/>
    <cellStyle name="20% - Accent5 3 2 5 3 2" xfId="15521" xr:uid="{1F977756-8DEB-40C9-8196-EF0E36DDEF43}"/>
    <cellStyle name="20% - Accent5 3 2 5 3 2 2" xfId="51863" xr:uid="{0463B566-DAAB-4011-9E8E-2FE790EAFF39}"/>
    <cellStyle name="20% - Accent5 3 2 5 3 2 3" xfId="33267" xr:uid="{3B25D126-7FD8-4851-B45B-40A4FABEE7F3}"/>
    <cellStyle name="20% - Accent5 3 2 5 3 3" xfId="42566" xr:uid="{1CDC46D0-AFBD-424D-9FD4-2D448C35B564}"/>
    <cellStyle name="20% - Accent5 3 2 5 3 4" xfId="23968" xr:uid="{ED0524A7-1D62-4126-80F5-5C7D41386DF6}"/>
    <cellStyle name="20% - Accent5 3 2 5 4" xfId="11304" xr:uid="{D45C22A6-28CA-4854-99A7-638319DB9491}"/>
    <cellStyle name="20% - Accent5 3 2 5 4 2" xfId="47646" xr:uid="{F6A38CF1-A6D1-47A0-BC0B-BE09D6296AA1}"/>
    <cellStyle name="20% - Accent5 3 2 5 4 3" xfId="29050" xr:uid="{4C0029A0-D2F9-4F88-A11E-A97564F08ED5}"/>
    <cellStyle name="20% - Accent5 3 2 5 5" xfId="38349" xr:uid="{6CDD9844-044B-45A2-8BB4-64C0ADBCB2C3}"/>
    <cellStyle name="20% - Accent5 3 2 5 6" xfId="19751" xr:uid="{FE284C0E-EFEA-4EE1-8096-46D3409E2795}"/>
    <cellStyle name="20% - Accent5 3 2 6" xfId="2302" xr:uid="{00000000-0005-0000-0000-0000E4020000}"/>
    <cellStyle name="20% - Accent5 3 2 6 2" xfId="6608" xr:uid="{00000000-0005-0000-0000-0000E5020000}"/>
    <cellStyle name="20% - Accent5 3 2 6 2 2" xfId="15934" xr:uid="{15D2416E-6076-497B-9DC8-2DF07856F074}"/>
    <cellStyle name="20% - Accent5 3 2 6 2 2 2" xfId="52276" xr:uid="{9603F991-1677-4F2B-8D9F-20A0FB4D2C69}"/>
    <cellStyle name="20% - Accent5 3 2 6 2 2 3" xfId="33680" xr:uid="{20662C59-24AD-4F39-8E93-80F96A59EF83}"/>
    <cellStyle name="20% - Accent5 3 2 6 2 3" xfId="42979" xr:uid="{8167DAC1-B82D-4050-BFDB-E549FD0EA762}"/>
    <cellStyle name="20% - Accent5 3 2 6 2 4" xfId="24381" xr:uid="{A7437512-9A0F-4823-A26E-BED3C8C53EEF}"/>
    <cellStyle name="20% - Accent5 3 2 6 3" xfId="11717" xr:uid="{0D28D619-4395-4EA2-99A8-4830DD0962E6}"/>
    <cellStyle name="20% - Accent5 3 2 6 3 2" xfId="48059" xr:uid="{EE4D2DDB-3087-4045-8A23-08514F318838}"/>
    <cellStyle name="20% - Accent5 3 2 6 3 3" xfId="29463" xr:uid="{B2DF7296-C0FF-4EBA-AADA-4895DE93CFB8}"/>
    <cellStyle name="20% - Accent5 3 2 6 4" xfId="38762" xr:uid="{BD854A75-B807-469A-97E6-B4EF299422C1}"/>
    <cellStyle name="20% - Accent5 3 2 6 5" xfId="20164" xr:uid="{55F56171-42E7-438B-948C-A055C463AA7B}"/>
    <cellStyle name="20% - Accent5 3 2 7" xfId="4542" xr:uid="{00000000-0005-0000-0000-0000E6020000}"/>
    <cellStyle name="20% - Accent5 3 2 7 2" xfId="13868" xr:uid="{E2ED9A21-19DF-4F5C-9202-2B922BA8E60D}"/>
    <cellStyle name="20% - Accent5 3 2 7 2 2" xfId="50210" xr:uid="{9362469B-5B07-480F-A10F-2913BF81F98A}"/>
    <cellStyle name="20% - Accent5 3 2 7 2 3" xfId="31614" xr:uid="{2399665E-E506-4EC6-8FC2-6B25D8A57397}"/>
    <cellStyle name="20% - Accent5 3 2 7 3" xfId="40913" xr:uid="{45EECF0A-8114-4FB9-A015-2B58C0FB2475}"/>
    <cellStyle name="20% - Accent5 3 2 7 4" xfId="22315" xr:uid="{FF2B6777-024C-4B76-9A45-B2716CC5345F}"/>
    <cellStyle name="20% - Accent5 3 2 8" xfId="9076" xr:uid="{BEDF1D01-35A3-4513-9363-9C1AFC748168}"/>
    <cellStyle name="20% - Accent5 3 2 8 2" xfId="36146" xr:uid="{310C90B0-92C8-46A7-B822-58C88D17C1D1}"/>
    <cellStyle name="20% - Accent5 3 2 8 2 2" xfId="54741" xr:uid="{0EB9232D-5E4A-4555-B6E8-0EDED07D76F4}"/>
    <cellStyle name="20% - Accent5 3 2 8 3" xfId="45444" xr:uid="{7C984EC1-B90F-431F-BA8A-30E430CB640C}"/>
    <cellStyle name="20% - Accent5 3 2 8 4" xfId="26847" xr:uid="{93B8C685-3B36-48FB-8990-E0752C7FF254}"/>
    <cellStyle name="20% - Accent5 3 2 9" xfId="9651" xr:uid="{9ED4AB94-7AC0-4496-B797-F5832C4C5747}"/>
    <cellStyle name="20% - Accent5 3 2 9 2" xfId="45993" xr:uid="{8F76E4E0-8CEE-4C5F-85D0-B2103578C053}"/>
    <cellStyle name="20% - Accent5 3 2 9 3" xfId="27397" xr:uid="{4390CA8C-D294-48D2-B90D-F300077F18A1}"/>
    <cellStyle name="20% - Accent5 3 3" xfId="607" xr:uid="{00000000-0005-0000-0000-0000E7020000}"/>
    <cellStyle name="20% - Accent5 3 3 2" xfId="2878" xr:uid="{00000000-0005-0000-0000-0000E8020000}"/>
    <cellStyle name="20% - Accent5 3 3 2 2" xfId="7100" xr:uid="{00000000-0005-0000-0000-0000E9020000}"/>
    <cellStyle name="20% - Accent5 3 3 2 2 2" xfId="16426" xr:uid="{9A1AB2D1-A24F-4707-AD2C-11B1A64FADAE}"/>
    <cellStyle name="20% - Accent5 3 3 2 2 2 2" xfId="52768" xr:uid="{C007BCB3-03F4-4189-8C3F-817BF722C4F5}"/>
    <cellStyle name="20% - Accent5 3 3 2 2 2 3" xfId="34172" xr:uid="{7A5F1B07-23E7-4D08-9B12-1EA71DA8E4F6}"/>
    <cellStyle name="20% - Accent5 3 3 2 2 3" xfId="43471" xr:uid="{4930E111-FE8C-425A-B7DF-B8F963F7DF0A}"/>
    <cellStyle name="20% - Accent5 3 3 2 2 4" xfId="24873" xr:uid="{0C8017A9-2AE8-4E0A-81B8-CFBC7C951B0B}"/>
    <cellStyle name="20% - Accent5 3 3 2 3" xfId="12209" xr:uid="{14F21A44-5C3C-44A8-9996-13AD0190CA19}"/>
    <cellStyle name="20% - Accent5 3 3 2 3 2" xfId="48551" xr:uid="{CF8A7CCA-19BB-40B3-8F51-511834D1A117}"/>
    <cellStyle name="20% - Accent5 3 3 2 3 3" xfId="29955" xr:uid="{CB3A83BC-2575-40B5-924B-64854ED503FA}"/>
    <cellStyle name="20% - Accent5 3 3 2 4" xfId="39254" xr:uid="{74BEE06A-4158-4815-9268-F896FA769683}"/>
    <cellStyle name="20% - Accent5 3 3 2 5" xfId="20656" xr:uid="{F2306A91-1F78-4A84-889A-A46F33D1CC1D}"/>
    <cellStyle name="20% - Accent5 3 3 3" xfId="4955" xr:uid="{00000000-0005-0000-0000-0000EA020000}"/>
    <cellStyle name="20% - Accent5 3 3 3 2" xfId="14281" xr:uid="{0C14CF7D-2C97-4EC0-9F02-418A21CBA7BE}"/>
    <cellStyle name="20% - Accent5 3 3 3 2 2" xfId="50623" xr:uid="{320FAA27-C046-42C1-A8AC-70148F1EAF91}"/>
    <cellStyle name="20% - Accent5 3 3 3 2 3" xfId="32027" xr:uid="{7DE11EAF-35FA-4795-9181-518294C72372}"/>
    <cellStyle name="20% - Accent5 3 3 3 3" xfId="41326" xr:uid="{D9CA49B0-E53A-4430-9FAD-BBD3715318ED}"/>
    <cellStyle name="20% - Accent5 3 3 3 4" xfId="22728" xr:uid="{6DFB6AC2-B233-496A-A0D3-D60177C008D0}"/>
    <cellStyle name="20% - Accent5 3 3 4" xfId="9294" xr:uid="{124960EA-C7A4-4686-BF67-47D6C57F7EEB}"/>
    <cellStyle name="20% - Accent5 3 3 4 2" xfId="36355" xr:uid="{F1873387-5091-4B61-A4C7-AFEC59C4EEAA}"/>
    <cellStyle name="20% - Accent5 3 3 4 2 2" xfId="54949" xr:uid="{F2BF3699-A2CE-4965-AE2D-1C8241F369EA}"/>
    <cellStyle name="20% - Accent5 3 3 4 3" xfId="45652" xr:uid="{3C92AD57-9BAC-45D1-B75F-BA0D16077658}"/>
    <cellStyle name="20% - Accent5 3 3 4 4" xfId="27056" xr:uid="{CA3545BB-FF6F-4B8D-8D2A-42E5F8DA6BA5}"/>
    <cellStyle name="20% - Accent5 3 3 5" xfId="10064" xr:uid="{C9501124-4147-4DAC-9E3D-427037DB0A43}"/>
    <cellStyle name="20% - Accent5 3 3 5 2" xfId="46406" xr:uid="{C0B2E802-1411-4890-B0D8-1264BD776BAD}"/>
    <cellStyle name="20% - Accent5 3 3 5 3" xfId="27810" xr:uid="{BB2DCADC-F0D8-4CB5-90D8-A3E2F718562E}"/>
    <cellStyle name="20% - Accent5 3 3 6" xfId="37109" xr:uid="{2847C7EC-770F-4E81-9D88-5D4253C58E51}"/>
    <cellStyle name="20% - Accent5 3 3 7" xfId="18511" xr:uid="{597CD63B-25E3-47AC-A47D-1C1ADF6D523A}"/>
    <cellStyle name="20% - Accent5 3 4" xfId="1060" xr:uid="{00000000-0005-0000-0000-0000EB020000}"/>
    <cellStyle name="20% - Accent5 3 4 2" xfId="3291" xr:uid="{00000000-0005-0000-0000-0000EC020000}"/>
    <cellStyle name="20% - Accent5 3 4 2 2" xfId="7513" xr:uid="{00000000-0005-0000-0000-0000ED020000}"/>
    <cellStyle name="20% - Accent5 3 4 2 2 2" xfId="16839" xr:uid="{9F6C8542-2FFA-4FED-9FEA-1113A84EC8B7}"/>
    <cellStyle name="20% - Accent5 3 4 2 2 2 2" xfId="53181" xr:uid="{DC392B74-90C6-4F9C-B814-3953A7B2003B}"/>
    <cellStyle name="20% - Accent5 3 4 2 2 2 3" xfId="34585" xr:uid="{B67E7421-708B-441B-AB37-EE610239A787}"/>
    <cellStyle name="20% - Accent5 3 4 2 2 3" xfId="43884" xr:uid="{836C065A-3746-4BF7-98AB-1EF22529F87E}"/>
    <cellStyle name="20% - Accent5 3 4 2 2 4" xfId="25286" xr:uid="{F29E7F38-339E-433D-9C41-ED77D5481567}"/>
    <cellStyle name="20% - Accent5 3 4 2 3" xfId="12622" xr:uid="{08487F3C-4A68-4BF5-98D7-01FF169D0703}"/>
    <cellStyle name="20% - Accent5 3 4 2 3 2" xfId="48964" xr:uid="{B329523C-BD3D-4AF2-A9F1-9B7D598EB188}"/>
    <cellStyle name="20% - Accent5 3 4 2 3 3" xfId="30368" xr:uid="{81D7EFA0-2FC9-4962-A7E7-D783D738A7FE}"/>
    <cellStyle name="20% - Accent5 3 4 2 4" xfId="39667" xr:uid="{D1BE434F-1084-4BA3-8D14-D9E2C98A99C7}"/>
    <cellStyle name="20% - Accent5 3 4 2 5" xfId="21069" xr:uid="{CC7C5DBC-AD35-437C-85B0-D2BF461D4348}"/>
    <cellStyle name="20% - Accent5 3 4 3" xfId="5368" xr:uid="{00000000-0005-0000-0000-0000EE020000}"/>
    <cellStyle name="20% - Accent5 3 4 3 2" xfId="14694" xr:uid="{4C57C095-3E74-472C-BCDF-ABE446B59526}"/>
    <cellStyle name="20% - Accent5 3 4 3 2 2" xfId="51036" xr:uid="{87E2822F-0AED-44B2-8964-4B47275B7DB2}"/>
    <cellStyle name="20% - Accent5 3 4 3 2 3" xfId="32440" xr:uid="{BFDE22A4-F2C0-4890-88C4-AF42F4E1315B}"/>
    <cellStyle name="20% - Accent5 3 4 3 3" xfId="41739" xr:uid="{D3844798-2E15-4E2D-A831-CEBFCADBCA31}"/>
    <cellStyle name="20% - Accent5 3 4 3 4" xfId="23141" xr:uid="{96E43B2F-7BF1-4196-AB4D-4DE78E926126}"/>
    <cellStyle name="20% - Accent5 3 4 4" xfId="10477" xr:uid="{60E31458-BAD5-4D25-B43D-452FBB255B99}"/>
    <cellStyle name="20% - Accent5 3 4 4 2" xfId="46819" xr:uid="{D3781F01-7ECD-4BBF-843D-AECC83F9E958}"/>
    <cellStyle name="20% - Accent5 3 4 4 3" xfId="28223" xr:uid="{44E91DA3-A70B-4011-BA19-C587B00FB4B1}"/>
    <cellStyle name="20% - Accent5 3 4 5" xfId="37522" xr:uid="{38E15CE7-36A3-420F-B760-5C76E4D03DE3}"/>
    <cellStyle name="20% - Accent5 3 4 6" xfId="18924" xr:uid="{B3C18671-31F9-4FBE-945E-8138A6B53214}"/>
    <cellStyle name="20% - Accent5 3 5" xfId="1474" xr:uid="{00000000-0005-0000-0000-0000EF020000}"/>
    <cellStyle name="20% - Accent5 3 5 2" xfId="3704" xr:uid="{00000000-0005-0000-0000-0000F0020000}"/>
    <cellStyle name="20% - Accent5 3 5 2 2" xfId="7926" xr:uid="{00000000-0005-0000-0000-0000F1020000}"/>
    <cellStyle name="20% - Accent5 3 5 2 2 2" xfId="17252" xr:uid="{27FEE087-7158-4F70-9028-19C284D228E6}"/>
    <cellStyle name="20% - Accent5 3 5 2 2 2 2" xfId="53594" xr:uid="{3720DC32-927F-4083-A3D2-A58BECED7A96}"/>
    <cellStyle name="20% - Accent5 3 5 2 2 2 3" xfId="34998" xr:uid="{BA8182E8-A156-47B6-BA7D-14C45708A515}"/>
    <cellStyle name="20% - Accent5 3 5 2 2 3" xfId="44297" xr:uid="{D74FEF2D-6B10-4F17-B78B-AAA16ADEB82D}"/>
    <cellStyle name="20% - Accent5 3 5 2 2 4" xfId="25699" xr:uid="{2AAD3F4B-419E-4364-BC80-31B9EF13182B}"/>
    <cellStyle name="20% - Accent5 3 5 2 3" xfId="13035" xr:uid="{35442784-2225-4856-AF26-929931337DFE}"/>
    <cellStyle name="20% - Accent5 3 5 2 3 2" xfId="49377" xr:uid="{DC4B05A1-E498-4E46-94E9-5625545C4FB7}"/>
    <cellStyle name="20% - Accent5 3 5 2 3 3" xfId="30781" xr:uid="{3B235662-833C-499A-BB24-BEA0CAAD6277}"/>
    <cellStyle name="20% - Accent5 3 5 2 4" xfId="40080" xr:uid="{7850AA64-F680-430D-8923-69A22DFA5A07}"/>
    <cellStyle name="20% - Accent5 3 5 2 5" xfId="21482" xr:uid="{66E7FEDF-FADB-4E8F-A5C1-77B9C189C59C}"/>
    <cellStyle name="20% - Accent5 3 5 3" xfId="5781" xr:uid="{00000000-0005-0000-0000-0000F2020000}"/>
    <cellStyle name="20% - Accent5 3 5 3 2" xfId="15107" xr:uid="{2662A790-04BD-4FED-B81E-8E0A2A999C77}"/>
    <cellStyle name="20% - Accent5 3 5 3 2 2" xfId="51449" xr:uid="{E58D32EC-84FA-48D0-90CE-4484B402C353}"/>
    <cellStyle name="20% - Accent5 3 5 3 2 3" xfId="32853" xr:uid="{D0B692C9-B187-41FE-8A17-8377D66713AC}"/>
    <cellStyle name="20% - Accent5 3 5 3 3" xfId="42152" xr:uid="{1A99A4A9-59BC-4D9A-B36A-19539C6E9593}"/>
    <cellStyle name="20% - Accent5 3 5 3 4" xfId="23554" xr:uid="{98C587F7-0112-43A5-8E3B-DAD47260CEDA}"/>
    <cellStyle name="20% - Accent5 3 5 4" xfId="10890" xr:uid="{C3176D78-352F-4E11-95B8-6384B39178D1}"/>
    <cellStyle name="20% - Accent5 3 5 4 2" xfId="47232" xr:uid="{6F43BAD8-BC84-4CD0-8C45-272A3DCB80A1}"/>
    <cellStyle name="20% - Accent5 3 5 4 3" xfId="28636" xr:uid="{262C5806-4FD0-48F1-AE23-9BB07515233C}"/>
    <cellStyle name="20% - Accent5 3 5 5" xfId="37935" xr:uid="{DF9E39B9-BBF6-4EA6-9DDE-A289E2CA5214}"/>
    <cellStyle name="20% - Accent5 3 5 6" xfId="19337" xr:uid="{846493AD-2C7D-467A-A65A-2212AD9A25D2}"/>
    <cellStyle name="20% - Accent5 3 6" xfId="1888" xr:uid="{00000000-0005-0000-0000-0000F3020000}"/>
    <cellStyle name="20% - Accent5 3 6 2" xfId="4117" xr:uid="{00000000-0005-0000-0000-0000F4020000}"/>
    <cellStyle name="20% - Accent5 3 6 2 2" xfId="8339" xr:uid="{00000000-0005-0000-0000-0000F5020000}"/>
    <cellStyle name="20% - Accent5 3 6 2 2 2" xfId="17665" xr:uid="{A3233BB4-AE32-43D6-BFF7-981613BD0FDD}"/>
    <cellStyle name="20% - Accent5 3 6 2 2 2 2" xfId="54007" xr:uid="{975787DD-34B4-45E8-8BD5-F7F7FDAA5868}"/>
    <cellStyle name="20% - Accent5 3 6 2 2 2 3" xfId="35411" xr:uid="{6B24B1F3-1F51-4D69-A1F0-1464B49CEC3B}"/>
    <cellStyle name="20% - Accent5 3 6 2 2 3" xfId="44710" xr:uid="{95F7F736-D8AC-470A-9D96-79A024743CB8}"/>
    <cellStyle name="20% - Accent5 3 6 2 2 4" xfId="26112" xr:uid="{97931F85-06E9-4DFD-BBC5-ABD564B658FF}"/>
    <cellStyle name="20% - Accent5 3 6 2 3" xfId="13448" xr:uid="{81DA653E-EFB7-40BA-80F8-F2BF34C5083F}"/>
    <cellStyle name="20% - Accent5 3 6 2 3 2" xfId="49790" xr:uid="{613CC201-F380-49E7-87BD-F228245D17F3}"/>
    <cellStyle name="20% - Accent5 3 6 2 3 3" xfId="31194" xr:uid="{508C02CE-FBBE-4FA8-B0B3-3742E5DCAC78}"/>
    <cellStyle name="20% - Accent5 3 6 2 4" xfId="40493" xr:uid="{7B311143-2428-4047-84EF-44996ACED09D}"/>
    <cellStyle name="20% - Accent5 3 6 2 5" xfId="21895" xr:uid="{C98BE506-1D6D-475F-B981-83CD348196F1}"/>
    <cellStyle name="20% - Accent5 3 6 3" xfId="6194" xr:uid="{00000000-0005-0000-0000-0000F6020000}"/>
    <cellStyle name="20% - Accent5 3 6 3 2" xfId="15520" xr:uid="{0CCA3A5B-814B-4599-B3A4-D502987C0224}"/>
    <cellStyle name="20% - Accent5 3 6 3 2 2" xfId="51862" xr:uid="{F88668A0-BF42-4DAF-9667-A7B29EF4F458}"/>
    <cellStyle name="20% - Accent5 3 6 3 2 3" xfId="33266" xr:uid="{4F6C1C5C-299B-47AF-8C30-E2501FAD5D6A}"/>
    <cellStyle name="20% - Accent5 3 6 3 3" xfId="42565" xr:uid="{C357FE76-B2CD-4FB6-B204-D1CF9AA2D852}"/>
    <cellStyle name="20% - Accent5 3 6 3 4" xfId="23967" xr:uid="{10123FFF-9965-46CE-8D99-315D9DC96FD3}"/>
    <cellStyle name="20% - Accent5 3 6 4" xfId="11303" xr:uid="{603CD5B8-660F-4B3B-BAF1-6A8C77F710C5}"/>
    <cellStyle name="20% - Accent5 3 6 4 2" xfId="47645" xr:uid="{753C9DC2-9931-4D09-BD96-4D5398448F4F}"/>
    <cellStyle name="20% - Accent5 3 6 4 3" xfId="29049" xr:uid="{79D2E119-4CBA-4ACA-AC1A-374C4254DBB1}"/>
    <cellStyle name="20% - Accent5 3 6 5" xfId="38348" xr:uid="{B2F5EC0B-64A3-4D0C-A68B-F58546D9EBA5}"/>
    <cellStyle name="20% - Accent5 3 6 6" xfId="19750" xr:uid="{411B9D31-3BE4-4FBF-ABD7-51105F5AC805}"/>
    <cellStyle name="20% - Accent5 3 7" xfId="2301" xr:uid="{00000000-0005-0000-0000-0000F7020000}"/>
    <cellStyle name="20% - Accent5 3 7 2" xfId="6607" xr:uid="{00000000-0005-0000-0000-0000F8020000}"/>
    <cellStyle name="20% - Accent5 3 7 2 2" xfId="15933" xr:uid="{948427BA-0AB2-487F-907F-D4E703595EDE}"/>
    <cellStyle name="20% - Accent5 3 7 2 2 2" xfId="52275" xr:uid="{D97DB077-DA2C-41BD-B0F2-CB1D89654466}"/>
    <cellStyle name="20% - Accent5 3 7 2 2 3" xfId="33679" xr:uid="{09180D00-AE37-4D07-951A-EDF48E1229C9}"/>
    <cellStyle name="20% - Accent5 3 7 2 3" xfId="42978" xr:uid="{56FF17A2-FD6B-4200-AA3A-9DC795214686}"/>
    <cellStyle name="20% - Accent5 3 7 2 4" xfId="24380" xr:uid="{7DDD7FDF-4FC5-4D6B-A8D4-127FEDF6F6C8}"/>
    <cellStyle name="20% - Accent5 3 7 3" xfId="11716" xr:uid="{5F2176D3-4B03-46DA-934C-02C8B8933290}"/>
    <cellStyle name="20% - Accent5 3 7 3 2" xfId="48058" xr:uid="{5D2BA169-7F79-4570-A203-EB40B2EF7A91}"/>
    <cellStyle name="20% - Accent5 3 7 3 3" xfId="29462" xr:uid="{4CD4215F-425E-40AD-AC9A-C7464DA2C16B}"/>
    <cellStyle name="20% - Accent5 3 7 4" xfId="38761" xr:uid="{68AB84D2-8F7A-45E7-88BF-0D663EC36581}"/>
    <cellStyle name="20% - Accent5 3 7 5" xfId="20163" xr:uid="{71A56184-741E-45DC-8AC4-77E80D6B40F5}"/>
    <cellStyle name="20% - Accent5 3 8" xfId="4541" xr:uid="{00000000-0005-0000-0000-0000F9020000}"/>
    <cellStyle name="20% - Accent5 3 8 2" xfId="13867" xr:uid="{542E853F-0EE7-47A1-8428-E8BB23236CA0}"/>
    <cellStyle name="20% - Accent5 3 8 2 2" xfId="50209" xr:uid="{050EED4A-A0D5-45D0-910E-7B0C2BA97A6A}"/>
    <cellStyle name="20% - Accent5 3 8 2 3" xfId="31613" xr:uid="{DCD4B436-EC49-48D8-9F9F-666A5DFA8785}"/>
    <cellStyle name="20% - Accent5 3 8 3" xfId="40912" xr:uid="{D4584C66-9EF2-40E3-90D8-8AB9A4F2452A}"/>
    <cellStyle name="20% - Accent5 3 8 4" xfId="22314" xr:uid="{F1C06ADA-485B-467B-AA15-D01915CEDA22}"/>
    <cellStyle name="20% - Accent5 3 9" xfId="8869" xr:uid="{43CC8A87-AEEB-4E51-98E7-F8AE8D86AD2B}"/>
    <cellStyle name="20% - Accent5 3 9 2" xfId="35939" xr:uid="{27543261-7E97-4898-A1C4-5A786DAC5CC1}"/>
    <cellStyle name="20% - Accent5 3 9 2 2" xfId="54534" xr:uid="{E80E2211-D9EB-45B5-B032-A55B903666BD}"/>
    <cellStyle name="20% - Accent5 3 9 3" xfId="45237" xr:uid="{F8F4D9AD-3B2D-4BED-889C-5A5CE94DF5D5}"/>
    <cellStyle name="20% - Accent5 3 9 4" xfId="26640" xr:uid="{8A39DAD1-1F0B-4676-9301-5ECDF7F2C9BA}"/>
    <cellStyle name="20% - Accent5 4" xfId="40" xr:uid="{00000000-0005-0000-0000-0000FA020000}"/>
    <cellStyle name="20% - Accent5 4 10" xfId="36697" xr:uid="{E36998C3-F379-4F59-B7E8-3DB852E4BD0B}"/>
    <cellStyle name="20% - Accent5 4 11" xfId="18099" xr:uid="{57406CCD-F906-4BC8-9D8B-F995CEF0CF25}"/>
    <cellStyle name="20% - Accent5 4 2" xfId="609" xr:uid="{00000000-0005-0000-0000-0000FB020000}"/>
    <cellStyle name="20% - Accent5 4 2 2" xfId="2880" xr:uid="{00000000-0005-0000-0000-0000FC020000}"/>
    <cellStyle name="20% - Accent5 4 2 2 2" xfId="7102" xr:uid="{00000000-0005-0000-0000-0000FD020000}"/>
    <cellStyle name="20% - Accent5 4 2 2 2 2" xfId="16428" xr:uid="{0CCD8A1D-30EC-4D1A-913A-85DBB9BBB5B6}"/>
    <cellStyle name="20% - Accent5 4 2 2 2 2 2" xfId="52770" xr:uid="{41F288A2-A62B-4D67-A8C3-B793D2C8CAEF}"/>
    <cellStyle name="20% - Accent5 4 2 2 2 2 3" xfId="34174" xr:uid="{AA66A644-6244-4EB2-83AC-A89341AF2DCC}"/>
    <cellStyle name="20% - Accent5 4 2 2 2 3" xfId="43473" xr:uid="{3F3C52F7-BF94-45DB-8A25-800B427E731B}"/>
    <cellStyle name="20% - Accent5 4 2 2 2 4" xfId="24875" xr:uid="{B822D490-C62D-4FFB-BE95-04469965C8DF}"/>
    <cellStyle name="20% - Accent5 4 2 2 3" xfId="12211" xr:uid="{9477A904-DAA9-48C9-9320-0FABB2E96B9E}"/>
    <cellStyle name="20% - Accent5 4 2 2 3 2" xfId="48553" xr:uid="{9E831C77-AC1D-432A-B3F2-171D8E2B2472}"/>
    <cellStyle name="20% - Accent5 4 2 2 3 3" xfId="29957" xr:uid="{EDC4100C-4D51-4A8F-B23A-AC126A1C2E4D}"/>
    <cellStyle name="20% - Accent5 4 2 2 4" xfId="39256" xr:uid="{44916003-4016-4DE4-8998-8CD9842347CD}"/>
    <cellStyle name="20% - Accent5 4 2 2 5" xfId="20658" xr:uid="{3A18898F-FF01-4884-8812-128069940F03}"/>
    <cellStyle name="20% - Accent5 4 2 3" xfId="4957" xr:uid="{00000000-0005-0000-0000-0000FE020000}"/>
    <cellStyle name="20% - Accent5 4 2 3 2" xfId="14283" xr:uid="{13F549FC-A578-4B2B-82D4-8E1B28F5C59B}"/>
    <cellStyle name="20% - Accent5 4 2 3 2 2" xfId="50625" xr:uid="{F3AF35B4-AD0A-4581-AAD1-4B31DDFC4E30}"/>
    <cellStyle name="20% - Accent5 4 2 3 2 3" xfId="32029" xr:uid="{66D81EAF-D067-4E56-A325-2D371587DE08}"/>
    <cellStyle name="20% - Accent5 4 2 3 3" xfId="41328" xr:uid="{F73CB949-C683-42FA-AB6A-1EF643553891}"/>
    <cellStyle name="20% - Accent5 4 2 3 4" xfId="22730" xr:uid="{E8D0C1FE-C1AC-4F13-965D-C5046E70A2B4}"/>
    <cellStyle name="20% - Accent5 4 2 4" xfId="9380" xr:uid="{1C764D65-D71C-4646-AD86-15F83BDBF498}"/>
    <cellStyle name="20% - Accent5 4 2 4 2" xfId="36441" xr:uid="{162E20E4-EA55-4B9C-AE63-4E5FC02A4A47}"/>
    <cellStyle name="20% - Accent5 4 2 4 2 2" xfId="55035" xr:uid="{A278693C-7A6E-41B6-A174-DE1C5312221C}"/>
    <cellStyle name="20% - Accent5 4 2 4 3" xfId="45738" xr:uid="{64CA070A-4919-463D-AB49-EDF152B6680A}"/>
    <cellStyle name="20% - Accent5 4 2 4 4" xfId="27142" xr:uid="{2A7AFF21-E608-4D61-8A03-6BE0A2097D9D}"/>
    <cellStyle name="20% - Accent5 4 2 5" xfId="10066" xr:uid="{52350DFC-61A1-47DE-9D3B-3F3673DB27EE}"/>
    <cellStyle name="20% - Accent5 4 2 5 2" xfId="46408" xr:uid="{E103C934-7A2B-4275-9F34-7C400B1215C8}"/>
    <cellStyle name="20% - Accent5 4 2 5 3" xfId="27812" xr:uid="{D0BEB42E-31EC-4115-8366-FAAE3C8140E8}"/>
    <cellStyle name="20% - Accent5 4 2 6" xfId="37111" xr:uid="{D8872EAA-E10A-4AED-989B-0643D0963145}"/>
    <cellStyle name="20% - Accent5 4 2 7" xfId="18513" xr:uid="{23B15330-C11E-46B7-A6F0-3003895EA445}"/>
    <cellStyle name="20% - Accent5 4 3" xfId="1062" xr:uid="{00000000-0005-0000-0000-0000FF020000}"/>
    <cellStyle name="20% - Accent5 4 3 2" xfId="3293" xr:uid="{00000000-0005-0000-0000-000000030000}"/>
    <cellStyle name="20% - Accent5 4 3 2 2" xfId="7515" xr:uid="{00000000-0005-0000-0000-000001030000}"/>
    <cellStyle name="20% - Accent5 4 3 2 2 2" xfId="16841" xr:uid="{9F1E97B7-25A4-4A0D-A3BE-3DB277797FB4}"/>
    <cellStyle name="20% - Accent5 4 3 2 2 2 2" xfId="53183" xr:uid="{DE732E4C-820E-401C-B53C-CFD4583FCF04}"/>
    <cellStyle name="20% - Accent5 4 3 2 2 2 3" xfId="34587" xr:uid="{D8B4AD40-F28C-4498-859E-67AD37326F4E}"/>
    <cellStyle name="20% - Accent5 4 3 2 2 3" xfId="43886" xr:uid="{DE273509-D47D-4015-BCE6-F5452880155D}"/>
    <cellStyle name="20% - Accent5 4 3 2 2 4" xfId="25288" xr:uid="{E6B7309E-AA9A-481A-8884-54283157734A}"/>
    <cellStyle name="20% - Accent5 4 3 2 3" xfId="12624" xr:uid="{5E0D6AA2-3C57-4461-8C6E-CEF4699D12AC}"/>
    <cellStyle name="20% - Accent5 4 3 2 3 2" xfId="48966" xr:uid="{4D074C4F-9BC0-4223-AEB6-D7FEA05677B2}"/>
    <cellStyle name="20% - Accent5 4 3 2 3 3" xfId="30370" xr:uid="{11A09A6A-6E3E-4336-83E5-220A3996EF01}"/>
    <cellStyle name="20% - Accent5 4 3 2 4" xfId="39669" xr:uid="{AD3C7E7C-7366-4074-B227-30532FF32771}"/>
    <cellStyle name="20% - Accent5 4 3 2 5" xfId="21071" xr:uid="{4B5CC78C-F417-4A97-B871-130B18B2063D}"/>
    <cellStyle name="20% - Accent5 4 3 3" xfId="5370" xr:uid="{00000000-0005-0000-0000-000002030000}"/>
    <cellStyle name="20% - Accent5 4 3 3 2" xfId="14696" xr:uid="{594B04CB-05CE-4217-87CD-330880CD836D}"/>
    <cellStyle name="20% - Accent5 4 3 3 2 2" xfId="51038" xr:uid="{8221533D-2FE1-4A8A-BB84-76CB4F91FC5F}"/>
    <cellStyle name="20% - Accent5 4 3 3 2 3" xfId="32442" xr:uid="{318E6F48-CE94-4372-B102-BA9AF9741760}"/>
    <cellStyle name="20% - Accent5 4 3 3 3" xfId="41741" xr:uid="{94450933-4BAF-4F59-95E7-35ECD6C71354}"/>
    <cellStyle name="20% - Accent5 4 3 3 4" xfId="23143" xr:uid="{5ADA1761-13D1-41D2-B5CF-5E8B1FA65724}"/>
    <cellStyle name="20% - Accent5 4 3 4" xfId="10479" xr:uid="{F825D620-E9A4-4BF3-BBD2-A88DAEB80711}"/>
    <cellStyle name="20% - Accent5 4 3 4 2" xfId="46821" xr:uid="{123C5467-BD6F-4E53-B6EF-8552FC57AEA1}"/>
    <cellStyle name="20% - Accent5 4 3 4 3" xfId="28225" xr:uid="{06C2995D-F663-41CB-9679-8A0BC92CEEF2}"/>
    <cellStyle name="20% - Accent5 4 3 5" xfId="37524" xr:uid="{DEE88ED6-9593-4BFA-B88F-308776C6527D}"/>
    <cellStyle name="20% - Accent5 4 3 6" xfId="18926" xr:uid="{F710CEB5-71E3-4362-9C96-3E89EF1D5B5B}"/>
    <cellStyle name="20% - Accent5 4 4" xfId="1476" xr:uid="{00000000-0005-0000-0000-000003030000}"/>
    <cellStyle name="20% - Accent5 4 4 2" xfId="3706" xr:uid="{00000000-0005-0000-0000-000004030000}"/>
    <cellStyle name="20% - Accent5 4 4 2 2" xfId="7928" xr:uid="{00000000-0005-0000-0000-000005030000}"/>
    <cellStyle name="20% - Accent5 4 4 2 2 2" xfId="17254" xr:uid="{D6EF7A65-01F1-4AA9-BEDC-6E2955C4BE01}"/>
    <cellStyle name="20% - Accent5 4 4 2 2 2 2" xfId="53596" xr:uid="{0DB0C30B-727C-461A-9E2B-FE6D7F82BA3E}"/>
    <cellStyle name="20% - Accent5 4 4 2 2 2 3" xfId="35000" xr:uid="{520D2F38-36DF-4C49-AED3-FBEBD7BE4E31}"/>
    <cellStyle name="20% - Accent5 4 4 2 2 3" xfId="44299" xr:uid="{99825DF9-97B5-472A-88C5-D9A2E65254CE}"/>
    <cellStyle name="20% - Accent5 4 4 2 2 4" xfId="25701" xr:uid="{8912BF2D-CC2A-4AF1-A911-7A97386E1E8A}"/>
    <cellStyle name="20% - Accent5 4 4 2 3" xfId="13037" xr:uid="{632A1F06-B67C-4C7B-8C57-1742F5C00D58}"/>
    <cellStyle name="20% - Accent5 4 4 2 3 2" xfId="49379" xr:uid="{1E88B0C8-70D6-4BD1-BB14-EA48AABB7EC3}"/>
    <cellStyle name="20% - Accent5 4 4 2 3 3" xfId="30783" xr:uid="{CD2BE4A6-B253-49B2-A57E-32FC55EBC4A5}"/>
    <cellStyle name="20% - Accent5 4 4 2 4" xfId="40082" xr:uid="{5FE20FD8-53EB-4037-9FF2-89BD2FF9231C}"/>
    <cellStyle name="20% - Accent5 4 4 2 5" xfId="21484" xr:uid="{340C933E-9D55-4478-B6EE-D040CDE79C93}"/>
    <cellStyle name="20% - Accent5 4 4 3" xfId="5783" xr:uid="{00000000-0005-0000-0000-000006030000}"/>
    <cellStyle name="20% - Accent5 4 4 3 2" xfId="15109" xr:uid="{E9CE5ED0-C5FE-492F-9161-7EC261BFCD03}"/>
    <cellStyle name="20% - Accent5 4 4 3 2 2" xfId="51451" xr:uid="{49848021-BD97-438B-83C8-BAB5134912C0}"/>
    <cellStyle name="20% - Accent5 4 4 3 2 3" xfId="32855" xr:uid="{A93289FA-7F54-4364-970C-D233B3BDCBED}"/>
    <cellStyle name="20% - Accent5 4 4 3 3" xfId="42154" xr:uid="{6E30A8CB-C16B-4FAB-A269-DDA6FE04F537}"/>
    <cellStyle name="20% - Accent5 4 4 3 4" xfId="23556" xr:uid="{3D22A461-7EFB-4060-B21D-3D927491F021}"/>
    <cellStyle name="20% - Accent5 4 4 4" xfId="10892" xr:uid="{5DED192A-7BF8-4841-8837-C72D1AA4B19A}"/>
    <cellStyle name="20% - Accent5 4 4 4 2" xfId="47234" xr:uid="{E884B2D7-6A07-4978-90A1-8CE89026DE2C}"/>
    <cellStyle name="20% - Accent5 4 4 4 3" xfId="28638" xr:uid="{E091B5BC-4178-471D-8E22-716640F9381B}"/>
    <cellStyle name="20% - Accent5 4 4 5" xfId="37937" xr:uid="{05B4B4D6-7083-4F47-8F21-FEB684E4DA7B}"/>
    <cellStyle name="20% - Accent5 4 4 6" xfId="19339" xr:uid="{DB83CA3C-6034-4FA8-A795-C41DB77A0F32}"/>
    <cellStyle name="20% - Accent5 4 5" xfId="1890" xr:uid="{00000000-0005-0000-0000-000007030000}"/>
    <cellStyle name="20% - Accent5 4 5 2" xfId="4119" xr:uid="{00000000-0005-0000-0000-000008030000}"/>
    <cellStyle name="20% - Accent5 4 5 2 2" xfId="8341" xr:uid="{00000000-0005-0000-0000-000009030000}"/>
    <cellStyle name="20% - Accent5 4 5 2 2 2" xfId="17667" xr:uid="{82AFAD50-EA26-4DDF-A279-14BEBACBB9A7}"/>
    <cellStyle name="20% - Accent5 4 5 2 2 2 2" xfId="54009" xr:uid="{D8620040-AB63-4C2A-A612-CDC5F4636EA4}"/>
    <cellStyle name="20% - Accent5 4 5 2 2 2 3" xfId="35413" xr:uid="{E0929B94-8F05-428F-AAE7-ABCC098728C5}"/>
    <cellStyle name="20% - Accent5 4 5 2 2 3" xfId="44712" xr:uid="{5EAA6F53-E8AE-4567-93BD-C9434D713819}"/>
    <cellStyle name="20% - Accent5 4 5 2 2 4" xfId="26114" xr:uid="{6614330E-EE9E-4639-B693-CFA3F8C8DCEE}"/>
    <cellStyle name="20% - Accent5 4 5 2 3" xfId="13450" xr:uid="{2BD70BC0-1943-41B9-8FE5-3BAF2670BD53}"/>
    <cellStyle name="20% - Accent5 4 5 2 3 2" xfId="49792" xr:uid="{B3FA0E65-F5D2-4111-92C3-97D0423CDCF6}"/>
    <cellStyle name="20% - Accent5 4 5 2 3 3" xfId="31196" xr:uid="{D2C65920-AA69-48F0-8232-62F086F807D7}"/>
    <cellStyle name="20% - Accent5 4 5 2 4" xfId="40495" xr:uid="{8470709E-3387-4FCF-AD6E-BB6C37BE9BC2}"/>
    <cellStyle name="20% - Accent5 4 5 2 5" xfId="21897" xr:uid="{5DCC2A7D-E007-415A-BA28-37C5F86CC9C0}"/>
    <cellStyle name="20% - Accent5 4 5 3" xfId="6196" xr:uid="{00000000-0005-0000-0000-00000A030000}"/>
    <cellStyle name="20% - Accent5 4 5 3 2" xfId="15522" xr:uid="{DC787F73-2EBB-4FDC-ADF5-031D4A3FAD3A}"/>
    <cellStyle name="20% - Accent5 4 5 3 2 2" xfId="51864" xr:uid="{FF6B36AE-51A5-495A-BFA8-CCB81A7E23EE}"/>
    <cellStyle name="20% - Accent5 4 5 3 2 3" xfId="33268" xr:uid="{84EDCE62-850C-4CDE-830E-A015742A06AC}"/>
    <cellStyle name="20% - Accent5 4 5 3 3" xfId="42567" xr:uid="{E9C64058-9A9B-4949-BCBF-C56B95CDB471}"/>
    <cellStyle name="20% - Accent5 4 5 3 4" xfId="23969" xr:uid="{3FD3F339-7B4D-4C76-A371-3E2D7FC71DC6}"/>
    <cellStyle name="20% - Accent5 4 5 4" xfId="11305" xr:uid="{416EAECD-3000-4DCB-B7DC-DF9DB36061E0}"/>
    <cellStyle name="20% - Accent5 4 5 4 2" xfId="47647" xr:uid="{B3392790-8B2F-4AFE-9A25-303E652752F0}"/>
    <cellStyle name="20% - Accent5 4 5 4 3" xfId="29051" xr:uid="{3637B315-62FF-4A96-AA99-2327A42EC2A9}"/>
    <cellStyle name="20% - Accent5 4 5 5" xfId="38350" xr:uid="{259062FC-E55C-413B-8853-F3B1856EA68B}"/>
    <cellStyle name="20% - Accent5 4 5 6" xfId="19752" xr:uid="{E4F740FF-8244-4257-8712-42734FBA8D7A}"/>
    <cellStyle name="20% - Accent5 4 6" xfId="2303" xr:uid="{00000000-0005-0000-0000-00000B030000}"/>
    <cellStyle name="20% - Accent5 4 6 2" xfId="6609" xr:uid="{00000000-0005-0000-0000-00000C030000}"/>
    <cellStyle name="20% - Accent5 4 6 2 2" xfId="15935" xr:uid="{14C10402-F043-4A4C-B8A6-BA9C15D8D415}"/>
    <cellStyle name="20% - Accent5 4 6 2 2 2" xfId="52277" xr:uid="{49844346-A298-4915-A2D7-52B69CD125E1}"/>
    <cellStyle name="20% - Accent5 4 6 2 2 3" xfId="33681" xr:uid="{ADFAD191-6318-4952-A500-F00E48C8483E}"/>
    <cellStyle name="20% - Accent5 4 6 2 3" xfId="42980" xr:uid="{ABCF486D-BBF4-47A0-B7E2-86372015AA80}"/>
    <cellStyle name="20% - Accent5 4 6 2 4" xfId="24382" xr:uid="{3B675636-CF6A-44BC-B53A-F760BEDA852D}"/>
    <cellStyle name="20% - Accent5 4 6 3" xfId="11718" xr:uid="{59919B5B-E090-4103-B4BF-71694D7B1F31}"/>
    <cellStyle name="20% - Accent5 4 6 3 2" xfId="48060" xr:uid="{3936AF41-C38D-4ED9-8725-98ECFBAFD356}"/>
    <cellStyle name="20% - Accent5 4 6 3 3" xfId="29464" xr:uid="{00CC6A34-7482-49ED-BDD7-6FD769DB06E4}"/>
    <cellStyle name="20% - Accent5 4 6 4" xfId="38763" xr:uid="{CAD963FD-1807-4489-A4DC-0195FE6B95BD}"/>
    <cellStyle name="20% - Accent5 4 6 5" xfId="20165" xr:uid="{3CD94C3A-5C19-4B0D-BA05-1C76E937060F}"/>
    <cellStyle name="20% - Accent5 4 7" xfId="4543" xr:uid="{00000000-0005-0000-0000-00000D030000}"/>
    <cellStyle name="20% - Accent5 4 7 2" xfId="13869" xr:uid="{4AE7E777-46C3-448F-966E-9FBC56C787B4}"/>
    <cellStyle name="20% - Accent5 4 7 2 2" xfId="50211" xr:uid="{2091D8B3-5969-4452-8A9F-C96AB2E001B0}"/>
    <cellStyle name="20% - Accent5 4 7 2 3" xfId="31615" xr:uid="{6CD522D9-CC9A-4B0C-AAB7-9A61F7F8F1C0}"/>
    <cellStyle name="20% - Accent5 4 7 3" xfId="40914" xr:uid="{50BB6EDD-5B41-463A-9B8E-7C3FF0A55766}"/>
    <cellStyle name="20% - Accent5 4 7 4" xfId="22316" xr:uid="{3D3A6F18-0FEF-4AEC-9E2C-3DE09D0400AC}"/>
    <cellStyle name="20% - Accent5 4 8" xfId="8955" xr:uid="{8AD43D76-8747-44EC-8D3B-2720ADF9D1B1}"/>
    <cellStyle name="20% - Accent5 4 8 2" xfId="36025" xr:uid="{11EC8B06-9FC9-47A8-84F2-77DC377C7BDB}"/>
    <cellStyle name="20% - Accent5 4 8 2 2" xfId="54620" xr:uid="{9334AAE8-E4D9-41FC-BDF5-1DEC47386241}"/>
    <cellStyle name="20% - Accent5 4 8 3" xfId="45323" xr:uid="{BDC55E96-5C08-4C72-86E9-3A68C5ED1679}"/>
    <cellStyle name="20% - Accent5 4 8 4" xfId="26726" xr:uid="{F99334F9-5066-41EA-92C3-2C74494AA0FD}"/>
    <cellStyle name="20% - Accent5 4 9" xfId="9652" xr:uid="{647B4C2F-99DA-4512-8EF8-D6BAF76D807D}"/>
    <cellStyle name="20% - Accent5 4 9 2" xfId="45994" xr:uid="{8ADC8007-A6DD-46AB-840B-15CC5996A668}"/>
    <cellStyle name="20% - Accent5 4 9 3" xfId="27398" xr:uid="{9EDA2377-299F-47E9-A972-B2C38EDAA19E}"/>
    <cellStyle name="20% - Accent5 5" xfId="602" xr:uid="{00000000-0005-0000-0000-00000E030000}"/>
    <cellStyle name="20% - Accent5 5 2" xfId="2873" xr:uid="{00000000-0005-0000-0000-00000F030000}"/>
    <cellStyle name="20% - Accent5 5 2 2" xfId="7095" xr:uid="{00000000-0005-0000-0000-000010030000}"/>
    <cellStyle name="20% - Accent5 5 2 2 2" xfId="16421" xr:uid="{DB41BE0B-059C-45B0-9B70-F65CA9856772}"/>
    <cellStyle name="20% - Accent5 5 2 2 2 2" xfId="52763" xr:uid="{6278A549-8048-4C23-A506-C700C09F3251}"/>
    <cellStyle name="20% - Accent5 5 2 2 2 3" xfId="34167" xr:uid="{7E746084-A5C0-455E-A0FE-6EBDC9B6E0E0}"/>
    <cellStyle name="20% - Accent5 5 2 2 3" xfId="43466" xr:uid="{D57864DB-BDCB-4F05-8281-ABBE7796F930}"/>
    <cellStyle name="20% - Accent5 5 2 2 4" xfId="24868" xr:uid="{7E5800C0-54DA-45F7-A60D-E6E46676168D}"/>
    <cellStyle name="20% - Accent5 5 2 3" xfId="12204" xr:uid="{069AF2DD-BF7B-4CE2-B5CF-079E6EBA08A4}"/>
    <cellStyle name="20% - Accent5 5 2 3 2" xfId="48546" xr:uid="{E723535B-0347-4D65-A347-70074978B15A}"/>
    <cellStyle name="20% - Accent5 5 2 3 3" xfId="29950" xr:uid="{34E2E3A1-7062-4B69-A028-935669CDA8EE}"/>
    <cellStyle name="20% - Accent5 5 2 4" xfId="39249" xr:uid="{8D526F93-F457-483F-9589-B8897D195F92}"/>
    <cellStyle name="20% - Accent5 5 2 5" xfId="20651" xr:uid="{207B0C35-7607-40D7-A817-238F0F5D2C26}"/>
    <cellStyle name="20% - Accent5 5 3" xfId="4950" xr:uid="{00000000-0005-0000-0000-000011030000}"/>
    <cellStyle name="20% - Accent5 5 3 2" xfId="14276" xr:uid="{5CACC7E1-11E1-4D08-AD4C-EE53CDB925AB}"/>
    <cellStyle name="20% - Accent5 5 3 2 2" xfId="50618" xr:uid="{3EE043A1-2CB3-4C58-8ECE-C1C1FEA0776C}"/>
    <cellStyle name="20% - Accent5 5 3 2 3" xfId="32022" xr:uid="{342EBA95-B7F8-40FF-B533-8333896C8CCB}"/>
    <cellStyle name="20% - Accent5 5 3 3" xfId="41321" xr:uid="{E94C23CE-8553-4592-B2B3-CFB43AC607F6}"/>
    <cellStyle name="20% - Accent5 5 3 4" xfId="22723" xr:uid="{55AB73AF-97BE-4C9A-8462-1870BC46A1FB}"/>
    <cellStyle name="20% - Accent5 5 4" xfId="9188" xr:uid="{164CF7CE-7706-426C-90AA-4867A06E28BD}"/>
    <cellStyle name="20% - Accent5 5 4 2" xfId="36252" xr:uid="{1D2A434F-91F9-43E4-858C-3BD6D5BB99AC}"/>
    <cellStyle name="20% - Accent5 5 4 2 2" xfId="54846" xr:uid="{3E0A1529-CE4F-425D-A5A6-FFBC7D39BA66}"/>
    <cellStyle name="20% - Accent5 5 4 3" xfId="45549" xr:uid="{730C762A-3967-4AD4-9642-FD5F57C775DE}"/>
    <cellStyle name="20% - Accent5 5 4 4" xfId="26953" xr:uid="{4E64B7D0-99F8-4F34-9BEA-65DBD3195F27}"/>
    <cellStyle name="20% - Accent5 5 5" xfId="10059" xr:uid="{711EF533-3A01-4677-990C-4D0A44187E4D}"/>
    <cellStyle name="20% - Accent5 5 5 2" xfId="46401" xr:uid="{F0549746-F3EA-4002-A2F7-BA93239D74B4}"/>
    <cellStyle name="20% - Accent5 5 5 3" xfId="27805" xr:uid="{6D100DA3-43E4-499A-B637-938790720872}"/>
    <cellStyle name="20% - Accent5 5 6" xfId="37104" xr:uid="{99891DB2-CD93-4692-AC87-91FE72F7CDBB}"/>
    <cellStyle name="20% - Accent5 5 7" xfId="18506" xr:uid="{FEC6D285-1C84-4001-A4A5-45363C0340DE}"/>
    <cellStyle name="20% - Accent5 6" xfId="1055" xr:uid="{00000000-0005-0000-0000-000012030000}"/>
    <cellStyle name="20% - Accent5 6 2" xfId="3286" xr:uid="{00000000-0005-0000-0000-000013030000}"/>
    <cellStyle name="20% - Accent5 6 2 2" xfId="7508" xr:uid="{00000000-0005-0000-0000-000014030000}"/>
    <cellStyle name="20% - Accent5 6 2 2 2" xfId="16834" xr:uid="{046B48F4-AEFB-42A6-AD9F-75FE4544C738}"/>
    <cellStyle name="20% - Accent5 6 2 2 2 2" xfId="53176" xr:uid="{9191F9EE-5C95-4B18-88A9-9488BD8EE5D2}"/>
    <cellStyle name="20% - Accent5 6 2 2 2 3" xfId="34580" xr:uid="{62C7D93D-9397-400E-B6F2-2A431BA37577}"/>
    <cellStyle name="20% - Accent5 6 2 2 3" xfId="43879" xr:uid="{1D02E98C-1421-436F-8ECD-8936E0D6A9B9}"/>
    <cellStyle name="20% - Accent5 6 2 2 4" xfId="25281" xr:uid="{4E996243-25CC-4086-9228-EB6CDB7276AF}"/>
    <cellStyle name="20% - Accent5 6 2 3" xfId="12617" xr:uid="{AF253C67-CB1E-407C-9840-4EFA196E9D1B}"/>
    <cellStyle name="20% - Accent5 6 2 3 2" xfId="48959" xr:uid="{9A154628-A358-448A-8167-767D6A1EB281}"/>
    <cellStyle name="20% - Accent5 6 2 3 3" xfId="30363" xr:uid="{47361A96-3B71-4418-9CD0-45926E3A3A68}"/>
    <cellStyle name="20% - Accent5 6 2 4" xfId="39662" xr:uid="{6BE9AD51-CB87-438C-9D83-3598F90178FE}"/>
    <cellStyle name="20% - Accent5 6 2 5" xfId="21064" xr:uid="{B9BD8C86-BC3B-45AA-9EB8-7F0DDF4613A3}"/>
    <cellStyle name="20% - Accent5 6 3" xfId="5363" xr:uid="{00000000-0005-0000-0000-000015030000}"/>
    <cellStyle name="20% - Accent5 6 3 2" xfId="14689" xr:uid="{DDB9329F-E53F-4B39-BD3A-A83A694D271A}"/>
    <cellStyle name="20% - Accent5 6 3 2 2" xfId="51031" xr:uid="{51137340-750C-443F-A1C7-8A6FC0C56DAC}"/>
    <cellStyle name="20% - Accent5 6 3 2 3" xfId="32435" xr:uid="{576F902F-28B3-4AE1-9C36-F87640C688FA}"/>
    <cellStyle name="20% - Accent5 6 3 3" xfId="41734" xr:uid="{F732C1CF-C2FA-4675-925B-C88181197C9D}"/>
    <cellStyle name="20% - Accent5 6 3 4" xfId="23136" xr:uid="{2F83800E-AAAF-4309-825F-341BC62FD245}"/>
    <cellStyle name="20% - Accent5 6 4" xfId="10472" xr:uid="{490B7737-5E03-4AA7-A7F5-858F3F105CA3}"/>
    <cellStyle name="20% - Accent5 6 4 2" xfId="46814" xr:uid="{AFDC1AA7-C826-4AA3-AC45-7F75E1118C16}"/>
    <cellStyle name="20% - Accent5 6 4 3" xfId="28218" xr:uid="{0BB455E4-9F52-4BAF-8BCE-583525E1A9C2}"/>
    <cellStyle name="20% - Accent5 6 5" xfId="37517" xr:uid="{C4021304-39EF-4C5B-81FA-4FACE67169C0}"/>
    <cellStyle name="20% - Accent5 6 6" xfId="18919" xr:uid="{CB5F1406-E175-49CF-A11D-E1F95F6E844E}"/>
    <cellStyle name="20% - Accent5 7" xfId="1469" xr:uid="{00000000-0005-0000-0000-000016030000}"/>
    <cellStyle name="20% - Accent5 7 2" xfId="3699" xr:uid="{00000000-0005-0000-0000-000017030000}"/>
    <cellStyle name="20% - Accent5 7 2 2" xfId="7921" xr:uid="{00000000-0005-0000-0000-000018030000}"/>
    <cellStyle name="20% - Accent5 7 2 2 2" xfId="17247" xr:uid="{15CC05A4-FFF6-4F57-BFE6-6DEA30CD5DF5}"/>
    <cellStyle name="20% - Accent5 7 2 2 2 2" xfId="53589" xr:uid="{9C6ACE74-C104-468A-9D14-A98C6DCE8A25}"/>
    <cellStyle name="20% - Accent5 7 2 2 2 3" xfId="34993" xr:uid="{11808BB9-6416-4259-BA28-07EDC76CAFB0}"/>
    <cellStyle name="20% - Accent5 7 2 2 3" xfId="44292" xr:uid="{EECF3CBC-048C-4048-A989-7FC7E2DE7DF0}"/>
    <cellStyle name="20% - Accent5 7 2 2 4" xfId="25694" xr:uid="{D752C1F5-5A1C-4534-B378-71144CE3CB6D}"/>
    <cellStyle name="20% - Accent5 7 2 3" xfId="13030" xr:uid="{DBE67546-5CC8-46E3-9DE6-F4069031EFB7}"/>
    <cellStyle name="20% - Accent5 7 2 3 2" xfId="49372" xr:uid="{2BB3088E-AA4F-4A9A-879F-6E9AB02EF5C3}"/>
    <cellStyle name="20% - Accent5 7 2 3 3" xfId="30776" xr:uid="{BB2889F1-9243-4B20-BF0A-83F4B295B7E5}"/>
    <cellStyle name="20% - Accent5 7 2 4" xfId="40075" xr:uid="{2A9D467D-E758-48A5-BCB3-AA83794078F0}"/>
    <cellStyle name="20% - Accent5 7 2 5" xfId="21477" xr:uid="{B3619868-C702-4645-8302-5CC520D32604}"/>
    <cellStyle name="20% - Accent5 7 3" xfId="5776" xr:uid="{00000000-0005-0000-0000-000019030000}"/>
    <cellStyle name="20% - Accent5 7 3 2" xfId="15102" xr:uid="{A101B1B2-C12A-425E-84D4-F62435EE4019}"/>
    <cellStyle name="20% - Accent5 7 3 2 2" xfId="51444" xr:uid="{3FC5C70A-800D-45BF-B016-0951014D070B}"/>
    <cellStyle name="20% - Accent5 7 3 2 3" xfId="32848" xr:uid="{545DD291-3020-42BE-B112-0048A85EDC45}"/>
    <cellStyle name="20% - Accent5 7 3 3" xfId="42147" xr:uid="{A261735D-3735-4D8A-B247-25A9889202D6}"/>
    <cellStyle name="20% - Accent5 7 3 4" xfId="23549" xr:uid="{A0676B37-A73B-4BF7-8071-104B780D7C11}"/>
    <cellStyle name="20% - Accent5 7 4" xfId="10885" xr:uid="{C79E51CE-B532-4B36-A056-ECE32FC4D518}"/>
    <cellStyle name="20% - Accent5 7 4 2" xfId="47227" xr:uid="{1D2CC48B-FF5F-45BC-8E42-731646C1A3BA}"/>
    <cellStyle name="20% - Accent5 7 4 3" xfId="28631" xr:uid="{B167B6D5-5AC9-4D6D-AFFD-033A72232AD8}"/>
    <cellStyle name="20% - Accent5 7 5" xfId="37930" xr:uid="{5097FEB8-70CE-4A5C-9C4A-175EEF066419}"/>
    <cellStyle name="20% - Accent5 7 6" xfId="19332" xr:uid="{D27DE210-4ADB-47E2-B651-824B300B020B}"/>
    <cellStyle name="20% - Accent5 8" xfId="1883" xr:uid="{00000000-0005-0000-0000-00001A030000}"/>
    <cellStyle name="20% - Accent5 8 2" xfId="4112" xr:uid="{00000000-0005-0000-0000-00001B030000}"/>
    <cellStyle name="20% - Accent5 8 2 2" xfId="8334" xr:uid="{00000000-0005-0000-0000-00001C030000}"/>
    <cellStyle name="20% - Accent5 8 2 2 2" xfId="17660" xr:uid="{0BE2C4B3-CAAA-4F19-AFAE-E59F44FEFFF3}"/>
    <cellStyle name="20% - Accent5 8 2 2 2 2" xfId="54002" xr:uid="{E2011E1C-CF78-4A19-9122-8DBB6F975635}"/>
    <cellStyle name="20% - Accent5 8 2 2 2 3" xfId="35406" xr:uid="{FB8CE218-519A-4071-852D-CCA6FDE8A8A4}"/>
    <cellStyle name="20% - Accent5 8 2 2 3" xfId="44705" xr:uid="{EF5D0512-80FE-4E11-AC6C-97B000749D34}"/>
    <cellStyle name="20% - Accent5 8 2 2 4" xfId="26107" xr:uid="{4D0A0C10-6F80-4D56-8D7C-B4BD09E5ED7D}"/>
    <cellStyle name="20% - Accent5 8 2 3" xfId="13443" xr:uid="{D37FBDBC-4761-4A48-BBA5-7F5C9CD47344}"/>
    <cellStyle name="20% - Accent5 8 2 3 2" xfId="49785" xr:uid="{5FC0BA3B-E549-4B2E-9F1A-9185FD2DCA4F}"/>
    <cellStyle name="20% - Accent5 8 2 3 3" xfId="31189" xr:uid="{B5791BA8-1513-4A05-971C-DC1A48CF974B}"/>
    <cellStyle name="20% - Accent5 8 2 4" xfId="40488" xr:uid="{796A521E-68A8-450D-B7E5-EFBC46FE44DB}"/>
    <cellStyle name="20% - Accent5 8 2 5" xfId="21890" xr:uid="{C9D26EB6-51DA-437A-8432-1917D99A00B3}"/>
    <cellStyle name="20% - Accent5 8 3" xfId="6189" xr:uid="{00000000-0005-0000-0000-00001D030000}"/>
    <cellStyle name="20% - Accent5 8 3 2" xfId="15515" xr:uid="{A2BC9F2E-49B6-4CB8-9588-281AACD387C8}"/>
    <cellStyle name="20% - Accent5 8 3 2 2" xfId="51857" xr:uid="{6CE3A8FE-957C-4A4D-832F-E78D56CE05E9}"/>
    <cellStyle name="20% - Accent5 8 3 2 3" xfId="33261" xr:uid="{0DB7BC4D-DD18-4B9D-8886-56EBC3F6B47D}"/>
    <cellStyle name="20% - Accent5 8 3 3" xfId="42560" xr:uid="{AD33CDEF-ED42-4E1E-B1D1-B8D05ACCDB79}"/>
    <cellStyle name="20% - Accent5 8 3 4" xfId="23962" xr:uid="{979697E2-81E6-4F0B-A41A-83A1B5B60E7C}"/>
    <cellStyle name="20% - Accent5 8 4" xfId="11298" xr:uid="{2D6F52F2-0C0C-4281-AED8-328D5EE34BDA}"/>
    <cellStyle name="20% - Accent5 8 4 2" xfId="47640" xr:uid="{8C35FA69-B359-452A-A2C4-7123195CF76F}"/>
    <cellStyle name="20% - Accent5 8 4 3" xfId="29044" xr:uid="{6D7BAAFE-0B96-4217-9D5B-476178FEED4E}"/>
    <cellStyle name="20% - Accent5 8 5" xfId="38343" xr:uid="{6E372321-A573-44B7-98FA-A4BACB3D1D20}"/>
    <cellStyle name="20% - Accent5 8 6" xfId="19745" xr:uid="{16832454-E222-4479-9E5E-AF490F80E87A}"/>
    <cellStyle name="20% - Accent5 9" xfId="2296" xr:uid="{00000000-0005-0000-0000-00001E030000}"/>
    <cellStyle name="20% - Accent5 9 2" xfId="6602" xr:uid="{00000000-0005-0000-0000-00001F030000}"/>
    <cellStyle name="20% - Accent5 9 2 2" xfId="15928" xr:uid="{B942FE63-E93C-4CEB-8218-F349931D068C}"/>
    <cellStyle name="20% - Accent5 9 2 2 2" xfId="52270" xr:uid="{F2DBAABF-5EF3-4F72-9678-A9E6535509F8}"/>
    <cellStyle name="20% - Accent5 9 2 2 3" xfId="33674" xr:uid="{62292E68-F48E-405E-9AD6-6517FB98A5C9}"/>
    <cellStyle name="20% - Accent5 9 2 3" xfId="42973" xr:uid="{F949E175-988A-4CB6-93AC-DD7621FE2CE6}"/>
    <cellStyle name="20% - Accent5 9 2 4" xfId="24375" xr:uid="{8BBC31E7-6BDE-4425-A1D6-E08BC4017ADF}"/>
    <cellStyle name="20% - Accent5 9 3" xfId="11711" xr:uid="{988C6C20-1469-4D9B-ADCD-1EAFCF8C5602}"/>
    <cellStyle name="20% - Accent5 9 3 2" xfId="48053" xr:uid="{75803892-2F23-46DE-A8BE-90003D5028B5}"/>
    <cellStyle name="20% - Accent5 9 3 3" xfId="29457" xr:uid="{A89D7BA7-5110-4886-92F5-9EFE47018756}"/>
    <cellStyle name="20% - Accent5 9 4" xfId="38756" xr:uid="{C61D2611-D111-4C0C-A62D-B72CD36024CA}"/>
    <cellStyle name="20% - Accent5 9 5" xfId="20158" xr:uid="{CF02A836-512B-4E00-843C-6679560423C5}"/>
    <cellStyle name="20% - Accent6" xfId="41" builtinId="50" customBuiltin="1"/>
    <cellStyle name="20% - Accent6 10" xfId="4544" xr:uid="{00000000-0005-0000-0000-000021030000}"/>
    <cellStyle name="20% - Accent6 10 2" xfId="13870" xr:uid="{AC9BD1CB-2E8D-4216-A58B-7F932E949BCB}"/>
    <cellStyle name="20% - Accent6 10 2 2" xfId="50212" xr:uid="{070B53BA-00B0-4F8A-89B4-8E5A4584E764}"/>
    <cellStyle name="20% - Accent6 10 2 3" xfId="31616" xr:uid="{9A8E8B67-CD61-401E-A5D0-5C368F544286}"/>
    <cellStyle name="20% - Accent6 10 3" xfId="40915" xr:uid="{E0B7F0F3-BCD4-4DF3-B0A0-46C1028AEFDE}"/>
    <cellStyle name="20% - Accent6 10 4" xfId="22317" xr:uid="{AB828848-8B8B-4B9E-B511-ABFA1B652310}"/>
    <cellStyle name="20% - Accent6 11" xfId="8768" xr:uid="{5A1F1293-A19F-445F-908A-D9DBB6265CA0}"/>
    <cellStyle name="20% - Accent6 11 2" xfId="35838" xr:uid="{D796E206-5444-4302-96C1-1E6E23EB6206}"/>
    <cellStyle name="20% - Accent6 11 2 2" xfId="54433" xr:uid="{77EBD3BA-273F-414E-AC2F-44ED0872D186}"/>
    <cellStyle name="20% - Accent6 11 3" xfId="45136" xr:uid="{2D5CA835-49A7-4C1D-A3F5-0B80EDEA6275}"/>
    <cellStyle name="20% - Accent6 11 4" xfId="26539" xr:uid="{B788A4CA-A570-4CBE-93A9-54067428D004}"/>
    <cellStyle name="20% - Accent6 12" xfId="9653" xr:uid="{5DA74914-8C8E-4122-B285-A3D1CBF82B2F}"/>
    <cellStyle name="20% - Accent6 12 2" xfId="45995" xr:uid="{719A2655-F1E9-4C21-B113-BEE9E1FACD1C}"/>
    <cellStyle name="20% - Accent6 12 3" xfId="27399" xr:uid="{D09F85C2-2364-4589-973F-2C65FD57F324}"/>
    <cellStyle name="20% - Accent6 13" xfId="36698" xr:uid="{F5DAED68-1DAD-4765-85C6-209F1E8A9C6B}"/>
    <cellStyle name="20% - Accent6 14" xfId="18100" xr:uid="{AF475CB1-568A-4A86-B003-C6118E4ECAAA}"/>
    <cellStyle name="20% - Accent6 2" xfId="42" xr:uid="{00000000-0005-0000-0000-000022030000}"/>
    <cellStyle name="20% - Accent6 2 10" xfId="8795" xr:uid="{9A35B19E-8802-437A-ABDC-7B06A4E07F58}"/>
    <cellStyle name="20% - Accent6 2 10 2" xfId="35865" xr:uid="{9A1D8D7A-3229-40A9-9B7E-CF8E2E29A3E9}"/>
    <cellStyle name="20% - Accent6 2 10 2 2" xfId="54460" xr:uid="{F6B82E58-0931-4D10-B899-CDFA53024EF1}"/>
    <cellStyle name="20% - Accent6 2 10 3" xfId="45163" xr:uid="{DC1379B8-3B12-48C7-8F77-FF836BF43564}"/>
    <cellStyle name="20% - Accent6 2 10 4" xfId="26566" xr:uid="{ACE34811-663A-4038-A41C-C7CF807B8002}"/>
    <cellStyle name="20% - Accent6 2 11" xfId="9654" xr:uid="{4801C73C-E0D3-4A07-958A-52A744751369}"/>
    <cellStyle name="20% - Accent6 2 11 2" xfId="45996" xr:uid="{6A939010-9BA0-4B53-9DF1-3CB682FCFAB0}"/>
    <cellStyle name="20% - Accent6 2 11 3" xfId="27400" xr:uid="{6862C2A4-9FB2-4464-890A-9EB192ECD446}"/>
    <cellStyle name="20% - Accent6 2 12" xfId="36699" xr:uid="{1607F91E-22CC-4740-ADB8-B1254EF00450}"/>
    <cellStyle name="20% - Accent6 2 13" xfId="18101" xr:uid="{75A1EF2A-7255-457D-8E95-CDDDCBBEB3E3}"/>
    <cellStyle name="20% - Accent6 2 2" xfId="43" xr:uid="{00000000-0005-0000-0000-000023030000}"/>
    <cellStyle name="20% - Accent6 2 2 10" xfId="9655" xr:uid="{8F74047D-1003-45B8-AA19-8F2067B06BCE}"/>
    <cellStyle name="20% - Accent6 2 2 10 2" xfId="45997" xr:uid="{FBB06EDE-DD2A-4E28-99E6-90B03ED347E1}"/>
    <cellStyle name="20% - Accent6 2 2 10 3" xfId="27401" xr:uid="{FB9626B5-D68B-441C-99BE-8C491332BDA6}"/>
    <cellStyle name="20% - Accent6 2 2 11" xfId="36700" xr:uid="{8700F8F5-443F-4163-A3D7-3221FC3F12A9}"/>
    <cellStyle name="20% - Accent6 2 2 12" xfId="18102" xr:uid="{4F38B3C8-A68B-428A-9A2B-85FF94F29760}"/>
    <cellStyle name="20% - Accent6 2 2 2" xfId="44" xr:uid="{00000000-0005-0000-0000-000024030000}"/>
    <cellStyle name="20% - Accent6 2 2 2 10" xfId="36701" xr:uid="{B4238CEC-E2F4-4D50-B33C-0D82020157DC}"/>
    <cellStyle name="20% - Accent6 2 2 2 11" xfId="18103" xr:uid="{656EB42A-2AF1-433C-AAC9-1DC56E364EB2}"/>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16432" xr:uid="{FB528E10-2ED5-4731-83AE-BC43EBA3F924}"/>
    <cellStyle name="20% - Accent6 2 2 2 2 2 2 2 2" xfId="52774" xr:uid="{3158108F-6B96-47EA-B184-756DB92C866F}"/>
    <cellStyle name="20% - Accent6 2 2 2 2 2 2 2 3" xfId="34178" xr:uid="{847C7315-8687-4A01-9A24-7216CAC15DDA}"/>
    <cellStyle name="20% - Accent6 2 2 2 2 2 2 3" xfId="43477" xr:uid="{1343FD38-7D5D-4CD4-9976-BAF8F3436C10}"/>
    <cellStyle name="20% - Accent6 2 2 2 2 2 2 4" xfId="24879" xr:uid="{C977455D-6020-4804-AE05-C59FC6C8E601}"/>
    <cellStyle name="20% - Accent6 2 2 2 2 2 3" xfId="12215" xr:uid="{DBB424D1-54A9-4733-9DF5-E70304D2C9BC}"/>
    <cellStyle name="20% - Accent6 2 2 2 2 2 3 2" xfId="48557" xr:uid="{80892DB3-6848-4DEC-93F5-DA8C8510DE72}"/>
    <cellStyle name="20% - Accent6 2 2 2 2 2 3 3" xfId="29961" xr:uid="{88514C8B-A0AD-4226-B7F7-6BCB465FB430}"/>
    <cellStyle name="20% - Accent6 2 2 2 2 2 4" xfId="39260" xr:uid="{9A36A890-7F7D-4ADF-8644-299E796EC2E3}"/>
    <cellStyle name="20% - Accent6 2 2 2 2 2 5" xfId="20662" xr:uid="{0AE0192F-2DC6-4A62-BC68-EBCD4C8B8412}"/>
    <cellStyle name="20% - Accent6 2 2 2 2 3" xfId="4961" xr:uid="{00000000-0005-0000-0000-000028030000}"/>
    <cellStyle name="20% - Accent6 2 2 2 2 3 2" xfId="14287" xr:uid="{9C956A6F-1C89-40C3-9AB3-36E4D647631D}"/>
    <cellStyle name="20% - Accent6 2 2 2 2 3 2 2" xfId="50629" xr:uid="{4E21D76E-42CB-41C4-AB07-E52EF08D9E12}"/>
    <cellStyle name="20% - Accent6 2 2 2 2 3 2 3" xfId="32033" xr:uid="{5CDED5F7-C0A3-455E-8BDE-6648583DBD3C}"/>
    <cellStyle name="20% - Accent6 2 2 2 2 3 3" xfId="41332" xr:uid="{9E27A7B9-E77D-41F3-9FF7-FE7E5242FD35}"/>
    <cellStyle name="20% - Accent6 2 2 2 2 3 4" xfId="22734" xr:uid="{B454DA21-9AA3-468F-AA0A-19A39D09BED5}"/>
    <cellStyle name="20% - Accent6 2 2 2 2 4" xfId="9530" xr:uid="{AFD3EE0E-70EF-4C1B-B994-7B8E7E8187BC}"/>
    <cellStyle name="20% - Accent6 2 2 2 2 4 2" xfId="36591" xr:uid="{75E1F5E9-1973-4E94-ABC9-3A52FF35EF50}"/>
    <cellStyle name="20% - Accent6 2 2 2 2 4 2 2" xfId="55185" xr:uid="{CD8934E4-9DE2-47D0-946B-BCDC20C06B95}"/>
    <cellStyle name="20% - Accent6 2 2 2 2 4 3" xfId="45888" xr:uid="{4DA45285-A497-4269-8CB1-FA4A3612CDD4}"/>
    <cellStyle name="20% - Accent6 2 2 2 2 4 4" xfId="27292" xr:uid="{59336E3C-AB0A-4738-A0DA-E18E8951A5C7}"/>
    <cellStyle name="20% - Accent6 2 2 2 2 5" xfId="10070" xr:uid="{A1448A3D-8FD8-42D7-8B62-C04D93202ED9}"/>
    <cellStyle name="20% - Accent6 2 2 2 2 5 2" xfId="46412" xr:uid="{35EAD144-AD62-442D-A462-A1767A43472E}"/>
    <cellStyle name="20% - Accent6 2 2 2 2 5 3" xfId="27816" xr:uid="{0BC20799-AFB4-4078-93C2-76FD70E075D8}"/>
    <cellStyle name="20% - Accent6 2 2 2 2 6" xfId="37115" xr:uid="{7CFA0BB6-F0D5-424A-8183-CA430BA44897}"/>
    <cellStyle name="20% - Accent6 2 2 2 2 7" xfId="18517" xr:uid="{3D2E7B6E-F515-42BF-A0AA-B35F97CAFF14}"/>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16845" xr:uid="{A0790404-A13C-49BE-841B-D3038F6C9DF2}"/>
    <cellStyle name="20% - Accent6 2 2 2 3 2 2 2 2" xfId="53187" xr:uid="{6E6A1EC3-5A7F-4778-AB56-726BC3C18303}"/>
    <cellStyle name="20% - Accent6 2 2 2 3 2 2 2 3" xfId="34591" xr:uid="{B275150A-C476-454D-82EC-C49E5A203613}"/>
    <cellStyle name="20% - Accent6 2 2 2 3 2 2 3" xfId="43890" xr:uid="{3E28B199-9F78-4CD6-BD6A-004B63033731}"/>
    <cellStyle name="20% - Accent6 2 2 2 3 2 2 4" xfId="25292" xr:uid="{FBB6B68B-1DF8-489F-A740-8C8834FA74B6}"/>
    <cellStyle name="20% - Accent6 2 2 2 3 2 3" xfId="12628" xr:uid="{A0360717-D15C-4F72-B37F-77099A769B03}"/>
    <cellStyle name="20% - Accent6 2 2 2 3 2 3 2" xfId="48970" xr:uid="{BD8D1E90-9129-4C77-A450-C72BAD4A23F8}"/>
    <cellStyle name="20% - Accent6 2 2 2 3 2 3 3" xfId="30374" xr:uid="{980A99E7-609E-4599-80A3-7289F4DF443E}"/>
    <cellStyle name="20% - Accent6 2 2 2 3 2 4" xfId="39673" xr:uid="{0F8A2298-01E4-41D3-97B3-B00585E80729}"/>
    <cellStyle name="20% - Accent6 2 2 2 3 2 5" xfId="21075" xr:uid="{1C14A04B-EF77-42DB-A849-8D258BE0572F}"/>
    <cellStyle name="20% - Accent6 2 2 2 3 3" xfId="5374" xr:uid="{00000000-0005-0000-0000-00002C030000}"/>
    <cellStyle name="20% - Accent6 2 2 2 3 3 2" xfId="14700" xr:uid="{FFCEE2FA-41C6-4399-BC1C-845016D0BD30}"/>
    <cellStyle name="20% - Accent6 2 2 2 3 3 2 2" xfId="51042" xr:uid="{CA7408E3-1739-485A-B761-2931D0F402C3}"/>
    <cellStyle name="20% - Accent6 2 2 2 3 3 2 3" xfId="32446" xr:uid="{DE341067-6939-45FC-B72F-7F59D6A7D95F}"/>
    <cellStyle name="20% - Accent6 2 2 2 3 3 3" xfId="41745" xr:uid="{77E1BC3C-E0E9-4760-A79D-A0BC8D3623F9}"/>
    <cellStyle name="20% - Accent6 2 2 2 3 3 4" xfId="23147" xr:uid="{818F4018-8C4E-4CC0-9F3B-46CA0002B4E4}"/>
    <cellStyle name="20% - Accent6 2 2 2 3 4" xfId="10483" xr:uid="{B5CFB141-F673-4313-9074-E06532E79403}"/>
    <cellStyle name="20% - Accent6 2 2 2 3 4 2" xfId="46825" xr:uid="{BD116E83-3D5A-4A0F-A080-FDF82C1B76A3}"/>
    <cellStyle name="20% - Accent6 2 2 2 3 4 3" xfId="28229" xr:uid="{AFB65B68-A469-4279-A624-89A2E5C61185}"/>
    <cellStyle name="20% - Accent6 2 2 2 3 5" xfId="37528" xr:uid="{EF5C587F-40D7-4792-A293-863E812F785C}"/>
    <cellStyle name="20% - Accent6 2 2 2 3 6" xfId="18930" xr:uid="{D758C5B2-B47F-4700-BD29-FCFA7755866A}"/>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17258" xr:uid="{3B2D9FD3-C987-4BFA-A1E1-229635DDEB60}"/>
    <cellStyle name="20% - Accent6 2 2 2 4 2 2 2 2" xfId="53600" xr:uid="{22BF5D68-0DEA-4EC0-881A-D25348672CE5}"/>
    <cellStyle name="20% - Accent6 2 2 2 4 2 2 2 3" xfId="35004" xr:uid="{7D41D6B7-D76E-4444-BDA5-E4ABCAE5732A}"/>
    <cellStyle name="20% - Accent6 2 2 2 4 2 2 3" xfId="44303" xr:uid="{005C5AEC-2961-4EDF-A357-1BA0795CE678}"/>
    <cellStyle name="20% - Accent6 2 2 2 4 2 2 4" xfId="25705" xr:uid="{4EE939E7-A41C-412C-AB3F-3D22A6C89570}"/>
    <cellStyle name="20% - Accent6 2 2 2 4 2 3" xfId="13041" xr:uid="{4D444E61-9E8E-443D-A025-7A88D8657FC7}"/>
    <cellStyle name="20% - Accent6 2 2 2 4 2 3 2" xfId="49383" xr:uid="{DA059175-1DB8-4A2A-8110-20C39FADEA95}"/>
    <cellStyle name="20% - Accent6 2 2 2 4 2 3 3" xfId="30787" xr:uid="{6237DC28-249C-4ED1-B0EC-1CF4D455EE01}"/>
    <cellStyle name="20% - Accent6 2 2 2 4 2 4" xfId="40086" xr:uid="{A74B5BDC-FD28-4F32-9E1E-DDC11681CC64}"/>
    <cellStyle name="20% - Accent6 2 2 2 4 2 5" xfId="21488" xr:uid="{8F162920-1DFC-4343-81C9-F3386962F1FE}"/>
    <cellStyle name="20% - Accent6 2 2 2 4 3" xfId="5787" xr:uid="{00000000-0005-0000-0000-000030030000}"/>
    <cellStyle name="20% - Accent6 2 2 2 4 3 2" xfId="15113" xr:uid="{802757A2-EF76-492E-A8FB-70932DA0C3F4}"/>
    <cellStyle name="20% - Accent6 2 2 2 4 3 2 2" xfId="51455" xr:uid="{674EFD87-DAA5-4DC2-A92A-D243A975ABB2}"/>
    <cellStyle name="20% - Accent6 2 2 2 4 3 2 3" xfId="32859" xr:uid="{5193DAD8-5850-4B50-8C9B-6BFCD50D12CE}"/>
    <cellStyle name="20% - Accent6 2 2 2 4 3 3" xfId="42158" xr:uid="{0FE0AC6A-D9D7-4338-8A1E-0F2C50A487C0}"/>
    <cellStyle name="20% - Accent6 2 2 2 4 3 4" xfId="23560" xr:uid="{4D666E45-77BF-4AE9-A20F-746A1F0E7BC4}"/>
    <cellStyle name="20% - Accent6 2 2 2 4 4" xfId="10896" xr:uid="{890C85F9-2382-4D84-A643-D57116F1AF6F}"/>
    <cellStyle name="20% - Accent6 2 2 2 4 4 2" xfId="47238" xr:uid="{B50040BA-AE49-45D1-98EF-C8F13F18310A}"/>
    <cellStyle name="20% - Accent6 2 2 2 4 4 3" xfId="28642" xr:uid="{2C354147-1824-4261-AD64-78286121A078}"/>
    <cellStyle name="20% - Accent6 2 2 2 4 5" xfId="37941" xr:uid="{419B68ED-674C-49E8-BC8D-D0A27F2D3F10}"/>
    <cellStyle name="20% - Accent6 2 2 2 4 6" xfId="19343" xr:uid="{85DF198A-4B05-43AB-817A-4463D9840257}"/>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17671" xr:uid="{67CA78AC-30DE-4DF3-9D01-9395A3DEC36F}"/>
    <cellStyle name="20% - Accent6 2 2 2 5 2 2 2 2" xfId="54013" xr:uid="{8993A20B-563B-4267-87CD-A454D65FD459}"/>
    <cellStyle name="20% - Accent6 2 2 2 5 2 2 2 3" xfId="35417" xr:uid="{943BEC36-8D9D-4C59-93F2-5C1D262C8EBB}"/>
    <cellStyle name="20% - Accent6 2 2 2 5 2 2 3" xfId="44716" xr:uid="{AC063C07-C11B-40C3-8E4F-7A0B13575ED7}"/>
    <cellStyle name="20% - Accent6 2 2 2 5 2 2 4" xfId="26118" xr:uid="{5D9E5C3C-9E8F-4595-B8CC-678A02A44AAB}"/>
    <cellStyle name="20% - Accent6 2 2 2 5 2 3" xfId="13454" xr:uid="{0874DD21-430D-4799-9A2E-72FCDDCF5701}"/>
    <cellStyle name="20% - Accent6 2 2 2 5 2 3 2" xfId="49796" xr:uid="{E347F4B6-E41C-4F8C-8577-F7EBF2F41B12}"/>
    <cellStyle name="20% - Accent6 2 2 2 5 2 3 3" xfId="31200" xr:uid="{970BD663-CD78-46BB-B2F7-0EA6E29F0AA7}"/>
    <cellStyle name="20% - Accent6 2 2 2 5 2 4" xfId="40499" xr:uid="{7CFB961A-4D7F-4644-9B7D-A49473BE9978}"/>
    <cellStyle name="20% - Accent6 2 2 2 5 2 5" xfId="21901" xr:uid="{D9533867-63E6-4CCC-8E01-AB035C991B36}"/>
    <cellStyle name="20% - Accent6 2 2 2 5 3" xfId="6200" xr:uid="{00000000-0005-0000-0000-000034030000}"/>
    <cellStyle name="20% - Accent6 2 2 2 5 3 2" xfId="15526" xr:uid="{22BC45E4-9A52-485B-811E-66B66C1A2B22}"/>
    <cellStyle name="20% - Accent6 2 2 2 5 3 2 2" xfId="51868" xr:uid="{D00A10AE-4516-462C-BDDF-B9F5671629FF}"/>
    <cellStyle name="20% - Accent6 2 2 2 5 3 2 3" xfId="33272" xr:uid="{DDFDF63C-A997-4954-8AF1-7F2CEAC9D3A7}"/>
    <cellStyle name="20% - Accent6 2 2 2 5 3 3" xfId="42571" xr:uid="{714D513E-1273-459C-9963-333EF1DA133F}"/>
    <cellStyle name="20% - Accent6 2 2 2 5 3 4" xfId="23973" xr:uid="{FB3AC7A3-AC47-4CC6-A5BE-CD777D22254A}"/>
    <cellStyle name="20% - Accent6 2 2 2 5 4" xfId="11309" xr:uid="{36A2DCE0-B4D4-4C20-98DE-B9E73C0ACB62}"/>
    <cellStyle name="20% - Accent6 2 2 2 5 4 2" xfId="47651" xr:uid="{EEC57711-EDC1-447E-8321-E11162D4F39F}"/>
    <cellStyle name="20% - Accent6 2 2 2 5 4 3" xfId="29055" xr:uid="{4936DD27-7C7A-4700-BE26-D549390CA471}"/>
    <cellStyle name="20% - Accent6 2 2 2 5 5" xfId="38354" xr:uid="{C27C155D-4013-4252-8BC6-B7AF16897D8A}"/>
    <cellStyle name="20% - Accent6 2 2 2 5 6" xfId="19756" xr:uid="{14C8B24C-751E-4926-8394-543F54869863}"/>
    <cellStyle name="20% - Accent6 2 2 2 6" xfId="2307" xr:uid="{00000000-0005-0000-0000-000035030000}"/>
    <cellStyle name="20% - Accent6 2 2 2 6 2" xfId="6613" xr:uid="{00000000-0005-0000-0000-000036030000}"/>
    <cellStyle name="20% - Accent6 2 2 2 6 2 2" xfId="15939" xr:uid="{8A5FF8BE-07D0-4484-8716-0B4A34DDF936}"/>
    <cellStyle name="20% - Accent6 2 2 2 6 2 2 2" xfId="52281" xr:uid="{CFBD936F-4328-45DC-80C4-95F43DA4F323}"/>
    <cellStyle name="20% - Accent6 2 2 2 6 2 2 3" xfId="33685" xr:uid="{EBE4A4F4-F006-4451-A00F-0BEAFD6455B1}"/>
    <cellStyle name="20% - Accent6 2 2 2 6 2 3" xfId="42984" xr:uid="{A39B6543-04D7-4C5C-8F02-8B4261CB4359}"/>
    <cellStyle name="20% - Accent6 2 2 2 6 2 4" xfId="24386" xr:uid="{F6C6C254-FE60-456D-A549-F238535CC82D}"/>
    <cellStyle name="20% - Accent6 2 2 2 6 3" xfId="11722" xr:uid="{3D832A4F-51C7-4982-83DB-BF142ED4F1B4}"/>
    <cellStyle name="20% - Accent6 2 2 2 6 3 2" xfId="48064" xr:uid="{3E547362-6C27-477F-BF31-01CE0AD347ED}"/>
    <cellStyle name="20% - Accent6 2 2 2 6 3 3" xfId="29468" xr:uid="{7662C01C-BF5C-4FA0-962B-CBFA1C15B9E4}"/>
    <cellStyle name="20% - Accent6 2 2 2 6 4" xfId="38767" xr:uid="{478B7991-3E4F-46B9-83B6-1CF3717E0210}"/>
    <cellStyle name="20% - Accent6 2 2 2 6 5" xfId="20169" xr:uid="{010CD3D7-6D53-4EC7-9F20-317A905DD028}"/>
    <cellStyle name="20% - Accent6 2 2 2 7" xfId="4547" xr:uid="{00000000-0005-0000-0000-000037030000}"/>
    <cellStyle name="20% - Accent6 2 2 2 7 2" xfId="13873" xr:uid="{0F70296B-22C8-4872-A830-8985EC805B58}"/>
    <cellStyle name="20% - Accent6 2 2 2 7 2 2" xfId="50215" xr:uid="{6F3D48F7-5888-460B-9D81-13F829775C0A}"/>
    <cellStyle name="20% - Accent6 2 2 2 7 2 3" xfId="31619" xr:uid="{EB8BBDC3-7139-4690-B622-3D8473F6515E}"/>
    <cellStyle name="20% - Accent6 2 2 2 7 3" xfId="40918" xr:uid="{47A8AB6C-998B-4B99-989C-948E3805DAF9}"/>
    <cellStyle name="20% - Accent6 2 2 2 7 4" xfId="22320" xr:uid="{448B60B1-6704-4E49-BA08-2FC03232028C}"/>
    <cellStyle name="20% - Accent6 2 2 2 8" xfId="9105" xr:uid="{2D3B6B01-F2FB-4D08-A7F9-9902961EFB46}"/>
    <cellStyle name="20% - Accent6 2 2 2 8 2" xfId="36175" xr:uid="{C94592F0-106F-49DD-89F7-0C5FB436D971}"/>
    <cellStyle name="20% - Accent6 2 2 2 8 2 2" xfId="54770" xr:uid="{9FECF314-2031-4448-9BFA-79CE20F75BDB}"/>
    <cellStyle name="20% - Accent6 2 2 2 8 3" xfId="45473" xr:uid="{9B76C598-C79D-4EA0-8CB2-CE56BFE3133C}"/>
    <cellStyle name="20% - Accent6 2 2 2 8 4" xfId="26876" xr:uid="{53D57D5C-BD41-4D86-A27F-B0BDE8BB960E}"/>
    <cellStyle name="20% - Accent6 2 2 2 9" xfId="9656" xr:uid="{F67B4C71-381C-48E6-BFA3-945FDD44AEFD}"/>
    <cellStyle name="20% - Accent6 2 2 2 9 2" xfId="45998" xr:uid="{AF773338-270C-4DC0-BFCE-4EC302E14EF6}"/>
    <cellStyle name="20% - Accent6 2 2 2 9 3" xfId="27402" xr:uid="{0EF40B78-997E-475E-880E-D7B79B3CA3B0}"/>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16431" xr:uid="{F9A9E404-1961-410D-8525-D9F4ADFC5F00}"/>
    <cellStyle name="20% - Accent6 2 2 3 2 2 2 2" xfId="52773" xr:uid="{70F91C29-F55C-477E-82D3-C5531EDEC9F7}"/>
    <cellStyle name="20% - Accent6 2 2 3 2 2 2 3" xfId="34177" xr:uid="{592BC506-E511-41B1-9CBD-24E8E5F5ADFE}"/>
    <cellStyle name="20% - Accent6 2 2 3 2 2 3" xfId="43476" xr:uid="{4B84F660-AE71-4CFA-A87B-DA1427D3FD9C}"/>
    <cellStyle name="20% - Accent6 2 2 3 2 2 4" xfId="24878" xr:uid="{76825695-FEAF-4F4A-8032-9C68519E6373}"/>
    <cellStyle name="20% - Accent6 2 2 3 2 3" xfId="12214" xr:uid="{98B407A1-0045-4192-B8EB-84F262C8D399}"/>
    <cellStyle name="20% - Accent6 2 2 3 2 3 2" xfId="48556" xr:uid="{07D3BB17-7ED9-4CD1-A297-EAB789CFBDFC}"/>
    <cellStyle name="20% - Accent6 2 2 3 2 3 3" xfId="29960" xr:uid="{CA14BC98-FFA2-4304-9EC0-6097D7FEE6A9}"/>
    <cellStyle name="20% - Accent6 2 2 3 2 4" xfId="39259" xr:uid="{B36EA404-1A5A-42CE-A464-91A7D1BEC67B}"/>
    <cellStyle name="20% - Accent6 2 2 3 2 5" xfId="20661" xr:uid="{C5FA21CE-F394-4D37-880E-20AADD5DF062}"/>
    <cellStyle name="20% - Accent6 2 2 3 3" xfId="4960" xr:uid="{00000000-0005-0000-0000-00003B030000}"/>
    <cellStyle name="20% - Accent6 2 2 3 3 2" xfId="14286" xr:uid="{A7A39EA3-19F0-435B-A011-82FF03B308DE}"/>
    <cellStyle name="20% - Accent6 2 2 3 3 2 2" xfId="50628" xr:uid="{D6532505-9F45-4CEF-9085-DA270E818A8B}"/>
    <cellStyle name="20% - Accent6 2 2 3 3 2 3" xfId="32032" xr:uid="{323E5435-7C10-4E2D-8EF0-785A087DE710}"/>
    <cellStyle name="20% - Accent6 2 2 3 3 3" xfId="41331" xr:uid="{B1816372-FD92-4E3D-9404-8A131EB8E517}"/>
    <cellStyle name="20% - Accent6 2 2 3 3 4" xfId="22733" xr:uid="{1EE95E76-F3F0-4A8B-B3C7-4F5DA01B9F21}"/>
    <cellStyle name="20% - Accent6 2 2 3 4" xfId="9323" xr:uid="{93CC3C58-EC1C-4AC6-8D02-E00EFD80A494}"/>
    <cellStyle name="20% - Accent6 2 2 3 4 2" xfId="36384" xr:uid="{E7394115-88FE-41A8-B6EA-7CC09659F937}"/>
    <cellStyle name="20% - Accent6 2 2 3 4 2 2" xfId="54978" xr:uid="{E10BA7B1-5DAB-4A4D-AC01-18826FFDF4F9}"/>
    <cellStyle name="20% - Accent6 2 2 3 4 3" xfId="45681" xr:uid="{49A85367-4784-4A7F-855C-B7767A460905}"/>
    <cellStyle name="20% - Accent6 2 2 3 4 4" xfId="27085" xr:uid="{C6C7C4CB-9F24-4B36-8152-31E8536C12F0}"/>
    <cellStyle name="20% - Accent6 2 2 3 5" xfId="10069" xr:uid="{575ECBD0-5A87-415F-922F-F80D5CEF81FF}"/>
    <cellStyle name="20% - Accent6 2 2 3 5 2" xfId="46411" xr:uid="{867C1038-EBBD-4F81-95E0-C96D44336FA5}"/>
    <cellStyle name="20% - Accent6 2 2 3 5 3" xfId="27815" xr:uid="{64F2A097-4AB9-4A7D-9398-AB2A59266405}"/>
    <cellStyle name="20% - Accent6 2 2 3 6" xfId="37114" xr:uid="{F2C3E864-DD6F-4506-9B3F-BAB2AD4587F8}"/>
    <cellStyle name="20% - Accent6 2 2 3 7" xfId="18516" xr:uid="{6195FDD7-8131-4D6A-AF6D-E79ECBB9278B}"/>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16844" xr:uid="{628BC1C2-68BE-47DD-8532-978EEEA61F21}"/>
    <cellStyle name="20% - Accent6 2 2 4 2 2 2 2" xfId="53186" xr:uid="{83BBB4EC-888E-41FD-A46D-B73B8DC89003}"/>
    <cellStyle name="20% - Accent6 2 2 4 2 2 2 3" xfId="34590" xr:uid="{A0670464-0D32-4133-85B7-6BDCB1F0385B}"/>
    <cellStyle name="20% - Accent6 2 2 4 2 2 3" xfId="43889" xr:uid="{1AB8B49D-57A6-470C-8E91-DAF819482303}"/>
    <cellStyle name="20% - Accent6 2 2 4 2 2 4" xfId="25291" xr:uid="{AFDDB40E-E789-4733-8D8F-E0D519F5FE4B}"/>
    <cellStyle name="20% - Accent6 2 2 4 2 3" xfId="12627" xr:uid="{F4AAAA1E-9A4A-4686-AC19-963768B024C8}"/>
    <cellStyle name="20% - Accent6 2 2 4 2 3 2" xfId="48969" xr:uid="{43BD87A4-7A1D-4961-906E-80D0C2FC84DA}"/>
    <cellStyle name="20% - Accent6 2 2 4 2 3 3" xfId="30373" xr:uid="{0D9F35D0-5C04-46E8-A55F-A830339E66E2}"/>
    <cellStyle name="20% - Accent6 2 2 4 2 4" xfId="39672" xr:uid="{B12DC2FE-42AB-4DD7-A1F1-27CE97CEE6FF}"/>
    <cellStyle name="20% - Accent6 2 2 4 2 5" xfId="21074" xr:uid="{4FD92B77-BECB-4400-88EB-16312C6793E5}"/>
    <cellStyle name="20% - Accent6 2 2 4 3" xfId="5373" xr:uid="{00000000-0005-0000-0000-00003F030000}"/>
    <cellStyle name="20% - Accent6 2 2 4 3 2" xfId="14699" xr:uid="{7A2967FD-D93B-45DF-8190-64A37819E9AF}"/>
    <cellStyle name="20% - Accent6 2 2 4 3 2 2" xfId="51041" xr:uid="{F9F82CBD-7525-45AB-A481-3EF3144B1996}"/>
    <cellStyle name="20% - Accent6 2 2 4 3 2 3" xfId="32445" xr:uid="{C71ADA98-81D8-4B00-90BE-4B10AD3E9F44}"/>
    <cellStyle name="20% - Accent6 2 2 4 3 3" xfId="41744" xr:uid="{2947C25F-C2D2-4ECF-83E3-93292C4E5B1D}"/>
    <cellStyle name="20% - Accent6 2 2 4 3 4" xfId="23146" xr:uid="{DDC772DE-3B2F-4852-862E-0AFD37028C00}"/>
    <cellStyle name="20% - Accent6 2 2 4 4" xfId="10482" xr:uid="{7C43D4EA-07C5-47FC-A600-D69F30E3CA38}"/>
    <cellStyle name="20% - Accent6 2 2 4 4 2" xfId="46824" xr:uid="{4F52FEFF-2B14-4061-AF60-01DDAEE3079A}"/>
    <cellStyle name="20% - Accent6 2 2 4 4 3" xfId="28228" xr:uid="{01FCBC44-7484-478A-A67B-C6A9358BEA61}"/>
    <cellStyle name="20% - Accent6 2 2 4 5" xfId="37527" xr:uid="{3567B838-1ABD-45D6-912F-D558B586898D}"/>
    <cellStyle name="20% - Accent6 2 2 4 6" xfId="18929" xr:uid="{0D954C04-C631-4FA4-B07F-F72E27FF0424}"/>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17257" xr:uid="{5B41B028-DF48-4684-AD84-6E503EE94C3F}"/>
    <cellStyle name="20% - Accent6 2 2 5 2 2 2 2" xfId="53599" xr:uid="{95621182-1407-47AC-AA71-4306E5BDF32F}"/>
    <cellStyle name="20% - Accent6 2 2 5 2 2 2 3" xfId="35003" xr:uid="{82231579-2019-4F98-ABBC-4E08412697A4}"/>
    <cellStyle name="20% - Accent6 2 2 5 2 2 3" xfId="44302" xr:uid="{EB429DB3-00E3-4484-AFD5-93E882A6964F}"/>
    <cellStyle name="20% - Accent6 2 2 5 2 2 4" xfId="25704" xr:uid="{E634F824-EBFA-456A-97CA-3686C9F44C2C}"/>
    <cellStyle name="20% - Accent6 2 2 5 2 3" xfId="13040" xr:uid="{11166F1C-A341-445C-9805-95ACFD0698A8}"/>
    <cellStyle name="20% - Accent6 2 2 5 2 3 2" xfId="49382" xr:uid="{1471D615-0EA1-40C7-AD91-D2C7E203288A}"/>
    <cellStyle name="20% - Accent6 2 2 5 2 3 3" xfId="30786" xr:uid="{3FEF4A42-2929-4654-8E36-8242EE55EDB5}"/>
    <cellStyle name="20% - Accent6 2 2 5 2 4" xfId="40085" xr:uid="{0DA7916E-4E98-42DC-AD85-1E8F23A9783C}"/>
    <cellStyle name="20% - Accent6 2 2 5 2 5" xfId="21487" xr:uid="{4B9E390D-1068-4EC8-87A4-A6C5ED3F54C5}"/>
    <cellStyle name="20% - Accent6 2 2 5 3" xfId="5786" xr:uid="{00000000-0005-0000-0000-000043030000}"/>
    <cellStyle name="20% - Accent6 2 2 5 3 2" xfId="15112" xr:uid="{C7CD57B9-DEF0-47C6-B910-0F26B1749086}"/>
    <cellStyle name="20% - Accent6 2 2 5 3 2 2" xfId="51454" xr:uid="{DE131F36-97D8-421D-95FE-DF0E0E642446}"/>
    <cellStyle name="20% - Accent6 2 2 5 3 2 3" xfId="32858" xr:uid="{9BBE3DF0-2248-451E-9D96-FD162788C422}"/>
    <cellStyle name="20% - Accent6 2 2 5 3 3" xfId="42157" xr:uid="{C79D1943-144A-4307-905D-73DCBA071939}"/>
    <cellStyle name="20% - Accent6 2 2 5 3 4" xfId="23559" xr:uid="{B3BE68DE-EE2E-4A81-A663-F9E46D7EB31C}"/>
    <cellStyle name="20% - Accent6 2 2 5 4" xfId="10895" xr:uid="{C6C81010-7526-4B60-88FD-8C2CF9E1A0F4}"/>
    <cellStyle name="20% - Accent6 2 2 5 4 2" xfId="47237" xr:uid="{20326D77-61F5-4B19-9A28-38839AE49A8E}"/>
    <cellStyle name="20% - Accent6 2 2 5 4 3" xfId="28641" xr:uid="{B8539D3F-6D90-4910-A18A-4AE7178374E6}"/>
    <cellStyle name="20% - Accent6 2 2 5 5" xfId="37940" xr:uid="{23978931-8534-4307-826F-206DDB5F4CFE}"/>
    <cellStyle name="20% - Accent6 2 2 5 6" xfId="19342" xr:uid="{2DAFB36B-0C85-45C1-98B3-1642382120AD}"/>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17670" xr:uid="{B5EE9A0D-047F-47EF-9F18-DC3D34F427AA}"/>
    <cellStyle name="20% - Accent6 2 2 6 2 2 2 2" xfId="54012" xr:uid="{85CA8772-4588-4883-B8C2-E651C69E4DDA}"/>
    <cellStyle name="20% - Accent6 2 2 6 2 2 2 3" xfId="35416" xr:uid="{09FCE61D-57B4-4FE8-9759-19F18D68560F}"/>
    <cellStyle name="20% - Accent6 2 2 6 2 2 3" xfId="44715" xr:uid="{4C7494C1-7A85-42CA-8226-2EF1C4D6DBF5}"/>
    <cellStyle name="20% - Accent6 2 2 6 2 2 4" xfId="26117" xr:uid="{E2A146A3-3DDD-441D-ABB3-91B1088A845C}"/>
    <cellStyle name="20% - Accent6 2 2 6 2 3" xfId="13453" xr:uid="{1E70E9A4-E2BB-4DCE-8B17-645A66D86B85}"/>
    <cellStyle name="20% - Accent6 2 2 6 2 3 2" xfId="49795" xr:uid="{0DC31464-7C21-4BB3-9171-4A7C2DC58FAC}"/>
    <cellStyle name="20% - Accent6 2 2 6 2 3 3" xfId="31199" xr:uid="{0A45665A-D66F-4ABC-95EE-86B6CE965932}"/>
    <cellStyle name="20% - Accent6 2 2 6 2 4" xfId="40498" xr:uid="{F207D3F7-5890-47EE-AECC-C9B16BF60829}"/>
    <cellStyle name="20% - Accent6 2 2 6 2 5" xfId="21900" xr:uid="{F5EBAA3E-E8E9-49CC-978C-20D762F3504B}"/>
    <cellStyle name="20% - Accent6 2 2 6 3" xfId="6199" xr:uid="{00000000-0005-0000-0000-000047030000}"/>
    <cellStyle name="20% - Accent6 2 2 6 3 2" xfId="15525" xr:uid="{B13AF4C8-8BBE-4564-96A4-E3F25F6E5979}"/>
    <cellStyle name="20% - Accent6 2 2 6 3 2 2" xfId="51867" xr:uid="{39AD9E8A-9420-4A55-8CF1-660936DFA4B4}"/>
    <cellStyle name="20% - Accent6 2 2 6 3 2 3" xfId="33271" xr:uid="{A6B395F1-3337-40A8-A936-1C57A711B403}"/>
    <cellStyle name="20% - Accent6 2 2 6 3 3" xfId="42570" xr:uid="{1A171FF8-0E8E-4C17-ADDE-76663B715728}"/>
    <cellStyle name="20% - Accent6 2 2 6 3 4" xfId="23972" xr:uid="{9BCFBA28-83B6-41B4-A49E-06DC25BD060B}"/>
    <cellStyle name="20% - Accent6 2 2 6 4" xfId="11308" xr:uid="{D4E51E18-3E71-4D83-A0BF-632993836843}"/>
    <cellStyle name="20% - Accent6 2 2 6 4 2" xfId="47650" xr:uid="{D3D5E861-5E46-42B4-A28C-9ED55CACA547}"/>
    <cellStyle name="20% - Accent6 2 2 6 4 3" xfId="29054" xr:uid="{0D1EBEF0-1B9D-4625-AB65-66417591D00D}"/>
    <cellStyle name="20% - Accent6 2 2 6 5" xfId="38353" xr:uid="{AFD94C64-32E2-44CF-94A6-5CA1B10F0189}"/>
    <cellStyle name="20% - Accent6 2 2 6 6" xfId="19755" xr:uid="{3B65D7C5-812B-4823-9D2B-4F14BB408CBB}"/>
    <cellStyle name="20% - Accent6 2 2 7" xfId="2306" xr:uid="{00000000-0005-0000-0000-000048030000}"/>
    <cellStyle name="20% - Accent6 2 2 7 2" xfId="6612" xr:uid="{00000000-0005-0000-0000-000049030000}"/>
    <cellStyle name="20% - Accent6 2 2 7 2 2" xfId="15938" xr:uid="{E3AA871E-7CE4-4A53-AF01-5D2E86CCA85A}"/>
    <cellStyle name="20% - Accent6 2 2 7 2 2 2" xfId="52280" xr:uid="{76141000-A8F8-423C-AC35-9E03BBB6142B}"/>
    <cellStyle name="20% - Accent6 2 2 7 2 2 3" xfId="33684" xr:uid="{5D02C116-A2DD-4023-B4B7-DCF3D7B06747}"/>
    <cellStyle name="20% - Accent6 2 2 7 2 3" xfId="42983" xr:uid="{15BD6C10-9FC2-4477-882B-CBA1A21EED49}"/>
    <cellStyle name="20% - Accent6 2 2 7 2 4" xfId="24385" xr:uid="{2184F759-E869-4CD4-B1FB-72D75500107C}"/>
    <cellStyle name="20% - Accent6 2 2 7 3" xfId="11721" xr:uid="{018DDE95-8687-43F6-A746-B26058FDE57A}"/>
    <cellStyle name="20% - Accent6 2 2 7 3 2" xfId="48063" xr:uid="{308D1B42-8EC6-476A-BFE1-6A5519FC417B}"/>
    <cellStyle name="20% - Accent6 2 2 7 3 3" xfId="29467" xr:uid="{6E07C0DD-E47B-4EE4-8240-123C4D4EA100}"/>
    <cellStyle name="20% - Accent6 2 2 7 4" xfId="38766" xr:uid="{4635A8C7-0445-4C03-9607-D1BEC16A8D30}"/>
    <cellStyle name="20% - Accent6 2 2 7 5" xfId="20168" xr:uid="{434F8AB0-3E85-4E49-98F4-7BFB12E4E550}"/>
    <cellStyle name="20% - Accent6 2 2 8" xfId="4546" xr:uid="{00000000-0005-0000-0000-00004A030000}"/>
    <cellStyle name="20% - Accent6 2 2 8 2" xfId="13872" xr:uid="{5212BA1F-27BE-42C2-9D0B-79B1AD8417DC}"/>
    <cellStyle name="20% - Accent6 2 2 8 2 2" xfId="50214" xr:uid="{CD4CB8C3-5C95-41FF-AC8E-FBDB35DCA06D}"/>
    <cellStyle name="20% - Accent6 2 2 8 2 3" xfId="31618" xr:uid="{B6A51FC9-A342-4D9B-BE5B-E3F81FCB2FC4}"/>
    <cellStyle name="20% - Accent6 2 2 8 3" xfId="40917" xr:uid="{F8469534-3B75-4109-8BBD-AAD4FA112E8E}"/>
    <cellStyle name="20% - Accent6 2 2 8 4" xfId="22319" xr:uid="{457337B9-1CC3-4EA6-96A0-41E7ADAF15B3}"/>
    <cellStyle name="20% - Accent6 2 2 9" xfId="8898" xr:uid="{88686F75-037F-4072-9BDC-942546C51E8F}"/>
    <cellStyle name="20% - Accent6 2 2 9 2" xfId="35968" xr:uid="{DE7025C0-28A9-42FC-8612-2E72F84C60A9}"/>
    <cellStyle name="20% - Accent6 2 2 9 2 2" xfId="54563" xr:uid="{24D52BAF-525A-4A9E-B86C-6D7BCFFE196D}"/>
    <cellStyle name="20% - Accent6 2 2 9 3" xfId="45266" xr:uid="{08EB30F6-258A-464E-A233-5F3C5FA870B2}"/>
    <cellStyle name="20% - Accent6 2 2 9 4" xfId="26669" xr:uid="{A2B9F8B2-C91E-4D52-B324-590ED083826A}"/>
    <cellStyle name="20% - Accent6 2 3" xfId="45" xr:uid="{00000000-0005-0000-0000-00004B030000}"/>
    <cellStyle name="20% - Accent6 2 3 10" xfId="36702" xr:uid="{F2813F14-9189-46E1-B649-E503988719C0}"/>
    <cellStyle name="20% - Accent6 2 3 11" xfId="18104" xr:uid="{88822743-1FA8-476E-93A7-F31B4C7E92B4}"/>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16433" xr:uid="{07B5FB9A-02EE-492C-847E-478564E9C0BA}"/>
    <cellStyle name="20% - Accent6 2 3 2 2 2 2 2" xfId="52775" xr:uid="{C80470E1-97FD-4009-8FED-E6B893FA7253}"/>
    <cellStyle name="20% - Accent6 2 3 2 2 2 2 3" xfId="34179" xr:uid="{912D3DE0-3A44-4C86-B69C-94E6C9AF530F}"/>
    <cellStyle name="20% - Accent6 2 3 2 2 2 3" xfId="43478" xr:uid="{32A24435-8FC3-4CF4-8149-773923366147}"/>
    <cellStyle name="20% - Accent6 2 3 2 2 2 4" xfId="24880" xr:uid="{F0A68708-EFDE-4F0D-9521-3B7A7AEF4746}"/>
    <cellStyle name="20% - Accent6 2 3 2 2 3" xfId="12216" xr:uid="{780C075F-9521-4220-BE46-60162FCE8A9C}"/>
    <cellStyle name="20% - Accent6 2 3 2 2 3 2" xfId="48558" xr:uid="{8E81CC32-245E-4561-BC94-B4C5BCC4F1FF}"/>
    <cellStyle name="20% - Accent6 2 3 2 2 3 3" xfId="29962" xr:uid="{BE52EFFA-6A29-48C7-B87A-EF984D8453FF}"/>
    <cellStyle name="20% - Accent6 2 3 2 2 4" xfId="39261" xr:uid="{431421A3-CEF5-4CBC-AB41-833AFB3FF512}"/>
    <cellStyle name="20% - Accent6 2 3 2 2 5" xfId="20663" xr:uid="{F65BE849-6C19-464C-BAF2-60D680C277A3}"/>
    <cellStyle name="20% - Accent6 2 3 2 3" xfId="4962" xr:uid="{00000000-0005-0000-0000-00004F030000}"/>
    <cellStyle name="20% - Accent6 2 3 2 3 2" xfId="14288" xr:uid="{1FF08343-7EB4-4714-8969-D26DDB14F9D4}"/>
    <cellStyle name="20% - Accent6 2 3 2 3 2 2" xfId="50630" xr:uid="{97FFC684-7FBB-4D3A-9ED7-C217E844940C}"/>
    <cellStyle name="20% - Accent6 2 3 2 3 2 3" xfId="32034" xr:uid="{56E79DCF-452B-42D8-91B5-F59397CD80DC}"/>
    <cellStyle name="20% - Accent6 2 3 2 3 3" xfId="41333" xr:uid="{B94F7059-D7B9-4BBB-92C9-4BD309EA9844}"/>
    <cellStyle name="20% - Accent6 2 3 2 3 4" xfId="22735" xr:uid="{B1D38193-9EBA-4503-8D5D-25BDDB83E640}"/>
    <cellStyle name="20% - Accent6 2 3 2 4" xfId="9427" xr:uid="{009378B6-C0A8-4C7C-A9A2-F91104842D93}"/>
    <cellStyle name="20% - Accent6 2 3 2 4 2" xfId="36488" xr:uid="{A635440D-1281-4B84-8A3A-5D126F5DF64D}"/>
    <cellStyle name="20% - Accent6 2 3 2 4 2 2" xfId="55082" xr:uid="{0021CE50-DAF5-43E8-B027-9A1D028B5DB8}"/>
    <cellStyle name="20% - Accent6 2 3 2 4 3" xfId="45785" xr:uid="{DEEE0C78-6F0C-4509-9857-E91DD32EF0A8}"/>
    <cellStyle name="20% - Accent6 2 3 2 4 4" xfId="27189" xr:uid="{49A2B1C5-8F3E-42B3-A767-3ED2D5874511}"/>
    <cellStyle name="20% - Accent6 2 3 2 5" xfId="10071" xr:uid="{3D1C58AF-AEAF-493E-ADAA-68A4607B265E}"/>
    <cellStyle name="20% - Accent6 2 3 2 5 2" xfId="46413" xr:uid="{F1D32AC9-A581-4F56-8DDD-0254246464F4}"/>
    <cellStyle name="20% - Accent6 2 3 2 5 3" xfId="27817" xr:uid="{2B5269B0-8793-469A-A328-DA8B31B31BCD}"/>
    <cellStyle name="20% - Accent6 2 3 2 6" xfId="37116" xr:uid="{29FD4E9E-02FA-4409-B394-93C4C31D81F8}"/>
    <cellStyle name="20% - Accent6 2 3 2 7" xfId="18518" xr:uid="{458B2047-8E8D-4961-BF55-3AE5F36A4750}"/>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16846" xr:uid="{1A79ABF7-F2E0-4800-9A5B-15D192261D37}"/>
    <cellStyle name="20% - Accent6 2 3 3 2 2 2 2" xfId="53188" xr:uid="{2DC71109-D24A-4C18-9458-56BDFD908162}"/>
    <cellStyle name="20% - Accent6 2 3 3 2 2 2 3" xfId="34592" xr:uid="{CABA3BE0-755A-4FB1-8545-05F61222E747}"/>
    <cellStyle name="20% - Accent6 2 3 3 2 2 3" xfId="43891" xr:uid="{2450406A-963C-4BBF-942B-84EF26928CE9}"/>
    <cellStyle name="20% - Accent6 2 3 3 2 2 4" xfId="25293" xr:uid="{9AF9D5CF-C31C-42FA-B345-4E4C95A42161}"/>
    <cellStyle name="20% - Accent6 2 3 3 2 3" xfId="12629" xr:uid="{297F8991-85BE-4DBA-9522-46A9C4DC93D7}"/>
    <cellStyle name="20% - Accent6 2 3 3 2 3 2" xfId="48971" xr:uid="{CE0250F2-F93A-4A94-8F0C-12A89B5DD824}"/>
    <cellStyle name="20% - Accent6 2 3 3 2 3 3" xfId="30375" xr:uid="{F1E4528D-E38D-4A48-8CAB-624DCCCA027E}"/>
    <cellStyle name="20% - Accent6 2 3 3 2 4" xfId="39674" xr:uid="{B60B5929-3773-48D4-8284-393AF0475051}"/>
    <cellStyle name="20% - Accent6 2 3 3 2 5" xfId="21076" xr:uid="{2937A22F-DC39-4E62-9EA8-894FCE9126BB}"/>
    <cellStyle name="20% - Accent6 2 3 3 3" xfId="5375" xr:uid="{00000000-0005-0000-0000-000053030000}"/>
    <cellStyle name="20% - Accent6 2 3 3 3 2" xfId="14701" xr:uid="{AD930FC4-AA7A-4671-8C06-7709436AD0CD}"/>
    <cellStyle name="20% - Accent6 2 3 3 3 2 2" xfId="51043" xr:uid="{55B67970-2D0A-4AA8-8C76-A03B099FE354}"/>
    <cellStyle name="20% - Accent6 2 3 3 3 2 3" xfId="32447" xr:uid="{EE6785C3-2ABC-48AB-B05A-43598C4F7380}"/>
    <cellStyle name="20% - Accent6 2 3 3 3 3" xfId="41746" xr:uid="{ACA78C5D-C2B2-45A4-AE74-54E68DC13DF4}"/>
    <cellStyle name="20% - Accent6 2 3 3 3 4" xfId="23148" xr:uid="{AF63FBF0-3A69-4A8E-92B2-78ACE2C998B1}"/>
    <cellStyle name="20% - Accent6 2 3 3 4" xfId="10484" xr:uid="{8F9A8E57-00C9-4CAE-A1BD-C13ADB87915C}"/>
    <cellStyle name="20% - Accent6 2 3 3 4 2" xfId="46826" xr:uid="{5F15033D-6E5D-4204-BFCA-372E72D340A5}"/>
    <cellStyle name="20% - Accent6 2 3 3 4 3" xfId="28230" xr:uid="{98781FAB-7C52-4FC0-B82F-32D567367DD5}"/>
    <cellStyle name="20% - Accent6 2 3 3 5" xfId="37529" xr:uid="{0D5141B0-B77A-4D78-8F6D-5B9580A701B0}"/>
    <cellStyle name="20% - Accent6 2 3 3 6" xfId="18931" xr:uid="{98FBC224-E595-4CA4-98CD-E2D0657378B1}"/>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17259" xr:uid="{8B274CCF-93EB-45C6-9DDC-E1D64350140E}"/>
    <cellStyle name="20% - Accent6 2 3 4 2 2 2 2" xfId="53601" xr:uid="{5C589299-E6CB-4DE2-B578-1DDFB5DD8998}"/>
    <cellStyle name="20% - Accent6 2 3 4 2 2 2 3" xfId="35005" xr:uid="{ECF39FE2-95E7-4763-B80E-94CC33908AE8}"/>
    <cellStyle name="20% - Accent6 2 3 4 2 2 3" xfId="44304" xr:uid="{3FEEBC39-A2A7-4087-86C2-04B0ADA5A7C2}"/>
    <cellStyle name="20% - Accent6 2 3 4 2 2 4" xfId="25706" xr:uid="{248884B2-8212-4891-97CF-22EF98FEB12E}"/>
    <cellStyle name="20% - Accent6 2 3 4 2 3" xfId="13042" xr:uid="{A5F6DE00-0BA7-4E6D-9AC6-64A4AF37B297}"/>
    <cellStyle name="20% - Accent6 2 3 4 2 3 2" xfId="49384" xr:uid="{4E196BE7-5F08-486F-A0E5-0B053D557961}"/>
    <cellStyle name="20% - Accent6 2 3 4 2 3 3" xfId="30788" xr:uid="{0D86E92E-E016-4B11-AC24-76A7062AA558}"/>
    <cellStyle name="20% - Accent6 2 3 4 2 4" xfId="40087" xr:uid="{7C49330D-8432-4340-8F6D-78E73FCD2B36}"/>
    <cellStyle name="20% - Accent6 2 3 4 2 5" xfId="21489" xr:uid="{CF5D14B3-42E3-4030-A05D-5427F8F3C919}"/>
    <cellStyle name="20% - Accent6 2 3 4 3" xfId="5788" xr:uid="{00000000-0005-0000-0000-000057030000}"/>
    <cellStyle name="20% - Accent6 2 3 4 3 2" xfId="15114" xr:uid="{17163780-31BB-4DD9-ADF0-717709B8566A}"/>
    <cellStyle name="20% - Accent6 2 3 4 3 2 2" xfId="51456" xr:uid="{DB0D8BA0-F275-48B3-B33A-828A3B984F1A}"/>
    <cellStyle name="20% - Accent6 2 3 4 3 2 3" xfId="32860" xr:uid="{653E31E4-EB16-4FAB-A8D6-4F0F826FD49B}"/>
    <cellStyle name="20% - Accent6 2 3 4 3 3" xfId="42159" xr:uid="{42172305-9165-4AA2-B170-19C59BCB3381}"/>
    <cellStyle name="20% - Accent6 2 3 4 3 4" xfId="23561" xr:uid="{DD5663C8-881F-43D1-8E2C-47729E4C6467}"/>
    <cellStyle name="20% - Accent6 2 3 4 4" xfId="10897" xr:uid="{E756BBA3-D738-42B5-A2B7-2BC7B2D7BEB3}"/>
    <cellStyle name="20% - Accent6 2 3 4 4 2" xfId="47239" xr:uid="{0D14B41D-6243-47F6-9C11-DF8D3077BC45}"/>
    <cellStyle name="20% - Accent6 2 3 4 4 3" xfId="28643" xr:uid="{0FCB2D12-C5ED-4C02-8BEC-ED0C453DDDAD}"/>
    <cellStyle name="20% - Accent6 2 3 4 5" xfId="37942" xr:uid="{2C3BA216-E41C-40B4-BB1A-DCF3757666A4}"/>
    <cellStyle name="20% - Accent6 2 3 4 6" xfId="19344" xr:uid="{88B99FEA-5978-47E7-B055-0F2575BCBC06}"/>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17672" xr:uid="{54845CCD-E6D9-4387-A8C5-C7B7C448D6F1}"/>
    <cellStyle name="20% - Accent6 2 3 5 2 2 2 2" xfId="54014" xr:uid="{179F9BD2-BFEB-4976-A91D-77A9A8A1313E}"/>
    <cellStyle name="20% - Accent6 2 3 5 2 2 2 3" xfId="35418" xr:uid="{1D3B2359-AF7F-4D0B-A6D6-2B3AF20898A5}"/>
    <cellStyle name="20% - Accent6 2 3 5 2 2 3" xfId="44717" xr:uid="{E5A76635-F813-4BD1-9915-72943C18315A}"/>
    <cellStyle name="20% - Accent6 2 3 5 2 2 4" xfId="26119" xr:uid="{0696E8C3-04C1-4BCE-BC14-0B1963BE9EB9}"/>
    <cellStyle name="20% - Accent6 2 3 5 2 3" xfId="13455" xr:uid="{C884F49B-E625-4D4A-828E-D12F76405D2F}"/>
    <cellStyle name="20% - Accent6 2 3 5 2 3 2" xfId="49797" xr:uid="{28F3FF55-5C6A-4F2C-9906-41C0DCE67F47}"/>
    <cellStyle name="20% - Accent6 2 3 5 2 3 3" xfId="31201" xr:uid="{8E004E57-F98B-4AC2-BA3F-4503666E98B6}"/>
    <cellStyle name="20% - Accent6 2 3 5 2 4" xfId="40500" xr:uid="{72875456-9D53-453D-9AAA-BB65BD26EB43}"/>
    <cellStyle name="20% - Accent6 2 3 5 2 5" xfId="21902" xr:uid="{94591EE0-B3CC-4FD0-8EA0-389F51088E82}"/>
    <cellStyle name="20% - Accent6 2 3 5 3" xfId="6201" xr:uid="{00000000-0005-0000-0000-00005B030000}"/>
    <cellStyle name="20% - Accent6 2 3 5 3 2" xfId="15527" xr:uid="{8E928178-60C3-4D8D-B951-186028687FCF}"/>
    <cellStyle name="20% - Accent6 2 3 5 3 2 2" xfId="51869" xr:uid="{AA069A03-A870-475E-BBA4-7516222E9FB9}"/>
    <cellStyle name="20% - Accent6 2 3 5 3 2 3" xfId="33273" xr:uid="{C044594D-7201-4890-9532-228948C87150}"/>
    <cellStyle name="20% - Accent6 2 3 5 3 3" xfId="42572" xr:uid="{3617D7E3-E9A4-4915-829A-91339AB8AFCD}"/>
    <cellStyle name="20% - Accent6 2 3 5 3 4" xfId="23974" xr:uid="{9BBD8805-5EB6-43E5-99C8-048FB315EEA9}"/>
    <cellStyle name="20% - Accent6 2 3 5 4" xfId="11310" xr:uid="{DFEA5151-5C18-4D2C-ADDE-AA59C450FECA}"/>
    <cellStyle name="20% - Accent6 2 3 5 4 2" xfId="47652" xr:uid="{5B6F5E86-5BFA-4E9C-A909-F7C69480A9F2}"/>
    <cellStyle name="20% - Accent6 2 3 5 4 3" xfId="29056" xr:uid="{1CA4879D-6D27-409E-A302-2B2E729BAF71}"/>
    <cellStyle name="20% - Accent6 2 3 5 5" xfId="38355" xr:uid="{D328F6E6-42E1-4EDE-BC63-BE0E8C75C00F}"/>
    <cellStyle name="20% - Accent6 2 3 5 6" xfId="19757" xr:uid="{969E6D2E-0009-4E7F-9B16-BF03C6543F7B}"/>
    <cellStyle name="20% - Accent6 2 3 6" xfId="2308" xr:uid="{00000000-0005-0000-0000-00005C030000}"/>
    <cellStyle name="20% - Accent6 2 3 6 2" xfId="6614" xr:uid="{00000000-0005-0000-0000-00005D030000}"/>
    <cellStyle name="20% - Accent6 2 3 6 2 2" xfId="15940" xr:uid="{871F9593-0624-47BA-808F-6C02F9503527}"/>
    <cellStyle name="20% - Accent6 2 3 6 2 2 2" xfId="52282" xr:uid="{B83B91D0-EB8F-4FA4-B5BB-59B3DA6FB38E}"/>
    <cellStyle name="20% - Accent6 2 3 6 2 2 3" xfId="33686" xr:uid="{6BFA3A47-D790-4F0D-BB7A-3B1655E964AA}"/>
    <cellStyle name="20% - Accent6 2 3 6 2 3" xfId="42985" xr:uid="{717F4BB8-8493-4C78-81B5-E35FE9332D72}"/>
    <cellStyle name="20% - Accent6 2 3 6 2 4" xfId="24387" xr:uid="{74A36D46-7FEF-44C6-B07C-050DB29A626F}"/>
    <cellStyle name="20% - Accent6 2 3 6 3" xfId="11723" xr:uid="{3F230ED0-7441-4568-A30E-D7DFB7D0B276}"/>
    <cellStyle name="20% - Accent6 2 3 6 3 2" xfId="48065" xr:uid="{C0C8F543-63BD-4997-8FCA-56A9A8BECEBC}"/>
    <cellStyle name="20% - Accent6 2 3 6 3 3" xfId="29469" xr:uid="{7214AE0A-E300-4AA0-9F86-0E06600E6059}"/>
    <cellStyle name="20% - Accent6 2 3 6 4" xfId="38768" xr:uid="{87BE39ED-C0F6-4B14-9C7D-5FD212093DD6}"/>
    <cellStyle name="20% - Accent6 2 3 6 5" xfId="20170" xr:uid="{436D53FB-E6FC-4296-BB40-FB143AEDCDE8}"/>
    <cellStyle name="20% - Accent6 2 3 7" xfId="4548" xr:uid="{00000000-0005-0000-0000-00005E030000}"/>
    <cellStyle name="20% - Accent6 2 3 7 2" xfId="13874" xr:uid="{A339F4FD-6D95-4228-803C-995125FD760A}"/>
    <cellStyle name="20% - Accent6 2 3 7 2 2" xfId="50216" xr:uid="{BAD7669C-9B12-4EDF-8D16-76353EE576D3}"/>
    <cellStyle name="20% - Accent6 2 3 7 2 3" xfId="31620" xr:uid="{90B16964-A051-4AA5-800C-BB1EAE53B407}"/>
    <cellStyle name="20% - Accent6 2 3 7 3" xfId="40919" xr:uid="{FA7E1C3C-E4B6-4001-977A-7AB040117892}"/>
    <cellStyle name="20% - Accent6 2 3 7 4" xfId="22321" xr:uid="{FBF2782B-5FA6-44F8-8F6B-BF9A52E4CB79}"/>
    <cellStyle name="20% - Accent6 2 3 8" xfId="9002" xr:uid="{F69877AB-868C-474F-8F88-C5F2F1F2C041}"/>
    <cellStyle name="20% - Accent6 2 3 8 2" xfId="36072" xr:uid="{91AF7128-D807-48B4-B1D8-D288928957A5}"/>
    <cellStyle name="20% - Accent6 2 3 8 2 2" xfId="54667" xr:uid="{5EC18256-573F-44DF-AA73-ED4FC93EC562}"/>
    <cellStyle name="20% - Accent6 2 3 8 3" xfId="45370" xr:uid="{FD08CB59-AD71-4677-AB7E-F89EE224D776}"/>
    <cellStyle name="20% - Accent6 2 3 8 4" xfId="26773" xr:uid="{A9829D15-988A-46D7-9D03-324FFE39B6F1}"/>
    <cellStyle name="20% - Accent6 2 3 9" xfId="9657" xr:uid="{FF868062-1CC3-473C-9D74-C4CABC22E3D5}"/>
    <cellStyle name="20% - Accent6 2 3 9 2" xfId="45999" xr:uid="{2EA15194-AE1E-4F02-B983-118E265EBC82}"/>
    <cellStyle name="20% - Accent6 2 3 9 3" xfId="27403" xr:uid="{8E580C1B-7844-44EA-B0B3-AE5310FDE188}"/>
    <cellStyle name="20% - Accent6 2 4" xfId="611" xr:uid="{00000000-0005-0000-0000-00005F030000}"/>
    <cellStyle name="20% - Accent6 2 4 2" xfId="2882" xr:uid="{00000000-0005-0000-0000-000060030000}"/>
    <cellStyle name="20% - Accent6 2 4 2 2" xfId="7104" xr:uid="{00000000-0005-0000-0000-000061030000}"/>
    <cellStyle name="20% - Accent6 2 4 2 2 2" xfId="16430" xr:uid="{7B4D3089-7B37-4177-8484-890F867B4D06}"/>
    <cellStyle name="20% - Accent6 2 4 2 2 2 2" xfId="52772" xr:uid="{2BDEACD5-67ED-417E-A3F8-2A6FD5852E61}"/>
    <cellStyle name="20% - Accent6 2 4 2 2 2 3" xfId="34176" xr:uid="{E94BD9F8-E061-412B-892E-0FE9C6E3806F}"/>
    <cellStyle name="20% - Accent6 2 4 2 2 3" xfId="43475" xr:uid="{ACC6E71C-EE84-45C9-9BFF-8BE09D7155F7}"/>
    <cellStyle name="20% - Accent6 2 4 2 2 4" xfId="24877" xr:uid="{4AB044FC-9CF4-4E6B-AF60-3E9D71E77D57}"/>
    <cellStyle name="20% - Accent6 2 4 2 3" xfId="12213" xr:uid="{6E93FB7B-0719-4534-9E6C-12B346223E24}"/>
    <cellStyle name="20% - Accent6 2 4 2 3 2" xfId="48555" xr:uid="{51BA1504-68ED-4A8A-B8A3-629DAFC1EB46}"/>
    <cellStyle name="20% - Accent6 2 4 2 3 3" xfId="29959" xr:uid="{6B006764-800F-4D46-A5A6-4A8F73B6290B}"/>
    <cellStyle name="20% - Accent6 2 4 2 4" xfId="39258" xr:uid="{3166F6F1-2815-4D77-A55C-B80C8BC32C82}"/>
    <cellStyle name="20% - Accent6 2 4 2 5" xfId="20660" xr:uid="{6D8B380A-DF0B-4242-B79F-1BF1334CC931}"/>
    <cellStyle name="20% - Accent6 2 4 3" xfId="4959" xr:uid="{00000000-0005-0000-0000-000062030000}"/>
    <cellStyle name="20% - Accent6 2 4 3 2" xfId="14285" xr:uid="{CD59B760-C829-4B3D-B403-0145DD5E11E7}"/>
    <cellStyle name="20% - Accent6 2 4 3 2 2" xfId="50627" xr:uid="{DA461C18-3C23-468B-B100-AF4D8DFE7F88}"/>
    <cellStyle name="20% - Accent6 2 4 3 2 3" xfId="32031" xr:uid="{408F9EA4-3F2C-4859-AF3E-72493569B264}"/>
    <cellStyle name="20% - Accent6 2 4 3 3" xfId="41330" xr:uid="{3734D7F3-5CEC-4EEA-8C2C-50698651D3FF}"/>
    <cellStyle name="20% - Accent6 2 4 3 4" xfId="22732" xr:uid="{8BF448A0-79DB-4E92-BAFF-4C12E1C907B4}"/>
    <cellStyle name="20% - Accent6 2 4 4" xfId="9219" xr:uid="{C8AD75F8-261B-45C4-93F0-0E0A49EEEF79}"/>
    <cellStyle name="20% - Accent6 2 4 4 2" xfId="36281" xr:uid="{B930CEAA-CF39-4429-B561-B6200B0B8FD1}"/>
    <cellStyle name="20% - Accent6 2 4 4 2 2" xfId="54875" xr:uid="{82770D98-3AFE-44B8-A56B-718EF5B67A12}"/>
    <cellStyle name="20% - Accent6 2 4 4 3" xfId="45578" xr:uid="{9D97A458-93D0-4200-8148-A9D63C799A26}"/>
    <cellStyle name="20% - Accent6 2 4 4 4" xfId="26982" xr:uid="{C6F47415-8D61-4017-A88D-A64D60759F28}"/>
    <cellStyle name="20% - Accent6 2 4 5" xfId="10068" xr:uid="{72C93D5F-5C83-41C2-86D8-143C9E05B444}"/>
    <cellStyle name="20% - Accent6 2 4 5 2" xfId="46410" xr:uid="{03FF5386-8688-48C3-B937-33A9F223CB1E}"/>
    <cellStyle name="20% - Accent6 2 4 5 3" xfId="27814" xr:uid="{73E9233B-1886-4B27-A01A-6A2645AA45B8}"/>
    <cellStyle name="20% - Accent6 2 4 6" xfId="37113" xr:uid="{697E0696-BDAB-439A-8E8F-1303F2825D8C}"/>
    <cellStyle name="20% - Accent6 2 4 7" xfId="18515" xr:uid="{E483C483-B3EE-4DE8-810B-FD1DFBF3C626}"/>
    <cellStyle name="20% - Accent6 2 5" xfId="1064" xr:uid="{00000000-0005-0000-0000-000063030000}"/>
    <cellStyle name="20% - Accent6 2 5 2" xfId="3295" xr:uid="{00000000-0005-0000-0000-000064030000}"/>
    <cellStyle name="20% - Accent6 2 5 2 2" xfId="7517" xr:uid="{00000000-0005-0000-0000-000065030000}"/>
    <cellStyle name="20% - Accent6 2 5 2 2 2" xfId="16843" xr:uid="{7864C9B6-EFB3-4B7D-A9FF-F0ADCFCEBA51}"/>
    <cellStyle name="20% - Accent6 2 5 2 2 2 2" xfId="53185" xr:uid="{C5923EE9-64B9-44B5-8AB8-361CF4FD6BC9}"/>
    <cellStyle name="20% - Accent6 2 5 2 2 2 3" xfId="34589" xr:uid="{BEEA2EAD-E6B5-45AA-A083-D04CCA23C2AA}"/>
    <cellStyle name="20% - Accent6 2 5 2 2 3" xfId="43888" xr:uid="{AF473CA9-90A2-48D1-8DA5-C8FEA300B9F1}"/>
    <cellStyle name="20% - Accent6 2 5 2 2 4" xfId="25290" xr:uid="{B55944FE-0730-4457-AE07-F3570DEBC47D}"/>
    <cellStyle name="20% - Accent6 2 5 2 3" xfId="12626" xr:uid="{285675B1-EEE5-446A-BFF3-E36B76707350}"/>
    <cellStyle name="20% - Accent6 2 5 2 3 2" xfId="48968" xr:uid="{B3DBBCCC-AD69-44DB-8A16-44AC1C7A2466}"/>
    <cellStyle name="20% - Accent6 2 5 2 3 3" xfId="30372" xr:uid="{BE4C7969-210A-40A0-AF8B-B19D4F381FB9}"/>
    <cellStyle name="20% - Accent6 2 5 2 4" xfId="39671" xr:uid="{92BB58BC-3330-4FE3-9F31-5F7F403A336C}"/>
    <cellStyle name="20% - Accent6 2 5 2 5" xfId="21073" xr:uid="{9292DAA0-38CA-40C6-B501-DC2FB7FC10D3}"/>
    <cellStyle name="20% - Accent6 2 5 3" xfId="5372" xr:uid="{00000000-0005-0000-0000-000066030000}"/>
    <cellStyle name="20% - Accent6 2 5 3 2" xfId="14698" xr:uid="{7F47020C-7DF4-4991-8BDD-926DD56D5140}"/>
    <cellStyle name="20% - Accent6 2 5 3 2 2" xfId="51040" xr:uid="{4DE7C89D-CB5B-4E94-946F-68ECABEFE545}"/>
    <cellStyle name="20% - Accent6 2 5 3 2 3" xfId="32444" xr:uid="{04E18DCC-EE6C-4452-A7C9-B6C77FDD3C63}"/>
    <cellStyle name="20% - Accent6 2 5 3 3" xfId="41743" xr:uid="{DBD69BA4-775F-4E0F-9899-1B4E49B625A1}"/>
    <cellStyle name="20% - Accent6 2 5 3 4" xfId="23145" xr:uid="{0F6855E9-72D0-4660-AAF4-95A0340F7A11}"/>
    <cellStyle name="20% - Accent6 2 5 4" xfId="10481" xr:uid="{637D073F-9B4F-4A3E-91BA-8DEDAB4295AC}"/>
    <cellStyle name="20% - Accent6 2 5 4 2" xfId="46823" xr:uid="{62E52F31-AAD2-440C-AA5F-3943E5D529DB}"/>
    <cellStyle name="20% - Accent6 2 5 4 3" xfId="28227" xr:uid="{A2F1119C-C476-4749-8CB5-79C02FAF584E}"/>
    <cellStyle name="20% - Accent6 2 5 5" xfId="37526" xr:uid="{0AA9C701-CA47-4A4E-83BE-F0AA5DB697BE}"/>
    <cellStyle name="20% - Accent6 2 5 6" xfId="18928" xr:uid="{D5A81423-4AE0-4F7A-8B47-359E1B2D3213}"/>
    <cellStyle name="20% - Accent6 2 6" xfId="1478" xr:uid="{00000000-0005-0000-0000-000067030000}"/>
    <cellStyle name="20% - Accent6 2 6 2" xfId="3708" xr:uid="{00000000-0005-0000-0000-000068030000}"/>
    <cellStyle name="20% - Accent6 2 6 2 2" xfId="7930" xr:uid="{00000000-0005-0000-0000-000069030000}"/>
    <cellStyle name="20% - Accent6 2 6 2 2 2" xfId="17256" xr:uid="{A0AC1AC7-E0FF-4412-89B9-4690F6134FBC}"/>
    <cellStyle name="20% - Accent6 2 6 2 2 2 2" xfId="53598" xr:uid="{0DEA9486-CAAC-4D04-8E4C-7EF65FC028DC}"/>
    <cellStyle name="20% - Accent6 2 6 2 2 2 3" xfId="35002" xr:uid="{B7536CF5-158D-45C6-8960-F4A00735AE62}"/>
    <cellStyle name="20% - Accent6 2 6 2 2 3" xfId="44301" xr:uid="{6366434B-63A3-4DE5-9EDA-3EBC045E9E20}"/>
    <cellStyle name="20% - Accent6 2 6 2 2 4" xfId="25703" xr:uid="{A01B76E7-18C1-4E7C-AA04-D70145A56D0F}"/>
    <cellStyle name="20% - Accent6 2 6 2 3" xfId="13039" xr:uid="{9292F51B-2CE3-4969-B240-0642E4A01FA0}"/>
    <cellStyle name="20% - Accent6 2 6 2 3 2" xfId="49381" xr:uid="{A855EA42-2C0D-4ECB-AB3D-CE45C10939D4}"/>
    <cellStyle name="20% - Accent6 2 6 2 3 3" xfId="30785" xr:uid="{E7162D82-8CA7-4160-900D-262E624540EF}"/>
    <cellStyle name="20% - Accent6 2 6 2 4" xfId="40084" xr:uid="{7EC9D940-12FF-4793-A82D-C971AF76EDE7}"/>
    <cellStyle name="20% - Accent6 2 6 2 5" xfId="21486" xr:uid="{589BAACC-BB33-49FC-88C0-E6E6949B7542}"/>
    <cellStyle name="20% - Accent6 2 6 3" xfId="5785" xr:uid="{00000000-0005-0000-0000-00006A030000}"/>
    <cellStyle name="20% - Accent6 2 6 3 2" xfId="15111" xr:uid="{A2D2964C-0C08-42D5-8677-BE6AA1E990F9}"/>
    <cellStyle name="20% - Accent6 2 6 3 2 2" xfId="51453" xr:uid="{95E83883-0EE6-4DB8-B124-9042F6DC475C}"/>
    <cellStyle name="20% - Accent6 2 6 3 2 3" xfId="32857" xr:uid="{5E249CE3-12C6-48A6-BAE0-8132A2CDFD0D}"/>
    <cellStyle name="20% - Accent6 2 6 3 3" xfId="42156" xr:uid="{073C00FD-65A7-46E3-ADE0-9F0B857E8C4E}"/>
    <cellStyle name="20% - Accent6 2 6 3 4" xfId="23558" xr:uid="{2737A612-3CEF-4BE5-9051-3575D028C405}"/>
    <cellStyle name="20% - Accent6 2 6 4" xfId="10894" xr:uid="{F0F9C313-E542-4F21-ACF0-5637E38CCF2A}"/>
    <cellStyle name="20% - Accent6 2 6 4 2" xfId="47236" xr:uid="{57A449B0-189C-417E-97BD-94AA92C7B1B5}"/>
    <cellStyle name="20% - Accent6 2 6 4 3" xfId="28640" xr:uid="{FEF1079F-E980-4F9C-8446-5515A66D798E}"/>
    <cellStyle name="20% - Accent6 2 6 5" xfId="37939" xr:uid="{A01EF6C8-05C3-4B72-99F6-DC93966BA331}"/>
    <cellStyle name="20% - Accent6 2 6 6" xfId="19341" xr:uid="{684C72EC-12AF-4449-92C3-37162A768AF7}"/>
    <cellStyle name="20% - Accent6 2 7" xfId="1892" xr:uid="{00000000-0005-0000-0000-00006B030000}"/>
    <cellStyle name="20% - Accent6 2 7 2" xfId="4121" xr:uid="{00000000-0005-0000-0000-00006C030000}"/>
    <cellStyle name="20% - Accent6 2 7 2 2" xfId="8343" xr:uid="{00000000-0005-0000-0000-00006D030000}"/>
    <cellStyle name="20% - Accent6 2 7 2 2 2" xfId="17669" xr:uid="{FC7D62DD-D0F4-4EDF-9066-8373CCAA02F4}"/>
    <cellStyle name="20% - Accent6 2 7 2 2 2 2" xfId="54011" xr:uid="{1E72B7E8-E803-471B-BA3A-5846E4A5AABD}"/>
    <cellStyle name="20% - Accent6 2 7 2 2 2 3" xfId="35415" xr:uid="{DB7BD65B-D72A-4E95-AF84-29ED258BFA0C}"/>
    <cellStyle name="20% - Accent6 2 7 2 2 3" xfId="44714" xr:uid="{8390322D-B869-4A9E-9011-F928A05916A5}"/>
    <cellStyle name="20% - Accent6 2 7 2 2 4" xfId="26116" xr:uid="{C9CB4226-3F69-4A79-B531-03B75E8D224E}"/>
    <cellStyle name="20% - Accent6 2 7 2 3" xfId="13452" xr:uid="{6CDE8B30-B1EF-40A2-AE30-9E6F31D5BDBB}"/>
    <cellStyle name="20% - Accent6 2 7 2 3 2" xfId="49794" xr:uid="{D6831A16-83A3-43E5-8435-D0CC9B88D539}"/>
    <cellStyle name="20% - Accent6 2 7 2 3 3" xfId="31198" xr:uid="{3AF3D3FB-1F36-454C-8980-57A334091FB4}"/>
    <cellStyle name="20% - Accent6 2 7 2 4" xfId="40497" xr:uid="{B243F32D-890B-4AC9-9BAA-DF5BF988800A}"/>
    <cellStyle name="20% - Accent6 2 7 2 5" xfId="21899" xr:uid="{BFCF879F-E9C2-44B5-B0A5-D475EAFB8E09}"/>
    <cellStyle name="20% - Accent6 2 7 3" xfId="6198" xr:uid="{00000000-0005-0000-0000-00006E030000}"/>
    <cellStyle name="20% - Accent6 2 7 3 2" xfId="15524" xr:uid="{6ACEDD60-C50F-4067-A1FD-3371FE52268D}"/>
    <cellStyle name="20% - Accent6 2 7 3 2 2" xfId="51866" xr:uid="{49AC2EF9-A0ED-4CDE-9FEF-458806A433BF}"/>
    <cellStyle name="20% - Accent6 2 7 3 2 3" xfId="33270" xr:uid="{889FAFF2-27A2-45BF-99AE-3BFE9F76C35F}"/>
    <cellStyle name="20% - Accent6 2 7 3 3" xfId="42569" xr:uid="{7ACA41FB-96F2-4F37-89F1-5967B72B376C}"/>
    <cellStyle name="20% - Accent6 2 7 3 4" xfId="23971" xr:uid="{B33526D3-57E0-4340-9258-B1C9C35DB612}"/>
    <cellStyle name="20% - Accent6 2 7 4" xfId="11307" xr:uid="{C141433B-736C-48B5-B6F0-8C30CD17B3D1}"/>
    <cellStyle name="20% - Accent6 2 7 4 2" xfId="47649" xr:uid="{28A19D9E-4A3D-4E55-BECD-D8412E87673B}"/>
    <cellStyle name="20% - Accent6 2 7 4 3" xfId="29053" xr:uid="{FD93522A-7E9D-4732-89C4-D9F7ED68722D}"/>
    <cellStyle name="20% - Accent6 2 7 5" xfId="38352" xr:uid="{45927949-71AB-4D1C-9F4D-973D235DA1B8}"/>
    <cellStyle name="20% - Accent6 2 7 6" xfId="19754" xr:uid="{4F97B681-0BAF-4E70-BDFB-46EEF8104882}"/>
    <cellStyle name="20% - Accent6 2 8" xfId="2305" xr:uid="{00000000-0005-0000-0000-00006F030000}"/>
    <cellStyle name="20% - Accent6 2 8 2" xfId="6611" xr:uid="{00000000-0005-0000-0000-000070030000}"/>
    <cellStyle name="20% - Accent6 2 8 2 2" xfId="15937" xr:uid="{CD05B6D0-4535-4B15-B460-96296AC6F9DB}"/>
    <cellStyle name="20% - Accent6 2 8 2 2 2" xfId="52279" xr:uid="{6DA13AFB-428A-419A-8956-0D9F4517028E}"/>
    <cellStyle name="20% - Accent6 2 8 2 2 3" xfId="33683" xr:uid="{A58B8B9D-A58E-49A1-939B-9BB1478DD8EE}"/>
    <cellStyle name="20% - Accent6 2 8 2 3" xfId="42982" xr:uid="{CBBA380F-49CF-40D4-91E8-E5CD0B2E448B}"/>
    <cellStyle name="20% - Accent6 2 8 2 4" xfId="24384" xr:uid="{E538AE82-1939-4608-97FA-456190B784B4}"/>
    <cellStyle name="20% - Accent6 2 8 3" xfId="11720" xr:uid="{CC28271C-7515-4402-9EC3-A69E3B1FFF61}"/>
    <cellStyle name="20% - Accent6 2 8 3 2" xfId="48062" xr:uid="{D20BF5F6-2F08-4739-9FC3-8A2C1516F795}"/>
    <cellStyle name="20% - Accent6 2 8 3 3" xfId="29466" xr:uid="{04DF09F7-F9A0-4790-88B0-F0E1B4B5FE63}"/>
    <cellStyle name="20% - Accent6 2 8 4" xfId="38765" xr:uid="{D80494F0-9DEF-4C5B-8631-CC550292975C}"/>
    <cellStyle name="20% - Accent6 2 8 5" xfId="20167" xr:uid="{EC4A2B6B-D930-42C2-8397-D6CCC469DEC3}"/>
    <cellStyle name="20% - Accent6 2 9" xfId="4545" xr:uid="{00000000-0005-0000-0000-000071030000}"/>
    <cellStyle name="20% - Accent6 2 9 2" xfId="13871" xr:uid="{06C7155A-76EB-49F2-B930-2A48A3C869B9}"/>
    <cellStyle name="20% - Accent6 2 9 2 2" xfId="50213" xr:uid="{81DF9514-C0E7-47E4-AA5D-4D865C874573}"/>
    <cellStyle name="20% - Accent6 2 9 2 3" xfId="31617" xr:uid="{76184103-797D-4A03-BDD7-5E5F0C4B3F40}"/>
    <cellStyle name="20% - Accent6 2 9 3" xfId="40916" xr:uid="{2111F79A-EAB6-4C85-8F9A-6098F4C684B0}"/>
    <cellStyle name="20% - Accent6 2 9 4" xfId="22318" xr:uid="{505856FA-F95F-4CAA-8B05-ECF72022FD3C}"/>
    <cellStyle name="20% - Accent6 3" xfId="46" xr:uid="{00000000-0005-0000-0000-000072030000}"/>
    <cellStyle name="20% - Accent6 3 10" xfId="9658" xr:uid="{A27E72C0-F628-4AA0-B7CE-463905083BF6}"/>
    <cellStyle name="20% - Accent6 3 10 2" xfId="46000" xr:uid="{2B73E381-D1B3-48A5-A937-7A0A8A920A93}"/>
    <cellStyle name="20% - Accent6 3 10 3" xfId="27404" xr:uid="{FDC7745B-3960-49C1-8C5C-872245C21B99}"/>
    <cellStyle name="20% - Accent6 3 11" xfId="36703" xr:uid="{897C6C8A-C939-4167-8F84-61CDE8EEA59F}"/>
    <cellStyle name="20% - Accent6 3 12" xfId="18105" xr:uid="{40ED9402-BDAF-41DF-B787-1925195B6DDE}"/>
    <cellStyle name="20% - Accent6 3 2" xfId="47" xr:uid="{00000000-0005-0000-0000-000073030000}"/>
    <cellStyle name="20% - Accent6 3 2 10" xfId="36704" xr:uid="{E8BBB5ED-287B-48C7-A2B4-63C9F5D0F8CB}"/>
    <cellStyle name="20% - Accent6 3 2 11" xfId="18106" xr:uid="{2640CE48-A373-462D-A88F-8C9BD252F05F}"/>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16435" xr:uid="{2B672A71-C485-49A6-BF58-E93703B69567}"/>
    <cellStyle name="20% - Accent6 3 2 2 2 2 2 2" xfId="52777" xr:uid="{FA40FBBB-3DE5-4562-8F3E-7C249D72577C}"/>
    <cellStyle name="20% - Accent6 3 2 2 2 2 2 3" xfId="34181" xr:uid="{8FD6A8D9-B978-44FF-AE58-22909D454853}"/>
    <cellStyle name="20% - Accent6 3 2 2 2 2 3" xfId="43480" xr:uid="{921F1775-D3ED-45DF-AAF4-239BCBD80930}"/>
    <cellStyle name="20% - Accent6 3 2 2 2 2 4" xfId="24882" xr:uid="{A4E6212E-0A29-4C1D-AB68-AF7AE61EC6CC}"/>
    <cellStyle name="20% - Accent6 3 2 2 2 3" xfId="12218" xr:uid="{04B20FBA-39CE-42B2-9B98-31F8521BA8DE}"/>
    <cellStyle name="20% - Accent6 3 2 2 2 3 2" xfId="48560" xr:uid="{3CFFE6D4-60E4-4756-ACBC-F769DCC06F32}"/>
    <cellStyle name="20% - Accent6 3 2 2 2 3 3" xfId="29964" xr:uid="{7E18E17F-523C-4208-B336-9F9975CCEFB1}"/>
    <cellStyle name="20% - Accent6 3 2 2 2 4" xfId="39263" xr:uid="{963DF28C-A23D-453C-80E3-1E8E1E733788}"/>
    <cellStyle name="20% - Accent6 3 2 2 2 5" xfId="20665" xr:uid="{5449D5DA-5E26-4AA3-90AD-5DA10FC530FA}"/>
    <cellStyle name="20% - Accent6 3 2 2 3" xfId="4964" xr:uid="{00000000-0005-0000-0000-000077030000}"/>
    <cellStyle name="20% - Accent6 3 2 2 3 2" xfId="14290" xr:uid="{6C09B44D-23D9-4FD5-B2C9-139C83C6FAAD}"/>
    <cellStyle name="20% - Accent6 3 2 2 3 2 2" xfId="50632" xr:uid="{7684EE79-2BB3-43FD-B67D-54B1461A973D}"/>
    <cellStyle name="20% - Accent6 3 2 2 3 2 3" xfId="32036" xr:uid="{2D3D08F0-4A23-4AC9-9481-E09D376BF10F}"/>
    <cellStyle name="20% - Accent6 3 2 2 3 3" xfId="41335" xr:uid="{0B35CBF0-98CD-4037-BFD4-F148B0FD2E79}"/>
    <cellStyle name="20% - Accent6 3 2 2 3 4" xfId="22737" xr:uid="{DCE7B2CD-50D7-44B9-AD1D-1CE553D93A64}"/>
    <cellStyle name="20% - Accent6 3 2 2 4" xfId="9503" xr:uid="{A5A3EDF8-16EA-4A86-8795-C3BA46FE244A}"/>
    <cellStyle name="20% - Accent6 3 2 2 4 2" xfId="36564" xr:uid="{F2E62FEE-4C7F-4325-B0CC-CEDBD49B5A1D}"/>
    <cellStyle name="20% - Accent6 3 2 2 4 2 2" xfId="55158" xr:uid="{318A6750-9FEC-4F4F-824D-61FD97865EC3}"/>
    <cellStyle name="20% - Accent6 3 2 2 4 3" xfId="45861" xr:uid="{1C642C75-BC4F-41C5-82DE-4B3E43B2CA25}"/>
    <cellStyle name="20% - Accent6 3 2 2 4 4" xfId="27265" xr:uid="{CF695259-3246-4FB6-8BB8-DC0A9E13E37E}"/>
    <cellStyle name="20% - Accent6 3 2 2 5" xfId="10073" xr:uid="{C7AF0A57-5CA3-4407-9EF6-16012C07486F}"/>
    <cellStyle name="20% - Accent6 3 2 2 5 2" xfId="46415" xr:uid="{ED0D3B94-BDDC-490D-B68D-AE3FEC721FF5}"/>
    <cellStyle name="20% - Accent6 3 2 2 5 3" xfId="27819" xr:uid="{301AAD6C-3F42-41EF-9D07-97746C68EA7F}"/>
    <cellStyle name="20% - Accent6 3 2 2 6" xfId="37118" xr:uid="{060B07F7-42F9-42FD-8560-A7081E0C7E70}"/>
    <cellStyle name="20% - Accent6 3 2 2 7" xfId="18520" xr:uid="{8DB3ECEC-5FF0-417A-9591-ED7EBFE42250}"/>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16848" xr:uid="{C99AEDA0-B52A-4102-BFF5-5C5D815ABF5C}"/>
    <cellStyle name="20% - Accent6 3 2 3 2 2 2 2" xfId="53190" xr:uid="{EAA00A6B-6DBE-42E5-94C3-7655E732265B}"/>
    <cellStyle name="20% - Accent6 3 2 3 2 2 2 3" xfId="34594" xr:uid="{A330F499-B97C-4D4D-931B-0C4E8F04CA89}"/>
    <cellStyle name="20% - Accent6 3 2 3 2 2 3" xfId="43893" xr:uid="{BF12D8BD-92D5-431D-9CC5-DC2B1D45EE83}"/>
    <cellStyle name="20% - Accent6 3 2 3 2 2 4" xfId="25295" xr:uid="{940709D2-B462-45DF-968D-88A94810C61A}"/>
    <cellStyle name="20% - Accent6 3 2 3 2 3" xfId="12631" xr:uid="{E9C9EC5C-D0E3-4D24-928D-7FBE125B0E8F}"/>
    <cellStyle name="20% - Accent6 3 2 3 2 3 2" xfId="48973" xr:uid="{B2B5D0CC-8A87-4FFA-B020-18F39E95C75C}"/>
    <cellStyle name="20% - Accent6 3 2 3 2 3 3" xfId="30377" xr:uid="{2CBE57EF-BEAE-40DC-B9FE-811EEB7A7640}"/>
    <cellStyle name="20% - Accent6 3 2 3 2 4" xfId="39676" xr:uid="{0939408C-F9CF-4F11-A94C-249ABF4E07F4}"/>
    <cellStyle name="20% - Accent6 3 2 3 2 5" xfId="21078" xr:uid="{3F8D211F-9462-4192-A587-5BC05D394EAF}"/>
    <cellStyle name="20% - Accent6 3 2 3 3" xfId="5377" xr:uid="{00000000-0005-0000-0000-00007B030000}"/>
    <cellStyle name="20% - Accent6 3 2 3 3 2" xfId="14703" xr:uid="{4A4BD22D-AC5D-4BC2-BF5C-6EBD62174CDF}"/>
    <cellStyle name="20% - Accent6 3 2 3 3 2 2" xfId="51045" xr:uid="{2D8597FE-6F40-498C-A6F5-D597B8F8598D}"/>
    <cellStyle name="20% - Accent6 3 2 3 3 2 3" xfId="32449" xr:uid="{6B1AEB96-7FBE-4B7E-888F-B2A4EC08CEF7}"/>
    <cellStyle name="20% - Accent6 3 2 3 3 3" xfId="41748" xr:uid="{80CA35F2-D710-4BCC-91A3-402EEFAA2067}"/>
    <cellStyle name="20% - Accent6 3 2 3 3 4" xfId="23150" xr:uid="{73EC08F0-10B0-4661-A226-D5880F559951}"/>
    <cellStyle name="20% - Accent6 3 2 3 4" xfId="10486" xr:uid="{663B396F-162E-4804-BD0D-97EC901016E4}"/>
    <cellStyle name="20% - Accent6 3 2 3 4 2" xfId="46828" xr:uid="{21D2D69A-76E8-4B61-9928-737F5022EE0A}"/>
    <cellStyle name="20% - Accent6 3 2 3 4 3" xfId="28232" xr:uid="{9AE9A0B0-5541-46BF-8C5A-385630ED9724}"/>
    <cellStyle name="20% - Accent6 3 2 3 5" xfId="37531" xr:uid="{F9A4368D-BB0B-46E0-9048-1BB0C5BB1F82}"/>
    <cellStyle name="20% - Accent6 3 2 3 6" xfId="18933" xr:uid="{5C0B7A03-48CA-4048-9748-891B39517564}"/>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17261" xr:uid="{5387174E-B3CA-485D-B142-5DF8AD5AAF3B}"/>
    <cellStyle name="20% - Accent6 3 2 4 2 2 2 2" xfId="53603" xr:uid="{B9D78CD3-AE87-4264-B97F-204E1C78DE75}"/>
    <cellStyle name="20% - Accent6 3 2 4 2 2 2 3" xfId="35007" xr:uid="{57D90DDB-BD8D-4452-8CFB-F4FF5B7F87CF}"/>
    <cellStyle name="20% - Accent6 3 2 4 2 2 3" xfId="44306" xr:uid="{5259CFCC-6458-498A-AB8F-CDD05839309B}"/>
    <cellStyle name="20% - Accent6 3 2 4 2 2 4" xfId="25708" xr:uid="{2B1FC677-9138-416B-93C4-4B55CCCF58AE}"/>
    <cellStyle name="20% - Accent6 3 2 4 2 3" xfId="13044" xr:uid="{C9006523-51C6-4A1E-8297-8B90F9C6277B}"/>
    <cellStyle name="20% - Accent6 3 2 4 2 3 2" xfId="49386" xr:uid="{F04501EE-0154-47EB-BBFD-907A5F167D4A}"/>
    <cellStyle name="20% - Accent6 3 2 4 2 3 3" xfId="30790" xr:uid="{BEEDA90F-B181-46A7-AB0F-7AC442930966}"/>
    <cellStyle name="20% - Accent6 3 2 4 2 4" xfId="40089" xr:uid="{BCD3637F-EDEB-4317-AFA1-78EF94E67182}"/>
    <cellStyle name="20% - Accent6 3 2 4 2 5" xfId="21491" xr:uid="{0F863805-584B-4F58-BB20-A00D47395E60}"/>
    <cellStyle name="20% - Accent6 3 2 4 3" xfId="5790" xr:uid="{00000000-0005-0000-0000-00007F030000}"/>
    <cellStyle name="20% - Accent6 3 2 4 3 2" xfId="15116" xr:uid="{0D1F8608-238A-4D16-BFEA-582F314C4CCF}"/>
    <cellStyle name="20% - Accent6 3 2 4 3 2 2" xfId="51458" xr:uid="{F67553DD-1FC4-4DA3-9560-C05F479B82B9}"/>
    <cellStyle name="20% - Accent6 3 2 4 3 2 3" xfId="32862" xr:uid="{8B78BCE6-16CB-47ED-A94A-AF758DF5EE8E}"/>
    <cellStyle name="20% - Accent6 3 2 4 3 3" xfId="42161" xr:uid="{518FB549-F2F6-47F3-82FB-F5A1166A68E7}"/>
    <cellStyle name="20% - Accent6 3 2 4 3 4" xfId="23563" xr:uid="{4FB28BF8-2643-4DC7-85DC-E0F7DE21C2BF}"/>
    <cellStyle name="20% - Accent6 3 2 4 4" xfId="10899" xr:uid="{302A41FA-D03A-4986-A5BB-C5F999426E94}"/>
    <cellStyle name="20% - Accent6 3 2 4 4 2" xfId="47241" xr:uid="{4364B74B-F8C0-423B-A16A-42837505C3DF}"/>
    <cellStyle name="20% - Accent6 3 2 4 4 3" xfId="28645" xr:uid="{79A76142-819B-46B2-841F-55DCE11C2F08}"/>
    <cellStyle name="20% - Accent6 3 2 4 5" xfId="37944" xr:uid="{FA2E9C53-28E7-41ED-92A0-AEDA0A884F45}"/>
    <cellStyle name="20% - Accent6 3 2 4 6" xfId="19346" xr:uid="{10F43F50-808B-4B3C-83BC-B4AE825DE279}"/>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17674" xr:uid="{35678467-8E61-480C-84DE-D7D9380B83A4}"/>
    <cellStyle name="20% - Accent6 3 2 5 2 2 2 2" xfId="54016" xr:uid="{636E07EC-2349-446F-B1B4-1F4466282189}"/>
    <cellStyle name="20% - Accent6 3 2 5 2 2 2 3" xfId="35420" xr:uid="{B6A8E0CC-07D3-4A7F-BE66-27D2187F257B}"/>
    <cellStyle name="20% - Accent6 3 2 5 2 2 3" xfId="44719" xr:uid="{AC9E9507-7384-4478-823E-0476EE59126B}"/>
    <cellStyle name="20% - Accent6 3 2 5 2 2 4" xfId="26121" xr:uid="{988AC43A-2E3A-4B39-9FCE-B3FCF8623F06}"/>
    <cellStyle name="20% - Accent6 3 2 5 2 3" xfId="13457" xr:uid="{B4B0D504-468D-4DA5-8074-0BC65C1BB699}"/>
    <cellStyle name="20% - Accent6 3 2 5 2 3 2" xfId="49799" xr:uid="{3E6910B6-6FD5-41AC-BA7B-0E99C9EDCA42}"/>
    <cellStyle name="20% - Accent6 3 2 5 2 3 3" xfId="31203" xr:uid="{DFDC3499-2FF1-4E77-9797-BC83766624F3}"/>
    <cellStyle name="20% - Accent6 3 2 5 2 4" xfId="40502" xr:uid="{259AFB7A-9ED2-4CE9-AAA2-2B57C060EE05}"/>
    <cellStyle name="20% - Accent6 3 2 5 2 5" xfId="21904" xr:uid="{5A1ABCF6-3DD1-49DA-A5FB-1FA40A392747}"/>
    <cellStyle name="20% - Accent6 3 2 5 3" xfId="6203" xr:uid="{00000000-0005-0000-0000-000083030000}"/>
    <cellStyle name="20% - Accent6 3 2 5 3 2" xfId="15529" xr:uid="{8540641A-9886-4101-B20C-7E7B4B434DEC}"/>
    <cellStyle name="20% - Accent6 3 2 5 3 2 2" xfId="51871" xr:uid="{6D781D5D-0149-4E87-976C-CD7EF7E5D1D7}"/>
    <cellStyle name="20% - Accent6 3 2 5 3 2 3" xfId="33275" xr:uid="{0020920A-2A93-4D68-AE58-E274CEF03F68}"/>
    <cellStyle name="20% - Accent6 3 2 5 3 3" xfId="42574" xr:uid="{FE89693B-C688-4C6E-9560-CAFD4C6D9C6A}"/>
    <cellStyle name="20% - Accent6 3 2 5 3 4" xfId="23976" xr:uid="{35867CCB-8F48-4839-A044-270666FF35E5}"/>
    <cellStyle name="20% - Accent6 3 2 5 4" xfId="11312" xr:uid="{7B0FD797-E1BE-4A8A-8D22-44145A7AB4AE}"/>
    <cellStyle name="20% - Accent6 3 2 5 4 2" xfId="47654" xr:uid="{9B245DC5-743F-4097-92E5-5BCD260B5CC3}"/>
    <cellStyle name="20% - Accent6 3 2 5 4 3" xfId="29058" xr:uid="{D5FE5195-2B87-4128-8BAB-452D4A62BF97}"/>
    <cellStyle name="20% - Accent6 3 2 5 5" xfId="38357" xr:uid="{3CCB952B-D066-43CF-B808-33B8662F9ECE}"/>
    <cellStyle name="20% - Accent6 3 2 5 6" xfId="19759" xr:uid="{8D2BCC11-5658-4833-B8D8-B50D8A81C1D5}"/>
    <cellStyle name="20% - Accent6 3 2 6" xfId="2310" xr:uid="{00000000-0005-0000-0000-000084030000}"/>
    <cellStyle name="20% - Accent6 3 2 6 2" xfId="6616" xr:uid="{00000000-0005-0000-0000-000085030000}"/>
    <cellStyle name="20% - Accent6 3 2 6 2 2" xfId="15942" xr:uid="{6C0AA385-BF08-45AC-9218-83DCEE7E131F}"/>
    <cellStyle name="20% - Accent6 3 2 6 2 2 2" xfId="52284" xr:uid="{6CFE0CEC-9729-43B1-87B0-B0EBE76988D9}"/>
    <cellStyle name="20% - Accent6 3 2 6 2 2 3" xfId="33688" xr:uid="{B61E8B60-B9FF-4C15-9399-0B2F9BF85E46}"/>
    <cellStyle name="20% - Accent6 3 2 6 2 3" xfId="42987" xr:uid="{0671DD14-D499-4A24-987C-31ADE6B869CB}"/>
    <cellStyle name="20% - Accent6 3 2 6 2 4" xfId="24389" xr:uid="{C9A7A8BE-F57A-46B9-99AE-F77DA2E60FF5}"/>
    <cellStyle name="20% - Accent6 3 2 6 3" xfId="11725" xr:uid="{6DF78D88-3781-4E71-8F45-AD62BBC04B0E}"/>
    <cellStyle name="20% - Accent6 3 2 6 3 2" xfId="48067" xr:uid="{5DD30232-088A-422E-95D0-FDBEC05F3F73}"/>
    <cellStyle name="20% - Accent6 3 2 6 3 3" xfId="29471" xr:uid="{65F56BE6-3D96-41C1-BB31-0F5F86F06021}"/>
    <cellStyle name="20% - Accent6 3 2 6 4" xfId="38770" xr:uid="{9C0575FC-E7F3-4602-AA7B-507D1DBCBA9E}"/>
    <cellStyle name="20% - Accent6 3 2 6 5" xfId="20172" xr:uid="{FDCF02D2-5352-42F9-99CB-38CF50262EA3}"/>
    <cellStyle name="20% - Accent6 3 2 7" xfId="4550" xr:uid="{00000000-0005-0000-0000-000086030000}"/>
    <cellStyle name="20% - Accent6 3 2 7 2" xfId="13876" xr:uid="{D2869206-8706-4CA2-A2F5-6C59BF8761BB}"/>
    <cellStyle name="20% - Accent6 3 2 7 2 2" xfId="50218" xr:uid="{92CAA415-06C0-4F03-A100-0AE5556241E3}"/>
    <cellStyle name="20% - Accent6 3 2 7 2 3" xfId="31622" xr:uid="{7B0ABA41-EF52-4D1F-A182-160922E80DAD}"/>
    <cellStyle name="20% - Accent6 3 2 7 3" xfId="40921" xr:uid="{FF0F6910-3D65-4558-8ABB-365DBCCA918E}"/>
    <cellStyle name="20% - Accent6 3 2 7 4" xfId="22323" xr:uid="{79A1B9F7-92CF-4648-8062-9104889DB60F}"/>
    <cellStyle name="20% - Accent6 3 2 8" xfId="9078" xr:uid="{55C63253-C10A-44F0-A9A1-D3E9AD1B1E77}"/>
    <cellStyle name="20% - Accent6 3 2 8 2" xfId="36148" xr:uid="{44042669-D761-4273-BB74-1A39F90622DC}"/>
    <cellStyle name="20% - Accent6 3 2 8 2 2" xfId="54743" xr:uid="{5EC0FF09-44B0-4B0C-BC95-E76F1E2DF4EC}"/>
    <cellStyle name="20% - Accent6 3 2 8 3" xfId="45446" xr:uid="{2F45E515-D2A3-4EFB-B6AF-C42D1F4CF69F}"/>
    <cellStyle name="20% - Accent6 3 2 8 4" xfId="26849" xr:uid="{11926E55-B94E-41AC-BB60-1FDB01DC028C}"/>
    <cellStyle name="20% - Accent6 3 2 9" xfId="9659" xr:uid="{730430C8-DE85-4054-8D16-3BF019DDE6E9}"/>
    <cellStyle name="20% - Accent6 3 2 9 2" xfId="46001" xr:uid="{B089E2AC-19FF-43F5-B2D5-C0DF59E9FE92}"/>
    <cellStyle name="20% - Accent6 3 2 9 3" xfId="27405" xr:uid="{22ECC7F2-5425-41CF-9AC0-D338F65B65A1}"/>
    <cellStyle name="20% - Accent6 3 3" xfId="615" xr:uid="{00000000-0005-0000-0000-000087030000}"/>
    <cellStyle name="20% - Accent6 3 3 2" xfId="2886" xr:uid="{00000000-0005-0000-0000-000088030000}"/>
    <cellStyle name="20% - Accent6 3 3 2 2" xfId="7108" xr:uid="{00000000-0005-0000-0000-000089030000}"/>
    <cellStyle name="20% - Accent6 3 3 2 2 2" xfId="16434" xr:uid="{962B8EB7-6333-4A84-AD5C-1CC05040FDF2}"/>
    <cellStyle name="20% - Accent6 3 3 2 2 2 2" xfId="52776" xr:uid="{ED8459B0-73E3-4B95-91E7-9FA423CF9B51}"/>
    <cellStyle name="20% - Accent6 3 3 2 2 2 3" xfId="34180" xr:uid="{22AF7AB9-42DF-4CCA-BD15-FA54B3E57BB5}"/>
    <cellStyle name="20% - Accent6 3 3 2 2 3" xfId="43479" xr:uid="{F017EEA5-7E1D-4BC0-AAED-AA9D7F633B40}"/>
    <cellStyle name="20% - Accent6 3 3 2 2 4" xfId="24881" xr:uid="{96EA71E5-D231-425E-BDEE-D8CDBF95BCD1}"/>
    <cellStyle name="20% - Accent6 3 3 2 3" xfId="12217" xr:uid="{1B9D8971-7909-43EB-9619-3FFAB590BA4C}"/>
    <cellStyle name="20% - Accent6 3 3 2 3 2" xfId="48559" xr:uid="{97EDEA17-3DC5-4491-92A6-3653934A7865}"/>
    <cellStyle name="20% - Accent6 3 3 2 3 3" xfId="29963" xr:uid="{65EADD8D-26DA-4C8F-A0CC-DF54DF7B1E2D}"/>
    <cellStyle name="20% - Accent6 3 3 2 4" xfId="39262" xr:uid="{F6E4ADDE-4445-4AAB-B9B7-E9E99592178E}"/>
    <cellStyle name="20% - Accent6 3 3 2 5" xfId="20664" xr:uid="{865D5B4D-2BFC-4AB7-84CE-A8786287FC14}"/>
    <cellStyle name="20% - Accent6 3 3 3" xfId="4963" xr:uid="{00000000-0005-0000-0000-00008A030000}"/>
    <cellStyle name="20% - Accent6 3 3 3 2" xfId="14289" xr:uid="{44583146-C5E7-41FA-BE49-A67699F565E7}"/>
    <cellStyle name="20% - Accent6 3 3 3 2 2" xfId="50631" xr:uid="{B4282470-2172-4F39-BC7E-B55FAA6C075B}"/>
    <cellStyle name="20% - Accent6 3 3 3 2 3" xfId="32035" xr:uid="{D43ECA20-06F7-4B6A-8CB8-80DC8F9A6940}"/>
    <cellStyle name="20% - Accent6 3 3 3 3" xfId="41334" xr:uid="{3A3469D0-003A-4D52-8C0E-6666A3D75178}"/>
    <cellStyle name="20% - Accent6 3 3 3 4" xfId="22736" xr:uid="{C294322B-08C7-4DE7-93B7-1BD67219F419}"/>
    <cellStyle name="20% - Accent6 3 3 4" xfId="9296" xr:uid="{68DBDAD1-945F-459A-93CE-56D312D1EDE4}"/>
    <cellStyle name="20% - Accent6 3 3 4 2" xfId="36357" xr:uid="{00A8A0A9-915F-4DED-A7D6-B9DB92F4FA66}"/>
    <cellStyle name="20% - Accent6 3 3 4 2 2" xfId="54951" xr:uid="{0EB4CBB9-B196-4519-AC74-0A1CBE55E639}"/>
    <cellStyle name="20% - Accent6 3 3 4 3" xfId="45654" xr:uid="{66DFA2F8-F75F-4634-B128-06CF44837930}"/>
    <cellStyle name="20% - Accent6 3 3 4 4" xfId="27058" xr:uid="{9ED3335C-6BBF-4455-AC87-773F9950AB24}"/>
    <cellStyle name="20% - Accent6 3 3 5" xfId="10072" xr:uid="{32972D01-BC53-4C9B-BFF6-E34985119A48}"/>
    <cellStyle name="20% - Accent6 3 3 5 2" xfId="46414" xr:uid="{25639778-4416-45FE-AA1D-C50DDD9479FC}"/>
    <cellStyle name="20% - Accent6 3 3 5 3" xfId="27818" xr:uid="{6C57B0A8-77A5-46BF-880C-4BA080294809}"/>
    <cellStyle name="20% - Accent6 3 3 6" xfId="37117" xr:uid="{121A8783-F677-43B3-9F70-3D6DF4758ABE}"/>
    <cellStyle name="20% - Accent6 3 3 7" xfId="18519" xr:uid="{051A4215-4A2D-4B00-A929-73BD0E9DE051}"/>
    <cellStyle name="20% - Accent6 3 4" xfId="1068" xr:uid="{00000000-0005-0000-0000-00008B030000}"/>
    <cellStyle name="20% - Accent6 3 4 2" xfId="3299" xr:uid="{00000000-0005-0000-0000-00008C030000}"/>
    <cellStyle name="20% - Accent6 3 4 2 2" xfId="7521" xr:uid="{00000000-0005-0000-0000-00008D030000}"/>
    <cellStyle name="20% - Accent6 3 4 2 2 2" xfId="16847" xr:uid="{93F117AA-55F3-4105-A6B6-F495E29D6C97}"/>
    <cellStyle name="20% - Accent6 3 4 2 2 2 2" xfId="53189" xr:uid="{A9C70BE8-6939-4F1A-B144-7C5750051648}"/>
    <cellStyle name="20% - Accent6 3 4 2 2 2 3" xfId="34593" xr:uid="{F62DC08B-32D1-4EA8-8035-4CB6E09903FD}"/>
    <cellStyle name="20% - Accent6 3 4 2 2 3" xfId="43892" xr:uid="{2E75D208-2EF6-40BB-9B5F-2C9CCB32C6E9}"/>
    <cellStyle name="20% - Accent6 3 4 2 2 4" xfId="25294" xr:uid="{ADD0FFE4-6125-40FC-B0BB-E131F3A395FE}"/>
    <cellStyle name="20% - Accent6 3 4 2 3" xfId="12630" xr:uid="{56FB5AA9-8468-4F8A-8ED7-66E5E6FF0B26}"/>
    <cellStyle name="20% - Accent6 3 4 2 3 2" xfId="48972" xr:uid="{B6B496FC-1DBF-45CB-9001-A4ECE54EFC51}"/>
    <cellStyle name="20% - Accent6 3 4 2 3 3" xfId="30376" xr:uid="{A53467C4-E0C0-4F1E-8447-9145CDA657EA}"/>
    <cellStyle name="20% - Accent6 3 4 2 4" xfId="39675" xr:uid="{EA941DA8-D9EB-4A3D-A646-8A43845D6270}"/>
    <cellStyle name="20% - Accent6 3 4 2 5" xfId="21077" xr:uid="{49454594-DEA1-4409-89BD-E8FA359C61DB}"/>
    <cellStyle name="20% - Accent6 3 4 3" xfId="5376" xr:uid="{00000000-0005-0000-0000-00008E030000}"/>
    <cellStyle name="20% - Accent6 3 4 3 2" xfId="14702" xr:uid="{BFC671BB-4C59-497C-B494-6BCCE2413634}"/>
    <cellStyle name="20% - Accent6 3 4 3 2 2" xfId="51044" xr:uid="{589149E5-DB19-499F-9E2E-36A2D541BF50}"/>
    <cellStyle name="20% - Accent6 3 4 3 2 3" xfId="32448" xr:uid="{5F49FF83-BD4B-4053-835D-F6A17BEB56E1}"/>
    <cellStyle name="20% - Accent6 3 4 3 3" xfId="41747" xr:uid="{524377B7-4223-49F5-A01E-A7BDFDBBB784}"/>
    <cellStyle name="20% - Accent6 3 4 3 4" xfId="23149" xr:uid="{6DC1C7D6-62AD-4929-B145-D014E4BEFF8A}"/>
    <cellStyle name="20% - Accent6 3 4 4" xfId="10485" xr:uid="{F0EFE999-B504-4001-B966-9AF2A3711EEE}"/>
    <cellStyle name="20% - Accent6 3 4 4 2" xfId="46827" xr:uid="{768F9558-951A-4BF1-A933-BE285B2ED4D2}"/>
    <cellStyle name="20% - Accent6 3 4 4 3" xfId="28231" xr:uid="{668FDD75-58C4-4744-808B-7D39F20BFED6}"/>
    <cellStyle name="20% - Accent6 3 4 5" xfId="37530" xr:uid="{1AB6AE4F-D435-4363-946C-86914BB664C0}"/>
    <cellStyle name="20% - Accent6 3 4 6" xfId="18932" xr:uid="{4547D58E-A127-44EF-9B92-243B0CD0BA2C}"/>
    <cellStyle name="20% - Accent6 3 5" xfId="1482" xr:uid="{00000000-0005-0000-0000-00008F030000}"/>
    <cellStyle name="20% - Accent6 3 5 2" xfId="3712" xr:uid="{00000000-0005-0000-0000-000090030000}"/>
    <cellStyle name="20% - Accent6 3 5 2 2" xfId="7934" xr:uid="{00000000-0005-0000-0000-000091030000}"/>
    <cellStyle name="20% - Accent6 3 5 2 2 2" xfId="17260" xr:uid="{5070AAB5-0F3B-4FD9-84A3-F4063B386F1A}"/>
    <cellStyle name="20% - Accent6 3 5 2 2 2 2" xfId="53602" xr:uid="{4CEA0416-9C36-4E8B-9EDE-EEC737A1BB10}"/>
    <cellStyle name="20% - Accent6 3 5 2 2 2 3" xfId="35006" xr:uid="{54324ADD-7BB9-4EBE-915C-90D882BF8067}"/>
    <cellStyle name="20% - Accent6 3 5 2 2 3" xfId="44305" xr:uid="{E0280CD8-8E90-4D3A-A89E-9D2EFA328FA3}"/>
    <cellStyle name="20% - Accent6 3 5 2 2 4" xfId="25707" xr:uid="{8877BD8F-9D19-44A7-88FF-18253C324A62}"/>
    <cellStyle name="20% - Accent6 3 5 2 3" xfId="13043" xr:uid="{427CC208-0762-4520-A280-AC9A6C788CF3}"/>
    <cellStyle name="20% - Accent6 3 5 2 3 2" xfId="49385" xr:uid="{8242AEC7-3C02-48E9-8B69-AB21ECFAC904}"/>
    <cellStyle name="20% - Accent6 3 5 2 3 3" xfId="30789" xr:uid="{E4531671-AD72-46F7-AAE2-C253833CE3F5}"/>
    <cellStyle name="20% - Accent6 3 5 2 4" xfId="40088" xr:uid="{8F3482DA-080A-4DA4-AA0D-FAE0A722A958}"/>
    <cellStyle name="20% - Accent6 3 5 2 5" xfId="21490" xr:uid="{34558532-F6AE-4BAD-BDAC-3F12DBC061DE}"/>
    <cellStyle name="20% - Accent6 3 5 3" xfId="5789" xr:uid="{00000000-0005-0000-0000-000092030000}"/>
    <cellStyle name="20% - Accent6 3 5 3 2" xfId="15115" xr:uid="{9A332258-DA9A-4CAD-80F8-E2B14A1D2E0C}"/>
    <cellStyle name="20% - Accent6 3 5 3 2 2" xfId="51457" xr:uid="{FE7A6F10-1E1C-483D-B211-646171453C9E}"/>
    <cellStyle name="20% - Accent6 3 5 3 2 3" xfId="32861" xr:uid="{2BB70981-F498-4569-86D4-7CE4CA09CDFD}"/>
    <cellStyle name="20% - Accent6 3 5 3 3" xfId="42160" xr:uid="{9CD7F5A3-C1CF-43CD-9676-15F037B7D202}"/>
    <cellStyle name="20% - Accent6 3 5 3 4" xfId="23562" xr:uid="{4D539611-FAC0-40EC-A335-D5B6BEA103BB}"/>
    <cellStyle name="20% - Accent6 3 5 4" xfId="10898" xr:uid="{4D469CB1-55AF-4C24-AC88-E31D0AD9DDD2}"/>
    <cellStyle name="20% - Accent6 3 5 4 2" xfId="47240" xr:uid="{C3B6B78B-887F-40FE-8E06-0F8508649E5C}"/>
    <cellStyle name="20% - Accent6 3 5 4 3" xfId="28644" xr:uid="{4EDF0F60-8509-46D6-91C1-C08336B35CEA}"/>
    <cellStyle name="20% - Accent6 3 5 5" xfId="37943" xr:uid="{E3254FCF-0BC9-4C6A-ADBE-4259355609CE}"/>
    <cellStyle name="20% - Accent6 3 5 6" xfId="19345" xr:uid="{39BFADA1-2C33-420F-8EAB-A1A145725DF0}"/>
    <cellStyle name="20% - Accent6 3 6" xfId="1896" xr:uid="{00000000-0005-0000-0000-000093030000}"/>
    <cellStyle name="20% - Accent6 3 6 2" xfId="4125" xr:uid="{00000000-0005-0000-0000-000094030000}"/>
    <cellStyle name="20% - Accent6 3 6 2 2" xfId="8347" xr:uid="{00000000-0005-0000-0000-000095030000}"/>
    <cellStyle name="20% - Accent6 3 6 2 2 2" xfId="17673" xr:uid="{938BFFE4-E718-40DE-AE2E-B1978FC04634}"/>
    <cellStyle name="20% - Accent6 3 6 2 2 2 2" xfId="54015" xr:uid="{EC075B61-5FDA-4988-96CA-9F4926C51898}"/>
    <cellStyle name="20% - Accent6 3 6 2 2 2 3" xfId="35419" xr:uid="{B414E8C0-4EC5-4919-A35A-AE1F267E1AE0}"/>
    <cellStyle name="20% - Accent6 3 6 2 2 3" xfId="44718" xr:uid="{94D9CBD7-3191-49FC-B689-CAAE02CBE0C9}"/>
    <cellStyle name="20% - Accent6 3 6 2 2 4" xfId="26120" xr:uid="{095A744D-BED4-4B63-861B-B9354B0EC4D1}"/>
    <cellStyle name="20% - Accent6 3 6 2 3" xfId="13456" xr:uid="{03F9DAD1-346F-404E-96BB-BDA7703230B9}"/>
    <cellStyle name="20% - Accent6 3 6 2 3 2" xfId="49798" xr:uid="{A50FDE97-2D2F-4133-A60B-5983838B1DBF}"/>
    <cellStyle name="20% - Accent6 3 6 2 3 3" xfId="31202" xr:uid="{13FECDE7-5A9C-4AA9-9E7D-705CE217F8D7}"/>
    <cellStyle name="20% - Accent6 3 6 2 4" xfId="40501" xr:uid="{F518833D-250A-4F53-B35B-681826E1AC35}"/>
    <cellStyle name="20% - Accent6 3 6 2 5" xfId="21903" xr:uid="{2FF053B5-B913-4A27-8BF5-F7322B1531F7}"/>
    <cellStyle name="20% - Accent6 3 6 3" xfId="6202" xr:uid="{00000000-0005-0000-0000-000096030000}"/>
    <cellStyle name="20% - Accent6 3 6 3 2" xfId="15528" xr:uid="{A8E136F3-6E89-4603-B10C-CEBCA1A3426E}"/>
    <cellStyle name="20% - Accent6 3 6 3 2 2" xfId="51870" xr:uid="{0B82D35B-374B-4FF1-B084-AE6DBCDA0639}"/>
    <cellStyle name="20% - Accent6 3 6 3 2 3" xfId="33274" xr:uid="{549DCB48-0DE1-43E5-ABBA-7AA976878D8E}"/>
    <cellStyle name="20% - Accent6 3 6 3 3" xfId="42573" xr:uid="{D1E78B5C-C56E-45A4-AF01-E5705947B8E5}"/>
    <cellStyle name="20% - Accent6 3 6 3 4" xfId="23975" xr:uid="{7DF2095E-5EB6-486E-8B34-36A4927F2C9E}"/>
    <cellStyle name="20% - Accent6 3 6 4" xfId="11311" xr:uid="{1FC66F1B-FD9A-4C04-BB97-CFAD905EFC44}"/>
    <cellStyle name="20% - Accent6 3 6 4 2" xfId="47653" xr:uid="{08AB71DD-3255-48C6-BA4C-B12F66E8FFE6}"/>
    <cellStyle name="20% - Accent6 3 6 4 3" xfId="29057" xr:uid="{31B440E6-885F-4ED3-B888-2A4172BF8586}"/>
    <cellStyle name="20% - Accent6 3 6 5" xfId="38356" xr:uid="{89ED58E8-4983-4750-825D-7A4394831DF4}"/>
    <cellStyle name="20% - Accent6 3 6 6" xfId="19758" xr:uid="{1821E856-4BC3-4CEA-A6E6-9933ECD946E3}"/>
    <cellStyle name="20% - Accent6 3 7" xfId="2309" xr:uid="{00000000-0005-0000-0000-000097030000}"/>
    <cellStyle name="20% - Accent6 3 7 2" xfId="6615" xr:uid="{00000000-0005-0000-0000-000098030000}"/>
    <cellStyle name="20% - Accent6 3 7 2 2" xfId="15941" xr:uid="{191CF466-76A9-47CA-AE80-80C16DDFB200}"/>
    <cellStyle name="20% - Accent6 3 7 2 2 2" xfId="52283" xr:uid="{5C06811E-64ED-482A-8FE9-50D7627EA312}"/>
    <cellStyle name="20% - Accent6 3 7 2 2 3" xfId="33687" xr:uid="{E79D14C8-F9EF-46EB-AC14-5A204AE2108B}"/>
    <cellStyle name="20% - Accent6 3 7 2 3" xfId="42986" xr:uid="{D159A13A-B8D1-4A29-8A70-E0A60B4A072A}"/>
    <cellStyle name="20% - Accent6 3 7 2 4" xfId="24388" xr:uid="{0D80CA36-2F18-4690-A84E-5C6DF12ECA64}"/>
    <cellStyle name="20% - Accent6 3 7 3" xfId="11724" xr:uid="{B83339FA-4029-4ADB-A90B-53122E534E80}"/>
    <cellStyle name="20% - Accent6 3 7 3 2" xfId="48066" xr:uid="{EC4E41B8-727D-4DC8-A67C-AA6509E8CBFD}"/>
    <cellStyle name="20% - Accent6 3 7 3 3" xfId="29470" xr:uid="{C461089C-4BEE-42E3-820C-C94F39AE451C}"/>
    <cellStyle name="20% - Accent6 3 7 4" xfId="38769" xr:uid="{3809F155-0103-48DB-8842-AEBADA64CFD9}"/>
    <cellStyle name="20% - Accent6 3 7 5" xfId="20171" xr:uid="{D86D5A4C-A175-4FBB-ACA9-6CA207FCD2A4}"/>
    <cellStyle name="20% - Accent6 3 8" xfId="4549" xr:uid="{00000000-0005-0000-0000-000099030000}"/>
    <cellStyle name="20% - Accent6 3 8 2" xfId="13875" xr:uid="{15A19DE6-62DE-45F6-B396-D537220806A6}"/>
    <cellStyle name="20% - Accent6 3 8 2 2" xfId="50217" xr:uid="{3CD8EA3D-F03E-474B-8B01-694B19A01ED4}"/>
    <cellStyle name="20% - Accent6 3 8 2 3" xfId="31621" xr:uid="{317ACABC-9912-4C30-B7C2-0AD84A674097}"/>
    <cellStyle name="20% - Accent6 3 8 3" xfId="40920" xr:uid="{2E932456-9B22-49A2-AC45-58682FD3F599}"/>
    <cellStyle name="20% - Accent6 3 8 4" xfId="22322" xr:uid="{DE5A35A6-1DE8-45D6-991A-B9694342E6B9}"/>
    <cellStyle name="20% - Accent6 3 9" xfId="8871" xr:uid="{6A653046-C3D6-46DC-9DAA-DA1241CBE9F0}"/>
    <cellStyle name="20% - Accent6 3 9 2" xfId="35941" xr:uid="{4B01A360-66C6-483C-AA7B-C102D90E437E}"/>
    <cellStyle name="20% - Accent6 3 9 2 2" xfId="54536" xr:uid="{BBC54DCF-948D-4DE7-AE8A-5EC4156F7968}"/>
    <cellStyle name="20% - Accent6 3 9 3" xfId="45239" xr:uid="{8569AE40-3C48-48BA-8B99-2700FD63A1BC}"/>
    <cellStyle name="20% - Accent6 3 9 4" xfId="26642" xr:uid="{D4819ACE-5E9C-4937-8BA7-11054FCA7801}"/>
    <cellStyle name="20% - Accent6 4" xfId="48" xr:uid="{00000000-0005-0000-0000-00009A030000}"/>
    <cellStyle name="20% - Accent6 4 10" xfId="36705" xr:uid="{14D68410-7A9D-49CD-B971-6507FFA2ACC7}"/>
    <cellStyle name="20% - Accent6 4 11" xfId="18107" xr:uid="{65227E51-CC49-4509-8706-54DF4B01EABB}"/>
    <cellStyle name="20% - Accent6 4 2" xfId="617" xr:uid="{00000000-0005-0000-0000-00009B030000}"/>
    <cellStyle name="20% - Accent6 4 2 2" xfId="2888" xr:uid="{00000000-0005-0000-0000-00009C030000}"/>
    <cellStyle name="20% - Accent6 4 2 2 2" xfId="7110" xr:uid="{00000000-0005-0000-0000-00009D030000}"/>
    <cellStyle name="20% - Accent6 4 2 2 2 2" xfId="16436" xr:uid="{42F2F2F9-561F-4947-8DCA-CE4702256AAE}"/>
    <cellStyle name="20% - Accent6 4 2 2 2 2 2" xfId="52778" xr:uid="{489C9E2A-F140-403D-9743-61E87D3136FF}"/>
    <cellStyle name="20% - Accent6 4 2 2 2 2 3" xfId="34182" xr:uid="{FC070D7E-2C3A-4915-923C-9A86995F53B4}"/>
    <cellStyle name="20% - Accent6 4 2 2 2 3" xfId="43481" xr:uid="{52CCFC97-C56B-4FCD-A8E1-14C8435D6EF5}"/>
    <cellStyle name="20% - Accent6 4 2 2 2 4" xfId="24883" xr:uid="{5768E4C7-A406-4857-BD04-CA7B0D88398C}"/>
    <cellStyle name="20% - Accent6 4 2 2 3" xfId="12219" xr:uid="{7D39AE85-B371-442B-B3C1-AB6EC056D7A2}"/>
    <cellStyle name="20% - Accent6 4 2 2 3 2" xfId="48561" xr:uid="{C926B3CF-1BBE-4CDD-892B-15C5875FFD6D}"/>
    <cellStyle name="20% - Accent6 4 2 2 3 3" xfId="29965" xr:uid="{4E00A695-B756-43DA-B61D-E18C8F38F6B3}"/>
    <cellStyle name="20% - Accent6 4 2 2 4" xfId="39264" xr:uid="{93559961-40D8-43A9-A62B-7E3CDCD4E5F6}"/>
    <cellStyle name="20% - Accent6 4 2 2 5" xfId="20666" xr:uid="{43301AF5-119D-4970-98B0-74D566EF0F26}"/>
    <cellStyle name="20% - Accent6 4 2 3" xfId="4965" xr:uid="{00000000-0005-0000-0000-00009E030000}"/>
    <cellStyle name="20% - Accent6 4 2 3 2" xfId="14291" xr:uid="{60940196-55C8-49F7-B233-4A21915BF399}"/>
    <cellStyle name="20% - Accent6 4 2 3 2 2" xfId="50633" xr:uid="{315B7E5E-F6E4-413B-BBAD-BC5D308CE18B}"/>
    <cellStyle name="20% - Accent6 4 2 3 2 3" xfId="32037" xr:uid="{193FF5EC-87AC-4ADB-B612-49E5C4F44EDE}"/>
    <cellStyle name="20% - Accent6 4 2 3 3" xfId="41336" xr:uid="{5319ABE3-2626-4EBA-8F51-C26770FD4C02}"/>
    <cellStyle name="20% - Accent6 4 2 3 4" xfId="22738" xr:uid="{7D894843-6EE4-415A-AA97-2224CE020064}"/>
    <cellStyle name="20% - Accent6 4 2 4" xfId="9382" xr:uid="{704ED43C-A59A-4E80-A03F-B933767E3A55}"/>
    <cellStyle name="20% - Accent6 4 2 4 2" xfId="36443" xr:uid="{D8F6679A-B024-4BA4-B84E-94C14448CF7A}"/>
    <cellStyle name="20% - Accent6 4 2 4 2 2" xfId="55037" xr:uid="{F20320B4-5E57-4135-967D-1934E3449385}"/>
    <cellStyle name="20% - Accent6 4 2 4 3" xfId="45740" xr:uid="{7B769563-52B6-4453-AA0A-B7FE336805E8}"/>
    <cellStyle name="20% - Accent6 4 2 4 4" xfId="27144" xr:uid="{8D54074C-EA46-4C6F-A7A5-0EA504B9CC0B}"/>
    <cellStyle name="20% - Accent6 4 2 5" xfId="10074" xr:uid="{EBE24BAA-BA7D-40E3-BA3D-9E8BD6E5C89E}"/>
    <cellStyle name="20% - Accent6 4 2 5 2" xfId="46416" xr:uid="{B8C4A309-EC35-4170-82E1-7B9161A33C1A}"/>
    <cellStyle name="20% - Accent6 4 2 5 3" xfId="27820" xr:uid="{3DACD3C3-5AAD-4652-B37A-E05C9CDDDC6F}"/>
    <cellStyle name="20% - Accent6 4 2 6" xfId="37119" xr:uid="{28CE7D36-3B49-421F-AB9B-D5BF14ABAFAF}"/>
    <cellStyle name="20% - Accent6 4 2 7" xfId="18521" xr:uid="{2C9E2D1C-D3C3-4000-97C3-0F8C3D005DED}"/>
    <cellStyle name="20% - Accent6 4 3" xfId="1070" xr:uid="{00000000-0005-0000-0000-00009F030000}"/>
    <cellStyle name="20% - Accent6 4 3 2" xfId="3301" xr:uid="{00000000-0005-0000-0000-0000A0030000}"/>
    <cellStyle name="20% - Accent6 4 3 2 2" xfId="7523" xr:uid="{00000000-0005-0000-0000-0000A1030000}"/>
    <cellStyle name="20% - Accent6 4 3 2 2 2" xfId="16849" xr:uid="{C4116EAD-C962-40E2-9526-25C309820A0D}"/>
    <cellStyle name="20% - Accent6 4 3 2 2 2 2" xfId="53191" xr:uid="{72B8E5B4-4284-4BCE-8D01-D27A915E067C}"/>
    <cellStyle name="20% - Accent6 4 3 2 2 2 3" xfId="34595" xr:uid="{5BD93788-FA51-4D6B-8D19-562AA8BF1923}"/>
    <cellStyle name="20% - Accent6 4 3 2 2 3" xfId="43894" xr:uid="{463069B1-DCB4-4426-9563-64CB15D1FAE5}"/>
    <cellStyle name="20% - Accent6 4 3 2 2 4" xfId="25296" xr:uid="{CC7BE0E1-F055-4BFD-AF03-DFA747B49F88}"/>
    <cellStyle name="20% - Accent6 4 3 2 3" xfId="12632" xr:uid="{08A23804-43BC-4F26-B13A-AC1707384CF6}"/>
    <cellStyle name="20% - Accent6 4 3 2 3 2" xfId="48974" xr:uid="{DE7D1BE1-4FB5-47A7-BA7C-40B3DFD5EC7D}"/>
    <cellStyle name="20% - Accent6 4 3 2 3 3" xfId="30378" xr:uid="{5C351C17-20B4-4B65-85B1-E21CFB17DA68}"/>
    <cellStyle name="20% - Accent6 4 3 2 4" xfId="39677" xr:uid="{A58F9D7C-1012-4F99-A229-B78159389ED3}"/>
    <cellStyle name="20% - Accent6 4 3 2 5" xfId="21079" xr:uid="{E85E7FC8-535B-4AE8-8CE9-4A0B89B25ED9}"/>
    <cellStyle name="20% - Accent6 4 3 3" xfId="5378" xr:uid="{00000000-0005-0000-0000-0000A2030000}"/>
    <cellStyle name="20% - Accent6 4 3 3 2" xfId="14704" xr:uid="{CE7DC0F6-CD5B-49A8-B43D-EA1A8101EC44}"/>
    <cellStyle name="20% - Accent6 4 3 3 2 2" xfId="51046" xr:uid="{3AEA2AF1-D899-47A8-A617-4ECA0D00F4EF}"/>
    <cellStyle name="20% - Accent6 4 3 3 2 3" xfId="32450" xr:uid="{21366542-F984-41F8-B525-5A337C0064AA}"/>
    <cellStyle name="20% - Accent6 4 3 3 3" xfId="41749" xr:uid="{CE494378-DFF9-4C23-9F0A-3924032CBDD3}"/>
    <cellStyle name="20% - Accent6 4 3 3 4" xfId="23151" xr:uid="{0FBCCFBC-77D7-4A04-AD7E-6F047744B5A3}"/>
    <cellStyle name="20% - Accent6 4 3 4" xfId="10487" xr:uid="{4C736D2F-9045-482A-8EC7-BB0E54DE3569}"/>
    <cellStyle name="20% - Accent6 4 3 4 2" xfId="46829" xr:uid="{FACD504D-982F-4145-81D0-7E33AA062771}"/>
    <cellStyle name="20% - Accent6 4 3 4 3" xfId="28233" xr:uid="{F19ABB54-05C8-4A72-864D-65A852800AF6}"/>
    <cellStyle name="20% - Accent6 4 3 5" xfId="37532" xr:uid="{94049518-E8B1-4792-B344-F284436EF48A}"/>
    <cellStyle name="20% - Accent6 4 3 6" xfId="18934" xr:uid="{85D0619F-1BF5-4042-B1F5-A9E487BE4886}"/>
    <cellStyle name="20% - Accent6 4 4" xfId="1484" xr:uid="{00000000-0005-0000-0000-0000A3030000}"/>
    <cellStyle name="20% - Accent6 4 4 2" xfId="3714" xr:uid="{00000000-0005-0000-0000-0000A4030000}"/>
    <cellStyle name="20% - Accent6 4 4 2 2" xfId="7936" xr:uid="{00000000-0005-0000-0000-0000A5030000}"/>
    <cellStyle name="20% - Accent6 4 4 2 2 2" xfId="17262" xr:uid="{8CB01ADC-BE48-4AB6-81C1-063D543118EC}"/>
    <cellStyle name="20% - Accent6 4 4 2 2 2 2" xfId="53604" xr:uid="{F50CDD3F-D9DF-46CF-ADDE-87B203E8C260}"/>
    <cellStyle name="20% - Accent6 4 4 2 2 2 3" xfId="35008" xr:uid="{4776559B-2CD5-4B8D-BB65-0DF74551B770}"/>
    <cellStyle name="20% - Accent6 4 4 2 2 3" xfId="44307" xr:uid="{A8CB238A-B519-4EE6-BD1C-E0317841A0F6}"/>
    <cellStyle name="20% - Accent6 4 4 2 2 4" xfId="25709" xr:uid="{E59416FE-63A5-454D-8B61-AF937886558A}"/>
    <cellStyle name="20% - Accent6 4 4 2 3" xfId="13045" xr:uid="{4E264A71-3B36-4FDD-9FA2-A6966D9E6DCD}"/>
    <cellStyle name="20% - Accent6 4 4 2 3 2" xfId="49387" xr:uid="{4E5B1777-FB29-4822-8AB0-B950FCC88D76}"/>
    <cellStyle name="20% - Accent6 4 4 2 3 3" xfId="30791" xr:uid="{9EC07DEF-F1CE-4340-9570-4128B1B9F6AC}"/>
    <cellStyle name="20% - Accent6 4 4 2 4" xfId="40090" xr:uid="{71E1F9EE-BA04-403E-A71F-4D8ADD8E27A3}"/>
    <cellStyle name="20% - Accent6 4 4 2 5" xfId="21492" xr:uid="{C123FEAD-5039-4426-BCDC-E3689FD76F96}"/>
    <cellStyle name="20% - Accent6 4 4 3" xfId="5791" xr:uid="{00000000-0005-0000-0000-0000A6030000}"/>
    <cellStyle name="20% - Accent6 4 4 3 2" xfId="15117" xr:uid="{892C36B0-85C7-42F7-A5B6-149DB5BD6328}"/>
    <cellStyle name="20% - Accent6 4 4 3 2 2" xfId="51459" xr:uid="{EB7F1D18-47D6-4733-A53D-CDCB04A40ABC}"/>
    <cellStyle name="20% - Accent6 4 4 3 2 3" xfId="32863" xr:uid="{1AFBF670-E6CE-4191-A1A7-D27BFE5F74EF}"/>
    <cellStyle name="20% - Accent6 4 4 3 3" xfId="42162" xr:uid="{95BF1357-6567-4B7C-A97B-3665EDA3A38B}"/>
    <cellStyle name="20% - Accent6 4 4 3 4" xfId="23564" xr:uid="{4EC4914C-F4F3-46B8-9963-163204731D1B}"/>
    <cellStyle name="20% - Accent6 4 4 4" xfId="10900" xr:uid="{AB7F200F-6E36-4D34-9A99-5D79B96DDBF7}"/>
    <cellStyle name="20% - Accent6 4 4 4 2" xfId="47242" xr:uid="{E112B21C-297F-43AA-8324-74703A07C147}"/>
    <cellStyle name="20% - Accent6 4 4 4 3" xfId="28646" xr:uid="{FC47B6D1-811D-4293-8772-253C11137659}"/>
    <cellStyle name="20% - Accent6 4 4 5" xfId="37945" xr:uid="{3153B578-862E-4062-8D0A-758200D70842}"/>
    <cellStyle name="20% - Accent6 4 4 6" xfId="19347" xr:uid="{4CD96E6B-3500-4113-B814-12DCA67B7576}"/>
    <cellStyle name="20% - Accent6 4 5" xfId="1898" xr:uid="{00000000-0005-0000-0000-0000A7030000}"/>
    <cellStyle name="20% - Accent6 4 5 2" xfId="4127" xr:uid="{00000000-0005-0000-0000-0000A8030000}"/>
    <cellStyle name="20% - Accent6 4 5 2 2" xfId="8349" xr:uid="{00000000-0005-0000-0000-0000A9030000}"/>
    <cellStyle name="20% - Accent6 4 5 2 2 2" xfId="17675" xr:uid="{78F82F31-860E-4580-889B-00211170A86B}"/>
    <cellStyle name="20% - Accent6 4 5 2 2 2 2" xfId="54017" xr:uid="{091CB908-3DAC-4708-96A4-16783D626E58}"/>
    <cellStyle name="20% - Accent6 4 5 2 2 2 3" xfId="35421" xr:uid="{4B3E6C1E-5BA0-40EF-8524-647968C1CAE3}"/>
    <cellStyle name="20% - Accent6 4 5 2 2 3" xfId="44720" xr:uid="{AB187EE0-3C91-46A0-99EC-12ADCF526A33}"/>
    <cellStyle name="20% - Accent6 4 5 2 2 4" xfId="26122" xr:uid="{C001830E-F4CB-4650-B04F-CBDC8E49ADD8}"/>
    <cellStyle name="20% - Accent6 4 5 2 3" xfId="13458" xr:uid="{E0CF5C57-1E9E-4B4E-98C6-6B71F588DC85}"/>
    <cellStyle name="20% - Accent6 4 5 2 3 2" xfId="49800" xr:uid="{78071F84-5FEB-41B9-A61A-2F7EB42AA3F0}"/>
    <cellStyle name="20% - Accent6 4 5 2 3 3" xfId="31204" xr:uid="{3AAB387C-C55E-4D5E-9ABD-DB8D52A5A581}"/>
    <cellStyle name="20% - Accent6 4 5 2 4" xfId="40503" xr:uid="{AE16ADC1-701C-4ACF-9A80-DC5FF662A210}"/>
    <cellStyle name="20% - Accent6 4 5 2 5" xfId="21905" xr:uid="{AB0DB21A-3A42-4FB5-8734-5F84F4BD4D17}"/>
    <cellStyle name="20% - Accent6 4 5 3" xfId="6204" xr:uid="{00000000-0005-0000-0000-0000AA030000}"/>
    <cellStyle name="20% - Accent6 4 5 3 2" xfId="15530" xr:uid="{0C09F223-C1B5-4069-BD5F-15F53D502C61}"/>
    <cellStyle name="20% - Accent6 4 5 3 2 2" xfId="51872" xr:uid="{B96D23AB-F2EA-45C3-A083-A33DB86638AF}"/>
    <cellStyle name="20% - Accent6 4 5 3 2 3" xfId="33276" xr:uid="{C655DFA7-6406-4D27-A674-898558CB13A0}"/>
    <cellStyle name="20% - Accent6 4 5 3 3" xfId="42575" xr:uid="{2DD006CC-33AB-43B8-8FD8-6865FCC3CDFF}"/>
    <cellStyle name="20% - Accent6 4 5 3 4" xfId="23977" xr:uid="{F9E299F3-AC0C-4E7D-A3D7-D5AF1D905E92}"/>
    <cellStyle name="20% - Accent6 4 5 4" xfId="11313" xr:uid="{780661E2-CD4B-4E52-9442-DA085D170933}"/>
    <cellStyle name="20% - Accent6 4 5 4 2" xfId="47655" xr:uid="{59BEB1C6-1E07-4AA6-ABD0-0EB20BAD1395}"/>
    <cellStyle name="20% - Accent6 4 5 4 3" xfId="29059" xr:uid="{0312B155-7FEA-4C9F-AD9B-DD35BFBEAA78}"/>
    <cellStyle name="20% - Accent6 4 5 5" xfId="38358" xr:uid="{1DE8FF48-5F61-4486-930F-645EF6C56AC8}"/>
    <cellStyle name="20% - Accent6 4 5 6" xfId="19760" xr:uid="{07A0AB27-D795-4453-9D81-7C750609C27F}"/>
    <cellStyle name="20% - Accent6 4 6" xfId="2311" xr:uid="{00000000-0005-0000-0000-0000AB030000}"/>
    <cellStyle name="20% - Accent6 4 6 2" xfId="6617" xr:uid="{00000000-0005-0000-0000-0000AC030000}"/>
    <cellStyle name="20% - Accent6 4 6 2 2" xfId="15943" xr:uid="{E6AAC362-FF48-419D-A047-6F1ED60E9241}"/>
    <cellStyle name="20% - Accent6 4 6 2 2 2" xfId="52285" xr:uid="{6C231ACA-913F-402E-A0F1-2F0DBA630CF9}"/>
    <cellStyle name="20% - Accent6 4 6 2 2 3" xfId="33689" xr:uid="{C62398F1-3F91-4D71-A94B-53F42CC435BF}"/>
    <cellStyle name="20% - Accent6 4 6 2 3" xfId="42988" xr:uid="{FA8E1D7C-0185-49FA-AB0C-D9518F84439D}"/>
    <cellStyle name="20% - Accent6 4 6 2 4" xfId="24390" xr:uid="{5CD09FD4-7F03-40C0-B284-AD464DAF6DDF}"/>
    <cellStyle name="20% - Accent6 4 6 3" xfId="11726" xr:uid="{A2AE3FFE-31FF-45F9-A287-24D4F9A3EB97}"/>
    <cellStyle name="20% - Accent6 4 6 3 2" xfId="48068" xr:uid="{2E280A93-A469-4F5A-B1D0-BF1F124ACCCD}"/>
    <cellStyle name="20% - Accent6 4 6 3 3" xfId="29472" xr:uid="{683B9932-C760-4BD2-B5C3-FBC12A53C855}"/>
    <cellStyle name="20% - Accent6 4 6 4" xfId="38771" xr:uid="{1FE9303C-A0F7-4408-BB70-98DC92C6A895}"/>
    <cellStyle name="20% - Accent6 4 6 5" xfId="20173" xr:uid="{B8DAA43B-0E5C-4A08-A6D7-6B6F1EC47BE9}"/>
    <cellStyle name="20% - Accent6 4 7" xfId="4551" xr:uid="{00000000-0005-0000-0000-0000AD030000}"/>
    <cellStyle name="20% - Accent6 4 7 2" xfId="13877" xr:uid="{7CF9649D-2B46-477C-9C6B-E17567BF41BB}"/>
    <cellStyle name="20% - Accent6 4 7 2 2" xfId="50219" xr:uid="{80E8C768-354D-409A-BCC8-6346731310FA}"/>
    <cellStyle name="20% - Accent6 4 7 2 3" xfId="31623" xr:uid="{716DDF50-96D2-4786-B1ED-DD9419CD225D}"/>
    <cellStyle name="20% - Accent6 4 7 3" xfId="40922" xr:uid="{EB2DE51E-1A24-4744-9A32-4C19B7F624B7}"/>
    <cellStyle name="20% - Accent6 4 7 4" xfId="22324" xr:uid="{601EC479-60FC-46F3-8DA6-BF8C0D084204}"/>
    <cellStyle name="20% - Accent6 4 8" xfId="8957" xr:uid="{03E1DA3A-6A3F-4C0D-9844-2D38E7BA13BC}"/>
    <cellStyle name="20% - Accent6 4 8 2" xfId="36027" xr:uid="{F5EF73BD-8C68-43C6-9357-502FB22BCED6}"/>
    <cellStyle name="20% - Accent6 4 8 2 2" xfId="54622" xr:uid="{99671C75-2429-4F98-8512-FDB0D576B447}"/>
    <cellStyle name="20% - Accent6 4 8 3" xfId="45325" xr:uid="{45927F5A-355D-4F23-B23B-AFE7D023044A}"/>
    <cellStyle name="20% - Accent6 4 8 4" xfId="26728" xr:uid="{8BDAF8FB-04BD-4B35-A555-24A1244CFCD5}"/>
    <cellStyle name="20% - Accent6 4 9" xfId="9660" xr:uid="{2EBEA1C4-B3D1-46D2-B50A-39A9B70250E0}"/>
    <cellStyle name="20% - Accent6 4 9 2" xfId="46002" xr:uid="{E4997E84-1B91-4A94-98DD-65D319AA9D29}"/>
    <cellStyle name="20% - Accent6 4 9 3" xfId="27406" xr:uid="{5F4FF007-1BC7-45EA-97B5-2A346CB6A9E0}"/>
    <cellStyle name="20% - Accent6 5" xfId="610" xr:uid="{00000000-0005-0000-0000-0000AE030000}"/>
    <cellStyle name="20% - Accent6 5 2" xfId="2881" xr:uid="{00000000-0005-0000-0000-0000AF030000}"/>
    <cellStyle name="20% - Accent6 5 2 2" xfId="7103" xr:uid="{00000000-0005-0000-0000-0000B0030000}"/>
    <cellStyle name="20% - Accent6 5 2 2 2" xfId="16429" xr:uid="{D001E038-9E0C-43DE-9F8F-CA037B3134C7}"/>
    <cellStyle name="20% - Accent6 5 2 2 2 2" xfId="52771" xr:uid="{605D7515-9EC1-44E9-83C4-31093CAEDDBF}"/>
    <cellStyle name="20% - Accent6 5 2 2 2 3" xfId="34175" xr:uid="{FD8A5E19-0126-4A94-B692-10735855D83A}"/>
    <cellStyle name="20% - Accent6 5 2 2 3" xfId="43474" xr:uid="{B02CD781-C26B-4A42-ACDF-D41994A034A7}"/>
    <cellStyle name="20% - Accent6 5 2 2 4" xfId="24876" xr:uid="{A0F664A0-6AF3-4922-BA83-6E6A78B7ED5B}"/>
    <cellStyle name="20% - Accent6 5 2 3" xfId="12212" xr:uid="{8B462E3C-16A1-47BD-AEE9-57B2882B2242}"/>
    <cellStyle name="20% - Accent6 5 2 3 2" xfId="48554" xr:uid="{01442140-42DB-4856-911E-FE28107E4451}"/>
    <cellStyle name="20% - Accent6 5 2 3 3" xfId="29958" xr:uid="{F1296134-630B-4C2C-8446-8741F1E73EA7}"/>
    <cellStyle name="20% - Accent6 5 2 4" xfId="39257" xr:uid="{228DDE0A-EFFC-45CB-9F7F-F85B15D497C4}"/>
    <cellStyle name="20% - Accent6 5 2 5" xfId="20659" xr:uid="{34EE764A-00DE-495E-83CC-403DC33B2F4F}"/>
    <cellStyle name="20% - Accent6 5 3" xfId="4958" xr:uid="{00000000-0005-0000-0000-0000B1030000}"/>
    <cellStyle name="20% - Accent6 5 3 2" xfId="14284" xr:uid="{DDB827C7-256F-4512-A33B-AB23939AA7AC}"/>
    <cellStyle name="20% - Accent6 5 3 2 2" xfId="50626" xr:uid="{17418129-823F-4609-AAA0-912D396B98AF}"/>
    <cellStyle name="20% - Accent6 5 3 2 3" xfId="32030" xr:uid="{FD93A7D3-FC7E-481E-BAD8-AA44BB208374}"/>
    <cellStyle name="20% - Accent6 5 3 3" xfId="41329" xr:uid="{CF14E746-E417-4FE1-A4C0-DBFE3D68B90C}"/>
    <cellStyle name="20% - Accent6 5 3 4" xfId="22731" xr:uid="{60B53646-592D-4214-B9CE-F2F24A1702DF}"/>
    <cellStyle name="20% - Accent6 5 4" xfId="9191" xr:uid="{C812E2E5-5572-4E86-9CB6-C7C53792C044}"/>
    <cellStyle name="20% - Accent6 5 4 2" xfId="36254" xr:uid="{57F4F981-86D8-45FA-A77F-7C417480CBD4}"/>
    <cellStyle name="20% - Accent6 5 4 2 2" xfId="54848" xr:uid="{CBF387A5-5F20-4611-A9A9-CF6C540352E5}"/>
    <cellStyle name="20% - Accent6 5 4 3" xfId="45551" xr:uid="{DCDAD7DA-5B69-41DD-B8B1-BC1F6A2BD8D1}"/>
    <cellStyle name="20% - Accent6 5 4 4" xfId="26955" xr:uid="{EFF58887-5E5E-4E72-9F8B-0F22B24ADF91}"/>
    <cellStyle name="20% - Accent6 5 5" xfId="10067" xr:uid="{67E3AA9B-9339-409D-BBCE-A1620F5D479B}"/>
    <cellStyle name="20% - Accent6 5 5 2" xfId="46409" xr:uid="{17629073-E53E-4F65-B4F5-0AD19DF2F294}"/>
    <cellStyle name="20% - Accent6 5 5 3" xfId="27813" xr:uid="{72FA832F-3D43-4C1E-B979-EC775E7BB822}"/>
    <cellStyle name="20% - Accent6 5 6" xfId="37112" xr:uid="{E9707FC5-0D9F-4FE6-B74F-728548F37FC1}"/>
    <cellStyle name="20% - Accent6 5 7" xfId="18514" xr:uid="{919BC32A-A317-41DF-B3DB-031A04EDCC9E}"/>
    <cellStyle name="20% - Accent6 6" xfId="1063" xr:uid="{00000000-0005-0000-0000-0000B2030000}"/>
    <cellStyle name="20% - Accent6 6 2" xfId="3294" xr:uid="{00000000-0005-0000-0000-0000B3030000}"/>
    <cellStyle name="20% - Accent6 6 2 2" xfId="7516" xr:uid="{00000000-0005-0000-0000-0000B4030000}"/>
    <cellStyle name="20% - Accent6 6 2 2 2" xfId="16842" xr:uid="{5BD82850-60F9-4B8A-9565-9792449C6C6A}"/>
    <cellStyle name="20% - Accent6 6 2 2 2 2" xfId="53184" xr:uid="{67EF75D5-9A35-43F6-B5D7-A162B80556CB}"/>
    <cellStyle name="20% - Accent6 6 2 2 2 3" xfId="34588" xr:uid="{14A457A7-15B6-4517-A4D1-C70C70E1B6D3}"/>
    <cellStyle name="20% - Accent6 6 2 2 3" xfId="43887" xr:uid="{851C33FD-AECD-4E2C-A19A-5A3B631DACBA}"/>
    <cellStyle name="20% - Accent6 6 2 2 4" xfId="25289" xr:uid="{3BDD7430-F996-4308-9B40-2BB34F78C7F8}"/>
    <cellStyle name="20% - Accent6 6 2 3" xfId="12625" xr:uid="{D7211B45-CA2C-42A1-B4A3-FD97EA0E1DAB}"/>
    <cellStyle name="20% - Accent6 6 2 3 2" xfId="48967" xr:uid="{9C1832A4-12BC-4210-BAF3-687CAF328F4B}"/>
    <cellStyle name="20% - Accent6 6 2 3 3" xfId="30371" xr:uid="{B1752D30-A863-4A0D-9971-5EC5141183F3}"/>
    <cellStyle name="20% - Accent6 6 2 4" xfId="39670" xr:uid="{A3DC0A53-D789-4090-ADE2-465910E5F6CA}"/>
    <cellStyle name="20% - Accent6 6 2 5" xfId="21072" xr:uid="{B1D571D1-2A7D-4C15-902B-664C2A19A4E0}"/>
    <cellStyle name="20% - Accent6 6 3" xfId="5371" xr:uid="{00000000-0005-0000-0000-0000B5030000}"/>
    <cellStyle name="20% - Accent6 6 3 2" xfId="14697" xr:uid="{BA68CEA1-6ECF-4B5F-BB37-C1E8773AE052}"/>
    <cellStyle name="20% - Accent6 6 3 2 2" xfId="51039" xr:uid="{155596D3-FC1C-4187-AC35-BA79FDECBD94}"/>
    <cellStyle name="20% - Accent6 6 3 2 3" xfId="32443" xr:uid="{AEC7F3CF-8007-4F9C-BF3E-BD3F3FA32CD9}"/>
    <cellStyle name="20% - Accent6 6 3 3" xfId="41742" xr:uid="{D21FD8B6-7132-4421-8ED9-13A639A0239F}"/>
    <cellStyle name="20% - Accent6 6 3 4" xfId="23144" xr:uid="{72EA84FF-E9DE-47A8-971D-6C83C61A191F}"/>
    <cellStyle name="20% - Accent6 6 4" xfId="10480" xr:uid="{C1913B90-5776-4548-93CA-89A9B29C9B1F}"/>
    <cellStyle name="20% - Accent6 6 4 2" xfId="46822" xr:uid="{CF6912EE-6474-444B-86C2-B1DF5EE75ED8}"/>
    <cellStyle name="20% - Accent6 6 4 3" xfId="28226" xr:uid="{8248AEE4-842B-48EE-B600-E2A0B16DDC21}"/>
    <cellStyle name="20% - Accent6 6 5" xfId="37525" xr:uid="{073BDAFD-727D-45CA-9493-9B4001DD99AC}"/>
    <cellStyle name="20% - Accent6 6 6" xfId="18927" xr:uid="{BACEA2C9-A5BC-4EF1-A7CB-06D92EFBA1D5}"/>
    <cellStyle name="20% - Accent6 7" xfId="1477" xr:uid="{00000000-0005-0000-0000-0000B6030000}"/>
    <cellStyle name="20% - Accent6 7 2" xfId="3707" xr:uid="{00000000-0005-0000-0000-0000B7030000}"/>
    <cellStyle name="20% - Accent6 7 2 2" xfId="7929" xr:uid="{00000000-0005-0000-0000-0000B8030000}"/>
    <cellStyle name="20% - Accent6 7 2 2 2" xfId="17255" xr:uid="{8C86D2FC-0C36-49D4-BDDF-8229BB39B095}"/>
    <cellStyle name="20% - Accent6 7 2 2 2 2" xfId="53597" xr:uid="{8A512958-4276-441A-8591-175E738C9BF5}"/>
    <cellStyle name="20% - Accent6 7 2 2 2 3" xfId="35001" xr:uid="{A167EA28-DEAA-4F9F-9372-EC213156C057}"/>
    <cellStyle name="20% - Accent6 7 2 2 3" xfId="44300" xr:uid="{4313381C-237D-442A-8087-2754C134AB10}"/>
    <cellStyle name="20% - Accent6 7 2 2 4" xfId="25702" xr:uid="{F62B0049-6F24-4A20-B58A-0834A7BE8A2C}"/>
    <cellStyle name="20% - Accent6 7 2 3" xfId="13038" xr:uid="{9A4876B0-12E6-4C20-BCFF-21EB153FDC04}"/>
    <cellStyle name="20% - Accent6 7 2 3 2" xfId="49380" xr:uid="{98558FB1-1E1F-4DCE-8CEC-3B224E902FAF}"/>
    <cellStyle name="20% - Accent6 7 2 3 3" xfId="30784" xr:uid="{E1C7EC6B-C864-4719-99F2-4F91687126E9}"/>
    <cellStyle name="20% - Accent6 7 2 4" xfId="40083" xr:uid="{849D5D71-3A65-46E8-A0DE-DE13250DCA42}"/>
    <cellStyle name="20% - Accent6 7 2 5" xfId="21485" xr:uid="{79132838-47A9-4905-B294-43F5899AB83C}"/>
    <cellStyle name="20% - Accent6 7 3" xfId="5784" xr:uid="{00000000-0005-0000-0000-0000B9030000}"/>
    <cellStyle name="20% - Accent6 7 3 2" xfId="15110" xr:uid="{DEE4DB5C-70E0-4148-AF68-BEA354AC941F}"/>
    <cellStyle name="20% - Accent6 7 3 2 2" xfId="51452" xr:uid="{27D2143E-8247-43F4-9E99-E9E2AFA31506}"/>
    <cellStyle name="20% - Accent6 7 3 2 3" xfId="32856" xr:uid="{8718278E-5A83-45BC-AE67-6EEDE8E18C62}"/>
    <cellStyle name="20% - Accent6 7 3 3" xfId="42155" xr:uid="{BA0F9313-8615-44A3-8FD6-24B4E692BCCF}"/>
    <cellStyle name="20% - Accent6 7 3 4" xfId="23557" xr:uid="{94B8B5F3-42C8-4EC8-8C62-5D2327746634}"/>
    <cellStyle name="20% - Accent6 7 4" xfId="10893" xr:uid="{19667DF4-D9D0-4CA0-AFE7-3A1DE98834B2}"/>
    <cellStyle name="20% - Accent6 7 4 2" xfId="47235" xr:uid="{772D10D5-AF45-49B9-B201-EC415C3AB213}"/>
    <cellStyle name="20% - Accent6 7 4 3" xfId="28639" xr:uid="{22A62AAE-CDF7-441B-8094-9016BB42C94C}"/>
    <cellStyle name="20% - Accent6 7 5" xfId="37938" xr:uid="{E7A0C8E1-26AD-455C-BA3F-06E2EEEB4807}"/>
    <cellStyle name="20% - Accent6 7 6" xfId="19340" xr:uid="{986E7CBD-54A2-48A5-9A4B-C87154FAD2D2}"/>
    <cellStyle name="20% - Accent6 8" xfId="1891" xr:uid="{00000000-0005-0000-0000-0000BA030000}"/>
    <cellStyle name="20% - Accent6 8 2" xfId="4120" xr:uid="{00000000-0005-0000-0000-0000BB030000}"/>
    <cellStyle name="20% - Accent6 8 2 2" xfId="8342" xr:uid="{00000000-0005-0000-0000-0000BC030000}"/>
    <cellStyle name="20% - Accent6 8 2 2 2" xfId="17668" xr:uid="{A9946ACA-B28F-4D75-AE38-B399246445B4}"/>
    <cellStyle name="20% - Accent6 8 2 2 2 2" xfId="54010" xr:uid="{7567D278-A81B-44DE-8739-5B5057B8DE29}"/>
    <cellStyle name="20% - Accent6 8 2 2 2 3" xfId="35414" xr:uid="{CA7773FF-75F4-405C-B9D0-88C746977EF3}"/>
    <cellStyle name="20% - Accent6 8 2 2 3" xfId="44713" xr:uid="{B2A2AB37-EC5C-4E2D-A53B-AE40EF7A69A2}"/>
    <cellStyle name="20% - Accent6 8 2 2 4" xfId="26115" xr:uid="{BE4B5F81-BD39-4223-8839-C98830429FA3}"/>
    <cellStyle name="20% - Accent6 8 2 3" xfId="13451" xr:uid="{6BE897AB-E90B-4DE2-81EB-4F6F6355A9FF}"/>
    <cellStyle name="20% - Accent6 8 2 3 2" xfId="49793" xr:uid="{916143F0-14FC-4750-8AFE-20764E809A14}"/>
    <cellStyle name="20% - Accent6 8 2 3 3" xfId="31197" xr:uid="{CB0363D3-7809-4882-A77D-A77E45E41CB1}"/>
    <cellStyle name="20% - Accent6 8 2 4" xfId="40496" xr:uid="{E3011EC5-2A8E-45EA-9C16-7ED31CAA5C9E}"/>
    <cellStyle name="20% - Accent6 8 2 5" xfId="21898" xr:uid="{BF42BFFB-DEA8-44F5-B6BD-A1F749DAB34C}"/>
    <cellStyle name="20% - Accent6 8 3" xfId="6197" xr:uid="{00000000-0005-0000-0000-0000BD030000}"/>
    <cellStyle name="20% - Accent6 8 3 2" xfId="15523" xr:uid="{6D80E67E-1824-4FB7-9660-44E993811209}"/>
    <cellStyle name="20% - Accent6 8 3 2 2" xfId="51865" xr:uid="{6D5F6401-67E5-47CC-A3DD-185608EBFA52}"/>
    <cellStyle name="20% - Accent6 8 3 2 3" xfId="33269" xr:uid="{92DFF265-494D-48F3-9286-E1D9572210BD}"/>
    <cellStyle name="20% - Accent6 8 3 3" xfId="42568" xr:uid="{194FA37A-CB57-49BA-A9B5-1C5814EEFBFB}"/>
    <cellStyle name="20% - Accent6 8 3 4" xfId="23970" xr:uid="{8CEA5878-895D-40D3-A42F-885ED475B84C}"/>
    <cellStyle name="20% - Accent6 8 4" xfId="11306" xr:uid="{3963C422-D7E3-416A-B0D9-E6C781BA3FE3}"/>
    <cellStyle name="20% - Accent6 8 4 2" xfId="47648" xr:uid="{B6251054-19DA-45DE-9D56-4ADEDAE7F4E9}"/>
    <cellStyle name="20% - Accent6 8 4 3" xfId="29052" xr:uid="{1FEC899C-E97B-4A36-9A33-913CAE04DCF9}"/>
    <cellStyle name="20% - Accent6 8 5" xfId="38351" xr:uid="{4AE8DA13-E41E-436F-AAD6-997EAD5A0689}"/>
    <cellStyle name="20% - Accent6 8 6" xfId="19753" xr:uid="{6194E74F-8651-4ED9-86CE-AFCA415FF0C9}"/>
    <cellStyle name="20% - Accent6 9" xfId="2304" xr:uid="{00000000-0005-0000-0000-0000BE030000}"/>
    <cellStyle name="20% - Accent6 9 2" xfId="6610" xr:uid="{00000000-0005-0000-0000-0000BF030000}"/>
    <cellStyle name="20% - Accent6 9 2 2" xfId="15936" xr:uid="{1D119056-3F94-4213-A791-66E533AA501D}"/>
    <cellStyle name="20% - Accent6 9 2 2 2" xfId="52278" xr:uid="{C0DECA31-EFBD-4138-A533-53CC69E22578}"/>
    <cellStyle name="20% - Accent6 9 2 2 3" xfId="33682" xr:uid="{F1C227E4-75BF-4BCB-BD62-0BB0EA9655F5}"/>
    <cellStyle name="20% - Accent6 9 2 3" xfId="42981" xr:uid="{9D087E87-FCEE-4261-9BD8-043C6B65E2C2}"/>
    <cellStyle name="20% - Accent6 9 2 4" xfId="24383" xr:uid="{59EB2FF9-61A9-4E2B-97B0-948206FDF478}"/>
    <cellStyle name="20% - Accent6 9 3" xfId="11719" xr:uid="{EF0713E8-CACF-461A-8172-ADC2883053FE}"/>
    <cellStyle name="20% - Accent6 9 3 2" xfId="48061" xr:uid="{EFFE5F0B-CD01-4ACE-A924-DF1045B328FF}"/>
    <cellStyle name="20% - Accent6 9 3 3" xfId="29465" xr:uid="{9C4293CE-DAD0-417F-AF52-1C64B04D1658}"/>
    <cellStyle name="20% - Accent6 9 4" xfId="38764" xr:uid="{3A300C95-9140-49EF-866B-A84A2C75EF38}"/>
    <cellStyle name="20% - Accent6 9 5" xfId="20166" xr:uid="{E17EBFDB-1DB4-42C9-BD28-2D43238C7196}"/>
    <cellStyle name="40% - Accent1" xfId="49" builtinId="31" customBuiltin="1"/>
    <cellStyle name="40% - Accent1 10" xfId="4552" xr:uid="{00000000-0005-0000-0000-0000C1030000}"/>
    <cellStyle name="40% - Accent1 10 2" xfId="13878" xr:uid="{6B9CD525-97A5-44DC-93D5-D3ECE4858BAC}"/>
    <cellStyle name="40% - Accent1 10 2 2" xfId="50220" xr:uid="{90ACE580-7C6B-4E03-ABE9-DB5B09592FF9}"/>
    <cellStyle name="40% - Accent1 10 2 3" xfId="31624" xr:uid="{D7D7B3EA-1125-4A5D-A7FF-DA98A75EF65A}"/>
    <cellStyle name="40% - Accent1 10 3" xfId="40923" xr:uid="{7DF881E4-2170-4C76-91E6-41612C04A593}"/>
    <cellStyle name="40% - Accent1 10 4" xfId="22325" xr:uid="{32B8E695-1F54-4931-B495-24575CADA91F}"/>
    <cellStyle name="40% - Accent1 11" xfId="8759" xr:uid="{E0AA4078-00FF-4C00-81ED-1F048AC6C533}"/>
    <cellStyle name="40% - Accent1 11 2" xfId="35829" xr:uid="{F8A46C84-8F6B-4EEC-971D-23CA925572A8}"/>
    <cellStyle name="40% - Accent1 11 2 2" xfId="54424" xr:uid="{0B3F2AB8-446B-4EF0-ADE2-6456CBF2619B}"/>
    <cellStyle name="40% - Accent1 11 3" xfId="45127" xr:uid="{2D238DE1-546F-4307-8002-B965BAE51831}"/>
    <cellStyle name="40% - Accent1 11 4" xfId="26530" xr:uid="{5022E540-88BE-4E31-B140-4774590AA549}"/>
    <cellStyle name="40% - Accent1 12" xfId="9661" xr:uid="{B3F6C449-7596-405D-BD86-772CE103E3A7}"/>
    <cellStyle name="40% - Accent1 12 2" xfId="46003" xr:uid="{CE3DC2FC-1A3C-47A6-B0AB-83B9A11658C0}"/>
    <cellStyle name="40% - Accent1 12 3" xfId="27407" xr:uid="{C197E8A6-7ECC-41AF-B383-223A99EA5B40}"/>
    <cellStyle name="40% - Accent1 13" xfId="36706" xr:uid="{5A1910FB-BD44-426C-99DC-321CC6C1F54A}"/>
    <cellStyle name="40% - Accent1 14" xfId="18108" xr:uid="{AFC4943B-C3C8-4320-9F38-0752BA0FF27D}"/>
    <cellStyle name="40% - Accent1 2" xfId="50" xr:uid="{00000000-0005-0000-0000-0000C2030000}"/>
    <cellStyle name="40% - Accent1 2 10" xfId="8798" xr:uid="{82026451-631C-40CA-BC49-BE5DA2EA921A}"/>
    <cellStyle name="40% - Accent1 2 10 2" xfId="35868" xr:uid="{179CA6F0-7D4D-4B8F-B47B-E6BC03C3827E}"/>
    <cellStyle name="40% - Accent1 2 10 2 2" xfId="54463" xr:uid="{6F00FBFD-E1D4-454A-B868-D3DB83A0CC70}"/>
    <cellStyle name="40% - Accent1 2 10 3" xfId="45166" xr:uid="{DAB70C45-2FED-4873-B886-29914B133710}"/>
    <cellStyle name="40% - Accent1 2 10 4" xfId="26569" xr:uid="{FC072655-59B6-4884-8767-61237519DC22}"/>
    <cellStyle name="40% - Accent1 2 11" xfId="9662" xr:uid="{E4CD51E6-9DB0-4D05-BF07-90AD61CBB46F}"/>
    <cellStyle name="40% - Accent1 2 11 2" xfId="46004" xr:uid="{C59BFF24-BA6A-4A3D-A4AA-DC273AE6D387}"/>
    <cellStyle name="40% - Accent1 2 11 3" xfId="27408" xr:uid="{8B1D6AC6-4648-4ACA-8301-A6DF3DDC9B56}"/>
    <cellStyle name="40% - Accent1 2 12" xfId="36707" xr:uid="{288D29EB-2F40-4FAA-AFC6-8B86168DC0C8}"/>
    <cellStyle name="40% - Accent1 2 13" xfId="18109" xr:uid="{BFBD082D-57C0-4317-A94A-E9C935C42727}"/>
    <cellStyle name="40% - Accent1 2 2" xfId="51" xr:uid="{00000000-0005-0000-0000-0000C3030000}"/>
    <cellStyle name="40% - Accent1 2 2 10" xfId="9663" xr:uid="{AFD2F035-3733-463A-B5A1-8FBC745500D5}"/>
    <cellStyle name="40% - Accent1 2 2 10 2" xfId="46005" xr:uid="{BD9E8F12-79C2-4BE6-9322-9FEC5E4CDCF0}"/>
    <cellStyle name="40% - Accent1 2 2 10 3" xfId="27409" xr:uid="{746BEF49-DE7D-45BB-BEEF-0DF18B7A7A18}"/>
    <cellStyle name="40% - Accent1 2 2 11" xfId="36708" xr:uid="{5931786B-7864-40DC-9930-9BE34AB21D34}"/>
    <cellStyle name="40% - Accent1 2 2 12" xfId="18110" xr:uid="{B2698A98-BAB1-4A9E-8A89-C9E5E0CA643C}"/>
    <cellStyle name="40% - Accent1 2 2 2" xfId="52" xr:uid="{00000000-0005-0000-0000-0000C4030000}"/>
    <cellStyle name="40% - Accent1 2 2 2 10" xfId="36709" xr:uid="{3863B4D0-92AB-40DE-9F5B-EDF427FEAD8A}"/>
    <cellStyle name="40% - Accent1 2 2 2 11" xfId="18111" xr:uid="{AF5FF9C4-C4EC-4C74-87C3-B81C534560AF}"/>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16440" xr:uid="{466B9DB9-3D81-4EB3-9B6B-6C7E6B301358}"/>
    <cellStyle name="40% - Accent1 2 2 2 2 2 2 2 2" xfId="52782" xr:uid="{C4F49F02-7E12-4902-8015-0F7B80A984B1}"/>
    <cellStyle name="40% - Accent1 2 2 2 2 2 2 2 3" xfId="34186" xr:uid="{B1E4BD5F-797B-4B49-A4CC-72859E1614A2}"/>
    <cellStyle name="40% - Accent1 2 2 2 2 2 2 3" xfId="43485" xr:uid="{BC57581B-9F85-4FA9-9DE3-AC83A74E78E1}"/>
    <cellStyle name="40% - Accent1 2 2 2 2 2 2 4" xfId="24887" xr:uid="{07B606F4-7F4C-4E42-BA8C-D1F034744C62}"/>
    <cellStyle name="40% - Accent1 2 2 2 2 2 3" xfId="12223" xr:uid="{1628FF9D-CA90-4532-88BC-C9AF3527F59C}"/>
    <cellStyle name="40% - Accent1 2 2 2 2 2 3 2" xfId="48565" xr:uid="{F54BEA8B-0F92-44CA-86B3-306D13343EDC}"/>
    <cellStyle name="40% - Accent1 2 2 2 2 2 3 3" xfId="29969" xr:uid="{212FF921-AD76-4B4F-88E9-24C2C59B9C25}"/>
    <cellStyle name="40% - Accent1 2 2 2 2 2 4" xfId="39268" xr:uid="{F0FB09C4-A2CB-483D-BF40-01B05BA2C82D}"/>
    <cellStyle name="40% - Accent1 2 2 2 2 2 5" xfId="20670" xr:uid="{36A6C7D4-E8A3-497F-BA34-B2DD070666B2}"/>
    <cellStyle name="40% - Accent1 2 2 2 2 3" xfId="4969" xr:uid="{00000000-0005-0000-0000-0000C8030000}"/>
    <cellStyle name="40% - Accent1 2 2 2 2 3 2" xfId="14295" xr:uid="{C0B54970-3C53-4566-B383-3C7997A78A40}"/>
    <cellStyle name="40% - Accent1 2 2 2 2 3 2 2" xfId="50637" xr:uid="{2BAC7EAB-7C8E-48E9-8157-BB839E7F774B}"/>
    <cellStyle name="40% - Accent1 2 2 2 2 3 2 3" xfId="32041" xr:uid="{77C3F61A-F54D-47F4-ADDC-E265A6186A57}"/>
    <cellStyle name="40% - Accent1 2 2 2 2 3 3" xfId="41340" xr:uid="{47138698-3EE5-4B7A-95FB-E2A947A54EFB}"/>
    <cellStyle name="40% - Accent1 2 2 2 2 3 4" xfId="22742" xr:uid="{3F126DD8-FA35-4317-83E2-70B8702474F3}"/>
    <cellStyle name="40% - Accent1 2 2 2 2 4" xfId="9533" xr:uid="{757B5AC4-115E-4B90-B4EA-505C31F9B178}"/>
    <cellStyle name="40% - Accent1 2 2 2 2 4 2" xfId="36594" xr:uid="{7D874171-AA91-424F-BE20-89B1DE1A252E}"/>
    <cellStyle name="40% - Accent1 2 2 2 2 4 2 2" xfId="55188" xr:uid="{BD38DF13-A4CF-4664-BCD4-80736200A09F}"/>
    <cellStyle name="40% - Accent1 2 2 2 2 4 3" xfId="45891" xr:uid="{C4282C5D-C420-4E4E-9A2C-511E69C65264}"/>
    <cellStyle name="40% - Accent1 2 2 2 2 4 4" xfId="27295" xr:uid="{EEDEBB3F-E5A5-4420-9855-D7322B74F8B4}"/>
    <cellStyle name="40% - Accent1 2 2 2 2 5" xfId="10078" xr:uid="{4D4F5146-EF38-441E-BC4D-549366E4A415}"/>
    <cellStyle name="40% - Accent1 2 2 2 2 5 2" xfId="46420" xr:uid="{FD859AC0-DA2D-4D9A-B224-F6A42EBAB8EC}"/>
    <cellStyle name="40% - Accent1 2 2 2 2 5 3" xfId="27824" xr:uid="{4B5D725D-7B97-430F-A608-6E0F5B2C2238}"/>
    <cellStyle name="40% - Accent1 2 2 2 2 6" xfId="37123" xr:uid="{396ECC0A-DBE4-40AC-B3D3-6272807B0EAA}"/>
    <cellStyle name="40% - Accent1 2 2 2 2 7" xfId="18525" xr:uid="{F14D5C96-FF90-4D4F-ADD3-AC73CA46C812}"/>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16853" xr:uid="{1674BE27-9F07-43BC-AC09-A0CF8E38B1C5}"/>
    <cellStyle name="40% - Accent1 2 2 2 3 2 2 2 2" xfId="53195" xr:uid="{5089BA92-3718-4CEE-B59F-EA725F4CBA5E}"/>
    <cellStyle name="40% - Accent1 2 2 2 3 2 2 2 3" xfId="34599" xr:uid="{76409688-4D59-4376-B8F3-ABF18DAD48B0}"/>
    <cellStyle name="40% - Accent1 2 2 2 3 2 2 3" xfId="43898" xr:uid="{D817A09F-D789-47CF-B9B5-E3740887B063}"/>
    <cellStyle name="40% - Accent1 2 2 2 3 2 2 4" xfId="25300" xr:uid="{DFD285B6-81D1-42CA-A9F9-026E9A2AB744}"/>
    <cellStyle name="40% - Accent1 2 2 2 3 2 3" xfId="12636" xr:uid="{0620AEB6-7FFB-4A1F-9AC7-0BC87EDF7FAA}"/>
    <cellStyle name="40% - Accent1 2 2 2 3 2 3 2" xfId="48978" xr:uid="{B9A54A73-CC13-4F80-8648-A303150AABF6}"/>
    <cellStyle name="40% - Accent1 2 2 2 3 2 3 3" xfId="30382" xr:uid="{38337A38-3855-439D-B71F-7F09173DC84B}"/>
    <cellStyle name="40% - Accent1 2 2 2 3 2 4" xfId="39681" xr:uid="{C740249D-7F3E-45A1-B2E0-95D6A9AC525D}"/>
    <cellStyle name="40% - Accent1 2 2 2 3 2 5" xfId="21083" xr:uid="{835FB278-C2C7-4990-A4A6-DDE7C542EA04}"/>
    <cellStyle name="40% - Accent1 2 2 2 3 3" xfId="5382" xr:uid="{00000000-0005-0000-0000-0000CC030000}"/>
    <cellStyle name="40% - Accent1 2 2 2 3 3 2" xfId="14708" xr:uid="{A0971B02-808A-4959-B7C9-A7DE8548EC46}"/>
    <cellStyle name="40% - Accent1 2 2 2 3 3 2 2" xfId="51050" xr:uid="{8190C4B3-092D-4303-AE97-101B4E697BD1}"/>
    <cellStyle name="40% - Accent1 2 2 2 3 3 2 3" xfId="32454" xr:uid="{7442893E-5F36-427B-93C2-BAE8051A70DA}"/>
    <cellStyle name="40% - Accent1 2 2 2 3 3 3" xfId="41753" xr:uid="{B2709BB9-AE56-40CE-A9ED-DD6AD9C326ED}"/>
    <cellStyle name="40% - Accent1 2 2 2 3 3 4" xfId="23155" xr:uid="{7A738CDD-8C9A-47D5-9029-9D85001B55AB}"/>
    <cellStyle name="40% - Accent1 2 2 2 3 4" xfId="10491" xr:uid="{941879CC-ABD0-4C51-8BC4-59FAD43566B2}"/>
    <cellStyle name="40% - Accent1 2 2 2 3 4 2" xfId="46833" xr:uid="{26A741F7-C1D2-41BB-B137-51E1F88E8F29}"/>
    <cellStyle name="40% - Accent1 2 2 2 3 4 3" xfId="28237" xr:uid="{D8EFE1DF-C03B-408E-87E5-A9EA15043477}"/>
    <cellStyle name="40% - Accent1 2 2 2 3 5" xfId="37536" xr:uid="{DC73D5AD-4864-4DA8-8694-E40A35DE1F5A}"/>
    <cellStyle name="40% - Accent1 2 2 2 3 6" xfId="18938" xr:uid="{67B9534E-39B8-4C42-B296-2FF340E6A4A5}"/>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17266" xr:uid="{7279D965-CF56-4C7B-8FE5-734637F8288A}"/>
    <cellStyle name="40% - Accent1 2 2 2 4 2 2 2 2" xfId="53608" xr:uid="{BA164D4A-6DC3-4572-BD22-A17E98A057CC}"/>
    <cellStyle name="40% - Accent1 2 2 2 4 2 2 2 3" xfId="35012" xr:uid="{538EC311-7C01-4E60-A1A5-706DB8D732A6}"/>
    <cellStyle name="40% - Accent1 2 2 2 4 2 2 3" xfId="44311" xr:uid="{76FA3D61-2FE7-40B2-84B9-FB9F89A38169}"/>
    <cellStyle name="40% - Accent1 2 2 2 4 2 2 4" xfId="25713" xr:uid="{92ED6C67-CF70-40D0-8963-F0A3E36D7BB1}"/>
    <cellStyle name="40% - Accent1 2 2 2 4 2 3" xfId="13049" xr:uid="{35568C2A-5FAB-44BF-B7AC-D9D3F8831D1C}"/>
    <cellStyle name="40% - Accent1 2 2 2 4 2 3 2" xfId="49391" xr:uid="{61784CEF-FAF9-490D-9690-9EF2A7BD1810}"/>
    <cellStyle name="40% - Accent1 2 2 2 4 2 3 3" xfId="30795" xr:uid="{7197BE79-E321-42F9-B7FD-FDFA10DF5992}"/>
    <cellStyle name="40% - Accent1 2 2 2 4 2 4" xfId="40094" xr:uid="{66EFCCAF-E7B7-495F-BF29-D24DB5B6E812}"/>
    <cellStyle name="40% - Accent1 2 2 2 4 2 5" xfId="21496" xr:uid="{259D8CE9-7418-4049-B291-9945CAF27838}"/>
    <cellStyle name="40% - Accent1 2 2 2 4 3" xfId="5795" xr:uid="{00000000-0005-0000-0000-0000D0030000}"/>
    <cellStyle name="40% - Accent1 2 2 2 4 3 2" xfId="15121" xr:uid="{D1E246B8-F94E-4F3B-8CAF-CC9EB2FBB1AC}"/>
    <cellStyle name="40% - Accent1 2 2 2 4 3 2 2" xfId="51463" xr:uid="{DA338102-C549-4B03-AA9A-120E7975C71C}"/>
    <cellStyle name="40% - Accent1 2 2 2 4 3 2 3" xfId="32867" xr:uid="{59C43487-9ADB-4AE6-8459-E8419D12C4BC}"/>
    <cellStyle name="40% - Accent1 2 2 2 4 3 3" xfId="42166" xr:uid="{18E31341-F806-428D-A028-564BE363730F}"/>
    <cellStyle name="40% - Accent1 2 2 2 4 3 4" xfId="23568" xr:uid="{10FA739F-3AE1-4BE8-83C5-64DCD43615CF}"/>
    <cellStyle name="40% - Accent1 2 2 2 4 4" xfId="10904" xr:uid="{4414B1FE-8214-45A1-A391-9EF4243D651D}"/>
    <cellStyle name="40% - Accent1 2 2 2 4 4 2" xfId="47246" xr:uid="{36D4DA8D-996C-4CFC-96A6-88F9899A90BF}"/>
    <cellStyle name="40% - Accent1 2 2 2 4 4 3" xfId="28650" xr:uid="{A1304982-5354-463B-B067-827294C54B14}"/>
    <cellStyle name="40% - Accent1 2 2 2 4 5" xfId="37949" xr:uid="{059905AC-46C7-418E-9D41-61382F1AB617}"/>
    <cellStyle name="40% - Accent1 2 2 2 4 6" xfId="19351" xr:uid="{496BAD81-0DEE-4EBB-87FA-AA85EE72C5CD}"/>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17679" xr:uid="{3A4620B1-6182-4BB4-94DC-17B56B3F0F49}"/>
    <cellStyle name="40% - Accent1 2 2 2 5 2 2 2 2" xfId="54021" xr:uid="{8B87C57B-3349-4535-B80F-532383A29C56}"/>
    <cellStyle name="40% - Accent1 2 2 2 5 2 2 2 3" xfId="35425" xr:uid="{D2369049-C557-42C2-B8DA-3707E3542456}"/>
    <cellStyle name="40% - Accent1 2 2 2 5 2 2 3" xfId="44724" xr:uid="{DE04825A-C238-4D9F-9B20-0FE2D88872C0}"/>
    <cellStyle name="40% - Accent1 2 2 2 5 2 2 4" xfId="26126" xr:uid="{B6F248FA-A5B9-4315-A308-F19119DBC088}"/>
    <cellStyle name="40% - Accent1 2 2 2 5 2 3" xfId="13462" xr:uid="{6B97D932-D75A-4EA8-9571-B847A3BAA999}"/>
    <cellStyle name="40% - Accent1 2 2 2 5 2 3 2" xfId="49804" xr:uid="{6AC41E2F-7397-4133-8B5E-5A92C08E5EE7}"/>
    <cellStyle name="40% - Accent1 2 2 2 5 2 3 3" xfId="31208" xr:uid="{25F54D04-5F63-4515-B4EF-6C609E324CB4}"/>
    <cellStyle name="40% - Accent1 2 2 2 5 2 4" xfId="40507" xr:uid="{5E466AA9-E5D3-45D3-B140-DEB5B3257FF2}"/>
    <cellStyle name="40% - Accent1 2 2 2 5 2 5" xfId="21909" xr:uid="{CCE6BBFF-556F-4FED-8FE3-D045CC119CA3}"/>
    <cellStyle name="40% - Accent1 2 2 2 5 3" xfId="6208" xr:uid="{00000000-0005-0000-0000-0000D4030000}"/>
    <cellStyle name="40% - Accent1 2 2 2 5 3 2" xfId="15534" xr:uid="{17BF9D47-06CB-4624-A0ED-FE80725C71C1}"/>
    <cellStyle name="40% - Accent1 2 2 2 5 3 2 2" xfId="51876" xr:uid="{95D7CFC3-46EC-401E-A3AD-CC40883685A7}"/>
    <cellStyle name="40% - Accent1 2 2 2 5 3 2 3" xfId="33280" xr:uid="{BDABE9B4-DB77-4F06-A688-EE0A6D04AF81}"/>
    <cellStyle name="40% - Accent1 2 2 2 5 3 3" xfId="42579" xr:uid="{D419C06A-0624-48C6-81FC-178FBE16FE42}"/>
    <cellStyle name="40% - Accent1 2 2 2 5 3 4" xfId="23981" xr:uid="{77ECBDB0-455F-4264-833C-133AEAC1D752}"/>
    <cellStyle name="40% - Accent1 2 2 2 5 4" xfId="11317" xr:uid="{FC9EFB8D-0DAD-41E6-9ED1-A99B642E3AA3}"/>
    <cellStyle name="40% - Accent1 2 2 2 5 4 2" xfId="47659" xr:uid="{4475E9E4-5905-44F9-A411-B114CCBCCDA2}"/>
    <cellStyle name="40% - Accent1 2 2 2 5 4 3" xfId="29063" xr:uid="{A7A31D9B-4F1A-4C95-8308-A87EC7E6EBC9}"/>
    <cellStyle name="40% - Accent1 2 2 2 5 5" xfId="38362" xr:uid="{A12C2B81-1F8E-4443-9952-36429C9EC52D}"/>
    <cellStyle name="40% - Accent1 2 2 2 5 6" xfId="19764" xr:uid="{58BD4A8C-2B8A-408A-B61F-356955F4FA3E}"/>
    <cellStyle name="40% - Accent1 2 2 2 6" xfId="2315" xr:uid="{00000000-0005-0000-0000-0000D5030000}"/>
    <cellStyle name="40% - Accent1 2 2 2 6 2" xfId="6621" xr:uid="{00000000-0005-0000-0000-0000D6030000}"/>
    <cellStyle name="40% - Accent1 2 2 2 6 2 2" xfId="15947" xr:uid="{2C73A9A4-B34C-421A-979F-2FE280D8E782}"/>
    <cellStyle name="40% - Accent1 2 2 2 6 2 2 2" xfId="52289" xr:uid="{91DC6532-D65D-4BCC-9A8B-7F54CC57D72D}"/>
    <cellStyle name="40% - Accent1 2 2 2 6 2 2 3" xfId="33693" xr:uid="{03316575-24CE-43B2-8142-A2C3174C32C9}"/>
    <cellStyle name="40% - Accent1 2 2 2 6 2 3" xfId="42992" xr:uid="{A94569B6-1BF0-4A4A-B4C2-5EDF4A7C6169}"/>
    <cellStyle name="40% - Accent1 2 2 2 6 2 4" xfId="24394" xr:uid="{0ACF3220-2FFD-4E67-809E-68D222918945}"/>
    <cellStyle name="40% - Accent1 2 2 2 6 3" xfId="11730" xr:uid="{0E8CDF85-815F-4761-BD26-7F587D9D455B}"/>
    <cellStyle name="40% - Accent1 2 2 2 6 3 2" xfId="48072" xr:uid="{1B333061-8EBD-418D-A0DC-FFBFC02BBF43}"/>
    <cellStyle name="40% - Accent1 2 2 2 6 3 3" xfId="29476" xr:uid="{EE5D43FA-A65E-4F19-ABC8-3C47E591C292}"/>
    <cellStyle name="40% - Accent1 2 2 2 6 4" xfId="38775" xr:uid="{BD1E30B6-E96C-4215-9168-F113951D8B19}"/>
    <cellStyle name="40% - Accent1 2 2 2 6 5" xfId="20177" xr:uid="{B712DF70-6037-4241-9EE3-1A37312654A4}"/>
    <cellStyle name="40% - Accent1 2 2 2 7" xfId="4555" xr:uid="{00000000-0005-0000-0000-0000D7030000}"/>
    <cellStyle name="40% - Accent1 2 2 2 7 2" xfId="13881" xr:uid="{3901E03D-826B-4D38-9E18-F3EC1BA32A52}"/>
    <cellStyle name="40% - Accent1 2 2 2 7 2 2" xfId="50223" xr:uid="{C0A27EDD-A8FB-46F7-AB59-E8A4DF90D88F}"/>
    <cellStyle name="40% - Accent1 2 2 2 7 2 3" xfId="31627" xr:uid="{845AE9EB-D7B9-4445-B01B-61F04FFBD0A7}"/>
    <cellStyle name="40% - Accent1 2 2 2 7 3" xfId="40926" xr:uid="{F29FADD9-F151-46C5-9B7A-920937CFE328}"/>
    <cellStyle name="40% - Accent1 2 2 2 7 4" xfId="22328" xr:uid="{A5875FEA-9741-4BAD-AA4D-13FD38178566}"/>
    <cellStyle name="40% - Accent1 2 2 2 8" xfId="9108" xr:uid="{1189B5E8-DD3C-4F9A-ACD3-DB853C0AC60B}"/>
    <cellStyle name="40% - Accent1 2 2 2 8 2" xfId="36178" xr:uid="{220968CB-F8CB-4CEF-8E6C-16E119BC188B}"/>
    <cellStyle name="40% - Accent1 2 2 2 8 2 2" xfId="54773" xr:uid="{D51FB05B-0D5F-48C0-921E-18BAD499E08A}"/>
    <cellStyle name="40% - Accent1 2 2 2 8 3" xfId="45476" xr:uid="{A3F40940-24A2-418D-BB49-F25E92487387}"/>
    <cellStyle name="40% - Accent1 2 2 2 8 4" xfId="26879" xr:uid="{C9D1CF05-30E7-431A-B70C-8F0F00B9438E}"/>
    <cellStyle name="40% - Accent1 2 2 2 9" xfId="9664" xr:uid="{1C9AA30A-3E84-432E-9609-0EEA5B029DEF}"/>
    <cellStyle name="40% - Accent1 2 2 2 9 2" xfId="46006" xr:uid="{71D2F351-3A8F-4370-B287-20DD890B8AB7}"/>
    <cellStyle name="40% - Accent1 2 2 2 9 3" xfId="27410" xr:uid="{26AED485-7F1F-46E3-A8B6-5A738E574C94}"/>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16439" xr:uid="{926A9255-51C8-4CCC-965D-AAF649456DED}"/>
    <cellStyle name="40% - Accent1 2 2 3 2 2 2 2" xfId="52781" xr:uid="{7116A165-0D5D-459A-B031-704CE5054E64}"/>
    <cellStyle name="40% - Accent1 2 2 3 2 2 2 3" xfId="34185" xr:uid="{5294352E-73D4-4898-BE3A-771D9F3F0C11}"/>
    <cellStyle name="40% - Accent1 2 2 3 2 2 3" xfId="43484" xr:uid="{AD53CF3A-DB1C-4809-8FBD-C4B9FC586BD4}"/>
    <cellStyle name="40% - Accent1 2 2 3 2 2 4" xfId="24886" xr:uid="{01E0D54D-E081-40D3-AC78-3254B6C24DED}"/>
    <cellStyle name="40% - Accent1 2 2 3 2 3" xfId="12222" xr:uid="{D87A5E73-6C98-4DD7-94E4-F6423F612064}"/>
    <cellStyle name="40% - Accent1 2 2 3 2 3 2" xfId="48564" xr:uid="{C9707B82-66F5-451C-8144-77717E1ED061}"/>
    <cellStyle name="40% - Accent1 2 2 3 2 3 3" xfId="29968" xr:uid="{6202F517-4F60-41BE-9F33-9F91AD8B0331}"/>
    <cellStyle name="40% - Accent1 2 2 3 2 4" xfId="39267" xr:uid="{289542F3-7885-46D2-9C47-973DC6D18527}"/>
    <cellStyle name="40% - Accent1 2 2 3 2 5" xfId="20669" xr:uid="{4A4D958B-F943-47F4-837E-F5B929F79288}"/>
    <cellStyle name="40% - Accent1 2 2 3 3" xfId="4968" xr:uid="{00000000-0005-0000-0000-0000DB030000}"/>
    <cellStyle name="40% - Accent1 2 2 3 3 2" xfId="14294" xr:uid="{9D8032FF-3668-4A23-8F60-FAAEA74EF712}"/>
    <cellStyle name="40% - Accent1 2 2 3 3 2 2" xfId="50636" xr:uid="{D4AE88A7-E30D-4F81-A84E-96650E2F3449}"/>
    <cellStyle name="40% - Accent1 2 2 3 3 2 3" xfId="32040" xr:uid="{786E0539-D685-42C1-96BA-EE685075EDAA}"/>
    <cellStyle name="40% - Accent1 2 2 3 3 3" xfId="41339" xr:uid="{220551E4-2CA5-4507-9EDC-70EEB4191B4E}"/>
    <cellStyle name="40% - Accent1 2 2 3 3 4" xfId="22741" xr:uid="{79CD9B32-C5B8-4FC3-BDCA-41341328F55F}"/>
    <cellStyle name="40% - Accent1 2 2 3 4" xfId="9326" xr:uid="{6D693950-F4D3-4A82-8C01-49E2379281D4}"/>
    <cellStyle name="40% - Accent1 2 2 3 4 2" xfId="36387" xr:uid="{F02572E4-BC25-4FC1-B8B8-007DCFD39B64}"/>
    <cellStyle name="40% - Accent1 2 2 3 4 2 2" xfId="54981" xr:uid="{E225DE08-B7B5-483F-AD57-DF2ECA76D6BC}"/>
    <cellStyle name="40% - Accent1 2 2 3 4 3" xfId="45684" xr:uid="{D1643048-CA8A-4CFE-9497-DF1C834C0AB8}"/>
    <cellStyle name="40% - Accent1 2 2 3 4 4" xfId="27088" xr:uid="{A6E5C2D4-7F5D-46D0-BD01-EA9D563BA51D}"/>
    <cellStyle name="40% - Accent1 2 2 3 5" xfId="10077" xr:uid="{2786B79E-8B92-4C15-BA06-7095E054E483}"/>
    <cellStyle name="40% - Accent1 2 2 3 5 2" xfId="46419" xr:uid="{03621D71-3AC0-44B4-8AB0-2D4C8C20C84E}"/>
    <cellStyle name="40% - Accent1 2 2 3 5 3" xfId="27823" xr:uid="{1F89E3D3-FADE-4A61-84BC-84B1C6E143E4}"/>
    <cellStyle name="40% - Accent1 2 2 3 6" xfId="37122" xr:uid="{A7FAB21F-826F-4363-AC25-C0D7566AE7EB}"/>
    <cellStyle name="40% - Accent1 2 2 3 7" xfId="18524" xr:uid="{3994C82A-951C-4015-B215-3609F7131AAC}"/>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16852" xr:uid="{8146C3A8-0D2F-4E6B-8798-BC3924BD6385}"/>
    <cellStyle name="40% - Accent1 2 2 4 2 2 2 2" xfId="53194" xr:uid="{C7E0F7F2-FD52-4F40-94A1-C7D96CB49063}"/>
    <cellStyle name="40% - Accent1 2 2 4 2 2 2 3" xfId="34598" xr:uid="{5F763D07-FB3B-4768-8976-50323441F9BD}"/>
    <cellStyle name="40% - Accent1 2 2 4 2 2 3" xfId="43897" xr:uid="{A2F236DC-91C6-4F3B-AE81-607779DDD7CD}"/>
    <cellStyle name="40% - Accent1 2 2 4 2 2 4" xfId="25299" xr:uid="{9659EEF6-0F55-40D0-917B-C9922B9D7156}"/>
    <cellStyle name="40% - Accent1 2 2 4 2 3" xfId="12635" xr:uid="{7073DA1F-EE9B-425F-8B26-5D65D0B0FA98}"/>
    <cellStyle name="40% - Accent1 2 2 4 2 3 2" xfId="48977" xr:uid="{6E415F98-56A6-4118-B287-AC5EE4B64FE2}"/>
    <cellStyle name="40% - Accent1 2 2 4 2 3 3" xfId="30381" xr:uid="{CC41EE56-C81D-44A4-A071-69D116EF3BF1}"/>
    <cellStyle name="40% - Accent1 2 2 4 2 4" xfId="39680" xr:uid="{C39DF591-120F-4848-800D-81AED4A89198}"/>
    <cellStyle name="40% - Accent1 2 2 4 2 5" xfId="21082" xr:uid="{71C54672-76F9-4FA3-8FD8-55FA8550D117}"/>
    <cellStyle name="40% - Accent1 2 2 4 3" xfId="5381" xr:uid="{00000000-0005-0000-0000-0000DF030000}"/>
    <cellStyle name="40% - Accent1 2 2 4 3 2" xfId="14707" xr:uid="{1F5CF8CA-2DB3-4E98-BBD4-1B14405CB0E9}"/>
    <cellStyle name="40% - Accent1 2 2 4 3 2 2" xfId="51049" xr:uid="{6628BD2A-E5D7-4F7D-B60C-21E6DD9DA46D}"/>
    <cellStyle name="40% - Accent1 2 2 4 3 2 3" xfId="32453" xr:uid="{45130B25-3EB5-4B65-A547-55F554BF9AD0}"/>
    <cellStyle name="40% - Accent1 2 2 4 3 3" xfId="41752" xr:uid="{80F41ECE-892E-46EF-AB2F-F35C54F1D257}"/>
    <cellStyle name="40% - Accent1 2 2 4 3 4" xfId="23154" xr:uid="{77854165-3EB4-4BC1-ABA8-76F03738AC88}"/>
    <cellStyle name="40% - Accent1 2 2 4 4" xfId="10490" xr:uid="{9E582C0A-BAF5-4507-A722-D363F376DBBC}"/>
    <cellStyle name="40% - Accent1 2 2 4 4 2" xfId="46832" xr:uid="{710424B5-80BC-4722-A263-A1DBB2AA4AAE}"/>
    <cellStyle name="40% - Accent1 2 2 4 4 3" xfId="28236" xr:uid="{99BAB940-6AD1-45E1-A408-E8CC26B230D0}"/>
    <cellStyle name="40% - Accent1 2 2 4 5" xfId="37535" xr:uid="{DAAFE6A1-C509-4571-A816-EFE73539A2F0}"/>
    <cellStyle name="40% - Accent1 2 2 4 6" xfId="18937" xr:uid="{22A1288E-9F58-425E-AB22-173CC8492D8F}"/>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17265" xr:uid="{326311C5-6EEE-43E8-85D3-5C830CE25856}"/>
    <cellStyle name="40% - Accent1 2 2 5 2 2 2 2" xfId="53607" xr:uid="{BD39651A-608B-4C64-96A8-0C2A93959D9F}"/>
    <cellStyle name="40% - Accent1 2 2 5 2 2 2 3" xfId="35011" xr:uid="{4CF18D46-3527-433E-8A4D-09DAF29EFEC4}"/>
    <cellStyle name="40% - Accent1 2 2 5 2 2 3" xfId="44310" xr:uid="{D6A1C750-7F92-453F-9D23-41073E544AEE}"/>
    <cellStyle name="40% - Accent1 2 2 5 2 2 4" xfId="25712" xr:uid="{7842911E-F78A-4289-A0D6-B72ED79372E7}"/>
    <cellStyle name="40% - Accent1 2 2 5 2 3" xfId="13048" xr:uid="{282C7DAD-BFE7-4FFC-A4C5-1B7961B34A45}"/>
    <cellStyle name="40% - Accent1 2 2 5 2 3 2" xfId="49390" xr:uid="{5BA3DDD0-3772-4693-8968-06A72493B828}"/>
    <cellStyle name="40% - Accent1 2 2 5 2 3 3" xfId="30794" xr:uid="{6AC9F17B-D302-4624-B9E4-BF3D3C7C1EF7}"/>
    <cellStyle name="40% - Accent1 2 2 5 2 4" xfId="40093" xr:uid="{3E050B78-EFC1-4F2E-9A3A-2F9E654ED5B8}"/>
    <cellStyle name="40% - Accent1 2 2 5 2 5" xfId="21495" xr:uid="{56DE42DB-CF20-4F2F-A3BF-6A4E9DAB234A}"/>
    <cellStyle name="40% - Accent1 2 2 5 3" xfId="5794" xr:uid="{00000000-0005-0000-0000-0000E3030000}"/>
    <cellStyle name="40% - Accent1 2 2 5 3 2" xfId="15120" xr:uid="{E94CEE26-03B4-4CCF-B62D-1EF85B28B65A}"/>
    <cellStyle name="40% - Accent1 2 2 5 3 2 2" xfId="51462" xr:uid="{142B3549-B331-4B3F-BB7F-C6A4A47442FC}"/>
    <cellStyle name="40% - Accent1 2 2 5 3 2 3" xfId="32866" xr:uid="{F72D98D8-0EFC-449B-BE1D-8F0CA60B28C3}"/>
    <cellStyle name="40% - Accent1 2 2 5 3 3" xfId="42165" xr:uid="{1DD3B68A-C8F8-4DEF-924D-4D4194237736}"/>
    <cellStyle name="40% - Accent1 2 2 5 3 4" xfId="23567" xr:uid="{C2222501-FA5B-4FDC-979A-AD410BBD8D12}"/>
    <cellStyle name="40% - Accent1 2 2 5 4" xfId="10903" xr:uid="{B52CDF18-92D2-4C5E-94BF-E34BFDEAD83E}"/>
    <cellStyle name="40% - Accent1 2 2 5 4 2" xfId="47245" xr:uid="{FF3CEB40-312A-4C24-86EA-0E41B3FB41C6}"/>
    <cellStyle name="40% - Accent1 2 2 5 4 3" xfId="28649" xr:uid="{0B2406B6-CDD5-4669-9A62-D8DB34645175}"/>
    <cellStyle name="40% - Accent1 2 2 5 5" xfId="37948" xr:uid="{DB8E2130-DFD5-4590-8155-D039E1D14382}"/>
    <cellStyle name="40% - Accent1 2 2 5 6" xfId="19350" xr:uid="{FA1376CD-5EAA-4353-B246-4680EA3E64B2}"/>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17678" xr:uid="{5B326E3F-17B9-4863-9DD8-2A31B0B16DE3}"/>
    <cellStyle name="40% - Accent1 2 2 6 2 2 2 2" xfId="54020" xr:uid="{05CD27B0-0CAC-4287-89A9-88FEB77F426B}"/>
    <cellStyle name="40% - Accent1 2 2 6 2 2 2 3" xfId="35424" xr:uid="{16CAE576-70EC-41C6-8054-F1C59940FD70}"/>
    <cellStyle name="40% - Accent1 2 2 6 2 2 3" xfId="44723" xr:uid="{AB1F60F5-AEF9-4988-B656-7E283480282C}"/>
    <cellStyle name="40% - Accent1 2 2 6 2 2 4" xfId="26125" xr:uid="{CF02D0C2-64EA-4158-9EB6-76F5C5F742EF}"/>
    <cellStyle name="40% - Accent1 2 2 6 2 3" xfId="13461" xr:uid="{6A357A34-8C21-4FED-A122-B1DEDEEDB7A4}"/>
    <cellStyle name="40% - Accent1 2 2 6 2 3 2" xfId="49803" xr:uid="{E3E31CBD-7E15-4C35-97AE-9EA279B04FEF}"/>
    <cellStyle name="40% - Accent1 2 2 6 2 3 3" xfId="31207" xr:uid="{4F21F4EB-E1DC-47A9-A0FC-351B3CC16F9E}"/>
    <cellStyle name="40% - Accent1 2 2 6 2 4" xfId="40506" xr:uid="{055A194A-CE57-48E5-9BE2-00EEB5F0E8BF}"/>
    <cellStyle name="40% - Accent1 2 2 6 2 5" xfId="21908" xr:uid="{89E234FF-0EBA-4F82-9524-485B06B96E71}"/>
    <cellStyle name="40% - Accent1 2 2 6 3" xfId="6207" xr:uid="{00000000-0005-0000-0000-0000E7030000}"/>
    <cellStyle name="40% - Accent1 2 2 6 3 2" xfId="15533" xr:uid="{C5F3DBF3-18B8-48E9-BB50-AA11F27FED86}"/>
    <cellStyle name="40% - Accent1 2 2 6 3 2 2" xfId="51875" xr:uid="{999AB5BB-5181-4F70-BFDA-01DFF9675C8F}"/>
    <cellStyle name="40% - Accent1 2 2 6 3 2 3" xfId="33279" xr:uid="{6B4868E8-CC18-4F48-B108-0F3197A55CC6}"/>
    <cellStyle name="40% - Accent1 2 2 6 3 3" xfId="42578" xr:uid="{82491C11-7F18-4199-92E0-98906883015C}"/>
    <cellStyle name="40% - Accent1 2 2 6 3 4" xfId="23980" xr:uid="{145FC1B7-A6E0-4FB6-AA4A-408ACCAC6BFB}"/>
    <cellStyle name="40% - Accent1 2 2 6 4" xfId="11316" xr:uid="{32837104-0703-4526-A5FA-06A0C03FEBEC}"/>
    <cellStyle name="40% - Accent1 2 2 6 4 2" xfId="47658" xr:uid="{2E535C66-5514-4807-8D5C-4F2B0A5D6163}"/>
    <cellStyle name="40% - Accent1 2 2 6 4 3" xfId="29062" xr:uid="{05C52CBC-61B0-4018-9F3A-1BD4A25E1F8E}"/>
    <cellStyle name="40% - Accent1 2 2 6 5" xfId="38361" xr:uid="{904AAC21-527E-4E04-901F-033E0AE3A3F9}"/>
    <cellStyle name="40% - Accent1 2 2 6 6" xfId="19763" xr:uid="{66AF8806-CBE4-40A9-A7F0-146350C31C1F}"/>
    <cellStyle name="40% - Accent1 2 2 7" xfId="2314" xr:uid="{00000000-0005-0000-0000-0000E8030000}"/>
    <cellStyle name="40% - Accent1 2 2 7 2" xfId="6620" xr:uid="{00000000-0005-0000-0000-0000E9030000}"/>
    <cellStyle name="40% - Accent1 2 2 7 2 2" xfId="15946" xr:uid="{AD4FCCFE-1D29-4654-843B-2A57B39B60B0}"/>
    <cellStyle name="40% - Accent1 2 2 7 2 2 2" xfId="52288" xr:uid="{4A043D4A-6AED-4EDF-B3FD-69FC3D97777A}"/>
    <cellStyle name="40% - Accent1 2 2 7 2 2 3" xfId="33692" xr:uid="{241E9B2E-AE7A-4956-848E-93327F5260F0}"/>
    <cellStyle name="40% - Accent1 2 2 7 2 3" xfId="42991" xr:uid="{E7E3440B-54C9-4E54-9238-E66D04919F97}"/>
    <cellStyle name="40% - Accent1 2 2 7 2 4" xfId="24393" xr:uid="{D490EECA-B1E6-4C1C-9169-E72F0EF1EE0E}"/>
    <cellStyle name="40% - Accent1 2 2 7 3" xfId="11729" xr:uid="{001CAA2F-B815-41C1-92A1-EC1F254CFC21}"/>
    <cellStyle name="40% - Accent1 2 2 7 3 2" xfId="48071" xr:uid="{9246282C-8503-4C6E-B399-E15AD644FADD}"/>
    <cellStyle name="40% - Accent1 2 2 7 3 3" xfId="29475" xr:uid="{714A86EF-2862-429C-88ED-7EC3ADB90E3B}"/>
    <cellStyle name="40% - Accent1 2 2 7 4" xfId="38774" xr:uid="{BAA61429-99A6-4510-8DD4-AC19FACF4EDC}"/>
    <cellStyle name="40% - Accent1 2 2 7 5" xfId="20176" xr:uid="{2DA00CDA-6DB3-4938-B5F9-02E867954245}"/>
    <cellStyle name="40% - Accent1 2 2 8" xfId="4554" xr:uid="{00000000-0005-0000-0000-0000EA030000}"/>
    <cellStyle name="40% - Accent1 2 2 8 2" xfId="13880" xr:uid="{1C15C168-6D45-4681-952A-F9753F218905}"/>
    <cellStyle name="40% - Accent1 2 2 8 2 2" xfId="50222" xr:uid="{F3117A27-FD88-4D21-BBEB-45908831CCC0}"/>
    <cellStyle name="40% - Accent1 2 2 8 2 3" xfId="31626" xr:uid="{333BE8C3-648C-424D-83FB-F21DFC8B4C5F}"/>
    <cellStyle name="40% - Accent1 2 2 8 3" xfId="40925" xr:uid="{F9AC1E9E-2FF4-4ACC-868B-A74E1B29C635}"/>
    <cellStyle name="40% - Accent1 2 2 8 4" xfId="22327" xr:uid="{7EAED7D3-0CC3-4F4F-B6F5-C2731A60D679}"/>
    <cellStyle name="40% - Accent1 2 2 9" xfId="8901" xr:uid="{10130317-AF31-4351-8201-FD8BD447EA3C}"/>
    <cellStyle name="40% - Accent1 2 2 9 2" xfId="35971" xr:uid="{949AB33E-CE97-4DC0-A59B-53F2766AAD16}"/>
    <cellStyle name="40% - Accent1 2 2 9 2 2" xfId="54566" xr:uid="{49181174-4E11-4D20-93F3-C55B7056FBE1}"/>
    <cellStyle name="40% - Accent1 2 2 9 3" xfId="45269" xr:uid="{1030A213-10ED-4793-959F-2EAE28A3A99B}"/>
    <cellStyle name="40% - Accent1 2 2 9 4" xfId="26672" xr:uid="{A04CB5FC-FDBD-4FB9-B897-DC2DBA306242}"/>
    <cellStyle name="40% - Accent1 2 3" xfId="53" xr:uid="{00000000-0005-0000-0000-0000EB030000}"/>
    <cellStyle name="40% - Accent1 2 3 10" xfId="36710" xr:uid="{9DC16C8E-9220-4E82-AC87-6B4AF58CE94C}"/>
    <cellStyle name="40% - Accent1 2 3 11" xfId="18112" xr:uid="{4C35378E-B1A0-44DB-8E46-753FDDA2D5C7}"/>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16441" xr:uid="{9120670E-9E38-47ED-A653-FECE7A41CC5C}"/>
    <cellStyle name="40% - Accent1 2 3 2 2 2 2 2" xfId="52783" xr:uid="{443688FD-146A-4B8C-8CA2-1D75ED8D1EDF}"/>
    <cellStyle name="40% - Accent1 2 3 2 2 2 2 3" xfId="34187" xr:uid="{DE8A6FEB-3693-4590-B4DD-605D58576CF0}"/>
    <cellStyle name="40% - Accent1 2 3 2 2 2 3" xfId="43486" xr:uid="{BDA2B7CF-8AFA-471F-9485-3DEAB3EFD0B9}"/>
    <cellStyle name="40% - Accent1 2 3 2 2 2 4" xfId="24888" xr:uid="{B3ADDC09-378F-43C4-80C1-94DD43558C6F}"/>
    <cellStyle name="40% - Accent1 2 3 2 2 3" xfId="12224" xr:uid="{ED534452-D2F1-4842-BD1B-032E27EAA13B}"/>
    <cellStyle name="40% - Accent1 2 3 2 2 3 2" xfId="48566" xr:uid="{70CEF792-1B6F-4B60-A625-6C797F16D0E4}"/>
    <cellStyle name="40% - Accent1 2 3 2 2 3 3" xfId="29970" xr:uid="{0889E339-C727-41E6-BD05-9BAD6CF0EF74}"/>
    <cellStyle name="40% - Accent1 2 3 2 2 4" xfId="39269" xr:uid="{6E8EA0BC-6F9C-4630-A463-4C7786466F8B}"/>
    <cellStyle name="40% - Accent1 2 3 2 2 5" xfId="20671" xr:uid="{DF1C07A6-4BAF-492D-8BB5-9256BC90A693}"/>
    <cellStyle name="40% - Accent1 2 3 2 3" xfId="4970" xr:uid="{00000000-0005-0000-0000-0000EF030000}"/>
    <cellStyle name="40% - Accent1 2 3 2 3 2" xfId="14296" xr:uid="{0465B8FA-8287-473B-8085-EE9A3D3E1C9A}"/>
    <cellStyle name="40% - Accent1 2 3 2 3 2 2" xfId="50638" xr:uid="{09FEC9A9-B4BB-4A75-BAD9-1A467EBC056E}"/>
    <cellStyle name="40% - Accent1 2 3 2 3 2 3" xfId="32042" xr:uid="{EDCB8DDC-8F26-4D6F-A4E9-B126B84545CF}"/>
    <cellStyle name="40% - Accent1 2 3 2 3 3" xfId="41341" xr:uid="{1694FA60-B638-4508-B3C9-36961AC764E7}"/>
    <cellStyle name="40% - Accent1 2 3 2 3 4" xfId="22743" xr:uid="{576FE206-BA85-4956-8C3F-CFB9DF0CC7CC}"/>
    <cellStyle name="40% - Accent1 2 3 2 4" xfId="9430" xr:uid="{C79D1FB2-141C-4301-8F37-B3B9643C0550}"/>
    <cellStyle name="40% - Accent1 2 3 2 4 2" xfId="36491" xr:uid="{67FD3996-41C4-4E32-A188-DDBF23E3B52A}"/>
    <cellStyle name="40% - Accent1 2 3 2 4 2 2" xfId="55085" xr:uid="{6A72CD90-0A5F-4F5B-9DED-69850CBF1068}"/>
    <cellStyle name="40% - Accent1 2 3 2 4 3" xfId="45788" xr:uid="{988A179F-D871-48BB-9A7C-F5A3DCCD9C22}"/>
    <cellStyle name="40% - Accent1 2 3 2 4 4" xfId="27192" xr:uid="{A7AD2747-C79F-41BF-A557-3C9C3CA2C90C}"/>
    <cellStyle name="40% - Accent1 2 3 2 5" xfId="10079" xr:uid="{B449271E-28D5-4400-B2BF-B99FB18C28E3}"/>
    <cellStyle name="40% - Accent1 2 3 2 5 2" xfId="46421" xr:uid="{6220CA24-D928-4296-9B37-8E37E7E634A3}"/>
    <cellStyle name="40% - Accent1 2 3 2 5 3" xfId="27825" xr:uid="{39E16E9B-6F0A-45C8-8DA8-3DCA7DE3C37E}"/>
    <cellStyle name="40% - Accent1 2 3 2 6" xfId="37124" xr:uid="{16492B81-CB78-475A-8167-BDF92C719F2F}"/>
    <cellStyle name="40% - Accent1 2 3 2 7" xfId="18526" xr:uid="{8EE1292E-AB97-40AC-81FB-24C1CCDC37D0}"/>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16854" xr:uid="{F00C95C4-65F4-41FF-BA84-8630E8EAFBED}"/>
    <cellStyle name="40% - Accent1 2 3 3 2 2 2 2" xfId="53196" xr:uid="{F4067ABA-C850-4D36-A711-3D4296FED80A}"/>
    <cellStyle name="40% - Accent1 2 3 3 2 2 2 3" xfId="34600" xr:uid="{0E576662-EA2B-44AC-9CBC-CA0788C80778}"/>
    <cellStyle name="40% - Accent1 2 3 3 2 2 3" xfId="43899" xr:uid="{C07496A6-C89E-432C-B94C-4D4B6E7E0861}"/>
    <cellStyle name="40% - Accent1 2 3 3 2 2 4" xfId="25301" xr:uid="{504A1CF2-B35B-45B8-97A7-4D0A668033B6}"/>
    <cellStyle name="40% - Accent1 2 3 3 2 3" xfId="12637" xr:uid="{1612E1AC-9C15-4E22-8CEF-C5A60FF4B6A7}"/>
    <cellStyle name="40% - Accent1 2 3 3 2 3 2" xfId="48979" xr:uid="{3604F0E9-0CBA-4B87-B840-057E74119A9E}"/>
    <cellStyle name="40% - Accent1 2 3 3 2 3 3" xfId="30383" xr:uid="{5B3EC288-E3C0-456E-8896-08A368F935F4}"/>
    <cellStyle name="40% - Accent1 2 3 3 2 4" xfId="39682" xr:uid="{1937C10B-10E1-40B0-A564-A4BA9A3E63C5}"/>
    <cellStyle name="40% - Accent1 2 3 3 2 5" xfId="21084" xr:uid="{34DCAC91-408E-4DFF-9E9C-03F8FFE886FB}"/>
    <cellStyle name="40% - Accent1 2 3 3 3" xfId="5383" xr:uid="{00000000-0005-0000-0000-0000F3030000}"/>
    <cellStyle name="40% - Accent1 2 3 3 3 2" xfId="14709" xr:uid="{3F683ED6-6B8A-40EE-8A00-FCC6D4504BD8}"/>
    <cellStyle name="40% - Accent1 2 3 3 3 2 2" xfId="51051" xr:uid="{D2C39DED-80B4-4FAF-9660-3F40AAE4001C}"/>
    <cellStyle name="40% - Accent1 2 3 3 3 2 3" xfId="32455" xr:uid="{DC352C1F-43AD-4D0C-A717-A9F9E6DFEE8B}"/>
    <cellStyle name="40% - Accent1 2 3 3 3 3" xfId="41754" xr:uid="{5DD8D32C-11A0-45A7-8FAF-2B8244EE9CB8}"/>
    <cellStyle name="40% - Accent1 2 3 3 3 4" xfId="23156" xr:uid="{3FD820AC-9377-47D0-94F2-48D5E7CDDA03}"/>
    <cellStyle name="40% - Accent1 2 3 3 4" xfId="10492" xr:uid="{417773F5-8BF5-4394-844B-274ED5E66BDB}"/>
    <cellStyle name="40% - Accent1 2 3 3 4 2" xfId="46834" xr:uid="{5981ADFE-FBF6-4314-B2E3-7B7A96C5F0BD}"/>
    <cellStyle name="40% - Accent1 2 3 3 4 3" xfId="28238" xr:uid="{C33DEADD-16A5-45B7-BCBD-47C153F16A4F}"/>
    <cellStyle name="40% - Accent1 2 3 3 5" xfId="37537" xr:uid="{B1A9692E-015A-4EA6-80B6-095A12FC5BF1}"/>
    <cellStyle name="40% - Accent1 2 3 3 6" xfId="18939" xr:uid="{302365E4-0773-43BA-8D8E-5F11F4E073FC}"/>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17267" xr:uid="{59755027-F45E-447F-9726-479AE857B891}"/>
    <cellStyle name="40% - Accent1 2 3 4 2 2 2 2" xfId="53609" xr:uid="{7676E65D-3875-4A2D-9774-4D0E6581D90B}"/>
    <cellStyle name="40% - Accent1 2 3 4 2 2 2 3" xfId="35013" xr:uid="{7B9A9F7A-990B-4C87-B292-3010A84A2867}"/>
    <cellStyle name="40% - Accent1 2 3 4 2 2 3" xfId="44312" xr:uid="{23191DAB-57F4-47B8-892A-B074C8EE4C98}"/>
    <cellStyle name="40% - Accent1 2 3 4 2 2 4" xfId="25714" xr:uid="{9CA1F6D8-0CBE-45FE-81CF-2E3BF3926E41}"/>
    <cellStyle name="40% - Accent1 2 3 4 2 3" xfId="13050" xr:uid="{A538F378-A373-4439-B359-DD12EF73ECEA}"/>
    <cellStyle name="40% - Accent1 2 3 4 2 3 2" xfId="49392" xr:uid="{7B3CF81E-81BC-4A41-A1A4-008938D7D1D4}"/>
    <cellStyle name="40% - Accent1 2 3 4 2 3 3" xfId="30796" xr:uid="{0BF452D9-0E08-4F84-9D05-31AA8B24F920}"/>
    <cellStyle name="40% - Accent1 2 3 4 2 4" xfId="40095" xr:uid="{E65C6F23-4E5C-4536-B71E-33F35AE9B0D8}"/>
    <cellStyle name="40% - Accent1 2 3 4 2 5" xfId="21497" xr:uid="{DE5E34B3-C2EF-43DD-B686-1DFC173A7EFC}"/>
    <cellStyle name="40% - Accent1 2 3 4 3" xfId="5796" xr:uid="{00000000-0005-0000-0000-0000F7030000}"/>
    <cellStyle name="40% - Accent1 2 3 4 3 2" xfId="15122" xr:uid="{8DCF21EA-7F50-4627-9249-AD1C7E52B67F}"/>
    <cellStyle name="40% - Accent1 2 3 4 3 2 2" xfId="51464" xr:uid="{6D75152B-CEEC-4E7B-8C49-E88E1469B402}"/>
    <cellStyle name="40% - Accent1 2 3 4 3 2 3" xfId="32868" xr:uid="{1DD1AC8C-EC82-4C01-8F65-BA5B953FB9BC}"/>
    <cellStyle name="40% - Accent1 2 3 4 3 3" xfId="42167" xr:uid="{4C01078F-753A-47DF-8BC4-D4690D04EE83}"/>
    <cellStyle name="40% - Accent1 2 3 4 3 4" xfId="23569" xr:uid="{F553EC23-8C68-4398-B574-E6386A421EC3}"/>
    <cellStyle name="40% - Accent1 2 3 4 4" xfId="10905" xr:uid="{F74B127D-5427-4336-B006-7C8922938CC3}"/>
    <cellStyle name="40% - Accent1 2 3 4 4 2" xfId="47247" xr:uid="{6322460C-262B-4E76-9A51-AD1C4B2C7669}"/>
    <cellStyle name="40% - Accent1 2 3 4 4 3" xfId="28651" xr:uid="{08CE7C9C-FE03-41A8-865A-B5893889E049}"/>
    <cellStyle name="40% - Accent1 2 3 4 5" xfId="37950" xr:uid="{321F89A0-BC77-4EF0-97D9-93C7FF870563}"/>
    <cellStyle name="40% - Accent1 2 3 4 6" xfId="19352" xr:uid="{5E883908-F7C9-488E-8E95-675AE403BE66}"/>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17680" xr:uid="{BB0482C5-21A6-44D1-8390-68E888ECB35E}"/>
    <cellStyle name="40% - Accent1 2 3 5 2 2 2 2" xfId="54022" xr:uid="{755AB8C9-923C-4473-94A2-25674EAB3CA8}"/>
    <cellStyle name="40% - Accent1 2 3 5 2 2 2 3" xfId="35426" xr:uid="{1A87C6EA-4224-4F65-AD00-FB5E06D385A6}"/>
    <cellStyle name="40% - Accent1 2 3 5 2 2 3" xfId="44725" xr:uid="{4E754E5A-BFA2-41C5-90CB-10C278C6243A}"/>
    <cellStyle name="40% - Accent1 2 3 5 2 2 4" xfId="26127" xr:uid="{F1F1AEB4-27FC-4B52-8C7E-45D9D66CDE39}"/>
    <cellStyle name="40% - Accent1 2 3 5 2 3" xfId="13463" xr:uid="{46B75CE3-2F00-430D-BC0F-66D3ADA06A75}"/>
    <cellStyle name="40% - Accent1 2 3 5 2 3 2" xfId="49805" xr:uid="{E149BA67-3ADF-4042-807F-E0E3802DE0E1}"/>
    <cellStyle name="40% - Accent1 2 3 5 2 3 3" xfId="31209" xr:uid="{8B6BEFA7-DABF-4478-8071-CE8799D399F1}"/>
    <cellStyle name="40% - Accent1 2 3 5 2 4" xfId="40508" xr:uid="{A3D1D8F1-D15B-4124-94FB-E6703055F8ED}"/>
    <cellStyle name="40% - Accent1 2 3 5 2 5" xfId="21910" xr:uid="{DB0C0942-ADF9-4070-98C8-E6FCE56862AE}"/>
    <cellStyle name="40% - Accent1 2 3 5 3" xfId="6209" xr:uid="{00000000-0005-0000-0000-0000FB030000}"/>
    <cellStyle name="40% - Accent1 2 3 5 3 2" xfId="15535" xr:uid="{3FCE4A3B-B93F-4EAE-BE12-AAA2C1F01F84}"/>
    <cellStyle name="40% - Accent1 2 3 5 3 2 2" xfId="51877" xr:uid="{6327966B-78FF-413C-A7FC-F939533AF2EF}"/>
    <cellStyle name="40% - Accent1 2 3 5 3 2 3" xfId="33281" xr:uid="{1D38FAA9-7B1C-462C-8BB2-F0E8568EB039}"/>
    <cellStyle name="40% - Accent1 2 3 5 3 3" xfId="42580" xr:uid="{741BFA31-51D7-4D52-BFA5-4AC3B30D7F90}"/>
    <cellStyle name="40% - Accent1 2 3 5 3 4" xfId="23982" xr:uid="{8E56ACD5-058B-47AB-9F23-4BC08C6BB4CE}"/>
    <cellStyle name="40% - Accent1 2 3 5 4" xfId="11318" xr:uid="{68745944-3789-4DC4-90FD-5311006DA6B8}"/>
    <cellStyle name="40% - Accent1 2 3 5 4 2" xfId="47660" xr:uid="{41CAD9B8-1703-484F-BFB6-E610F8017907}"/>
    <cellStyle name="40% - Accent1 2 3 5 4 3" xfId="29064" xr:uid="{B6F3E48B-3FD7-489F-8B31-488A1D25F576}"/>
    <cellStyle name="40% - Accent1 2 3 5 5" xfId="38363" xr:uid="{A10B361E-C9D2-4DE5-8EDF-A7FE108F91D4}"/>
    <cellStyle name="40% - Accent1 2 3 5 6" xfId="19765" xr:uid="{BAE753BD-425F-4FC8-BA07-85948A7F68A5}"/>
    <cellStyle name="40% - Accent1 2 3 6" xfId="2316" xr:uid="{00000000-0005-0000-0000-0000FC030000}"/>
    <cellStyle name="40% - Accent1 2 3 6 2" xfId="6622" xr:uid="{00000000-0005-0000-0000-0000FD030000}"/>
    <cellStyle name="40% - Accent1 2 3 6 2 2" xfId="15948" xr:uid="{CFC0BCD3-AF7A-4E23-8C17-087569678237}"/>
    <cellStyle name="40% - Accent1 2 3 6 2 2 2" xfId="52290" xr:uid="{B116BCA4-B70E-4777-9E1B-9447F5AFE996}"/>
    <cellStyle name="40% - Accent1 2 3 6 2 2 3" xfId="33694" xr:uid="{BE2BC7AD-6B1C-4118-B76B-F1C9B002D949}"/>
    <cellStyle name="40% - Accent1 2 3 6 2 3" xfId="42993" xr:uid="{226E9B3A-2F9B-4D39-9F33-BC01FBED0843}"/>
    <cellStyle name="40% - Accent1 2 3 6 2 4" xfId="24395" xr:uid="{548CEA7C-4334-42B7-ADC9-CB20851CD860}"/>
    <cellStyle name="40% - Accent1 2 3 6 3" xfId="11731" xr:uid="{81FCAAEB-1B00-435B-A9A3-38B094B635C1}"/>
    <cellStyle name="40% - Accent1 2 3 6 3 2" xfId="48073" xr:uid="{5894F28B-54D6-4717-9C16-F57E107F7D1E}"/>
    <cellStyle name="40% - Accent1 2 3 6 3 3" xfId="29477" xr:uid="{FC40BF83-DB2E-41DA-ADEF-4426E5C1C6E2}"/>
    <cellStyle name="40% - Accent1 2 3 6 4" xfId="38776" xr:uid="{913ED4BC-72A6-45C4-BAD8-141EF17D8DCA}"/>
    <cellStyle name="40% - Accent1 2 3 6 5" xfId="20178" xr:uid="{7EC5DB82-483C-44BF-9AD6-9D502BB61894}"/>
    <cellStyle name="40% - Accent1 2 3 7" xfId="4556" xr:uid="{00000000-0005-0000-0000-0000FE030000}"/>
    <cellStyle name="40% - Accent1 2 3 7 2" xfId="13882" xr:uid="{6A31DFF1-B51A-4207-80C3-1A33D61793B4}"/>
    <cellStyle name="40% - Accent1 2 3 7 2 2" xfId="50224" xr:uid="{FCAEA612-A122-47D9-805C-229516BDFF08}"/>
    <cellStyle name="40% - Accent1 2 3 7 2 3" xfId="31628" xr:uid="{3FE12232-602B-4113-9B28-36E5137E0D9E}"/>
    <cellStyle name="40% - Accent1 2 3 7 3" xfId="40927" xr:uid="{08F64417-2386-427D-8BB7-D12CA3E98F91}"/>
    <cellStyle name="40% - Accent1 2 3 7 4" xfId="22329" xr:uid="{FCAFCD1A-19E3-4123-BB2C-6D8269876A08}"/>
    <cellStyle name="40% - Accent1 2 3 8" xfId="9005" xr:uid="{83AF69B9-664F-4E19-B721-7989C2FEBC0C}"/>
    <cellStyle name="40% - Accent1 2 3 8 2" xfId="36075" xr:uid="{AA8A612A-1D6C-4E52-B775-897173F2EE89}"/>
    <cellStyle name="40% - Accent1 2 3 8 2 2" xfId="54670" xr:uid="{5B7F6A85-004A-4939-B91F-82604F150C28}"/>
    <cellStyle name="40% - Accent1 2 3 8 3" xfId="45373" xr:uid="{3E2E2BFF-050F-453B-B536-A2EC970CF907}"/>
    <cellStyle name="40% - Accent1 2 3 8 4" xfId="26776" xr:uid="{45732CF0-27A0-447F-AA6E-323E966C11E6}"/>
    <cellStyle name="40% - Accent1 2 3 9" xfId="9665" xr:uid="{9BDA3522-6891-4E6C-98A1-76354D4618DC}"/>
    <cellStyle name="40% - Accent1 2 3 9 2" xfId="46007" xr:uid="{6BB2F467-62FD-44B6-AC08-73FAAD19BE1E}"/>
    <cellStyle name="40% - Accent1 2 3 9 3" xfId="27411" xr:uid="{983477F1-A7DB-438B-9409-9A8C66611171}"/>
    <cellStyle name="40% - Accent1 2 4" xfId="619" xr:uid="{00000000-0005-0000-0000-0000FF030000}"/>
    <cellStyle name="40% - Accent1 2 4 2" xfId="2890" xr:uid="{00000000-0005-0000-0000-000000040000}"/>
    <cellStyle name="40% - Accent1 2 4 2 2" xfId="7112" xr:uid="{00000000-0005-0000-0000-000001040000}"/>
    <cellStyle name="40% - Accent1 2 4 2 2 2" xfId="16438" xr:uid="{22655206-F33A-4C39-8D5C-704899C0B847}"/>
    <cellStyle name="40% - Accent1 2 4 2 2 2 2" xfId="52780" xr:uid="{04F659D1-AD76-4C31-8A8B-046DB1CB6B6D}"/>
    <cellStyle name="40% - Accent1 2 4 2 2 2 3" xfId="34184" xr:uid="{E8B727AA-13DC-43E6-946F-75D93858765A}"/>
    <cellStyle name="40% - Accent1 2 4 2 2 3" xfId="43483" xr:uid="{1C3D42E2-DE61-4F5A-ACA9-6ECB3CEDA63E}"/>
    <cellStyle name="40% - Accent1 2 4 2 2 4" xfId="24885" xr:uid="{3F08A983-465C-493E-B6BE-903046E37E93}"/>
    <cellStyle name="40% - Accent1 2 4 2 3" xfId="12221" xr:uid="{5D524869-50C7-4525-8391-043805160428}"/>
    <cellStyle name="40% - Accent1 2 4 2 3 2" xfId="48563" xr:uid="{D8416831-2D8A-40FB-BFB8-1011B4B41C42}"/>
    <cellStyle name="40% - Accent1 2 4 2 3 3" xfId="29967" xr:uid="{CDB5B0F2-CA1A-4883-A79D-662B9C03EA01}"/>
    <cellStyle name="40% - Accent1 2 4 2 4" xfId="39266" xr:uid="{D9A5D1A2-5B65-479B-B349-C93A83DFE41D}"/>
    <cellStyle name="40% - Accent1 2 4 2 5" xfId="20668" xr:uid="{6D4C4D65-380B-45E4-9F9E-F1C964B63CCC}"/>
    <cellStyle name="40% - Accent1 2 4 3" xfId="4967" xr:uid="{00000000-0005-0000-0000-000002040000}"/>
    <cellStyle name="40% - Accent1 2 4 3 2" xfId="14293" xr:uid="{348C1CBC-C8B0-440A-8471-F47083239E53}"/>
    <cellStyle name="40% - Accent1 2 4 3 2 2" xfId="50635" xr:uid="{D17AEBB0-C474-4D51-8F26-ECFFF2F8BDC0}"/>
    <cellStyle name="40% - Accent1 2 4 3 2 3" xfId="32039" xr:uid="{D2F9EBEB-1BC2-4F84-AE78-66B35AA5BC21}"/>
    <cellStyle name="40% - Accent1 2 4 3 3" xfId="41338" xr:uid="{C6B1DC02-5289-4A15-81E6-A18724C86D36}"/>
    <cellStyle name="40% - Accent1 2 4 3 4" xfId="22740" xr:uid="{E93C26DB-ECE2-42FA-BCBD-4A68422657C8}"/>
    <cellStyle name="40% - Accent1 2 4 4" xfId="9222" xr:uid="{A6B83122-AC98-4E58-AA4D-EC5ECC38FC6B}"/>
    <cellStyle name="40% - Accent1 2 4 4 2" xfId="36284" xr:uid="{FE3795F7-FB1F-434E-A4CC-8B2278C4F391}"/>
    <cellStyle name="40% - Accent1 2 4 4 2 2" xfId="54878" xr:uid="{66109036-30C0-42BD-A40D-EE6AAE037CCF}"/>
    <cellStyle name="40% - Accent1 2 4 4 3" xfId="45581" xr:uid="{75D698D7-2CD7-4F40-8AE6-E599135FB85B}"/>
    <cellStyle name="40% - Accent1 2 4 4 4" xfId="26985" xr:uid="{D68BBFC4-14AA-437D-938A-25FF630A0980}"/>
    <cellStyle name="40% - Accent1 2 4 5" xfId="10076" xr:uid="{CCC52B29-A453-4122-A69B-5BC77C94C901}"/>
    <cellStyle name="40% - Accent1 2 4 5 2" xfId="46418" xr:uid="{3D537C1C-E36D-4049-A664-6BA596A493C5}"/>
    <cellStyle name="40% - Accent1 2 4 5 3" xfId="27822" xr:uid="{A7D627B5-A22E-44FB-8DEF-77D6C937F6F5}"/>
    <cellStyle name="40% - Accent1 2 4 6" xfId="37121" xr:uid="{68C9E0E6-07C0-4F17-BE48-A3B8D128E2F6}"/>
    <cellStyle name="40% - Accent1 2 4 7" xfId="18523" xr:uid="{939F054E-F6EC-44CA-825B-5E2AD01A9BFF}"/>
    <cellStyle name="40% - Accent1 2 5" xfId="1072" xr:uid="{00000000-0005-0000-0000-000003040000}"/>
    <cellStyle name="40% - Accent1 2 5 2" xfId="3303" xr:uid="{00000000-0005-0000-0000-000004040000}"/>
    <cellStyle name="40% - Accent1 2 5 2 2" xfId="7525" xr:uid="{00000000-0005-0000-0000-000005040000}"/>
    <cellStyle name="40% - Accent1 2 5 2 2 2" xfId="16851" xr:uid="{EDF94D6B-4CDE-44BE-BDA6-8E930D0809FB}"/>
    <cellStyle name="40% - Accent1 2 5 2 2 2 2" xfId="53193" xr:uid="{C87C6A0D-3197-47A6-8BD0-B3B3F2DF8761}"/>
    <cellStyle name="40% - Accent1 2 5 2 2 2 3" xfId="34597" xr:uid="{AA189C24-9341-4C04-A7B3-EE3859D1355C}"/>
    <cellStyle name="40% - Accent1 2 5 2 2 3" xfId="43896" xr:uid="{E9084129-E9E5-45C7-A510-6ECF02B2950B}"/>
    <cellStyle name="40% - Accent1 2 5 2 2 4" xfId="25298" xr:uid="{B1079FF6-A7E8-4890-B24E-CD272D933300}"/>
    <cellStyle name="40% - Accent1 2 5 2 3" xfId="12634" xr:uid="{72FC0054-66C9-42F3-9BE4-A3B0AC14C6A2}"/>
    <cellStyle name="40% - Accent1 2 5 2 3 2" xfId="48976" xr:uid="{331FB15E-D4EC-4893-96EE-A28C96B7BCD8}"/>
    <cellStyle name="40% - Accent1 2 5 2 3 3" xfId="30380" xr:uid="{B776D74C-5F84-4C74-BD0D-44E770241D73}"/>
    <cellStyle name="40% - Accent1 2 5 2 4" xfId="39679" xr:uid="{0DF15EF3-BE12-4486-843F-AC06138A9B2A}"/>
    <cellStyle name="40% - Accent1 2 5 2 5" xfId="21081" xr:uid="{9F8AD2AB-DDFF-43A3-93C9-44E4578987F6}"/>
    <cellStyle name="40% - Accent1 2 5 3" xfId="5380" xr:uid="{00000000-0005-0000-0000-000006040000}"/>
    <cellStyle name="40% - Accent1 2 5 3 2" xfId="14706" xr:uid="{7231B895-B426-4B10-A186-6301A74F3E61}"/>
    <cellStyle name="40% - Accent1 2 5 3 2 2" xfId="51048" xr:uid="{CF463CE5-D827-4F5E-8033-FD6331960A76}"/>
    <cellStyle name="40% - Accent1 2 5 3 2 3" xfId="32452" xr:uid="{625D0B71-D4DD-4C93-A226-74623D30C300}"/>
    <cellStyle name="40% - Accent1 2 5 3 3" xfId="41751" xr:uid="{F93F6429-A4EA-4AF5-BB40-039D6781F768}"/>
    <cellStyle name="40% - Accent1 2 5 3 4" xfId="23153" xr:uid="{498FEDAD-E79F-4A0A-AB1B-F8C101CD5553}"/>
    <cellStyle name="40% - Accent1 2 5 4" xfId="10489" xr:uid="{34AEA3C2-7134-48E6-91C7-F4EB1CA26955}"/>
    <cellStyle name="40% - Accent1 2 5 4 2" xfId="46831" xr:uid="{064221B9-4A32-49C3-B290-597CC8BF037A}"/>
    <cellStyle name="40% - Accent1 2 5 4 3" xfId="28235" xr:uid="{1CA83AEB-F6C9-4082-B50F-CE18519C9298}"/>
    <cellStyle name="40% - Accent1 2 5 5" xfId="37534" xr:uid="{18CA6EC2-EE3E-4F25-9584-96A326AA5936}"/>
    <cellStyle name="40% - Accent1 2 5 6" xfId="18936" xr:uid="{5F3813D8-BC19-4D85-B7A4-3CD0E778AEA4}"/>
    <cellStyle name="40% - Accent1 2 6" xfId="1486" xr:uid="{00000000-0005-0000-0000-000007040000}"/>
    <cellStyle name="40% - Accent1 2 6 2" xfId="3716" xr:uid="{00000000-0005-0000-0000-000008040000}"/>
    <cellStyle name="40% - Accent1 2 6 2 2" xfId="7938" xr:uid="{00000000-0005-0000-0000-000009040000}"/>
    <cellStyle name="40% - Accent1 2 6 2 2 2" xfId="17264" xr:uid="{BF032D98-D2BE-488A-B7AF-E029EE4E31CC}"/>
    <cellStyle name="40% - Accent1 2 6 2 2 2 2" xfId="53606" xr:uid="{AD45BBCA-4493-4628-AB57-7C007AA5559E}"/>
    <cellStyle name="40% - Accent1 2 6 2 2 2 3" xfId="35010" xr:uid="{A1AA0D5C-7BE6-4F18-8D1A-353744A7F8BC}"/>
    <cellStyle name="40% - Accent1 2 6 2 2 3" xfId="44309" xr:uid="{8134DBA8-8629-465C-88AF-ABA37E46F62F}"/>
    <cellStyle name="40% - Accent1 2 6 2 2 4" xfId="25711" xr:uid="{9CAE568E-7433-44A9-AD4A-A86DEE8BC0CD}"/>
    <cellStyle name="40% - Accent1 2 6 2 3" xfId="13047" xr:uid="{E0436A0B-6B93-4717-9751-86CE3194352F}"/>
    <cellStyle name="40% - Accent1 2 6 2 3 2" xfId="49389" xr:uid="{9560FA1E-C17F-4880-84DA-DFFB8940C684}"/>
    <cellStyle name="40% - Accent1 2 6 2 3 3" xfId="30793" xr:uid="{9A9C22B5-CCB6-4A14-9A10-6541C2071023}"/>
    <cellStyle name="40% - Accent1 2 6 2 4" xfId="40092" xr:uid="{42F165FC-9934-4103-99E3-3F53704DF76B}"/>
    <cellStyle name="40% - Accent1 2 6 2 5" xfId="21494" xr:uid="{6305E3F1-2414-48BC-98EC-0589383CF5BE}"/>
    <cellStyle name="40% - Accent1 2 6 3" xfId="5793" xr:uid="{00000000-0005-0000-0000-00000A040000}"/>
    <cellStyle name="40% - Accent1 2 6 3 2" xfId="15119" xr:uid="{388DA66B-3DE1-456A-811C-C27F07605EF7}"/>
    <cellStyle name="40% - Accent1 2 6 3 2 2" xfId="51461" xr:uid="{E3E4B31A-0FF1-4C29-AF9B-44A741F86986}"/>
    <cellStyle name="40% - Accent1 2 6 3 2 3" xfId="32865" xr:uid="{9DB0C064-7094-42F2-82E6-1456C40743E3}"/>
    <cellStyle name="40% - Accent1 2 6 3 3" xfId="42164" xr:uid="{E1907D21-5383-4784-B49C-D8AAD734EE60}"/>
    <cellStyle name="40% - Accent1 2 6 3 4" xfId="23566" xr:uid="{D0E7DB8A-A6D0-4227-9567-AA078E930F6B}"/>
    <cellStyle name="40% - Accent1 2 6 4" xfId="10902" xr:uid="{34416995-CBE9-4538-AD48-B718344583CC}"/>
    <cellStyle name="40% - Accent1 2 6 4 2" xfId="47244" xr:uid="{1F001CF2-359B-4CCC-8C48-FF99FB2629C8}"/>
    <cellStyle name="40% - Accent1 2 6 4 3" xfId="28648" xr:uid="{C61D1DF5-A563-4689-94DD-A60F1BC3534B}"/>
    <cellStyle name="40% - Accent1 2 6 5" xfId="37947" xr:uid="{FAD10EDD-3044-4015-8F7B-1DC0F1E3CF0D}"/>
    <cellStyle name="40% - Accent1 2 6 6" xfId="19349" xr:uid="{BF7452E6-3CDD-414A-AB76-4A1B606BAC78}"/>
    <cellStyle name="40% - Accent1 2 7" xfId="1900" xr:uid="{00000000-0005-0000-0000-00000B040000}"/>
    <cellStyle name="40% - Accent1 2 7 2" xfId="4129" xr:uid="{00000000-0005-0000-0000-00000C040000}"/>
    <cellStyle name="40% - Accent1 2 7 2 2" xfId="8351" xr:uid="{00000000-0005-0000-0000-00000D040000}"/>
    <cellStyle name="40% - Accent1 2 7 2 2 2" xfId="17677" xr:uid="{74CBBBD7-D426-40AE-AE9B-01F9BD8FFEF6}"/>
    <cellStyle name="40% - Accent1 2 7 2 2 2 2" xfId="54019" xr:uid="{81A695EF-3C8B-438B-8B2C-5946E43AABCA}"/>
    <cellStyle name="40% - Accent1 2 7 2 2 2 3" xfId="35423" xr:uid="{FB5F1AAA-F4D4-406B-B851-B943D042DB71}"/>
    <cellStyle name="40% - Accent1 2 7 2 2 3" xfId="44722" xr:uid="{9CC5AE55-8E5D-43FA-AF55-FA6A246D3647}"/>
    <cellStyle name="40% - Accent1 2 7 2 2 4" xfId="26124" xr:uid="{D781F7B0-190E-42A3-8313-7CCFAE36178A}"/>
    <cellStyle name="40% - Accent1 2 7 2 3" xfId="13460" xr:uid="{5C5032C4-954F-4B7C-8BB4-1542B0596871}"/>
    <cellStyle name="40% - Accent1 2 7 2 3 2" xfId="49802" xr:uid="{17869D84-C882-4F07-98D0-6DD81AB20A07}"/>
    <cellStyle name="40% - Accent1 2 7 2 3 3" xfId="31206" xr:uid="{5768AA13-63BB-460C-B094-C28009F34244}"/>
    <cellStyle name="40% - Accent1 2 7 2 4" xfId="40505" xr:uid="{BF3AEEF0-5DAE-4804-BD21-D5E0BBDE659A}"/>
    <cellStyle name="40% - Accent1 2 7 2 5" xfId="21907" xr:uid="{EBA46D28-AAF6-4E58-9C25-E5C3DF968976}"/>
    <cellStyle name="40% - Accent1 2 7 3" xfId="6206" xr:uid="{00000000-0005-0000-0000-00000E040000}"/>
    <cellStyle name="40% - Accent1 2 7 3 2" xfId="15532" xr:uid="{50C2BC4F-2BE4-4025-92F5-D9F05C5DBA9E}"/>
    <cellStyle name="40% - Accent1 2 7 3 2 2" xfId="51874" xr:uid="{DBBF611D-2CD7-4B48-98D2-554DCECB37CA}"/>
    <cellStyle name="40% - Accent1 2 7 3 2 3" xfId="33278" xr:uid="{D8C9D8EC-029B-4BF2-95E5-143D49BFADE8}"/>
    <cellStyle name="40% - Accent1 2 7 3 3" xfId="42577" xr:uid="{DB2CD704-FE46-4A85-ABB9-C9E6C59BB00F}"/>
    <cellStyle name="40% - Accent1 2 7 3 4" xfId="23979" xr:uid="{6B457E1F-EF8D-4996-9AFE-C7021F2D3B61}"/>
    <cellStyle name="40% - Accent1 2 7 4" xfId="11315" xr:uid="{91B95487-7A4F-44AF-8663-7BC0B9ED0A7D}"/>
    <cellStyle name="40% - Accent1 2 7 4 2" xfId="47657" xr:uid="{179CA941-1FBA-4F61-B67F-376922CFF47C}"/>
    <cellStyle name="40% - Accent1 2 7 4 3" xfId="29061" xr:uid="{CD1ACBBF-EFC0-46D6-84A1-C1A8BC538AD8}"/>
    <cellStyle name="40% - Accent1 2 7 5" xfId="38360" xr:uid="{922CACA2-69C5-4109-A1BB-F391265E1AA2}"/>
    <cellStyle name="40% - Accent1 2 7 6" xfId="19762" xr:uid="{2A29FBF9-6A40-44C9-A4D2-99085A7E2036}"/>
    <cellStyle name="40% - Accent1 2 8" xfId="2313" xr:uid="{00000000-0005-0000-0000-00000F040000}"/>
    <cellStyle name="40% - Accent1 2 8 2" xfId="6619" xr:uid="{00000000-0005-0000-0000-000010040000}"/>
    <cellStyle name="40% - Accent1 2 8 2 2" xfId="15945" xr:uid="{CCA8CC97-E095-42EC-9B7D-1F6AB4F717EE}"/>
    <cellStyle name="40% - Accent1 2 8 2 2 2" xfId="52287" xr:uid="{E2438058-6E18-4BEB-9ADB-F0A65BDE17C6}"/>
    <cellStyle name="40% - Accent1 2 8 2 2 3" xfId="33691" xr:uid="{BA3AF937-AC9D-4731-AD4B-B9877A91EA85}"/>
    <cellStyle name="40% - Accent1 2 8 2 3" xfId="42990" xr:uid="{E2994861-E014-4DCD-9FD0-2DE558CE908D}"/>
    <cellStyle name="40% - Accent1 2 8 2 4" xfId="24392" xr:uid="{2B9BDB67-7902-42EB-92D7-568C3ECAC620}"/>
    <cellStyle name="40% - Accent1 2 8 3" xfId="11728" xr:uid="{EEAF4DA3-9C43-440B-8684-7CEC5C9BE822}"/>
    <cellStyle name="40% - Accent1 2 8 3 2" xfId="48070" xr:uid="{B8310FB4-9870-4A66-BF1D-59B648CF7600}"/>
    <cellStyle name="40% - Accent1 2 8 3 3" xfId="29474" xr:uid="{ACA59D28-2486-41B0-9187-92552704A0B8}"/>
    <cellStyle name="40% - Accent1 2 8 4" xfId="38773" xr:uid="{83ECC8E0-38B4-413B-A68F-5161CCB28B14}"/>
    <cellStyle name="40% - Accent1 2 8 5" xfId="20175" xr:uid="{FE788C00-6BD8-406A-B18F-DEA24EB96C45}"/>
    <cellStyle name="40% - Accent1 2 9" xfId="4553" xr:uid="{00000000-0005-0000-0000-000011040000}"/>
    <cellStyle name="40% - Accent1 2 9 2" xfId="13879" xr:uid="{2C26C556-F7AF-4FB4-A14C-D58AF8B26B05}"/>
    <cellStyle name="40% - Accent1 2 9 2 2" xfId="50221" xr:uid="{DF366DD2-A870-4998-8A37-FA512CCF2BB4}"/>
    <cellStyle name="40% - Accent1 2 9 2 3" xfId="31625" xr:uid="{9EA0FF38-E601-4B9B-AF73-75CCEF5072B7}"/>
    <cellStyle name="40% - Accent1 2 9 3" xfId="40924" xr:uid="{F4FE3DE5-5F4D-48AD-9699-E11D8B08B16D}"/>
    <cellStyle name="40% - Accent1 2 9 4" xfId="22326" xr:uid="{6EA3427A-5779-40BF-81E3-9C0E5661B4FD}"/>
    <cellStyle name="40% - Accent1 3" xfId="54" xr:uid="{00000000-0005-0000-0000-000012040000}"/>
    <cellStyle name="40% - Accent1 3 10" xfId="9666" xr:uid="{858ED315-CB8A-4184-B224-167BA185BB7B}"/>
    <cellStyle name="40% - Accent1 3 10 2" xfId="46008" xr:uid="{A1685F2F-C93A-4C4C-BD0D-33A38616E404}"/>
    <cellStyle name="40% - Accent1 3 10 3" xfId="27412" xr:uid="{FE6D0092-DA96-4125-8283-635B38494C48}"/>
    <cellStyle name="40% - Accent1 3 11" xfId="36711" xr:uid="{546BC51E-7C2B-4DF5-B610-36D768A593DD}"/>
    <cellStyle name="40% - Accent1 3 12" xfId="18113" xr:uid="{2682148E-1AEC-4FBA-A759-4ABDC7CA7408}"/>
    <cellStyle name="40% - Accent1 3 2" xfId="55" xr:uid="{00000000-0005-0000-0000-000013040000}"/>
    <cellStyle name="40% - Accent1 3 2 10" xfId="36712" xr:uid="{36CCFF3F-B5ED-4430-BCD3-8A4BBA45A575}"/>
    <cellStyle name="40% - Accent1 3 2 11" xfId="18114" xr:uid="{E25B156D-54ED-4287-8CC7-6C586DBCC2F9}"/>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16443" xr:uid="{E90D575F-B371-4313-B43A-5B1779B7EA22}"/>
    <cellStyle name="40% - Accent1 3 2 2 2 2 2 2" xfId="52785" xr:uid="{0A693E2E-42EF-4BD2-A7AA-84609E71DBCA}"/>
    <cellStyle name="40% - Accent1 3 2 2 2 2 2 3" xfId="34189" xr:uid="{D93B323A-B39F-4BD3-B6C4-FB754A44069E}"/>
    <cellStyle name="40% - Accent1 3 2 2 2 2 3" xfId="43488" xr:uid="{0535053C-657A-4DBF-B30A-21551E6EDF3D}"/>
    <cellStyle name="40% - Accent1 3 2 2 2 2 4" xfId="24890" xr:uid="{0A2E4917-ED7B-40CC-B45F-C40A9E62B34A}"/>
    <cellStyle name="40% - Accent1 3 2 2 2 3" xfId="12226" xr:uid="{55AD5740-D1B9-4EB6-AA16-39DB6F346C4F}"/>
    <cellStyle name="40% - Accent1 3 2 2 2 3 2" xfId="48568" xr:uid="{988F1EC5-F528-4CE7-9364-9A3DF6060125}"/>
    <cellStyle name="40% - Accent1 3 2 2 2 3 3" xfId="29972" xr:uid="{593D8B81-ECD7-4097-BA2B-5B2CA98EB6FA}"/>
    <cellStyle name="40% - Accent1 3 2 2 2 4" xfId="39271" xr:uid="{857E3D81-9701-420D-80AE-288F283F2ED2}"/>
    <cellStyle name="40% - Accent1 3 2 2 2 5" xfId="20673" xr:uid="{7C78AF15-E289-4833-814E-D815B5AEE0C4}"/>
    <cellStyle name="40% - Accent1 3 2 2 3" xfId="4972" xr:uid="{00000000-0005-0000-0000-000017040000}"/>
    <cellStyle name="40% - Accent1 3 2 2 3 2" xfId="14298" xr:uid="{485B4E88-F458-4713-8AE5-CD32F8F38DC3}"/>
    <cellStyle name="40% - Accent1 3 2 2 3 2 2" xfId="50640" xr:uid="{96B6657D-2E1F-4981-97F9-C6F702A67F5B}"/>
    <cellStyle name="40% - Accent1 3 2 2 3 2 3" xfId="32044" xr:uid="{74BFD92E-0796-49D3-BD1F-DC89EA4520F7}"/>
    <cellStyle name="40% - Accent1 3 2 2 3 3" xfId="41343" xr:uid="{AA5FC178-DFCE-4D8B-863C-33A52739A4A8}"/>
    <cellStyle name="40% - Accent1 3 2 2 3 4" xfId="22745" xr:uid="{D530810F-9746-4C41-91F5-CAE3DDD9F00D}"/>
    <cellStyle name="40% - Accent1 3 2 2 4" xfId="9494" xr:uid="{49092FA9-F337-44E8-98C8-15711B1C1558}"/>
    <cellStyle name="40% - Accent1 3 2 2 4 2" xfId="36555" xr:uid="{669FC79E-8EF5-4A65-9850-2D192A87371F}"/>
    <cellStyle name="40% - Accent1 3 2 2 4 2 2" xfId="55149" xr:uid="{8B1595F6-7098-4BCE-A8C8-A479EA28CB10}"/>
    <cellStyle name="40% - Accent1 3 2 2 4 3" xfId="45852" xr:uid="{5927BF14-A91C-458F-B1B9-660439D49079}"/>
    <cellStyle name="40% - Accent1 3 2 2 4 4" xfId="27256" xr:uid="{09A155BB-0489-480F-93AE-379D82662936}"/>
    <cellStyle name="40% - Accent1 3 2 2 5" xfId="10081" xr:uid="{7BC4D810-66CC-4ACB-9898-C51632D6815C}"/>
    <cellStyle name="40% - Accent1 3 2 2 5 2" xfId="46423" xr:uid="{3B9F6745-41BD-470B-8EA2-D57E7B641170}"/>
    <cellStyle name="40% - Accent1 3 2 2 5 3" xfId="27827" xr:uid="{2F1899A9-47BC-4AAA-AF1C-CCFD2C07F211}"/>
    <cellStyle name="40% - Accent1 3 2 2 6" xfId="37126" xr:uid="{F011513B-C4FC-48EB-960F-1F710D163215}"/>
    <cellStyle name="40% - Accent1 3 2 2 7" xfId="18528" xr:uid="{4D09EF63-7982-4706-8671-A39AC80244A7}"/>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16856" xr:uid="{F3F26DEA-43F5-4BBA-9433-4001A53E2043}"/>
    <cellStyle name="40% - Accent1 3 2 3 2 2 2 2" xfId="53198" xr:uid="{5C0D35C7-6AD4-4434-9648-E0C0061D8CED}"/>
    <cellStyle name="40% - Accent1 3 2 3 2 2 2 3" xfId="34602" xr:uid="{0D08B4C8-E5AD-43CA-B4D7-06BE50B9F645}"/>
    <cellStyle name="40% - Accent1 3 2 3 2 2 3" xfId="43901" xr:uid="{3C6C5F7F-FA72-40FB-AED2-91888ACFD640}"/>
    <cellStyle name="40% - Accent1 3 2 3 2 2 4" xfId="25303" xr:uid="{830F6504-78D7-4894-BBA6-2A89A8AAC99E}"/>
    <cellStyle name="40% - Accent1 3 2 3 2 3" xfId="12639" xr:uid="{9D758267-7955-4625-A778-CAC4FA6F1D21}"/>
    <cellStyle name="40% - Accent1 3 2 3 2 3 2" xfId="48981" xr:uid="{29AFE48E-BE8F-4B1B-BB6D-99E0524088FE}"/>
    <cellStyle name="40% - Accent1 3 2 3 2 3 3" xfId="30385" xr:uid="{813BDD68-7C6A-49C6-9C8E-EB202CB535B4}"/>
    <cellStyle name="40% - Accent1 3 2 3 2 4" xfId="39684" xr:uid="{28028835-B457-4100-96DA-BA771F0839F9}"/>
    <cellStyle name="40% - Accent1 3 2 3 2 5" xfId="21086" xr:uid="{5287C497-AC13-4261-9DF4-C0187F5E8935}"/>
    <cellStyle name="40% - Accent1 3 2 3 3" xfId="5385" xr:uid="{00000000-0005-0000-0000-00001B040000}"/>
    <cellStyle name="40% - Accent1 3 2 3 3 2" xfId="14711" xr:uid="{24D46ACF-4149-4573-B383-106EB9D4F32C}"/>
    <cellStyle name="40% - Accent1 3 2 3 3 2 2" xfId="51053" xr:uid="{8B5AE7F1-BD20-4BCF-B92D-5C029D81D2C1}"/>
    <cellStyle name="40% - Accent1 3 2 3 3 2 3" xfId="32457" xr:uid="{C671914C-F130-40C4-BDBB-62861C83DDF8}"/>
    <cellStyle name="40% - Accent1 3 2 3 3 3" xfId="41756" xr:uid="{48FD8277-07A3-4CC3-89BC-53FE727D0C56}"/>
    <cellStyle name="40% - Accent1 3 2 3 3 4" xfId="23158" xr:uid="{84A00E64-DFC7-444A-8999-C2C0D73F3D78}"/>
    <cellStyle name="40% - Accent1 3 2 3 4" xfId="10494" xr:uid="{0E17C0B4-C274-4D6A-9B19-99615EF85472}"/>
    <cellStyle name="40% - Accent1 3 2 3 4 2" xfId="46836" xr:uid="{E099233F-0DF9-4515-A3F6-91C1FAE742D4}"/>
    <cellStyle name="40% - Accent1 3 2 3 4 3" xfId="28240" xr:uid="{C73E2EF3-7CE6-4E7F-A1D3-7303F5C2FF46}"/>
    <cellStyle name="40% - Accent1 3 2 3 5" xfId="37539" xr:uid="{173EA5F4-6818-49FA-970C-D119FFC2AC82}"/>
    <cellStyle name="40% - Accent1 3 2 3 6" xfId="18941" xr:uid="{0DB31971-A427-4D5F-87E9-F040713685FD}"/>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17269" xr:uid="{280CCB4E-1920-45FD-88B6-86C9E6FBE462}"/>
    <cellStyle name="40% - Accent1 3 2 4 2 2 2 2" xfId="53611" xr:uid="{9B0510E4-783E-4338-ADA5-42F1D7955D95}"/>
    <cellStyle name="40% - Accent1 3 2 4 2 2 2 3" xfId="35015" xr:uid="{485ACCE1-96C6-4E78-850A-D05C0E69F455}"/>
    <cellStyle name="40% - Accent1 3 2 4 2 2 3" xfId="44314" xr:uid="{35DD9E98-B8A4-4539-BF6E-415951932158}"/>
    <cellStyle name="40% - Accent1 3 2 4 2 2 4" xfId="25716" xr:uid="{EAECB0AD-5D26-4C72-A2B9-4C2201C6102B}"/>
    <cellStyle name="40% - Accent1 3 2 4 2 3" xfId="13052" xr:uid="{2F28B44A-0F31-4ED2-A93A-3C440FAE867E}"/>
    <cellStyle name="40% - Accent1 3 2 4 2 3 2" xfId="49394" xr:uid="{23BB177F-2178-45E2-9FB3-894FBEE9797E}"/>
    <cellStyle name="40% - Accent1 3 2 4 2 3 3" xfId="30798" xr:uid="{931625F9-CDBB-4859-83C6-53AD64A4A365}"/>
    <cellStyle name="40% - Accent1 3 2 4 2 4" xfId="40097" xr:uid="{C2DA4953-017A-4F60-BC53-4D981161B957}"/>
    <cellStyle name="40% - Accent1 3 2 4 2 5" xfId="21499" xr:uid="{9C5EAF9E-F061-42F0-AF53-426039822F9F}"/>
    <cellStyle name="40% - Accent1 3 2 4 3" xfId="5798" xr:uid="{00000000-0005-0000-0000-00001F040000}"/>
    <cellStyle name="40% - Accent1 3 2 4 3 2" xfId="15124" xr:uid="{1D7A1262-9546-490B-81ED-7DEBC594A9F4}"/>
    <cellStyle name="40% - Accent1 3 2 4 3 2 2" xfId="51466" xr:uid="{61865941-6A0E-41C9-BC0C-63E010880C0E}"/>
    <cellStyle name="40% - Accent1 3 2 4 3 2 3" xfId="32870" xr:uid="{B3B04D9B-C9A1-40E0-886F-3E656FE4BCCB}"/>
    <cellStyle name="40% - Accent1 3 2 4 3 3" xfId="42169" xr:uid="{6EFFBE59-CDA2-445D-9EF8-ABAB465A9969}"/>
    <cellStyle name="40% - Accent1 3 2 4 3 4" xfId="23571" xr:uid="{3D004E1A-B08E-4D40-B5C2-A523D869397C}"/>
    <cellStyle name="40% - Accent1 3 2 4 4" xfId="10907" xr:uid="{3922E7E4-CBE9-4514-ACC3-5D52DDEAADAD}"/>
    <cellStyle name="40% - Accent1 3 2 4 4 2" xfId="47249" xr:uid="{60EFF678-2DBB-46BE-B6E4-E966479A1404}"/>
    <cellStyle name="40% - Accent1 3 2 4 4 3" xfId="28653" xr:uid="{F4CEAC6E-0245-4ABE-8839-353BDBDC511C}"/>
    <cellStyle name="40% - Accent1 3 2 4 5" xfId="37952" xr:uid="{C99EF006-F04D-488B-8FD7-31FC7FA40E76}"/>
    <cellStyle name="40% - Accent1 3 2 4 6" xfId="19354" xr:uid="{03D1FDD9-6A00-4475-A06A-4079C0B791FD}"/>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17682" xr:uid="{F8A39E85-358A-40F5-BCBC-78631B0968B2}"/>
    <cellStyle name="40% - Accent1 3 2 5 2 2 2 2" xfId="54024" xr:uid="{7EFD6186-B956-4696-9D0B-0082703AC82B}"/>
    <cellStyle name="40% - Accent1 3 2 5 2 2 2 3" xfId="35428" xr:uid="{B41B2467-7BEA-41AA-82B0-A31D795BF12E}"/>
    <cellStyle name="40% - Accent1 3 2 5 2 2 3" xfId="44727" xr:uid="{BCFF742F-1F39-4945-B375-70447206DFAF}"/>
    <cellStyle name="40% - Accent1 3 2 5 2 2 4" xfId="26129" xr:uid="{09A721B8-A1EE-48CA-8977-6C6CAE619C4B}"/>
    <cellStyle name="40% - Accent1 3 2 5 2 3" xfId="13465" xr:uid="{740A7EAF-51F3-4591-BD94-C807A3A39CBB}"/>
    <cellStyle name="40% - Accent1 3 2 5 2 3 2" xfId="49807" xr:uid="{794FEC2A-BBE9-493A-9739-1540EB322A67}"/>
    <cellStyle name="40% - Accent1 3 2 5 2 3 3" xfId="31211" xr:uid="{5EA38C4C-05A6-408F-AB93-5677E015D065}"/>
    <cellStyle name="40% - Accent1 3 2 5 2 4" xfId="40510" xr:uid="{96E0B4E6-82C0-4A6C-AAAA-DF1732ACDE76}"/>
    <cellStyle name="40% - Accent1 3 2 5 2 5" xfId="21912" xr:uid="{09D06990-D33A-41BA-8B54-15D7FF3DC2CB}"/>
    <cellStyle name="40% - Accent1 3 2 5 3" xfId="6211" xr:uid="{00000000-0005-0000-0000-000023040000}"/>
    <cellStyle name="40% - Accent1 3 2 5 3 2" xfId="15537" xr:uid="{A67D4E5B-E052-4607-9ECD-0368DF89AC9D}"/>
    <cellStyle name="40% - Accent1 3 2 5 3 2 2" xfId="51879" xr:uid="{F0576E0B-9A41-4E02-9C22-FAABD42918AA}"/>
    <cellStyle name="40% - Accent1 3 2 5 3 2 3" xfId="33283" xr:uid="{C856E468-6AFB-4B93-861B-6A743856D9E0}"/>
    <cellStyle name="40% - Accent1 3 2 5 3 3" xfId="42582" xr:uid="{F95223E2-5A65-4E1E-A827-A18C81FF95E3}"/>
    <cellStyle name="40% - Accent1 3 2 5 3 4" xfId="23984" xr:uid="{513BD0F1-230A-4CED-80C6-3D8D8F2BAACF}"/>
    <cellStyle name="40% - Accent1 3 2 5 4" xfId="11320" xr:uid="{A35C8F43-75A7-411E-BF50-BF4DAA4DB319}"/>
    <cellStyle name="40% - Accent1 3 2 5 4 2" xfId="47662" xr:uid="{9EEB0F2A-D73B-4456-BF6B-E04B0A1AF518}"/>
    <cellStyle name="40% - Accent1 3 2 5 4 3" xfId="29066" xr:uid="{984E4954-04D8-42ED-9053-3415FF12460E}"/>
    <cellStyle name="40% - Accent1 3 2 5 5" xfId="38365" xr:uid="{D506C83B-484F-4838-AB3F-85DB3C3DDF75}"/>
    <cellStyle name="40% - Accent1 3 2 5 6" xfId="19767" xr:uid="{38B6894E-9696-440B-95B7-5B8442DDD49D}"/>
    <cellStyle name="40% - Accent1 3 2 6" xfId="2318" xr:uid="{00000000-0005-0000-0000-000024040000}"/>
    <cellStyle name="40% - Accent1 3 2 6 2" xfId="6624" xr:uid="{00000000-0005-0000-0000-000025040000}"/>
    <cellStyle name="40% - Accent1 3 2 6 2 2" xfId="15950" xr:uid="{1F0348F0-F909-4564-9888-0622B4CC663D}"/>
    <cellStyle name="40% - Accent1 3 2 6 2 2 2" xfId="52292" xr:uid="{600E8FC1-B42E-4E71-8E8A-8AFC764507A5}"/>
    <cellStyle name="40% - Accent1 3 2 6 2 2 3" xfId="33696" xr:uid="{2744E4F4-AE97-4A2C-897F-09EAD8117BEF}"/>
    <cellStyle name="40% - Accent1 3 2 6 2 3" xfId="42995" xr:uid="{05B79742-C9B7-4330-9510-F463C42C95CF}"/>
    <cellStyle name="40% - Accent1 3 2 6 2 4" xfId="24397" xr:uid="{70B20013-2E2E-4C46-8F16-ED60AE86EACE}"/>
    <cellStyle name="40% - Accent1 3 2 6 3" xfId="11733" xr:uid="{FEA554AF-6F5C-407F-856F-94BFE569F968}"/>
    <cellStyle name="40% - Accent1 3 2 6 3 2" xfId="48075" xr:uid="{1AC41185-E67E-42D2-9CE2-EE8563FB6613}"/>
    <cellStyle name="40% - Accent1 3 2 6 3 3" xfId="29479" xr:uid="{BD32FE60-3A83-4426-8A87-3C674C5BD7FF}"/>
    <cellStyle name="40% - Accent1 3 2 6 4" xfId="38778" xr:uid="{55D5748B-F987-4D56-97F1-5E05C0EB7BC5}"/>
    <cellStyle name="40% - Accent1 3 2 6 5" xfId="20180" xr:uid="{7CA46026-E286-419A-BD08-05C3F1FA21CD}"/>
    <cellStyle name="40% - Accent1 3 2 7" xfId="4558" xr:uid="{00000000-0005-0000-0000-000026040000}"/>
    <cellStyle name="40% - Accent1 3 2 7 2" xfId="13884" xr:uid="{1B219AFD-A2DE-413D-A18B-8187E6FD9440}"/>
    <cellStyle name="40% - Accent1 3 2 7 2 2" xfId="50226" xr:uid="{1B7764BD-A1A9-42D2-BDC7-2727541BF0FD}"/>
    <cellStyle name="40% - Accent1 3 2 7 2 3" xfId="31630" xr:uid="{95B031DA-C106-4D41-A18D-14F2D1BA4DEA}"/>
    <cellStyle name="40% - Accent1 3 2 7 3" xfId="40929" xr:uid="{F2B72701-767A-431C-866B-9AAEAFD1E096}"/>
    <cellStyle name="40% - Accent1 3 2 7 4" xfId="22331" xr:uid="{CC1E661C-0CE2-410A-B10E-2B0832AB3ED0}"/>
    <cellStyle name="40% - Accent1 3 2 8" xfId="9069" xr:uid="{F3D9FD63-8946-4492-B81A-42936E8B246D}"/>
    <cellStyle name="40% - Accent1 3 2 8 2" xfId="36139" xr:uid="{30D26D0F-56FA-4239-AF46-B5476769ED18}"/>
    <cellStyle name="40% - Accent1 3 2 8 2 2" xfId="54734" xr:uid="{6EB8DBC9-45E6-4245-8BA0-5301F0A9D0CE}"/>
    <cellStyle name="40% - Accent1 3 2 8 3" xfId="45437" xr:uid="{2CA711A9-960B-4A5E-91C7-85B4630F2731}"/>
    <cellStyle name="40% - Accent1 3 2 8 4" xfId="26840" xr:uid="{FF641D9C-AD10-4125-A855-BE83431ACC0B}"/>
    <cellStyle name="40% - Accent1 3 2 9" xfId="9667" xr:uid="{03564BE5-16FB-4B35-910D-EFBD6F7EC382}"/>
    <cellStyle name="40% - Accent1 3 2 9 2" xfId="46009" xr:uid="{50E125BA-6FFD-4152-A8F4-1EF1C1DF20CC}"/>
    <cellStyle name="40% - Accent1 3 2 9 3" xfId="27413" xr:uid="{464C24EF-ECE8-4B90-BDDF-ECCE5A95F7C9}"/>
    <cellStyle name="40% - Accent1 3 3" xfId="623" xr:uid="{00000000-0005-0000-0000-000027040000}"/>
    <cellStyle name="40% - Accent1 3 3 2" xfId="2894" xr:uid="{00000000-0005-0000-0000-000028040000}"/>
    <cellStyle name="40% - Accent1 3 3 2 2" xfId="7116" xr:uid="{00000000-0005-0000-0000-000029040000}"/>
    <cellStyle name="40% - Accent1 3 3 2 2 2" xfId="16442" xr:uid="{0FFE7F07-B206-402F-A00D-ADECE73134C8}"/>
    <cellStyle name="40% - Accent1 3 3 2 2 2 2" xfId="52784" xr:uid="{193AB0C6-55EA-46FA-A469-68A0F497E531}"/>
    <cellStyle name="40% - Accent1 3 3 2 2 2 3" xfId="34188" xr:uid="{6412240B-7E6F-49FA-934D-8B7ECA6A55A8}"/>
    <cellStyle name="40% - Accent1 3 3 2 2 3" xfId="43487" xr:uid="{491CEE90-576A-496C-BA1B-F4014FD75889}"/>
    <cellStyle name="40% - Accent1 3 3 2 2 4" xfId="24889" xr:uid="{71994D85-39A7-4006-AEAE-4E32875A958E}"/>
    <cellStyle name="40% - Accent1 3 3 2 3" xfId="12225" xr:uid="{C8E9DA3A-C4B1-4E17-804D-2C029AFF69F2}"/>
    <cellStyle name="40% - Accent1 3 3 2 3 2" xfId="48567" xr:uid="{C335656F-4C75-4192-BAC3-54ED5BF60596}"/>
    <cellStyle name="40% - Accent1 3 3 2 3 3" xfId="29971" xr:uid="{DB224F7E-85DB-4897-84E4-4E6F4B78E37D}"/>
    <cellStyle name="40% - Accent1 3 3 2 4" xfId="39270" xr:uid="{C8CEDB30-7EBF-4500-AAEE-D90E2FC8EEBA}"/>
    <cellStyle name="40% - Accent1 3 3 2 5" xfId="20672" xr:uid="{C612A1AE-75B1-40E8-ADF7-F63823C96E60}"/>
    <cellStyle name="40% - Accent1 3 3 3" xfId="4971" xr:uid="{00000000-0005-0000-0000-00002A040000}"/>
    <cellStyle name="40% - Accent1 3 3 3 2" xfId="14297" xr:uid="{DF15C026-E05C-42F6-95C1-40B36709B83D}"/>
    <cellStyle name="40% - Accent1 3 3 3 2 2" xfId="50639" xr:uid="{94411C94-6950-4949-94B8-FFAE7D8F331E}"/>
    <cellStyle name="40% - Accent1 3 3 3 2 3" xfId="32043" xr:uid="{4A0807EB-841E-4D42-9AA8-1660AA74E1CE}"/>
    <cellStyle name="40% - Accent1 3 3 3 3" xfId="41342" xr:uid="{AF570B33-D63A-4BB0-A796-656B30CEA9D8}"/>
    <cellStyle name="40% - Accent1 3 3 3 4" xfId="22744" xr:uid="{975346E9-67F6-42B3-B9D4-FF988901BA45}"/>
    <cellStyle name="40% - Accent1 3 3 4" xfId="9287" xr:uid="{8C21B573-3D31-49DA-ACD8-D3EC7CC3A858}"/>
    <cellStyle name="40% - Accent1 3 3 4 2" xfId="36348" xr:uid="{2760857C-A1F6-4A6F-98E4-95EC7F2C05D1}"/>
    <cellStyle name="40% - Accent1 3 3 4 2 2" xfId="54942" xr:uid="{F6DE4F24-3F54-4EE0-BBE7-F0ABC62F1FA3}"/>
    <cellStyle name="40% - Accent1 3 3 4 3" xfId="45645" xr:uid="{FCE87BB7-1300-4019-AD49-4AFF64B23329}"/>
    <cellStyle name="40% - Accent1 3 3 4 4" xfId="27049" xr:uid="{CEC697F3-51E9-4759-8884-37B372DCB11F}"/>
    <cellStyle name="40% - Accent1 3 3 5" xfId="10080" xr:uid="{9077A3F9-3282-4025-93B9-2DE6CC4B1B5B}"/>
    <cellStyle name="40% - Accent1 3 3 5 2" xfId="46422" xr:uid="{DE455EBB-E367-4E85-9DB3-D3F10FAF702F}"/>
    <cellStyle name="40% - Accent1 3 3 5 3" xfId="27826" xr:uid="{594A5CC0-F3FB-41C9-8430-5BEBDC234EB4}"/>
    <cellStyle name="40% - Accent1 3 3 6" xfId="37125" xr:uid="{6BA43180-5B11-424E-B277-916072F695E6}"/>
    <cellStyle name="40% - Accent1 3 3 7" xfId="18527" xr:uid="{CA9E638D-1253-4588-A644-499E9FEDC8C4}"/>
    <cellStyle name="40% - Accent1 3 4" xfId="1076" xr:uid="{00000000-0005-0000-0000-00002B040000}"/>
    <cellStyle name="40% - Accent1 3 4 2" xfId="3307" xr:uid="{00000000-0005-0000-0000-00002C040000}"/>
    <cellStyle name="40% - Accent1 3 4 2 2" xfId="7529" xr:uid="{00000000-0005-0000-0000-00002D040000}"/>
    <cellStyle name="40% - Accent1 3 4 2 2 2" xfId="16855" xr:uid="{9AB880AF-4264-46FB-B4DA-9D782DD8939E}"/>
    <cellStyle name="40% - Accent1 3 4 2 2 2 2" xfId="53197" xr:uid="{5CFABF41-CDA3-4501-BBC9-1912555983C9}"/>
    <cellStyle name="40% - Accent1 3 4 2 2 2 3" xfId="34601" xr:uid="{71835FD3-1BAC-4B1B-9DD1-1D1E7B573D50}"/>
    <cellStyle name="40% - Accent1 3 4 2 2 3" xfId="43900" xr:uid="{787FF27C-664E-44E9-9B28-2788BF48F805}"/>
    <cellStyle name="40% - Accent1 3 4 2 2 4" xfId="25302" xr:uid="{C17AE9E2-9C00-4C26-9340-C8D6A59BAB2D}"/>
    <cellStyle name="40% - Accent1 3 4 2 3" xfId="12638" xr:uid="{A72FB169-0CA7-4A6D-B486-B74EEEB84B22}"/>
    <cellStyle name="40% - Accent1 3 4 2 3 2" xfId="48980" xr:uid="{594C2D73-E367-405B-97A6-9F30F7BBFFD5}"/>
    <cellStyle name="40% - Accent1 3 4 2 3 3" xfId="30384" xr:uid="{B324C0B8-97D8-4E14-8FB4-30DF0A72D8A2}"/>
    <cellStyle name="40% - Accent1 3 4 2 4" xfId="39683" xr:uid="{C0E5417F-79E2-4F87-8B81-547883A72DA2}"/>
    <cellStyle name="40% - Accent1 3 4 2 5" xfId="21085" xr:uid="{C82D4007-F73B-4E37-A322-795AA2887AE3}"/>
    <cellStyle name="40% - Accent1 3 4 3" xfId="5384" xr:uid="{00000000-0005-0000-0000-00002E040000}"/>
    <cellStyle name="40% - Accent1 3 4 3 2" xfId="14710" xr:uid="{F975054F-6640-44DC-98E8-34826E5D9B1E}"/>
    <cellStyle name="40% - Accent1 3 4 3 2 2" xfId="51052" xr:uid="{8E72A495-C8A7-46EB-AE58-4FD94B1397F1}"/>
    <cellStyle name="40% - Accent1 3 4 3 2 3" xfId="32456" xr:uid="{E77E99AF-E429-4CE4-9EBA-DC91A1071B2A}"/>
    <cellStyle name="40% - Accent1 3 4 3 3" xfId="41755" xr:uid="{A84761D1-2257-46FC-8F09-BE7D3F54285B}"/>
    <cellStyle name="40% - Accent1 3 4 3 4" xfId="23157" xr:uid="{1FB953DF-2388-44A9-9D1C-FB588B91B5A8}"/>
    <cellStyle name="40% - Accent1 3 4 4" xfId="10493" xr:uid="{983FE0A1-038D-44AC-A898-2973C161C3C0}"/>
    <cellStyle name="40% - Accent1 3 4 4 2" xfId="46835" xr:uid="{E49123E6-246B-4A8E-AB67-BF9E06AFCCDF}"/>
    <cellStyle name="40% - Accent1 3 4 4 3" xfId="28239" xr:uid="{730442CE-8735-4EE1-B1D8-C1CEF7298798}"/>
    <cellStyle name="40% - Accent1 3 4 5" xfId="37538" xr:uid="{EFBAC277-61DB-4618-94CA-FF28BA934DA6}"/>
    <cellStyle name="40% - Accent1 3 4 6" xfId="18940" xr:uid="{90CB078F-1097-45B6-9506-E194CFD7CC6B}"/>
    <cellStyle name="40% - Accent1 3 5" xfId="1490" xr:uid="{00000000-0005-0000-0000-00002F040000}"/>
    <cellStyle name="40% - Accent1 3 5 2" xfId="3720" xr:uid="{00000000-0005-0000-0000-000030040000}"/>
    <cellStyle name="40% - Accent1 3 5 2 2" xfId="7942" xr:uid="{00000000-0005-0000-0000-000031040000}"/>
    <cellStyle name="40% - Accent1 3 5 2 2 2" xfId="17268" xr:uid="{FCBD7C6D-E400-43BA-8DBA-99AA75784467}"/>
    <cellStyle name="40% - Accent1 3 5 2 2 2 2" xfId="53610" xr:uid="{3C8A070B-3A51-4794-9328-0D90BD2ADC47}"/>
    <cellStyle name="40% - Accent1 3 5 2 2 2 3" xfId="35014" xr:uid="{404C46C9-0F11-46CB-8EBA-B666D34B07AD}"/>
    <cellStyle name="40% - Accent1 3 5 2 2 3" xfId="44313" xr:uid="{12D46DA2-FE43-4583-899C-BF648DF080CD}"/>
    <cellStyle name="40% - Accent1 3 5 2 2 4" xfId="25715" xr:uid="{4A58701B-3904-4BAF-9AF3-6D95EED24C0B}"/>
    <cellStyle name="40% - Accent1 3 5 2 3" xfId="13051" xr:uid="{CED1D8BD-DB30-478B-8CB0-1CEE71A77990}"/>
    <cellStyle name="40% - Accent1 3 5 2 3 2" xfId="49393" xr:uid="{2F2EFEFE-8880-4BE3-8DD5-ED274B768225}"/>
    <cellStyle name="40% - Accent1 3 5 2 3 3" xfId="30797" xr:uid="{3DFD4651-5B4D-4F8D-8332-22C695831301}"/>
    <cellStyle name="40% - Accent1 3 5 2 4" xfId="40096" xr:uid="{F4F52A85-7638-4225-9C2B-D87D8413E8B5}"/>
    <cellStyle name="40% - Accent1 3 5 2 5" xfId="21498" xr:uid="{94D935D7-2ED0-44E8-A71E-890E57BEF378}"/>
    <cellStyle name="40% - Accent1 3 5 3" xfId="5797" xr:uid="{00000000-0005-0000-0000-000032040000}"/>
    <cellStyle name="40% - Accent1 3 5 3 2" xfId="15123" xr:uid="{8AE63415-772F-4672-BADA-3F5C9BA0DDDC}"/>
    <cellStyle name="40% - Accent1 3 5 3 2 2" xfId="51465" xr:uid="{4C595184-B93B-47AD-9C5F-172B7E773B9A}"/>
    <cellStyle name="40% - Accent1 3 5 3 2 3" xfId="32869" xr:uid="{CD455E03-A895-4188-ADC7-42426987466C}"/>
    <cellStyle name="40% - Accent1 3 5 3 3" xfId="42168" xr:uid="{8B17A79B-5BDF-4B0A-AF1F-8DFEF3772F7E}"/>
    <cellStyle name="40% - Accent1 3 5 3 4" xfId="23570" xr:uid="{DD2535F3-4FAB-49BF-B40C-F08E174F7C0F}"/>
    <cellStyle name="40% - Accent1 3 5 4" xfId="10906" xr:uid="{2B8CE80E-55BD-4321-A0A5-108CBA727023}"/>
    <cellStyle name="40% - Accent1 3 5 4 2" xfId="47248" xr:uid="{F04F8E1B-FC95-4DBF-9888-0307EB46B309}"/>
    <cellStyle name="40% - Accent1 3 5 4 3" xfId="28652" xr:uid="{9504FDA1-6333-479C-B385-C349360F4964}"/>
    <cellStyle name="40% - Accent1 3 5 5" xfId="37951" xr:uid="{7D02BBAA-4B36-4D22-AADD-A10A7072DA1B}"/>
    <cellStyle name="40% - Accent1 3 5 6" xfId="19353" xr:uid="{2B858123-3C37-45B9-9D66-133987382A39}"/>
    <cellStyle name="40% - Accent1 3 6" xfId="1904" xr:uid="{00000000-0005-0000-0000-000033040000}"/>
    <cellStyle name="40% - Accent1 3 6 2" xfId="4133" xr:uid="{00000000-0005-0000-0000-000034040000}"/>
    <cellStyle name="40% - Accent1 3 6 2 2" xfId="8355" xr:uid="{00000000-0005-0000-0000-000035040000}"/>
    <cellStyle name="40% - Accent1 3 6 2 2 2" xfId="17681" xr:uid="{729F6D3E-DB7B-4806-BD57-801AD41F2AF9}"/>
    <cellStyle name="40% - Accent1 3 6 2 2 2 2" xfId="54023" xr:uid="{0C178271-7CA6-4C09-BEDB-CE94FA0538DB}"/>
    <cellStyle name="40% - Accent1 3 6 2 2 2 3" xfId="35427" xr:uid="{3AD072C9-A4C9-4C09-B9E7-D5DE288FD6C8}"/>
    <cellStyle name="40% - Accent1 3 6 2 2 3" xfId="44726" xr:uid="{477B00D7-14EA-4552-906A-CC9454C1B975}"/>
    <cellStyle name="40% - Accent1 3 6 2 2 4" xfId="26128" xr:uid="{BD242C2F-C6F9-44B2-B1BA-70BE4C10B35F}"/>
    <cellStyle name="40% - Accent1 3 6 2 3" xfId="13464" xr:uid="{A2266E1C-9295-44A3-8BFA-4EF79D6629A9}"/>
    <cellStyle name="40% - Accent1 3 6 2 3 2" xfId="49806" xr:uid="{76D578A9-56A3-41E2-B994-75BE744FBA52}"/>
    <cellStyle name="40% - Accent1 3 6 2 3 3" xfId="31210" xr:uid="{EB18AABC-193D-4A28-A8A9-A7ACE55B5287}"/>
    <cellStyle name="40% - Accent1 3 6 2 4" xfId="40509" xr:uid="{5798CAFF-A911-4D6F-954C-9721953DDB3B}"/>
    <cellStyle name="40% - Accent1 3 6 2 5" xfId="21911" xr:uid="{9D2909B4-71D2-43AE-B97F-67F5A7F23D0F}"/>
    <cellStyle name="40% - Accent1 3 6 3" xfId="6210" xr:uid="{00000000-0005-0000-0000-000036040000}"/>
    <cellStyle name="40% - Accent1 3 6 3 2" xfId="15536" xr:uid="{368C4872-FF72-4CDB-81B4-113D9D175E4D}"/>
    <cellStyle name="40% - Accent1 3 6 3 2 2" xfId="51878" xr:uid="{1CEB9553-C652-4A90-8D0C-E6FE4ACEC4F6}"/>
    <cellStyle name="40% - Accent1 3 6 3 2 3" xfId="33282" xr:uid="{67E1F88E-1AC9-4ABF-B374-ECBD3E7275BC}"/>
    <cellStyle name="40% - Accent1 3 6 3 3" xfId="42581" xr:uid="{3D7B44CB-CA93-41CA-95E3-843CA4B85F6A}"/>
    <cellStyle name="40% - Accent1 3 6 3 4" xfId="23983" xr:uid="{2830C883-F715-4A0A-9BE2-CEB0BD48CD04}"/>
    <cellStyle name="40% - Accent1 3 6 4" xfId="11319" xr:uid="{F4C42919-883E-4D9D-B6BA-4589AF8BA529}"/>
    <cellStyle name="40% - Accent1 3 6 4 2" xfId="47661" xr:uid="{CD22715A-13F5-4046-8037-C8409EA5FD01}"/>
    <cellStyle name="40% - Accent1 3 6 4 3" xfId="29065" xr:uid="{97D3531A-0FF4-48B7-B0B5-8E646981822B}"/>
    <cellStyle name="40% - Accent1 3 6 5" xfId="38364" xr:uid="{40FDD539-6FBD-4F31-995C-D51B7E3EDD24}"/>
    <cellStyle name="40% - Accent1 3 6 6" xfId="19766" xr:uid="{AA7B87D9-CB79-4C76-BE19-FD41D0BE8C1F}"/>
    <cellStyle name="40% - Accent1 3 7" xfId="2317" xr:uid="{00000000-0005-0000-0000-000037040000}"/>
    <cellStyle name="40% - Accent1 3 7 2" xfId="6623" xr:uid="{00000000-0005-0000-0000-000038040000}"/>
    <cellStyle name="40% - Accent1 3 7 2 2" xfId="15949" xr:uid="{553BC73E-B335-4DDD-8FF0-45E041116A27}"/>
    <cellStyle name="40% - Accent1 3 7 2 2 2" xfId="52291" xr:uid="{55D74DA1-19BD-403B-BFB1-D2A3332BEF3B}"/>
    <cellStyle name="40% - Accent1 3 7 2 2 3" xfId="33695" xr:uid="{876868CE-01AF-4347-8F5E-BAD19E2B82F8}"/>
    <cellStyle name="40% - Accent1 3 7 2 3" xfId="42994" xr:uid="{60F83ABA-F276-4338-BC66-686E833442F2}"/>
    <cellStyle name="40% - Accent1 3 7 2 4" xfId="24396" xr:uid="{D7B904A4-5684-4D2D-B718-24E2BF568783}"/>
    <cellStyle name="40% - Accent1 3 7 3" xfId="11732" xr:uid="{26852368-8787-4FE9-B6FD-9F1990C74FE3}"/>
    <cellStyle name="40% - Accent1 3 7 3 2" xfId="48074" xr:uid="{CC5BF1D1-FBBD-4D62-B0A2-28570D7693A4}"/>
    <cellStyle name="40% - Accent1 3 7 3 3" xfId="29478" xr:uid="{E6C7B762-8585-4707-B1CD-3EB06796B47B}"/>
    <cellStyle name="40% - Accent1 3 7 4" xfId="38777" xr:uid="{2EE385D9-DBE6-408F-ABBD-14117061F37B}"/>
    <cellStyle name="40% - Accent1 3 7 5" xfId="20179" xr:uid="{6AC05756-7A1E-4D04-A11B-A9FC42F31BAE}"/>
    <cellStyle name="40% - Accent1 3 8" xfId="4557" xr:uid="{00000000-0005-0000-0000-000039040000}"/>
    <cellStyle name="40% - Accent1 3 8 2" xfId="13883" xr:uid="{3C23DF8B-718E-4DB0-8D9A-C298417A2467}"/>
    <cellStyle name="40% - Accent1 3 8 2 2" xfId="50225" xr:uid="{82718946-0D51-4547-941D-B9F0E1D18B1F}"/>
    <cellStyle name="40% - Accent1 3 8 2 3" xfId="31629" xr:uid="{9B01F6CA-324F-421B-B058-D1C0791FF80A}"/>
    <cellStyle name="40% - Accent1 3 8 3" xfId="40928" xr:uid="{450BC34C-A944-483C-81AF-DB164E1CB589}"/>
    <cellStyle name="40% - Accent1 3 8 4" xfId="22330" xr:uid="{F4A974E1-0773-4E73-A54E-3340E04C21E6}"/>
    <cellStyle name="40% - Accent1 3 9" xfId="8862" xr:uid="{2CC30516-31CA-485E-88BE-FCC7F9756A95}"/>
    <cellStyle name="40% - Accent1 3 9 2" xfId="35932" xr:uid="{2F13738D-24AB-4F07-845D-054C6503D381}"/>
    <cellStyle name="40% - Accent1 3 9 2 2" xfId="54527" xr:uid="{88EE82CB-BF9F-493C-8371-B5271565CD89}"/>
    <cellStyle name="40% - Accent1 3 9 3" xfId="45230" xr:uid="{3AD00320-89FB-4442-A8E2-A56707B6F6A6}"/>
    <cellStyle name="40% - Accent1 3 9 4" xfId="26633" xr:uid="{57CE42C9-7E76-4B22-BF94-685D20F1E904}"/>
    <cellStyle name="40% - Accent1 4" xfId="56" xr:uid="{00000000-0005-0000-0000-00003A040000}"/>
    <cellStyle name="40% - Accent1 4 10" xfId="36713" xr:uid="{1BCC1F78-91B8-4894-99CE-C555B47F7683}"/>
    <cellStyle name="40% - Accent1 4 11" xfId="18115" xr:uid="{B844A4C2-9491-40EA-A7AC-A4377494AEFD}"/>
    <cellStyle name="40% - Accent1 4 2" xfId="625" xr:uid="{00000000-0005-0000-0000-00003B040000}"/>
    <cellStyle name="40% - Accent1 4 2 2" xfId="2896" xr:uid="{00000000-0005-0000-0000-00003C040000}"/>
    <cellStyle name="40% - Accent1 4 2 2 2" xfId="7118" xr:uid="{00000000-0005-0000-0000-00003D040000}"/>
    <cellStyle name="40% - Accent1 4 2 2 2 2" xfId="16444" xr:uid="{057D0131-2A2B-4F5E-947C-0A6AB89C166A}"/>
    <cellStyle name="40% - Accent1 4 2 2 2 2 2" xfId="52786" xr:uid="{8BCD1C03-64F8-41FB-B1E1-E08B8858B4A9}"/>
    <cellStyle name="40% - Accent1 4 2 2 2 2 3" xfId="34190" xr:uid="{71907C45-1B01-4C10-A584-9C5C9B78637A}"/>
    <cellStyle name="40% - Accent1 4 2 2 2 3" xfId="43489" xr:uid="{57116C6F-7BC3-4948-A933-F49520BA6A0F}"/>
    <cellStyle name="40% - Accent1 4 2 2 2 4" xfId="24891" xr:uid="{574CB67D-45C4-4C0E-A656-9AF17BB386E7}"/>
    <cellStyle name="40% - Accent1 4 2 2 3" xfId="12227" xr:uid="{C8A21EC6-1266-4492-AE66-98A011EDE958}"/>
    <cellStyle name="40% - Accent1 4 2 2 3 2" xfId="48569" xr:uid="{3F94AE80-0825-45C6-B0D8-613029633B17}"/>
    <cellStyle name="40% - Accent1 4 2 2 3 3" xfId="29973" xr:uid="{961E31F8-1C4B-4D9C-9509-F835BB221706}"/>
    <cellStyle name="40% - Accent1 4 2 2 4" xfId="39272" xr:uid="{CB46F031-A5C0-47D1-B752-64F4C86CA2FA}"/>
    <cellStyle name="40% - Accent1 4 2 2 5" xfId="20674" xr:uid="{0F1B786D-1E33-417F-95E2-B6888C1CF53E}"/>
    <cellStyle name="40% - Accent1 4 2 3" xfId="4973" xr:uid="{00000000-0005-0000-0000-00003E040000}"/>
    <cellStyle name="40% - Accent1 4 2 3 2" xfId="14299" xr:uid="{13CD6E4C-839F-47D1-BBDD-95D3D7BC662E}"/>
    <cellStyle name="40% - Accent1 4 2 3 2 2" xfId="50641" xr:uid="{6E5E6338-313E-4C2C-9509-872E53C4B5D5}"/>
    <cellStyle name="40% - Accent1 4 2 3 2 3" xfId="32045" xr:uid="{E864B8FE-5D78-433C-BD56-01AA1F84DE0A}"/>
    <cellStyle name="40% - Accent1 4 2 3 3" xfId="41344" xr:uid="{C114FC63-16C0-4ACC-AB0C-A2B66F607360}"/>
    <cellStyle name="40% - Accent1 4 2 3 4" xfId="22746" xr:uid="{E4A1AF27-D166-49C6-9FEB-66F79C9B6B1D}"/>
    <cellStyle name="40% - Accent1 4 2 4" xfId="9373" xr:uid="{3BC949C7-8F86-44EA-9F10-CF277586B131}"/>
    <cellStyle name="40% - Accent1 4 2 4 2" xfId="36434" xr:uid="{423732A7-3967-4D04-A7FA-A3A07F1BA616}"/>
    <cellStyle name="40% - Accent1 4 2 4 2 2" xfId="55028" xr:uid="{1A3BE712-43EA-4931-AEBD-6F828BFA574A}"/>
    <cellStyle name="40% - Accent1 4 2 4 3" xfId="45731" xr:uid="{1591ACE0-CBEE-4CC1-9FD3-D463F04983BF}"/>
    <cellStyle name="40% - Accent1 4 2 4 4" xfId="27135" xr:uid="{CD12A3D9-3708-4E4E-A117-C6DECF0E350E}"/>
    <cellStyle name="40% - Accent1 4 2 5" xfId="10082" xr:uid="{96E850AF-C74F-49BE-A619-581467E4800E}"/>
    <cellStyle name="40% - Accent1 4 2 5 2" xfId="46424" xr:uid="{0B8BC80C-D886-4DD5-89C2-8505690B5EA9}"/>
    <cellStyle name="40% - Accent1 4 2 5 3" xfId="27828" xr:uid="{407E7DB9-027D-4266-8511-E7036EC6EEE0}"/>
    <cellStyle name="40% - Accent1 4 2 6" xfId="37127" xr:uid="{E87775CB-82F1-48F7-AB5E-1AA7C98AC567}"/>
    <cellStyle name="40% - Accent1 4 2 7" xfId="18529" xr:uid="{B4D62603-6DBB-4039-AE48-516D71D22D5B}"/>
    <cellStyle name="40% - Accent1 4 3" xfId="1078" xr:uid="{00000000-0005-0000-0000-00003F040000}"/>
    <cellStyle name="40% - Accent1 4 3 2" xfId="3309" xr:uid="{00000000-0005-0000-0000-000040040000}"/>
    <cellStyle name="40% - Accent1 4 3 2 2" xfId="7531" xr:uid="{00000000-0005-0000-0000-000041040000}"/>
    <cellStyle name="40% - Accent1 4 3 2 2 2" xfId="16857" xr:uid="{8B5FF668-2CD3-4C6F-8352-5AF84E01AE64}"/>
    <cellStyle name="40% - Accent1 4 3 2 2 2 2" xfId="53199" xr:uid="{7B63F984-740D-4D1F-8EFD-0A834F019C2B}"/>
    <cellStyle name="40% - Accent1 4 3 2 2 2 3" xfId="34603" xr:uid="{2BB4E2F7-E5A6-40F6-A069-071E9382D62A}"/>
    <cellStyle name="40% - Accent1 4 3 2 2 3" xfId="43902" xr:uid="{032EFF55-946A-429A-BA90-9A1319865DDC}"/>
    <cellStyle name="40% - Accent1 4 3 2 2 4" xfId="25304" xr:uid="{A9A7CA26-9878-458A-A5D2-64D786EB10ED}"/>
    <cellStyle name="40% - Accent1 4 3 2 3" xfId="12640" xr:uid="{5E64F190-E71D-4DEC-9307-CE11852900D1}"/>
    <cellStyle name="40% - Accent1 4 3 2 3 2" xfId="48982" xr:uid="{225A370F-1511-4AF6-8137-995D3563D74E}"/>
    <cellStyle name="40% - Accent1 4 3 2 3 3" xfId="30386" xr:uid="{C67AE0E5-4617-4A62-A242-7376E25DFB57}"/>
    <cellStyle name="40% - Accent1 4 3 2 4" xfId="39685" xr:uid="{EB7506F9-563C-4F17-A879-A147DB0DE83E}"/>
    <cellStyle name="40% - Accent1 4 3 2 5" xfId="21087" xr:uid="{FB0BFC0D-0C1F-4622-8441-3687F029BC3A}"/>
    <cellStyle name="40% - Accent1 4 3 3" xfId="5386" xr:uid="{00000000-0005-0000-0000-000042040000}"/>
    <cellStyle name="40% - Accent1 4 3 3 2" xfId="14712" xr:uid="{342D437D-482D-4B5B-9AC3-E1710D31E6AF}"/>
    <cellStyle name="40% - Accent1 4 3 3 2 2" xfId="51054" xr:uid="{0F07AA73-8199-4894-967C-43763A97722C}"/>
    <cellStyle name="40% - Accent1 4 3 3 2 3" xfId="32458" xr:uid="{FA3D5A6E-53CF-4961-A90D-F1F6A8C98916}"/>
    <cellStyle name="40% - Accent1 4 3 3 3" xfId="41757" xr:uid="{A8C3E91F-8610-439E-8C7E-E95FD37F2E3A}"/>
    <cellStyle name="40% - Accent1 4 3 3 4" xfId="23159" xr:uid="{F3A52714-F1AE-4114-9911-2CDBBC31F572}"/>
    <cellStyle name="40% - Accent1 4 3 4" xfId="10495" xr:uid="{1AB7AC05-7FAA-486F-A0AC-09DBF8B5AC24}"/>
    <cellStyle name="40% - Accent1 4 3 4 2" xfId="46837" xr:uid="{3D969E09-102C-42EC-8582-D0C7FA66F323}"/>
    <cellStyle name="40% - Accent1 4 3 4 3" xfId="28241" xr:uid="{F778A580-1524-47E3-914B-684C5200C39F}"/>
    <cellStyle name="40% - Accent1 4 3 5" xfId="37540" xr:uid="{A9F29AD8-5F8D-47F9-A44E-BABED8ED2E8A}"/>
    <cellStyle name="40% - Accent1 4 3 6" xfId="18942" xr:uid="{0EF46E64-CE00-4754-ADF7-E36680D11417}"/>
    <cellStyle name="40% - Accent1 4 4" xfId="1492" xr:uid="{00000000-0005-0000-0000-000043040000}"/>
    <cellStyle name="40% - Accent1 4 4 2" xfId="3722" xr:uid="{00000000-0005-0000-0000-000044040000}"/>
    <cellStyle name="40% - Accent1 4 4 2 2" xfId="7944" xr:uid="{00000000-0005-0000-0000-000045040000}"/>
    <cellStyle name="40% - Accent1 4 4 2 2 2" xfId="17270" xr:uid="{CE1D4ABA-C234-488A-9FBA-6CDCAB35BF58}"/>
    <cellStyle name="40% - Accent1 4 4 2 2 2 2" xfId="53612" xr:uid="{F827E415-2E6A-475E-A8F1-6D64E7787A7F}"/>
    <cellStyle name="40% - Accent1 4 4 2 2 2 3" xfId="35016" xr:uid="{6A1C67B8-075B-43D2-967A-ACB95A33AD6C}"/>
    <cellStyle name="40% - Accent1 4 4 2 2 3" xfId="44315" xr:uid="{D1C4B4BC-AA1A-4768-B899-D9A485145EFF}"/>
    <cellStyle name="40% - Accent1 4 4 2 2 4" xfId="25717" xr:uid="{A597DD7A-A0EF-48DB-BD45-D4C77EFACDC8}"/>
    <cellStyle name="40% - Accent1 4 4 2 3" xfId="13053" xr:uid="{41D931A9-6766-481D-B40C-010CA0A9F373}"/>
    <cellStyle name="40% - Accent1 4 4 2 3 2" xfId="49395" xr:uid="{A2240F77-59C2-45B0-B879-5963919E5751}"/>
    <cellStyle name="40% - Accent1 4 4 2 3 3" xfId="30799" xr:uid="{F3DA613F-0233-4D5F-B3B6-38DD1528ECBE}"/>
    <cellStyle name="40% - Accent1 4 4 2 4" xfId="40098" xr:uid="{9D309183-9860-4BD2-9FA2-3AD156156D10}"/>
    <cellStyle name="40% - Accent1 4 4 2 5" xfId="21500" xr:uid="{F196D743-E624-4D05-A2A0-F9B603338A8B}"/>
    <cellStyle name="40% - Accent1 4 4 3" xfId="5799" xr:uid="{00000000-0005-0000-0000-000046040000}"/>
    <cellStyle name="40% - Accent1 4 4 3 2" xfId="15125" xr:uid="{25F0C80B-1A08-4DF7-A247-8CBB653B41AB}"/>
    <cellStyle name="40% - Accent1 4 4 3 2 2" xfId="51467" xr:uid="{C467D8E4-7047-41DB-A0FF-6879DC35F919}"/>
    <cellStyle name="40% - Accent1 4 4 3 2 3" xfId="32871" xr:uid="{454E50A7-2525-46B3-A0AF-B68930974448}"/>
    <cellStyle name="40% - Accent1 4 4 3 3" xfId="42170" xr:uid="{2409F27F-6DFD-4BF0-BDF6-4CDEE03728CF}"/>
    <cellStyle name="40% - Accent1 4 4 3 4" xfId="23572" xr:uid="{5089CC9F-E65F-455F-B7BD-F5E6DA17628D}"/>
    <cellStyle name="40% - Accent1 4 4 4" xfId="10908" xr:uid="{6E79372A-7542-4EAF-81F6-0C639F1E0C55}"/>
    <cellStyle name="40% - Accent1 4 4 4 2" xfId="47250" xr:uid="{90B105FB-C170-4F6C-933A-7B76C35D085D}"/>
    <cellStyle name="40% - Accent1 4 4 4 3" xfId="28654" xr:uid="{0D940257-8D1A-414E-A510-8DC2AF1C9697}"/>
    <cellStyle name="40% - Accent1 4 4 5" xfId="37953" xr:uid="{158E66DF-5361-46CE-A6B3-7FE1F4646EDE}"/>
    <cellStyle name="40% - Accent1 4 4 6" xfId="19355" xr:uid="{CE02F519-2A1C-488E-AB6C-DBBE0D501E98}"/>
    <cellStyle name="40% - Accent1 4 5" xfId="1906" xr:uid="{00000000-0005-0000-0000-000047040000}"/>
    <cellStyle name="40% - Accent1 4 5 2" xfId="4135" xr:uid="{00000000-0005-0000-0000-000048040000}"/>
    <cellStyle name="40% - Accent1 4 5 2 2" xfId="8357" xr:uid="{00000000-0005-0000-0000-000049040000}"/>
    <cellStyle name="40% - Accent1 4 5 2 2 2" xfId="17683" xr:uid="{946C2956-4612-40B7-ACB5-8C6AF2C1F8F5}"/>
    <cellStyle name="40% - Accent1 4 5 2 2 2 2" xfId="54025" xr:uid="{7872E562-CA9F-474F-A713-D3432173AB2F}"/>
    <cellStyle name="40% - Accent1 4 5 2 2 2 3" xfId="35429" xr:uid="{C65BF0BC-3DEB-4F8A-9E22-428DCA394369}"/>
    <cellStyle name="40% - Accent1 4 5 2 2 3" xfId="44728" xr:uid="{CA328E4E-5C94-4B5F-B598-DC62D4965C49}"/>
    <cellStyle name="40% - Accent1 4 5 2 2 4" xfId="26130" xr:uid="{86613BBE-D386-465F-89E2-97A4FBB3B15E}"/>
    <cellStyle name="40% - Accent1 4 5 2 3" xfId="13466" xr:uid="{735392F9-5117-455D-BA21-2240289F01F5}"/>
    <cellStyle name="40% - Accent1 4 5 2 3 2" xfId="49808" xr:uid="{C5C2697D-3401-4463-AA4C-4A356215CB8F}"/>
    <cellStyle name="40% - Accent1 4 5 2 3 3" xfId="31212" xr:uid="{54920E8F-BF8E-492F-9023-334FC819FF4D}"/>
    <cellStyle name="40% - Accent1 4 5 2 4" xfId="40511" xr:uid="{5562C807-B941-4B2C-B512-01CDAFFF5B28}"/>
    <cellStyle name="40% - Accent1 4 5 2 5" xfId="21913" xr:uid="{79F40E05-18DB-4793-9AEE-57E68E71A541}"/>
    <cellStyle name="40% - Accent1 4 5 3" xfId="6212" xr:uid="{00000000-0005-0000-0000-00004A040000}"/>
    <cellStyle name="40% - Accent1 4 5 3 2" xfId="15538" xr:uid="{3A3BE6C7-B182-4100-AB8B-AEEB8EEE9244}"/>
    <cellStyle name="40% - Accent1 4 5 3 2 2" xfId="51880" xr:uid="{3508108E-2E0D-4211-ACC6-B32444F30DE6}"/>
    <cellStyle name="40% - Accent1 4 5 3 2 3" xfId="33284" xr:uid="{3DEE912C-27EE-4A47-8455-BF507D83F428}"/>
    <cellStyle name="40% - Accent1 4 5 3 3" xfId="42583" xr:uid="{6BFE6CF1-4139-4969-99C7-F593AAA89F66}"/>
    <cellStyle name="40% - Accent1 4 5 3 4" xfId="23985" xr:uid="{D3BC480D-8BE9-41C1-9223-DEB81DDA515D}"/>
    <cellStyle name="40% - Accent1 4 5 4" xfId="11321" xr:uid="{D2356624-308B-4B70-AFC6-BAA7B7424C2C}"/>
    <cellStyle name="40% - Accent1 4 5 4 2" xfId="47663" xr:uid="{799ECDE9-4F98-4A5E-8039-DB7E08A4A728}"/>
    <cellStyle name="40% - Accent1 4 5 4 3" xfId="29067" xr:uid="{6AE9E7A7-89D1-4876-8768-59CD5970B9D5}"/>
    <cellStyle name="40% - Accent1 4 5 5" xfId="38366" xr:uid="{EC1A24FE-4694-492F-873F-1B714849FFF6}"/>
    <cellStyle name="40% - Accent1 4 5 6" xfId="19768" xr:uid="{A6707F9C-E0BD-4F4F-932E-A480CE9C940C}"/>
    <cellStyle name="40% - Accent1 4 6" xfId="2319" xr:uid="{00000000-0005-0000-0000-00004B040000}"/>
    <cellStyle name="40% - Accent1 4 6 2" xfId="6625" xr:uid="{00000000-0005-0000-0000-00004C040000}"/>
    <cellStyle name="40% - Accent1 4 6 2 2" xfId="15951" xr:uid="{992029C7-FBAD-4EC2-B391-8DC5B6815A73}"/>
    <cellStyle name="40% - Accent1 4 6 2 2 2" xfId="52293" xr:uid="{0C76F41D-319F-413E-ABB7-2E570D9E2BA4}"/>
    <cellStyle name="40% - Accent1 4 6 2 2 3" xfId="33697" xr:uid="{4B356F6F-02FD-451F-A17C-0744830026D6}"/>
    <cellStyle name="40% - Accent1 4 6 2 3" xfId="42996" xr:uid="{1DA55B48-814D-41A7-BB2C-5AEE5BB2EAEA}"/>
    <cellStyle name="40% - Accent1 4 6 2 4" xfId="24398" xr:uid="{CAD8000C-17C3-4BDC-8722-E6BF9F44EE27}"/>
    <cellStyle name="40% - Accent1 4 6 3" xfId="11734" xr:uid="{92F59536-E558-4928-A1F7-FB4156EC4A71}"/>
    <cellStyle name="40% - Accent1 4 6 3 2" xfId="48076" xr:uid="{186F1B8A-36D7-4CF8-8DB9-F51C37F19411}"/>
    <cellStyle name="40% - Accent1 4 6 3 3" xfId="29480" xr:uid="{D765E17E-E66A-43F6-B246-2A822B2DAF28}"/>
    <cellStyle name="40% - Accent1 4 6 4" xfId="38779" xr:uid="{D18E2B56-1B61-421C-BE1D-1C554E128C6B}"/>
    <cellStyle name="40% - Accent1 4 6 5" xfId="20181" xr:uid="{CD92B655-4817-45A5-B21D-3F29C2A2EAC8}"/>
    <cellStyle name="40% - Accent1 4 7" xfId="4559" xr:uid="{00000000-0005-0000-0000-00004D040000}"/>
    <cellStyle name="40% - Accent1 4 7 2" xfId="13885" xr:uid="{EACB4E0C-9E5C-409D-9B40-61EA79EFBD5B}"/>
    <cellStyle name="40% - Accent1 4 7 2 2" xfId="50227" xr:uid="{A378FD23-33DA-4672-B4EA-1CB61E8A8BD4}"/>
    <cellStyle name="40% - Accent1 4 7 2 3" xfId="31631" xr:uid="{2A30842B-B725-45C8-9772-CE462401BD3F}"/>
    <cellStyle name="40% - Accent1 4 7 3" xfId="40930" xr:uid="{A2FC3937-857C-4567-92C3-65035011B336}"/>
    <cellStyle name="40% - Accent1 4 7 4" xfId="22332" xr:uid="{D6E763BC-4624-454C-82AE-262F24B90F37}"/>
    <cellStyle name="40% - Accent1 4 8" xfId="8948" xr:uid="{7BCBB449-71B8-4468-A700-0125C7659C3D}"/>
    <cellStyle name="40% - Accent1 4 8 2" xfId="36018" xr:uid="{D5527313-13C0-4844-ACF0-CE4753ED3D6E}"/>
    <cellStyle name="40% - Accent1 4 8 2 2" xfId="54613" xr:uid="{45AD064B-7970-4555-984B-50CC7D19D791}"/>
    <cellStyle name="40% - Accent1 4 8 3" xfId="45316" xr:uid="{532A9BD4-1349-4B7F-8B33-0223805FD622}"/>
    <cellStyle name="40% - Accent1 4 8 4" xfId="26719" xr:uid="{A78A86E4-0BA7-4A86-BFD4-EE1D2CC7D8E3}"/>
    <cellStyle name="40% - Accent1 4 9" xfId="9668" xr:uid="{AB0F243D-AC02-4B8C-9F07-369982E35B59}"/>
    <cellStyle name="40% - Accent1 4 9 2" xfId="46010" xr:uid="{34826588-CAD6-44A6-9258-B4A1BB42F671}"/>
    <cellStyle name="40% - Accent1 4 9 3" xfId="27414" xr:uid="{CB127855-6041-4B76-B784-954F5A35BDE4}"/>
    <cellStyle name="40% - Accent1 5" xfId="618" xr:uid="{00000000-0005-0000-0000-00004E040000}"/>
    <cellStyle name="40% - Accent1 5 2" xfId="2889" xr:uid="{00000000-0005-0000-0000-00004F040000}"/>
    <cellStyle name="40% - Accent1 5 2 2" xfId="7111" xr:uid="{00000000-0005-0000-0000-000050040000}"/>
    <cellStyle name="40% - Accent1 5 2 2 2" xfId="16437" xr:uid="{E03C0728-7291-405D-84AF-1C272AA11116}"/>
    <cellStyle name="40% - Accent1 5 2 2 2 2" xfId="52779" xr:uid="{D1C15187-1574-48C3-8570-6F1D56B414AE}"/>
    <cellStyle name="40% - Accent1 5 2 2 2 3" xfId="34183" xr:uid="{F480542D-3F2B-4CF2-B2BB-12BB3D1E2089}"/>
    <cellStyle name="40% - Accent1 5 2 2 3" xfId="43482" xr:uid="{C68AA4D5-8EAD-461A-B43E-3D9EB887C5D4}"/>
    <cellStyle name="40% - Accent1 5 2 2 4" xfId="24884" xr:uid="{77ADCCCF-9D61-42AA-9A5D-973E1A73235B}"/>
    <cellStyle name="40% - Accent1 5 2 3" xfId="12220" xr:uid="{58DD7728-DCB1-4319-8CEB-18D8207CBCBC}"/>
    <cellStyle name="40% - Accent1 5 2 3 2" xfId="48562" xr:uid="{DC6CB48B-3BAB-4DA5-9212-F88DC6791458}"/>
    <cellStyle name="40% - Accent1 5 2 3 3" xfId="29966" xr:uid="{72D7573C-A23F-476C-A1C8-7D00C1F2F5C1}"/>
    <cellStyle name="40% - Accent1 5 2 4" xfId="39265" xr:uid="{0FCAFA22-A98F-4DB9-8260-DE0A10607E0B}"/>
    <cellStyle name="40% - Accent1 5 2 5" xfId="20667" xr:uid="{3A06C12C-4EF5-4B3C-AFCD-2CBA09B8D182}"/>
    <cellStyle name="40% - Accent1 5 3" xfId="4966" xr:uid="{00000000-0005-0000-0000-000051040000}"/>
    <cellStyle name="40% - Accent1 5 3 2" xfId="14292" xr:uid="{57BB8944-08E8-4E8B-96EF-B274A39942B9}"/>
    <cellStyle name="40% - Accent1 5 3 2 2" xfId="50634" xr:uid="{6351546D-2306-41F6-93D4-AD8497EAD264}"/>
    <cellStyle name="40% - Accent1 5 3 2 3" xfId="32038" xr:uid="{749B140E-5DF9-4133-8234-FE5F96065C36}"/>
    <cellStyle name="40% - Accent1 5 3 3" xfId="41337" xr:uid="{128D4990-72A3-4472-B1CA-E5363F1ECCCC}"/>
    <cellStyle name="40% - Accent1 5 3 4" xfId="22739" xr:uid="{DC52648F-5465-4190-8E68-47F973BAD0B6}"/>
    <cellStyle name="40% - Accent1 5 4" xfId="9181" xr:uid="{332DA761-F1AA-4FF3-9BBB-9ECEE19D2DFF}"/>
    <cellStyle name="40% - Accent1 5 4 2" xfId="36245" xr:uid="{41ECD26C-FA42-4258-AD63-B7B31265020C}"/>
    <cellStyle name="40% - Accent1 5 4 2 2" xfId="54839" xr:uid="{57C399F1-45B9-4A77-9194-266DC7A6EC67}"/>
    <cellStyle name="40% - Accent1 5 4 3" xfId="45542" xr:uid="{182624E2-E65A-4F47-9A1D-AA6363CB5578}"/>
    <cellStyle name="40% - Accent1 5 4 4" xfId="26946" xr:uid="{704A5C12-4F94-48BC-A0CE-A37393121B02}"/>
    <cellStyle name="40% - Accent1 5 5" xfId="10075" xr:uid="{6D87C3B2-0E39-4C01-B138-2B999CBE9B84}"/>
    <cellStyle name="40% - Accent1 5 5 2" xfId="46417" xr:uid="{9995A4E0-1DB6-45DC-B493-29D7E94C1C40}"/>
    <cellStyle name="40% - Accent1 5 5 3" xfId="27821" xr:uid="{20734435-B509-4E4B-B4A6-126331B357C1}"/>
    <cellStyle name="40% - Accent1 5 6" xfId="37120" xr:uid="{F32A4632-6124-49E3-AEEC-97CD0B4E1D06}"/>
    <cellStyle name="40% - Accent1 5 7" xfId="18522" xr:uid="{86816EC7-3B20-4AF5-84F0-5102C174F8F8}"/>
    <cellStyle name="40% - Accent1 6" xfId="1071" xr:uid="{00000000-0005-0000-0000-000052040000}"/>
    <cellStyle name="40% - Accent1 6 2" xfId="3302" xr:uid="{00000000-0005-0000-0000-000053040000}"/>
    <cellStyle name="40% - Accent1 6 2 2" xfId="7524" xr:uid="{00000000-0005-0000-0000-000054040000}"/>
    <cellStyle name="40% - Accent1 6 2 2 2" xfId="16850" xr:uid="{DDCED1E7-CB6F-47D7-A4C6-65F210E84FF5}"/>
    <cellStyle name="40% - Accent1 6 2 2 2 2" xfId="53192" xr:uid="{CB4A33A0-6FE0-42B9-902A-8FBADAB0B40B}"/>
    <cellStyle name="40% - Accent1 6 2 2 2 3" xfId="34596" xr:uid="{D2FC832A-5CCF-45AB-AD30-8CD8057DC06C}"/>
    <cellStyle name="40% - Accent1 6 2 2 3" xfId="43895" xr:uid="{2FE08839-D36E-4313-A6A6-7A221BA3C018}"/>
    <cellStyle name="40% - Accent1 6 2 2 4" xfId="25297" xr:uid="{8F1B31C0-2273-44DD-B07A-9F5019A60AF3}"/>
    <cellStyle name="40% - Accent1 6 2 3" xfId="12633" xr:uid="{3717E1A3-625D-450F-A75F-5C67CD7CA758}"/>
    <cellStyle name="40% - Accent1 6 2 3 2" xfId="48975" xr:uid="{EC0D2C6B-4747-470B-B944-448A2F7D7621}"/>
    <cellStyle name="40% - Accent1 6 2 3 3" xfId="30379" xr:uid="{F459790B-F799-484A-AD4D-514719DD00AE}"/>
    <cellStyle name="40% - Accent1 6 2 4" xfId="39678" xr:uid="{B12F6212-5790-476D-BF06-D839B3C1DB72}"/>
    <cellStyle name="40% - Accent1 6 2 5" xfId="21080" xr:uid="{D1DABAF0-E8CD-4F0C-8E06-FFB9CEB69A97}"/>
    <cellStyle name="40% - Accent1 6 3" xfId="5379" xr:uid="{00000000-0005-0000-0000-000055040000}"/>
    <cellStyle name="40% - Accent1 6 3 2" xfId="14705" xr:uid="{61EA39C7-0532-443A-87FD-9C5C48C405EA}"/>
    <cellStyle name="40% - Accent1 6 3 2 2" xfId="51047" xr:uid="{A32AF98F-B105-4230-BC15-8E65B141DB4F}"/>
    <cellStyle name="40% - Accent1 6 3 2 3" xfId="32451" xr:uid="{75038717-4F44-4002-9499-F14934620640}"/>
    <cellStyle name="40% - Accent1 6 3 3" xfId="41750" xr:uid="{4C7F8F05-BADB-4DB6-B8B6-305447DA9D66}"/>
    <cellStyle name="40% - Accent1 6 3 4" xfId="23152" xr:uid="{846AA3D5-9F2E-417F-87F1-B6203FEC266F}"/>
    <cellStyle name="40% - Accent1 6 4" xfId="10488" xr:uid="{77A1CD99-FDBA-46DD-9211-4CC3EB204444}"/>
    <cellStyle name="40% - Accent1 6 4 2" xfId="46830" xr:uid="{DC7E41E8-661D-46DB-A4A3-ADF14D5204A5}"/>
    <cellStyle name="40% - Accent1 6 4 3" xfId="28234" xr:uid="{B0AB5FB2-AE82-42CB-9543-0868C45910AE}"/>
    <cellStyle name="40% - Accent1 6 5" xfId="37533" xr:uid="{C16E96AF-3581-4037-8FF0-530B537B8916}"/>
    <cellStyle name="40% - Accent1 6 6" xfId="18935" xr:uid="{914DD0E5-00F9-4149-9AF0-2FE0915525A6}"/>
    <cellStyle name="40% - Accent1 7" xfId="1485" xr:uid="{00000000-0005-0000-0000-000056040000}"/>
    <cellStyle name="40% - Accent1 7 2" xfId="3715" xr:uid="{00000000-0005-0000-0000-000057040000}"/>
    <cellStyle name="40% - Accent1 7 2 2" xfId="7937" xr:uid="{00000000-0005-0000-0000-000058040000}"/>
    <cellStyle name="40% - Accent1 7 2 2 2" xfId="17263" xr:uid="{7206BA9B-6580-4C2F-AA07-EAED825B4470}"/>
    <cellStyle name="40% - Accent1 7 2 2 2 2" xfId="53605" xr:uid="{421409B5-9B2C-4DB2-BD1E-7A893D7A0B7E}"/>
    <cellStyle name="40% - Accent1 7 2 2 2 3" xfId="35009" xr:uid="{3797A249-64F8-4738-A1DB-28E2ABFC2276}"/>
    <cellStyle name="40% - Accent1 7 2 2 3" xfId="44308" xr:uid="{B7476774-5704-4A3C-A315-324E34F18C79}"/>
    <cellStyle name="40% - Accent1 7 2 2 4" xfId="25710" xr:uid="{05B0030A-C8F5-4BD8-9394-DE6EEBE94CB6}"/>
    <cellStyle name="40% - Accent1 7 2 3" xfId="13046" xr:uid="{C1F24110-54C5-40E6-8B4D-4A1F5C831D75}"/>
    <cellStyle name="40% - Accent1 7 2 3 2" xfId="49388" xr:uid="{06866D42-F17A-4172-9993-150E8AFCDBB2}"/>
    <cellStyle name="40% - Accent1 7 2 3 3" xfId="30792" xr:uid="{2F1C0F5D-03B2-4EF7-AC87-4D8B52146201}"/>
    <cellStyle name="40% - Accent1 7 2 4" xfId="40091" xr:uid="{0EC0D00D-6318-4B05-A4EF-243F7AF82E1F}"/>
    <cellStyle name="40% - Accent1 7 2 5" xfId="21493" xr:uid="{D35CDBA7-B324-4EF8-A709-61612967D237}"/>
    <cellStyle name="40% - Accent1 7 3" xfId="5792" xr:uid="{00000000-0005-0000-0000-000059040000}"/>
    <cellStyle name="40% - Accent1 7 3 2" xfId="15118" xr:uid="{7D1F8313-9732-487A-8CC9-62A21EDD2641}"/>
    <cellStyle name="40% - Accent1 7 3 2 2" xfId="51460" xr:uid="{89D8210A-2B5B-47A2-BF52-DB99D9FD3AFB}"/>
    <cellStyle name="40% - Accent1 7 3 2 3" xfId="32864" xr:uid="{82380C04-E638-4AB4-8414-B85FFC36991C}"/>
    <cellStyle name="40% - Accent1 7 3 3" xfId="42163" xr:uid="{A41805F5-8045-44A9-9608-5E176E6303E0}"/>
    <cellStyle name="40% - Accent1 7 3 4" xfId="23565" xr:uid="{1A034104-BC6D-425F-A003-08E17B74E12E}"/>
    <cellStyle name="40% - Accent1 7 4" xfId="10901" xr:uid="{0BDEEACD-E009-44F8-908C-873EAC1F4FCB}"/>
    <cellStyle name="40% - Accent1 7 4 2" xfId="47243" xr:uid="{C6806BD2-EABF-4B29-9E4D-C9D234E5715F}"/>
    <cellStyle name="40% - Accent1 7 4 3" xfId="28647" xr:uid="{2CD2CA08-84F7-4F30-A6F2-E9E0FB593EAD}"/>
    <cellStyle name="40% - Accent1 7 5" xfId="37946" xr:uid="{2C735ADA-0661-4023-A97E-7EA0BA8CB683}"/>
    <cellStyle name="40% - Accent1 7 6" xfId="19348" xr:uid="{A0C5DA09-4038-4DEA-B4A8-CC805A5C76D9}"/>
    <cellStyle name="40% - Accent1 8" xfId="1899" xr:uid="{00000000-0005-0000-0000-00005A040000}"/>
    <cellStyle name="40% - Accent1 8 2" xfId="4128" xr:uid="{00000000-0005-0000-0000-00005B040000}"/>
    <cellStyle name="40% - Accent1 8 2 2" xfId="8350" xr:uid="{00000000-0005-0000-0000-00005C040000}"/>
    <cellStyle name="40% - Accent1 8 2 2 2" xfId="17676" xr:uid="{9F832A28-CBAC-410A-B1D5-598D4BCF2138}"/>
    <cellStyle name="40% - Accent1 8 2 2 2 2" xfId="54018" xr:uid="{CD621FDC-42E2-4AA3-BA08-73B70E11EA85}"/>
    <cellStyle name="40% - Accent1 8 2 2 2 3" xfId="35422" xr:uid="{2D15B7A5-1275-4FA6-B2BB-3CAD332F4261}"/>
    <cellStyle name="40% - Accent1 8 2 2 3" xfId="44721" xr:uid="{C19F96EE-B68F-4B07-BF5E-620486F7B49A}"/>
    <cellStyle name="40% - Accent1 8 2 2 4" xfId="26123" xr:uid="{667EBA4A-649A-455E-9961-0864ECAD506E}"/>
    <cellStyle name="40% - Accent1 8 2 3" xfId="13459" xr:uid="{3F0542E2-057E-49BC-9AAD-0A133B510DCB}"/>
    <cellStyle name="40% - Accent1 8 2 3 2" xfId="49801" xr:uid="{5B736DAD-75DD-4A33-A177-FDE767F8DFA2}"/>
    <cellStyle name="40% - Accent1 8 2 3 3" xfId="31205" xr:uid="{1F8A1592-154A-488B-B76F-9C930A651AF5}"/>
    <cellStyle name="40% - Accent1 8 2 4" xfId="40504" xr:uid="{CFE7AD53-658A-4589-89CD-D120928E022C}"/>
    <cellStyle name="40% - Accent1 8 2 5" xfId="21906" xr:uid="{661D35D6-BEAD-4F12-B8B0-F2EA98DA5212}"/>
    <cellStyle name="40% - Accent1 8 3" xfId="6205" xr:uid="{00000000-0005-0000-0000-00005D040000}"/>
    <cellStyle name="40% - Accent1 8 3 2" xfId="15531" xr:uid="{9347CD37-C3DA-4AEE-9A03-AA321CC2498E}"/>
    <cellStyle name="40% - Accent1 8 3 2 2" xfId="51873" xr:uid="{F356F54C-162D-4534-A597-C4DDCCF7F9F2}"/>
    <cellStyle name="40% - Accent1 8 3 2 3" xfId="33277" xr:uid="{C965F852-4AD7-4470-8E43-C9AE08C75598}"/>
    <cellStyle name="40% - Accent1 8 3 3" xfId="42576" xr:uid="{2230876A-B73B-49E0-8DE1-763B7F032E9C}"/>
    <cellStyle name="40% - Accent1 8 3 4" xfId="23978" xr:uid="{76F45912-6837-4C6C-900E-C6BA43FDE782}"/>
    <cellStyle name="40% - Accent1 8 4" xfId="11314" xr:uid="{0C774A01-CD8A-49FE-8B85-09E8F34F0919}"/>
    <cellStyle name="40% - Accent1 8 4 2" xfId="47656" xr:uid="{63C04DED-3C7D-4C6B-9729-9E7EDE18D2F5}"/>
    <cellStyle name="40% - Accent1 8 4 3" xfId="29060" xr:uid="{C41B03EB-227F-4586-8CF6-C80362039F80}"/>
    <cellStyle name="40% - Accent1 8 5" xfId="38359" xr:uid="{030516F2-1DC0-482A-9F24-9A6F920A504E}"/>
    <cellStyle name="40% - Accent1 8 6" xfId="19761" xr:uid="{A6C1C5E1-5A71-4616-BB72-175F4B7EAA5D}"/>
    <cellStyle name="40% - Accent1 9" xfId="2312" xr:uid="{00000000-0005-0000-0000-00005E040000}"/>
    <cellStyle name="40% - Accent1 9 2" xfId="6618" xr:uid="{00000000-0005-0000-0000-00005F040000}"/>
    <cellStyle name="40% - Accent1 9 2 2" xfId="15944" xr:uid="{0A9C3E9B-052E-4DF2-ACB8-8A2EBE19CCF6}"/>
    <cellStyle name="40% - Accent1 9 2 2 2" xfId="52286" xr:uid="{A539320A-A0D2-4C1C-BCD3-75309900FD1D}"/>
    <cellStyle name="40% - Accent1 9 2 2 3" xfId="33690" xr:uid="{F5C7094C-8B52-49D6-834B-9A579AB4FC35}"/>
    <cellStyle name="40% - Accent1 9 2 3" xfId="42989" xr:uid="{13017955-C75B-4108-B9D8-FF91999ECA14}"/>
    <cellStyle name="40% - Accent1 9 2 4" xfId="24391" xr:uid="{2659A641-3151-49E8-84C8-B365D7293E6C}"/>
    <cellStyle name="40% - Accent1 9 3" xfId="11727" xr:uid="{DBC564A9-0884-45DC-8A46-75CFBB0678AC}"/>
    <cellStyle name="40% - Accent1 9 3 2" xfId="48069" xr:uid="{5A0E1333-3030-4913-9102-E84DB5757B30}"/>
    <cellStyle name="40% - Accent1 9 3 3" xfId="29473" xr:uid="{CFBB06E7-AF96-498B-B7B6-27E029A7C78A}"/>
    <cellStyle name="40% - Accent1 9 4" xfId="38772" xr:uid="{4578203C-53A8-411A-9006-9ECFAC952459}"/>
    <cellStyle name="40% - Accent1 9 5" xfId="20174" xr:uid="{1F51582B-ED53-4AF5-8B9E-57CD6FA67F6A}"/>
    <cellStyle name="40% - Accent2" xfId="57" builtinId="35" customBuiltin="1"/>
    <cellStyle name="40% - Accent2 10" xfId="4560" xr:uid="{00000000-0005-0000-0000-000061040000}"/>
    <cellStyle name="40% - Accent2 10 2" xfId="13886" xr:uid="{831AA1F5-9480-4A51-899D-B704F790590C}"/>
    <cellStyle name="40% - Accent2 10 2 2" xfId="50228" xr:uid="{1F5E69AB-A3E0-4F9D-9C86-5FB565B78DC5}"/>
    <cellStyle name="40% - Accent2 10 2 3" xfId="31632" xr:uid="{62C99E74-4A65-43D8-BD81-42B7CF8FFAAA}"/>
    <cellStyle name="40% - Accent2 10 3" xfId="40931" xr:uid="{766F660C-A3B0-48C8-AE7B-5E91F05DEAEF}"/>
    <cellStyle name="40% - Accent2 10 4" xfId="22333" xr:uid="{C8B36958-7850-4ECA-8025-8A64DBF23FC8}"/>
    <cellStyle name="40% - Accent2 11" xfId="8761" xr:uid="{8631D9D1-53DA-4958-8F7C-AD68B7B91D61}"/>
    <cellStyle name="40% - Accent2 11 2" xfId="35831" xr:uid="{0079E9AC-A54D-4EB7-A7DB-3594ECAC0AFB}"/>
    <cellStyle name="40% - Accent2 11 2 2" xfId="54426" xr:uid="{08211B49-C603-49A3-AE45-2F90B2910160}"/>
    <cellStyle name="40% - Accent2 11 3" xfId="45129" xr:uid="{FA226DCB-C8CE-4BFF-8C9D-1337E82636C8}"/>
    <cellStyle name="40% - Accent2 11 4" xfId="26532" xr:uid="{37D2EDDF-430B-46A3-9600-2E40D422FDEF}"/>
    <cellStyle name="40% - Accent2 12" xfId="9669" xr:uid="{3EA77C76-1D8B-4FEE-8399-4AB6300CE747}"/>
    <cellStyle name="40% - Accent2 12 2" xfId="46011" xr:uid="{0F10C9FB-207F-48F0-A65E-26894FBE3186}"/>
    <cellStyle name="40% - Accent2 12 3" xfId="27415" xr:uid="{ED665A18-44D1-42E6-A1F3-11F8ABC62510}"/>
    <cellStyle name="40% - Accent2 13" xfId="36714" xr:uid="{54D3C54D-AA7E-42E0-A920-36FED095D0AD}"/>
    <cellStyle name="40% - Accent2 14" xfId="18116" xr:uid="{7297FA20-EB33-4D64-B3E8-14267D5F2F4B}"/>
    <cellStyle name="40% - Accent2 2" xfId="58" xr:uid="{00000000-0005-0000-0000-000062040000}"/>
    <cellStyle name="40% - Accent2 2 10" xfId="8799" xr:uid="{E3EEC046-6E76-44A5-8D1B-64621A8F0AC5}"/>
    <cellStyle name="40% - Accent2 2 10 2" xfId="35869" xr:uid="{1705826D-1758-493B-B57C-D0B32E4E4396}"/>
    <cellStyle name="40% - Accent2 2 10 2 2" xfId="54464" xr:uid="{C6410C0C-047F-4AB7-9317-A8F276D5413F}"/>
    <cellStyle name="40% - Accent2 2 10 3" xfId="45167" xr:uid="{63F5524D-D98F-4D5E-AAD0-828F18D5F2BE}"/>
    <cellStyle name="40% - Accent2 2 10 4" xfId="26570" xr:uid="{B48A2319-E887-4176-A9FB-A46B0D5D8AC1}"/>
    <cellStyle name="40% - Accent2 2 11" xfId="9670" xr:uid="{7D92300E-AD2B-4D6E-BE26-93FC863C0B64}"/>
    <cellStyle name="40% - Accent2 2 11 2" xfId="46012" xr:uid="{FCD71C57-EDB6-4BD5-833D-BA7BD2205038}"/>
    <cellStyle name="40% - Accent2 2 11 3" xfId="27416" xr:uid="{ADF93A77-F196-468A-9900-7E5C23131A1A}"/>
    <cellStyle name="40% - Accent2 2 12" xfId="36715" xr:uid="{27E96DB3-DC4D-4F4F-A4A0-6AF710FC7D06}"/>
    <cellStyle name="40% - Accent2 2 13" xfId="18117" xr:uid="{038E1B01-586C-415E-973B-5506D7A86940}"/>
    <cellStyle name="40% - Accent2 2 2" xfId="59" xr:uid="{00000000-0005-0000-0000-000063040000}"/>
    <cellStyle name="40% - Accent2 2 2 10" xfId="9671" xr:uid="{C2D484B4-A713-44C7-BB4A-1B0DF58F2235}"/>
    <cellStyle name="40% - Accent2 2 2 10 2" xfId="46013" xr:uid="{975D6019-D3A9-43FD-B906-FD3953498BD9}"/>
    <cellStyle name="40% - Accent2 2 2 10 3" xfId="27417" xr:uid="{D1E07304-B1DA-4ECB-997A-6C7C2E82B47D}"/>
    <cellStyle name="40% - Accent2 2 2 11" xfId="36716" xr:uid="{FB62C8A8-8FDF-4EB5-9BAB-D40A3F2DA5BD}"/>
    <cellStyle name="40% - Accent2 2 2 12" xfId="18118" xr:uid="{B2E1F62E-EC8C-4A6D-9FF6-32D3E2B4F0DB}"/>
    <cellStyle name="40% - Accent2 2 2 2" xfId="60" xr:uid="{00000000-0005-0000-0000-000064040000}"/>
    <cellStyle name="40% - Accent2 2 2 2 10" xfId="36717" xr:uid="{7083B473-9DF0-4467-A3B9-D917649BD2E3}"/>
    <cellStyle name="40% - Accent2 2 2 2 11" xfId="18119" xr:uid="{971AF585-25CC-4ED9-8BCC-2B781852F35B}"/>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16448" xr:uid="{1D717F2C-1C19-40A8-B4DA-73A8C63FC0CF}"/>
    <cellStyle name="40% - Accent2 2 2 2 2 2 2 2 2" xfId="52790" xr:uid="{A850B4FB-D3A0-4511-B293-446693C8E3DD}"/>
    <cellStyle name="40% - Accent2 2 2 2 2 2 2 2 3" xfId="34194" xr:uid="{8B0326F4-014A-4F9E-8FF9-99FAB5D2236F}"/>
    <cellStyle name="40% - Accent2 2 2 2 2 2 2 3" xfId="43493" xr:uid="{9C626B1A-3CC6-45EB-BFF6-D83CCDC5E884}"/>
    <cellStyle name="40% - Accent2 2 2 2 2 2 2 4" xfId="24895" xr:uid="{4383FE96-9B54-4A1F-BAFB-0CB2FE725F75}"/>
    <cellStyle name="40% - Accent2 2 2 2 2 2 3" xfId="12231" xr:uid="{E7EB5814-6799-4238-9CBA-E1AFD9DFAA9E}"/>
    <cellStyle name="40% - Accent2 2 2 2 2 2 3 2" xfId="48573" xr:uid="{6C72714A-E21B-49ED-85F1-4E89CFA2815E}"/>
    <cellStyle name="40% - Accent2 2 2 2 2 2 3 3" xfId="29977" xr:uid="{DDF560BD-FD46-4B6A-BFBF-88042C4EB0F7}"/>
    <cellStyle name="40% - Accent2 2 2 2 2 2 4" xfId="39276" xr:uid="{A114DDE8-A9D9-4335-B724-017F75BA2C3D}"/>
    <cellStyle name="40% - Accent2 2 2 2 2 2 5" xfId="20678" xr:uid="{4F9F6D8E-BCA1-4930-B179-B3839462E46A}"/>
    <cellStyle name="40% - Accent2 2 2 2 2 3" xfId="4977" xr:uid="{00000000-0005-0000-0000-000068040000}"/>
    <cellStyle name="40% - Accent2 2 2 2 2 3 2" xfId="14303" xr:uid="{4020AE41-719C-40E0-9CC8-97DEBC0A9DA5}"/>
    <cellStyle name="40% - Accent2 2 2 2 2 3 2 2" xfId="50645" xr:uid="{8398BDF2-E20C-40C3-A954-C9D8931E881D}"/>
    <cellStyle name="40% - Accent2 2 2 2 2 3 2 3" xfId="32049" xr:uid="{597E59F4-1C00-42C6-9FCC-2177ACF6E200}"/>
    <cellStyle name="40% - Accent2 2 2 2 2 3 3" xfId="41348" xr:uid="{59A8163B-7645-465D-B628-42DADBC56E30}"/>
    <cellStyle name="40% - Accent2 2 2 2 2 3 4" xfId="22750" xr:uid="{9DAF63EA-9A59-47BA-A3EC-2B5188E16AD7}"/>
    <cellStyle name="40% - Accent2 2 2 2 2 4" xfId="9534" xr:uid="{9F53A086-33FC-422E-9DFF-72D04AC43949}"/>
    <cellStyle name="40% - Accent2 2 2 2 2 4 2" xfId="36595" xr:uid="{25C6F192-50FD-40E6-9562-6744E16672B5}"/>
    <cellStyle name="40% - Accent2 2 2 2 2 4 2 2" xfId="55189" xr:uid="{04CD2A7E-E870-4C8B-A201-9EBADDB1E9F5}"/>
    <cellStyle name="40% - Accent2 2 2 2 2 4 3" xfId="45892" xr:uid="{84B9C347-42AE-49C7-A3F7-0ACE938E8DA8}"/>
    <cellStyle name="40% - Accent2 2 2 2 2 4 4" xfId="27296" xr:uid="{3325175F-3915-4F5B-A980-1C862876E7EE}"/>
    <cellStyle name="40% - Accent2 2 2 2 2 5" xfId="10086" xr:uid="{3946BD96-BC62-4DE8-80EB-E70B4E15C328}"/>
    <cellStyle name="40% - Accent2 2 2 2 2 5 2" xfId="46428" xr:uid="{7776F166-98B8-4B34-B9FF-5EBACCFD6686}"/>
    <cellStyle name="40% - Accent2 2 2 2 2 5 3" xfId="27832" xr:uid="{E35B4679-CF92-4168-A355-F509D5E2E6B8}"/>
    <cellStyle name="40% - Accent2 2 2 2 2 6" xfId="37131" xr:uid="{925B82B6-B105-48DD-84B2-61265669B8B4}"/>
    <cellStyle name="40% - Accent2 2 2 2 2 7" xfId="18533" xr:uid="{B47E0FF1-05BF-4B9E-920F-343DAD61DF94}"/>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16861" xr:uid="{6466002E-B43B-424A-8455-06E30E1703C2}"/>
    <cellStyle name="40% - Accent2 2 2 2 3 2 2 2 2" xfId="53203" xr:uid="{64C52152-80A4-4A43-9740-DDE4C54F6DA6}"/>
    <cellStyle name="40% - Accent2 2 2 2 3 2 2 2 3" xfId="34607" xr:uid="{B2CA943D-8EEC-42B3-8AE6-00B5AFC35CE8}"/>
    <cellStyle name="40% - Accent2 2 2 2 3 2 2 3" xfId="43906" xr:uid="{C107426C-71D0-44BD-911E-D3955B0EB4BD}"/>
    <cellStyle name="40% - Accent2 2 2 2 3 2 2 4" xfId="25308" xr:uid="{FD5004A1-E694-4302-B345-4D2361DEED90}"/>
    <cellStyle name="40% - Accent2 2 2 2 3 2 3" xfId="12644" xr:uid="{1930E0B2-A47A-4D9B-B447-A704B95C32ED}"/>
    <cellStyle name="40% - Accent2 2 2 2 3 2 3 2" xfId="48986" xr:uid="{8AA02226-A862-4E4D-9806-FE8684F47B10}"/>
    <cellStyle name="40% - Accent2 2 2 2 3 2 3 3" xfId="30390" xr:uid="{64C40DA2-A3AB-48A0-A91E-2844A8990806}"/>
    <cellStyle name="40% - Accent2 2 2 2 3 2 4" xfId="39689" xr:uid="{01CCFB5A-3C96-4A42-8722-DCE024752045}"/>
    <cellStyle name="40% - Accent2 2 2 2 3 2 5" xfId="21091" xr:uid="{B15E4553-68BC-45B1-8606-18682F2AEAD2}"/>
    <cellStyle name="40% - Accent2 2 2 2 3 3" xfId="5390" xr:uid="{00000000-0005-0000-0000-00006C040000}"/>
    <cellStyle name="40% - Accent2 2 2 2 3 3 2" xfId="14716" xr:uid="{A0264A6F-8595-4ADC-AC87-447E59E1DB81}"/>
    <cellStyle name="40% - Accent2 2 2 2 3 3 2 2" xfId="51058" xr:uid="{CFD8D530-447D-4DDB-85FF-86BD4BA28A0E}"/>
    <cellStyle name="40% - Accent2 2 2 2 3 3 2 3" xfId="32462" xr:uid="{13A308E0-5977-4384-8647-016D025BBF89}"/>
    <cellStyle name="40% - Accent2 2 2 2 3 3 3" xfId="41761" xr:uid="{419934A4-FB30-4E77-B235-C7FF14BD067C}"/>
    <cellStyle name="40% - Accent2 2 2 2 3 3 4" xfId="23163" xr:uid="{429FA179-3C59-4A7C-B7BD-6B239244E078}"/>
    <cellStyle name="40% - Accent2 2 2 2 3 4" xfId="10499" xr:uid="{A498EDA3-5777-4826-9DD9-4133EF1E3B9B}"/>
    <cellStyle name="40% - Accent2 2 2 2 3 4 2" xfId="46841" xr:uid="{D0FBBEBF-4D3C-46D0-B619-AC2B8A6874C8}"/>
    <cellStyle name="40% - Accent2 2 2 2 3 4 3" xfId="28245" xr:uid="{23D5BD18-6EED-473A-91C2-30A67CD6C20D}"/>
    <cellStyle name="40% - Accent2 2 2 2 3 5" xfId="37544" xr:uid="{1F524A27-122A-462D-864A-4CFD0E5A3B72}"/>
    <cellStyle name="40% - Accent2 2 2 2 3 6" xfId="18946" xr:uid="{5D0FBE17-6396-451C-A63C-4D6B891FCFBD}"/>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17274" xr:uid="{732B66C1-93D0-413F-8A62-B7849C88223A}"/>
    <cellStyle name="40% - Accent2 2 2 2 4 2 2 2 2" xfId="53616" xr:uid="{42BC5309-EDC6-477C-9EC3-AF52CA5D572F}"/>
    <cellStyle name="40% - Accent2 2 2 2 4 2 2 2 3" xfId="35020" xr:uid="{0798764A-3A7A-4E77-8EF9-5EE3A6F97A64}"/>
    <cellStyle name="40% - Accent2 2 2 2 4 2 2 3" xfId="44319" xr:uid="{A0571652-0436-41D1-8235-33F2F6C0DB87}"/>
    <cellStyle name="40% - Accent2 2 2 2 4 2 2 4" xfId="25721" xr:uid="{454253A1-7CDC-49EB-91C0-282935D0F0B4}"/>
    <cellStyle name="40% - Accent2 2 2 2 4 2 3" xfId="13057" xr:uid="{D2BC1A85-07F6-4BB9-BFE6-354FCC8E622A}"/>
    <cellStyle name="40% - Accent2 2 2 2 4 2 3 2" xfId="49399" xr:uid="{340E928C-F504-43B6-A30A-4F1E2284794C}"/>
    <cellStyle name="40% - Accent2 2 2 2 4 2 3 3" xfId="30803" xr:uid="{16A05951-66D1-4ACB-830C-ABC1CD9B89AE}"/>
    <cellStyle name="40% - Accent2 2 2 2 4 2 4" xfId="40102" xr:uid="{E152AF6B-3542-4239-8443-9A12450D7AE6}"/>
    <cellStyle name="40% - Accent2 2 2 2 4 2 5" xfId="21504" xr:uid="{4C33D61B-3233-49D5-94B5-5E8A138F306F}"/>
    <cellStyle name="40% - Accent2 2 2 2 4 3" xfId="5803" xr:uid="{00000000-0005-0000-0000-000070040000}"/>
    <cellStyle name="40% - Accent2 2 2 2 4 3 2" xfId="15129" xr:uid="{B8A4DBF1-64A9-4ACB-A721-981BAF4C8524}"/>
    <cellStyle name="40% - Accent2 2 2 2 4 3 2 2" xfId="51471" xr:uid="{20005298-9B26-4AF3-A87D-97DE2D82FBF0}"/>
    <cellStyle name="40% - Accent2 2 2 2 4 3 2 3" xfId="32875" xr:uid="{A52A2D17-AB37-4BDB-8D25-2B779F06D44F}"/>
    <cellStyle name="40% - Accent2 2 2 2 4 3 3" xfId="42174" xr:uid="{1A41924D-879B-487F-A38B-F8BB96F2D75D}"/>
    <cellStyle name="40% - Accent2 2 2 2 4 3 4" xfId="23576" xr:uid="{F1A0AF8F-8456-463E-BC48-E1DDD94381FA}"/>
    <cellStyle name="40% - Accent2 2 2 2 4 4" xfId="10912" xr:uid="{C5186EA7-60A5-496C-A5EA-6D6C05D5F802}"/>
    <cellStyle name="40% - Accent2 2 2 2 4 4 2" xfId="47254" xr:uid="{645FDCFC-546C-4330-9984-B200556C5F3E}"/>
    <cellStyle name="40% - Accent2 2 2 2 4 4 3" xfId="28658" xr:uid="{EA8FDCB5-9BA2-4F53-B086-1E4C3061F200}"/>
    <cellStyle name="40% - Accent2 2 2 2 4 5" xfId="37957" xr:uid="{2318CC73-3022-4766-A930-42BD072ED98E}"/>
    <cellStyle name="40% - Accent2 2 2 2 4 6" xfId="19359" xr:uid="{C9E82514-EAE3-4EC3-9BBA-C1EC80AC91B9}"/>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17687" xr:uid="{99FE0D7A-10DA-4929-9FDD-493AA4D98348}"/>
    <cellStyle name="40% - Accent2 2 2 2 5 2 2 2 2" xfId="54029" xr:uid="{D0518DC2-398C-4D07-B78B-8E36F24E60DD}"/>
    <cellStyle name="40% - Accent2 2 2 2 5 2 2 2 3" xfId="35433" xr:uid="{76B1E5D6-FCC9-4CE7-82AC-E73BA2750EFD}"/>
    <cellStyle name="40% - Accent2 2 2 2 5 2 2 3" xfId="44732" xr:uid="{C638DBCE-50A4-40A5-8D0A-16C684CDA3D5}"/>
    <cellStyle name="40% - Accent2 2 2 2 5 2 2 4" xfId="26134" xr:uid="{9769FCBB-35C2-4A41-9F80-8CD87B1E6E24}"/>
    <cellStyle name="40% - Accent2 2 2 2 5 2 3" xfId="13470" xr:uid="{D600C207-8220-4BC3-96EA-DC86F16B1317}"/>
    <cellStyle name="40% - Accent2 2 2 2 5 2 3 2" xfId="49812" xr:uid="{B1C3D50B-87D7-4812-9E7A-D4F940E842CA}"/>
    <cellStyle name="40% - Accent2 2 2 2 5 2 3 3" xfId="31216" xr:uid="{7F152B36-1F52-4AE3-95C4-530565DDE8E7}"/>
    <cellStyle name="40% - Accent2 2 2 2 5 2 4" xfId="40515" xr:uid="{C025B24E-A24E-4055-9751-B57E245E9627}"/>
    <cellStyle name="40% - Accent2 2 2 2 5 2 5" xfId="21917" xr:uid="{4373AD32-C4F9-45DF-BBAD-9D98741ABC81}"/>
    <cellStyle name="40% - Accent2 2 2 2 5 3" xfId="6216" xr:uid="{00000000-0005-0000-0000-000074040000}"/>
    <cellStyle name="40% - Accent2 2 2 2 5 3 2" xfId="15542" xr:uid="{17B972AC-07F5-4536-A7E8-FC8E6CFDB9E9}"/>
    <cellStyle name="40% - Accent2 2 2 2 5 3 2 2" xfId="51884" xr:uid="{9B2243BE-14B3-40A1-ADE7-E361EB9A51BE}"/>
    <cellStyle name="40% - Accent2 2 2 2 5 3 2 3" xfId="33288" xr:uid="{7081C940-6DEF-4B17-8B1A-CF98285FE928}"/>
    <cellStyle name="40% - Accent2 2 2 2 5 3 3" xfId="42587" xr:uid="{34C5B0B2-5014-4379-B0D0-F80979408C84}"/>
    <cellStyle name="40% - Accent2 2 2 2 5 3 4" xfId="23989" xr:uid="{64226B43-436A-4DE2-B718-E6DA9CF03274}"/>
    <cellStyle name="40% - Accent2 2 2 2 5 4" xfId="11325" xr:uid="{C7BAF2DE-90C8-4E64-8EB6-FD3C2BD52F6F}"/>
    <cellStyle name="40% - Accent2 2 2 2 5 4 2" xfId="47667" xr:uid="{557840FD-9F6E-4CCF-A2F2-9385D60C27FC}"/>
    <cellStyle name="40% - Accent2 2 2 2 5 4 3" xfId="29071" xr:uid="{6914D472-9E76-4DA4-A1B5-E27A556BF538}"/>
    <cellStyle name="40% - Accent2 2 2 2 5 5" xfId="38370" xr:uid="{9AF518FB-53BC-4FA2-8912-26409DC7AE05}"/>
    <cellStyle name="40% - Accent2 2 2 2 5 6" xfId="19772" xr:uid="{32FAB496-D860-410E-8B51-14CF5757A264}"/>
    <cellStyle name="40% - Accent2 2 2 2 6" xfId="2323" xr:uid="{00000000-0005-0000-0000-000075040000}"/>
    <cellStyle name="40% - Accent2 2 2 2 6 2" xfId="6629" xr:uid="{00000000-0005-0000-0000-000076040000}"/>
    <cellStyle name="40% - Accent2 2 2 2 6 2 2" xfId="15955" xr:uid="{7D59223B-EB56-47AF-A111-5F5526417A9F}"/>
    <cellStyle name="40% - Accent2 2 2 2 6 2 2 2" xfId="52297" xr:uid="{FD1F56C7-0C5A-4D6F-B8BE-62DD9B871625}"/>
    <cellStyle name="40% - Accent2 2 2 2 6 2 2 3" xfId="33701" xr:uid="{2D518EE4-133D-4108-BE51-3F979D72D94B}"/>
    <cellStyle name="40% - Accent2 2 2 2 6 2 3" xfId="43000" xr:uid="{F5BAB9F0-9FEB-4CA1-B7E9-128DFFD241C2}"/>
    <cellStyle name="40% - Accent2 2 2 2 6 2 4" xfId="24402" xr:uid="{678D029A-E8EA-4937-B358-7F03414B245B}"/>
    <cellStyle name="40% - Accent2 2 2 2 6 3" xfId="11738" xr:uid="{D36AD299-E71A-42C3-8BE4-FDAD3C29C69E}"/>
    <cellStyle name="40% - Accent2 2 2 2 6 3 2" xfId="48080" xr:uid="{D8B280E8-1ACD-413C-97F4-1DBEB356F9F6}"/>
    <cellStyle name="40% - Accent2 2 2 2 6 3 3" xfId="29484" xr:uid="{4EA5AE71-87A4-401B-A3F8-A46D634461F6}"/>
    <cellStyle name="40% - Accent2 2 2 2 6 4" xfId="38783" xr:uid="{0D0A6E5A-38DE-424F-82FF-15F33B3C73D5}"/>
    <cellStyle name="40% - Accent2 2 2 2 6 5" xfId="20185" xr:uid="{9C6AFAD8-3DBE-4B90-AC91-464662916ECC}"/>
    <cellStyle name="40% - Accent2 2 2 2 7" xfId="4563" xr:uid="{00000000-0005-0000-0000-000077040000}"/>
    <cellStyle name="40% - Accent2 2 2 2 7 2" xfId="13889" xr:uid="{B205B820-BBA0-44EE-8415-8BAF92BAE28B}"/>
    <cellStyle name="40% - Accent2 2 2 2 7 2 2" xfId="50231" xr:uid="{3B648835-264B-4AED-A043-9122AC082CE9}"/>
    <cellStyle name="40% - Accent2 2 2 2 7 2 3" xfId="31635" xr:uid="{313B1618-0D1D-4222-985C-6E41CB55092B}"/>
    <cellStyle name="40% - Accent2 2 2 2 7 3" xfId="40934" xr:uid="{9FCC1BF0-CAED-4ADF-95A9-B2DFDC04CB3C}"/>
    <cellStyle name="40% - Accent2 2 2 2 7 4" xfId="22336" xr:uid="{ACB6D84D-8ECA-4BD6-B446-70F95689B750}"/>
    <cellStyle name="40% - Accent2 2 2 2 8" xfId="9109" xr:uid="{73F0012D-4386-4224-BFB0-7DB1C0E98822}"/>
    <cellStyle name="40% - Accent2 2 2 2 8 2" xfId="36179" xr:uid="{1AA71D18-CDAF-4CEE-BB54-ACB9BE794018}"/>
    <cellStyle name="40% - Accent2 2 2 2 8 2 2" xfId="54774" xr:uid="{2831B505-1D80-4028-8FE5-DC45AFD15333}"/>
    <cellStyle name="40% - Accent2 2 2 2 8 3" xfId="45477" xr:uid="{F021D325-46DE-408F-9393-0639E8E143F8}"/>
    <cellStyle name="40% - Accent2 2 2 2 8 4" xfId="26880" xr:uid="{7F241CEF-836E-4E0C-9F2D-100E3306C915}"/>
    <cellStyle name="40% - Accent2 2 2 2 9" xfId="9672" xr:uid="{54586F36-24CD-48CA-8004-B65887195FFB}"/>
    <cellStyle name="40% - Accent2 2 2 2 9 2" xfId="46014" xr:uid="{687F5617-1371-471C-A176-036A52FEFAC2}"/>
    <cellStyle name="40% - Accent2 2 2 2 9 3" xfId="27418" xr:uid="{20D373A4-B235-457D-88D2-06E4FB488B9C}"/>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16447" xr:uid="{6E00FD10-EA42-42BE-95E4-C36447D7E895}"/>
    <cellStyle name="40% - Accent2 2 2 3 2 2 2 2" xfId="52789" xr:uid="{61F08487-63C1-48D3-B43E-5B3EB5111D67}"/>
    <cellStyle name="40% - Accent2 2 2 3 2 2 2 3" xfId="34193" xr:uid="{46090307-A1B8-4A11-A045-EE930C030761}"/>
    <cellStyle name="40% - Accent2 2 2 3 2 2 3" xfId="43492" xr:uid="{C06B46A3-54F5-4B40-B250-5CA8467A9004}"/>
    <cellStyle name="40% - Accent2 2 2 3 2 2 4" xfId="24894" xr:uid="{DE4089D6-E1A9-4E87-A3E8-E3B5CD25C390}"/>
    <cellStyle name="40% - Accent2 2 2 3 2 3" xfId="12230" xr:uid="{3F52F5E4-8438-4C6E-BC6D-46A233D15A24}"/>
    <cellStyle name="40% - Accent2 2 2 3 2 3 2" xfId="48572" xr:uid="{4422240D-8116-40F6-A103-981D70318F8D}"/>
    <cellStyle name="40% - Accent2 2 2 3 2 3 3" xfId="29976" xr:uid="{082EA183-991B-478C-9C13-8B5ADD51B930}"/>
    <cellStyle name="40% - Accent2 2 2 3 2 4" xfId="39275" xr:uid="{99C71CF9-A47D-402D-8BF6-977BBCBA03CE}"/>
    <cellStyle name="40% - Accent2 2 2 3 2 5" xfId="20677" xr:uid="{5B1E1783-65AB-4A90-B585-217C174AD8B2}"/>
    <cellStyle name="40% - Accent2 2 2 3 3" xfId="4976" xr:uid="{00000000-0005-0000-0000-00007B040000}"/>
    <cellStyle name="40% - Accent2 2 2 3 3 2" xfId="14302" xr:uid="{DCE0CA87-2D98-4220-A870-DB8C93F406B8}"/>
    <cellStyle name="40% - Accent2 2 2 3 3 2 2" xfId="50644" xr:uid="{8ADC1C33-2AE8-4520-9EB3-DCE8994C728F}"/>
    <cellStyle name="40% - Accent2 2 2 3 3 2 3" xfId="32048" xr:uid="{6080348B-7FA2-4D9F-8810-4298FB16FDFD}"/>
    <cellStyle name="40% - Accent2 2 2 3 3 3" xfId="41347" xr:uid="{17DF1428-12F2-414E-B4AD-A9EF5D12A331}"/>
    <cellStyle name="40% - Accent2 2 2 3 3 4" xfId="22749" xr:uid="{D36AD417-91CB-40B1-80E8-EBB610DF1303}"/>
    <cellStyle name="40% - Accent2 2 2 3 4" xfId="9327" xr:uid="{F2BC9A12-B689-4B73-B71E-77A9F0BC7FE4}"/>
    <cellStyle name="40% - Accent2 2 2 3 4 2" xfId="36388" xr:uid="{D8C10C13-E458-4676-B75B-BBEACB78A2E3}"/>
    <cellStyle name="40% - Accent2 2 2 3 4 2 2" xfId="54982" xr:uid="{EFFA2F3E-0B56-4702-8F56-728076A01666}"/>
    <cellStyle name="40% - Accent2 2 2 3 4 3" xfId="45685" xr:uid="{FE6065C3-3D03-4172-AC86-5F0B63B37D27}"/>
    <cellStyle name="40% - Accent2 2 2 3 4 4" xfId="27089" xr:uid="{EA16C8DB-C62A-451F-B557-1865CF4F24B8}"/>
    <cellStyle name="40% - Accent2 2 2 3 5" xfId="10085" xr:uid="{8B025A56-C718-492B-BE66-4E14075B0107}"/>
    <cellStyle name="40% - Accent2 2 2 3 5 2" xfId="46427" xr:uid="{DED72779-2A67-479C-83C9-9A59E6B70CDE}"/>
    <cellStyle name="40% - Accent2 2 2 3 5 3" xfId="27831" xr:uid="{43EBC68B-2306-4AAE-8381-662B9ABE0473}"/>
    <cellStyle name="40% - Accent2 2 2 3 6" xfId="37130" xr:uid="{CE577FAD-0DE5-483C-95C0-5568D7CA5B7A}"/>
    <cellStyle name="40% - Accent2 2 2 3 7" xfId="18532" xr:uid="{21AAC400-AAE3-4C01-BF54-8F6362D6C212}"/>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16860" xr:uid="{A06AA2EC-16AF-43ED-8B57-DF9CB11BDE65}"/>
    <cellStyle name="40% - Accent2 2 2 4 2 2 2 2" xfId="53202" xr:uid="{552E3729-8E39-4385-B0A5-E1868151B115}"/>
    <cellStyle name="40% - Accent2 2 2 4 2 2 2 3" xfId="34606" xr:uid="{C74AF393-57DE-4692-8316-F1C6C024270F}"/>
    <cellStyle name="40% - Accent2 2 2 4 2 2 3" xfId="43905" xr:uid="{AEC85789-DF7C-4B9E-8462-4FB6507A5ADB}"/>
    <cellStyle name="40% - Accent2 2 2 4 2 2 4" xfId="25307" xr:uid="{A7DDAF19-0B11-4BA8-A9FA-E7B85634D4DE}"/>
    <cellStyle name="40% - Accent2 2 2 4 2 3" xfId="12643" xr:uid="{64E3A43F-695D-4B05-B6C9-443EB6A64B06}"/>
    <cellStyle name="40% - Accent2 2 2 4 2 3 2" xfId="48985" xr:uid="{4637E3A3-B2A9-4EB5-A588-D001842E891F}"/>
    <cellStyle name="40% - Accent2 2 2 4 2 3 3" xfId="30389" xr:uid="{1E9A1F5E-7140-46BB-B859-02F2A3EC1E19}"/>
    <cellStyle name="40% - Accent2 2 2 4 2 4" xfId="39688" xr:uid="{285E5EB1-3203-4BA7-AC5A-2840CD04C0A8}"/>
    <cellStyle name="40% - Accent2 2 2 4 2 5" xfId="21090" xr:uid="{D2EC00CD-E403-475F-BF92-D32A7CB51CFB}"/>
    <cellStyle name="40% - Accent2 2 2 4 3" xfId="5389" xr:uid="{00000000-0005-0000-0000-00007F040000}"/>
    <cellStyle name="40% - Accent2 2 2 4 3 2" xfId="14715" xr:uid="{3C2A8B87-C3DE-4D1F-B507-47925C958239}"/>
    <cellStyle name="40% - Accent2 2 2 4 3 2 2" xfId="51057" xr:uid="{AE8681CC-C168-4576-A9E1-D73B8977B920}"/>
    <cellStyle name="40% - Accent2 2 2 4 3 2 3" xfId="32461" xr:uid="{521458D5-E4CF-408A-8333-FDF3B3D1BA0A}"/>
    <cellStyle name="40% - Accent2 2 2 4 3 3" xfId="41760" xr:uid="{F0FCFE91-B3E8-4FA1-92DE-3ED4959A6D9A}"/>
    <cellStyle name="40% - Accent2 2 2 4 3 4" xfId="23162" xr:uid="{DAB4D7E9-5D49-41BE-A0A5-3C680D845C6A}"/>
    <cellStyle name="40% - Accent2 2 2 4 4" xfId="10498" xr:uid="{9C5F42E6-3C07-48F4-85FD-F3AB07E83C30}"/>
    <cellStyle name="40% - Accent2 2 2 4 4 2" xfId="46840" xr:uid="{DBFAF4B9-6E91-4262-879D-B965ABF8C8AC}"/>
    <cellStyle name="40% - Accent2 2 2 4 4 3" xfId="28244" xr:uid="{1DC88C65-519F-4FE9-8AB5-9D888AC11B15}"/>
    <cellStyle name="40% - Accent2 2 2 4 5" xfId="37543" xr:uid="{6C5CC628-A4DD-4C2A-B072-103CA89EA281}"/>
    <cellStyle name="40% - Accent2 2 2 4 6" xfId="18945" xr:uid="{2793A426-51EE-4FEC-BEDC-C8E2BC596A8D}"/>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17273" xr:uid="{D116B681-CD95-44F1-8D08-06A9603E8BEB}"/>
    <cellStyle name="40% - Accent2 2 2 5 2 2 2 2" xfId="53615" xr:uid="{94601D13-E2B3-4F7E-AF28-AEB5FA2F44FB}"/>
    <cellStyle name="40% - Accent2 2 2 5 2 2 2 3" xfId="35019" xr:uid="{CB1D6550-E2E4-4D83-A478-48980D85E079}"/>
    <cellStyle name="40% - Accent2 2 2 5 2 2 3" xfId="44318" xr:uid="{9C9736B5-04B1-425F-BB72-2F23C0A31EE9}"/>
    <cellStyle name="40% - Accent2 2 2 5 2 2 4" xfId="25720" xr:uid="{FBE5872A-0FFF-4048-850F-572D4D191809}"/>
    <cellStyle name="40% - Accent2 2 2 5 2 3" xfId="13056" xr:uid="{6A3C787E-B19A-4ECA-91DD-DABC443C38C9}"/>
    <cellStyle name="40% - Accent2 2 2 5 2 3 2" xfId="49398" xr:uid="{348AA0CC-C5BB-4CD2-94BC-6DA1B57BA881}"/>
    <cellStyle name="40% - Accent2 2 2 5 2 3 3" xfId="30802" xr:uid="{5780D5D0-26BE-47DD-8924-EBD896F9BC4C}"/>
    <cellStyle name="40% - Accent2 2 2 5 2 4" xfId="40101" xr:uid="{F91D6F2C-8962-4A23-90EE-17458D2DD855}"/>
    <cellStyle name="40% - Accent2 2 2 5 2 5" xfId="21503" xr:uid="{649CCEE1-4B2D-47F1-B194-E66E47AA44EE}"/>
    <cellStyle name="40% - Accent2 2 2 5 3" xfId="5802" xr:uid="{00000000-0005-0000-0000-000083040000}"/>
    <cellStyle name="40% - Accent2 2 2 5 3 2" xfId="15128" xr:uid="{8826611C-8CE8-4BEA-873D-C6D7BA8489C5}"/>
    <cellStyle name="40% - Accent2 2 2 5 3 2 2" xfId="51470" xr:uid="{96371E69-470D-47B3-B8BA-70534A05BA11}"/>
    <cellStyle name="40% - Accent2 2 2 5 3 2 3" xfId="32874" xr:uid="{9853ACC4-44D8-4D83-BB0E-C4F85D4CAEF8}"/>
    <cellStyle name="40% - Accent2 2 2 5 3 3" xfId="42173" xr:uid="{BA3C2B29-78FD-46F4-93F7-A64E5CA90FDC}"/>
    <cellStyle name="40% - Accent2 2 2 5 3 4" xfId="23575" xr:uid="{79DDE54F-FF18-4A10-A9EF-3534D9A38168}"/>
    <cellStyle name="40% - Accent2 2 2 5 4" xfId="10911" xr:uid="{649D32A8-55EC-4AC1-89C7-6BF99E8BE8EA}"/>
    <cellStyle name="40% - Accent2 2 2 5 4 2" xfId="47253" xr:uid="{D2EAB978-5D3A-42FF-A6D7-B06839129848}"/>
    <cellStyle name="40% - Accent2 2 2 5 4 3" xfId="28657" xr:uid="{7E3C2F57-845A-41C3-947C-A4D3EC868863}"/>
    <cellStyle name="40% - Accent2 2 2 5 5" xfId="37956" xr:uid="{4BA4077E-BBDE-47E4-AB94-AA0EAF870906}"/>
    <cellStyle name="40% - Accent2 2 2 5 6" xfId="19358" xr:uid="{476011B3-B857-4551-8394-4A325FBEF1D4}"/>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17686" xr:uid="{D71E2AD1-87AE-44F9-B551-976039BF90A8}"/>
    <cellStyle name="40% - Accent2 2 2 6 2 2 2 2" xfId="54028" xr:uid="{FBA03722-9056-466F-80E6-CBE64B884FD4}"/>
    <cellStyle name="40% - Accent2 2 2 6 2 2 2 3" xfId="35432" xr:uid="{9875E22E-FF1B-48A4-A664-C5B05CAE61EE}"/>
    <cellStyle name="40% - Accent2 2 2 6 2 2 3" xfId="44731" xr:uid="{66825710-F0B7-4072-8422-CFB751096C2E}"/>
    <cellStyle name="40% - Accent2 2 2 6 2 2 4" xfId="26133" xr:uid="{39C331BD-B8CD-4410-BECE-AC54519301C7}"/>
    <cellStyle name="40% - Accent2 2 2 6 2 3" xfId="13469" xr:uid="{32EF72B0-CDD3-4B40-B2E9-5ACC4959B780}"/>
    <cellStyle name="40% - Accent2 2 2 6 2 3 2" xfId="49811" xr:uid="{A0BEE038-FB3F-436E-A877-15D73727BB40}"/>
    <cellStyle name="40% - Accent2 2 2 6 2 3 3" xfId="31215" xr:uid="{F2464183-D621-4212-810C-8826E99A954C}"/>
    <cellStyle name="40% - Accent2 2 2 6 2 4" xfId="40514" xr:uid="{395CDA2A-A973-47E4-92E7-C578AF952F76}"/>
    <cellStyle name="40% - Accent2 2 2 6 2 5" xfId="21916" xr:uid="{ADF5DF67-BADF-48AA-984D-D90A35BD372A}"/>
    <cellStyle name="40% - Accent2 2 2 6 3" xfId="6215" xr:uid="{00000000-0005-0000-0000-000087040000}"/>
    <cellStyle name="40% - Accent2 2 2 6 3 2" xfId="15541" xr:uid="{21C1C4D7-C3C1-4FFD-A760-73CACB7590B4}"/>
    <cellStyle name="40% - Accent2 2 2 6 3 2 2" xfId="51883" xr:uid="{150675E3-237B-43DB-B8DF-30BA0471834B}"/>
    <cellStyle name="40% - Accent2 2 2 6 3 2 3" xfId="33287" xr:uid="{3B273657-A684-4313-AE9C-ADE4AAF9FBF7}"/>
    <cellStyle name="40% - Accent2 2 2 6 3 3" xfId="42586" xr:uid="{D086BAB1-BFC8-4285-8A40-48F0D122B4FF}"/>
    <cellStyle name="40% - Accent2 2 2 6 3 4" xfId="23988" xr:uid="{34499135-0D5D-474C-AA9D-639EEDA5D9BB}"/>
    <cellStyle name="40% - Accent2 2 2 6 4" xfId="11324" xr:uid="{EFDD97A4-C4D0-4BA7-A456-4E8565365DFE}"/>
    <cellStyle name="40% - Accent2 2 2 6 4 2" xfId="47666" xr:uid="{3065C736-BD50-4F04-8071-52488CA5B9C4}"/>
    <cellStyle name="40% - Accent2 2 2 6 4 3" xfId="29070" xr:uid="{7B4421E6-3377-44DF-88C8-5FAE092EBC49}"/>
    <cellStyle name="40% - Accent2 2 2 6 5" xfId="38369" xr:uid="{CDBDA9B7-6003-4F30-B9FE-05EF67601EAB}"/>
    <cellStyle name="40% - Accent2 2 2 6 6" xfId="19771" xr:uid="{909F39BF-D4F3-4073-B7D0-FFA9AC1F586D}"/>
    <cellStyle name="40% - Accent2 2 2 7" xfId="2322" xr:uid="{00000000-0005-0000-0000-000088040000}"/>
    <cellStyle name="40% - Accent2 2 2 7 2" xfId="6628" xr:uid="{00000000-0005-0000-0000-000089040000}"/>
    <cellStyle name="40% - Accent2 2 2 7 2 2" xfId="15954" xr:uid="{AC72488F-A69D-45F9-AAD3-F3AD5266E11A}"/>
    <cellStyle name="40% - Accent2 2 2 7 2 2 2" xfId="52296" xr:uid="{4F755990-4D8F-422B-A7D1-4F3270CF309C}"/>
    <cellStyle name="40% - Accent2 2 2 7 2 2 3" xfId="33700" xr:uid="{27285528-C955-4CF2-ADEF-0CED3B232A19}"/>
    <cellStyle name="40% - Accent2 2 2 7 2 3" xfId="42999" xr:uid="{FA12AF64-9B6E-4CAA-A7C7-146A38EF8503}"/>
    <cellStyle name="40% - Accent2 2 2 7 2 4" xfId="24401" xr:uid="{A6AC391D-DE0F-4B21-A019-BD86DFF579BB}"/>
    <cellStyle name="40% - Accent2 2 2 7 3" xfId="11737" xr:uid="{59442226-DD07-48CC-B7A8-839994720890}"/>
    <cellStyle name="40% - Accent2 2 2 7 3 2" xfId="48079" xr:uid="{0019CE05-9CF9-48F4-9FEC-BA0DF593C724}"/>
    <cellStyle name="40% - Accent2 2 2 7 3 3" xfId="29483" xr:uid="{C1D36F49-65E5-4D86-99C0-972C38A24A0B}"/>
    <cellStyle name="40% - Accent2 2 2 7 4" xfId="38782" xr:uid="{E80A21F5-7B5E-4651-ACFD-9908E1A70EC0}"/>
    <cellStyle name="40% - Accent2 2 2 7 5" xfId="20184" xr:uid="{87F75799-287D-450B-9704-2EABD20E0B20}"/>
    <cellStyle name="40% - Accent2 2 2 8" xfId="4562" xr:uid="{00000000-0005-0000-0000-00008A040000}"/>
    <cellStyle name="40% - Accent2 2 2 8 2" xfId="13888" xr:uid="{FB8435EE-0D67-4BCC-9FAD-935A27D35785}"/>
    <cellStyle name="40% - Accent2 2 2 8 2 2" xfId="50230" xr:uid="{E2985F98-6304-40BE-B6B2-2C936A67F528}"/>
    <cellStyle name="40% - Accent2 2 2 8 2 3" xfId="31634" xr:uid="{22CB4D31-7C66-4D8B-A342-EEAC5181CE07}"/>
    <cellStyle name="40% - Accent2 2 2 8 3" xfId="40933" xr:uid="{7B9D4E78-5F29-471B-AB56-6EF7058ABC7D}"/>
    <cellStyle name="40% - Accent2 2 2 8 4" xfId="22335" xr:uid="{94C40B72-556F-4F85-80E9-EEC026CE5A12}"/>
    <cellStyle name="40% - Accent2 2 2 9" xfId="8902" xr:uid="{5D0C2022-B7A4-4DE2-895F-9E4BE510A7B9}"/>
    <cellStyle name="40% - Accent2 2 2 9 2" xfId="35972" xr:uid="{17611DDD-5870-4A67-9766-EBEA43A76362}"/>
    <cellStyle name="40% - Accent2 2 2 9 2 2" xfId="54567" xr:uid="{BD545630-D011-41DD-BEC0-1474A945610F}"/>
    <cellStyle name="40% - Accent2 2 2 9 3" xfId="45270" xr:uid="{45A53389-E5D9-4077-A41F-4DA1CD2F3EAC}"/>
    <cellStyle name="40% - Accent2 2 2 9 4" xfId="26673" xr:uid="{3C3412A7-1895-4FF5-9501-27993F29BA8C}"/>
    <cellStyle name="40% - Accent2 2 3" xfId="61" xr:uid="{00000000-0005-0000-0000-00008B040000}"/>
    <cellStyle name="40% - Accent2 2 3 10" xfId="36718" xr:uid="{242BA377-DD21-4619-A823-B3FF4B1CE84E}"/>
    <cellStyle name="40% - Accent2 2 3 11" xfId="18120" xr:uid="{2EC66C9B-0368-4396-9C8A-464FB348AA99}"/>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16449" xr:uid="{E18778B8-8417-45B9-89D3-20DA8EF0FBBC}"/>
    <cellStyle name="40% - Accent2 2 3 2 2 2 2 2" xfId="52791" xr:uid="{59D68313-4A25-4CAD-A1BD-47F90A9B6977}"/>
    <cellStyle name="40% - Accent2 2 3 2 2 2 2 3" xfId="34195" xr:uid="{61A46564-EC94-4F93-9C4B-CE4C90410DCF}"/>
    <cellStyle name="40% - Accent2 2 3 2 2 2 3" xfId="43494" xr:uid="{BDCE6D9C-A7DB-43B8-AEA3-4EF0186192E1}"/>
    <cellStyle name="40% - Accent2 2 3 2 2 2 4" xfId="24896" xr:uid="{D756157A-C6F7-4A07-AD60-4C0E250CC923}"/>
    <cellStyle name="40% - Accent2 2 3 2 2 3" xfId="12232" xr:uid="{1A3956B7-9AEC-46BE-A4F0-D312C19DFB0C}"/>
    <cellStyle name="40% - Accent2 2 3 2 2 3 2" xfId="48574" xr:uid="{C812E08C-5352-49BC-94E5-1951C9C08C83}"/>
    <cellStyle name="40% - Accent2 2 3 2 2 3 3" xfId="29978" xr:uid="{09D8B40F-6079-4076-9CD1-2A73EBDE4A16}"/>
    <cellStyle name="40% - Accent2 2 3 2 2 4" xfId="39277" xr:uid="{B19B27D9-2F1B-4468-AD87-34005A08CE9C}"/>
    <cellStyle name="40% - Accent2 2 3 2 2 5" xfId="20679" xr:uid="{E01541AF-2434-4A0A-B26F-25B820A5B682}"/>
    <cellStyle name="40% - Accent2 2 3 2 3" xfId="4978" xr:uid="{00000000-0005-0000-0000-00008F040000}"/>
    <cellStyle name="40% - Accent2 2 3 2 3 2" xfId="14304" xr:uid="{B56A24EA-3D49-46A3-BE83-A81F630B4A6F}"/>
    <cellStyle name="40% - Accent2 2 3 2 3 2 2" xfId="50646" xr:uid="{B693ED09-0FAB-4A24-B9CC-9C6198833F88}"/>
    <cellStyle name="40% - Accent2 2 3 2 3 2 3" xfId="32050" xr:uid="{26A5D725-34BA-44C3-8E6A-3180BFBB8577}"/>
    <cellStyle name="40% - Accent2 2 3 2 3 3" xfId="41349" xr:uid="{3431D271-14ED-43AC-A5C2-92BD9886CB17}"/>
    <cellStyle name="40% - Accent2 2 3 2 3 4" xfId="22751" xr:uid="{0DEF5BD0-800D-4701-824E-F0B4BBBCA846}"/>
    <cellStyle name="40% - Accent2 2 3 2 4" xfId="9431" xr:uid="{BD4E3561-302E-4359-AAF3-4F2E007BC697}"/>
    <cellStyle name="40% - Accent2 2 3 2 4 2" xfId="36492" xr:uid="{F36F2AA6-60AA-4F15-AF41-2B21C3CC6CCD}"/>
    <cellStyle name="40% - Accent2 2 3 2 4 2 2" xfId="55086" xr:uid="{82C0E949-38C1-44A7-A268-245897C647E3}"/>
    <cellStyle name="40% - Accent2 2 3 2 4 3" xfId="45789" xr:uid="{5D170802-6D57-4F83-BA41-605E875E7AAB}"/>
    <cellStyle name="40% - Accent2 2 3 2 4 4" xfId="27193" xr:uid="{FA0D50EC-C557-4367-AE4E-BAB8A839BA72}"/>
    <cellStyle name="40% - Accent2 2 3 2 5" xfId="10087" xr:uid="{65807234-15E8-434E-A6E8-4721FEB1F468}"/>
    <cellStyle name="40% - Accent2 2 3 2 5 2" xfId="46429" xr:uid="{7781C344-1AFC-479C-AA91-B342DC4CCBCA}"/>
    <cellStyle name="40% - Accent2 2 3 2 5 3" xfId="27833" xr:uid="{7DCA8DAE-1E75-406F-BD96-2B0A22796799}"/>
    <cellStyle name="40% - Accent2 2 3 2 6" xfId="37132" xr:uid="{AE4733B6-9634-4102-A518-8DAA5417DD94}"/>
    <cellStyle name="40% - Accent2 2 3 2 7" xfId="18534" xr:uid="{CA5B6987-2E65-43B1-AB67-F952B6909208}"/>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16862" xr:uid="{50850F1B-884C-47D2-85A2-F0DF6D146F49}"/>
    <cellStyle name="40% - Accent2 2 3 3 2 2 2 2" xfId="53204" xr:uid="{EEFB140E-4C03-4956-B982-038E140C1E98}"/>
    <cellStyle name="40% - Accent2 2 3 3 2 2 2 3" xfId="34608" xr:uid="{0CBA6D6C-CDAB-49B5-929D-B36987BD3AA0}"/>
    <cellStyle name="40% - Accent2 2 3 3 2 2 3" xfId="43907" xr:uid="{95AFD03B-66C0-4144-A044-ECA820E099BF}"/>
    <cellStyle name="40% - Accent2 2 3 3 2 2 4" xfId="25309" xr:uid="{EB95016F-9D55-47BD-8212-04B9AECBCAE9}"/>
    <cellStyle name="40% - Accent2 2 3 3 2 3" xfId="12645" xr:uid="{D573CBDE-EA29-4742-A1B9-C261B95BA1A8}"/>
    <cellStyle name="40% - Accent2 2 3 3 2 3 2" xfId="48987" xr:uid="{D0E800FF-64F7-46C8-9AE4-CDB37BBAA00D}"/>
    <cellStyle name="40% - Accent2 2 3 3 2 3 3" xfId="30391" xr:uid="{42C42247-F72C-40A4-96D3-41705D0DDB13}"/>
    <cellStyle name="40% - Accent2 2 3 3 2 4" xfId="39690" xr:uid="{859C8D75-C374-4FF1-9FE0-EBC636FD395A}"/>
    <cellStyle name="40% - Accent2 2 3 3 2 5" xfId="21092" xr:uid="{CEEB3690-A658-41BF-B0B9-3F46588FA501}"/>
    <cellStyle name="40% - Accent2 2 3 3 3" xfId="5391" xr:uid="{00000000-0005-0000-0000-000093040000}"/>
    <cellStyle name="40% - Accent2 2 3 3 3 2" xfId="14717" xr:uid="{A6B5A262-CE4D-4699-9368-EC3D49683048}"/>
    <cellStyle name="40% - Accent2 2 3 3 3 2 2" xfId="51059" xr:uid="{58987B30-8DF3-41C4-B1F8-1E8DAA6FA5AB}"/>
    <cellStyle name="40% - Accent2 2 3 3 3 2 3" xfId="32463" xr:uid="{95C32616-8969-4F6C-9846-CF270CA73F20}"/>
    <cellStyle name="40% - Accent2 2 3 3 3 3" xfId="41762" xr:uid="{01DB52E8-DBA4-4CC9-A40F-8C1B281FB8B1}"/>
    <cellStyle name="40% - Accent2 2 3 3 3 4" xfId="23164" xr:uid="{EAD5DF4E-A3A1-4D03-A313-856EACFB8906}"/>
    <cellStyle name="40% - Accent2 2 3 3 4" xfId="10500" xr:uid="{172DF53E-394D-4A6B-91F4-EB2809E0B7BD}"/>
    <cellStyle name="40% - Accent2 2 3 3 4 2" xfId="46842" xr:uid="{5BFFC9CD-F144-4C08-ABA3-CA58C16BE44D}"/>
    <cellStyle name="40% - Accent2 2 3 3 4 3" xfId="28246" xr:uid="{B3FFE2B9-F62C-4213-B542-90D967435F74}"/>
    <cellStyle name="40% - Accent2 2 3 3 5" xfId="37545" xr:uid="{FD45B39D-E2BE-4718-8382-0E3CD7B81A23}"/>
    <cellStyle name="40% - Accent2 2 3 3 6" xfId="18947" xr:uid="{AB937A20-840F-4BAD-94A5-8ECDD99F783A}"/>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17275" xr:uid="{7C9759E0-B8C7-416A-BFCF-E4479B9B324A}"/>
    <cellStyle name="40% - Accent2 2 3 4 2 2 2 2" xfId="53617" xr:uid="{BF79C815-EFAD-418A-9BED-6440831E3AF7}"/>
    <cellStyle name="40% - Accent2 2 3 4 2 2 2 3" xfId="35021" xr:uid="{DC07E94B-199B-4D4E-9EE8-5E4F13D519C3}"/>
    <cellStyle name="40% - Accent2 2 3 4 2 2 3" xfId="44320" xr:uid="{01A7CE23-8D7B-4D99-B548-2A4685FF720B}"/>
    <cellStyle name="40% - Accent2 2 3 4 2 2 4" xfId="25722" xr:uid="{079253DD-A259-4D9E-8D39-15165B278BE9}"/>
    <cellStyle name="40% - Accent2 2 3 4 2 3" xfId="13058" xr:uid="{B6E0F94C-ED27-40DC-ADED-04E01A6297E8}"/>
    <cellStyle name="40% - Accent2 2 3 4 2 3 2" xfId="49400" xr:uid="{9CF5F4AA-AC86-4409-9563-9E63D4A10E4B}"/>
    <cellStyle name="40% - Accent2 2 3 4 2 3 3" xfId="30804" xr:uid="{94512685-DE1D-4653-B188-9B990EE625F3}"/>
    <cellStyle name="40% - Accent2 2 3 4 2 4" xfId="40103" xr:uid="{0942EC5C-0C42-46EB-8358-3CF890894BD9}"/>
    <cellStyle name="40% - Accent2 2 3 4 2 5" xfId="21505" xr:uid="{7EA02AFD-BA4F-4AE1-B812-78E0C27CEB7C}"/>
    <cellStyle name="40% - Accent2 2 3 4 3" xfId="5804" xr:uid="{00000000-0005-0000-0000-000097040000}"/>
    <cellStyle name="40% - Accent2 2 3 4 3 2" xfId="15130" xr:uid="{59D94B27-C837-427F-946E-DE8D392C7301}"/>
    <cellStyle name="40% - Accent2 2 3 4 3 2 2" xfId="51472" xr:uid="{77D11890-05C1-4603-A035-C527412FBF29}"/>
    <cellStyle name="40% - Accent2 2 3 4 3 2 3" xfId="32876" xr:uid="{FFEAFE14-524A-47CD-9D99-DEECC5283F9E}"/>
    <cellStyle name="40% - Accent2 2 3 4 3 3" xfId="42175" xr:uid="{FD465280-AAF1-4928-B101-EA7EFC702171}"/>
    <cellStyle name="40% - Accent2 2 3 4 3 4" xfId="23577" xr:uid="{8B6EC9A4-DDFD-4E24-A6C7-2888394BD1F1}"/>
    <cellStyle name="40% - Accent2 2 3 4 4" xfId="10913" xr:uid="{B692E269-B9AB-4CCD-8728-F6D9C9190649}"/>
    <cellStyle name="40% - Accent2 2 3 4 4 2" xfId="47255" xr:uid="{6A10D46A-2A00-42F8-A7D4-0BB11ACFD969}"/>
    <cellStyle name="40% - Accent2 2 3 4 4 3" xfId="28659" xr:uid="{C5CDB60C-B1A7-48AF-B269-734D8FE8EC7F}"/>
    <cellStyle name="40% - Accent2 2 3 4 5" xfId="37958" xr:uid="{CEBF2992-07F2-48CA-A942-CA098471147D}"/>
    <cellStyle name="40% - Accent2 2 3 4 6" xfId="19360" xr:uid="{B6929DB1-2439-498F-9E71-0051F8991087}"/>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17688" xr:uid="{29683633-A1F6-4655-B987-8CE44D727C8B}"/>
    <cellStyle name="40% - Accent2 2 3 5 2 2 2 2" xfId="54030" xr:uid="{61B50983-9193-4E20-815C-C8E62C5629D6}"/>
    <cellStyle name="40% - Accent2 2 3 5 2 2 2 3" xfId="35434" xr:uid="{B5706060-3DF0-48C0-9913-D843EF668DE7}"/>
    <cellStyle name="40% - Accent2 2 3 5 2 2 3" xfId="44733" xr:uid="{20B92B00-A90E-4232-984C-EED748BCC6BE}"/>
    <cellStyle name="40% - Accent2 2 3 5 2 2 4" xfId="26135" xr:uid="{D19E0DF2-D04C-462D-92AE-A4367273D04A}"/>
    <cellStyle name="40% - Accent2 2 3 5 2 3" xfId="13471" xr:uid="{011F75BC-2D0E-4B82-B7FC-B3A829E970CC}"/>
    <cellStyle name="40% - Accent2 2 3 5 2 3 2" xfId="49813" xr:uid="{CBC3E3A2-1CDA-42F1-8F91-85C52328F747}"/>
    <cellStyle name="40% - Accent2 2 3 5 2 3 3" xfId="31217" xr:uid="{F4402823-C5FA-44DB-B97C-D3EDC86A7650}"/>
    <cellStyle name="40% - Accent2 2 3 5 2 4" xfId="40516" xr:uid="{68486D2D-43C9-48D6-9CB3-F0F9E65D699E}"/>
    <cellStyle name="40% - Accent2 2 3 5 2 5" xfId="21918" xr:uid="{877F39C6-DD6D-4E6E-9B5F-81087143475D}"/>
    <cellStyle name="40% - Accent2 2 3 5 3" xfId="6217" xr:uid="{00000000-0005-0000-0000-00009B040000}"/>
    <cellStyle name="40% - Accent2 2 3 5 3 2" xfId="15543" xr:uid="{3D2C4358-9784-425B-9502-B02461398DCC}"/>
    <cellStyle name="40% - Accent2 2 3 5 3 2 2" xfId="51885" xr:uid="{3E511C97-1B11-4A87-B04D-40F3A7735960}"/>
    <cellStyle name="40% - Accent2 2 3 5 3 2 3" xfId="33289" xr:uid="{C23F6FC9-735C-4A78-8EF8-FBBFB527B8B8}"/>
    <cellStyle name="40% - Accent2 2 3 5 3 3" xfId="42588" xr:uid="{0B52033E-E0B1-4ACB-AE99-3E4D0280E4AD}"/>
    <cellStyle name="40% - Accent2 2 3 5 3 4" xfId="23990" xr:uid="{85543E25-C59B-452F-BF72-3859B4F200B7}"/>
    <cellStyle name="40% - Accent2 2 3 5 4" xfId="11326" xr:uid="{CBB7ED07-9955-471C-B024-04499DB30929}"/>
    <cellStyle name="40% - Accent2 2 3 5 4 2" xfId="47668" xr:uid="{50F394EE-BC8F-4430-A2CA-4E4D87030020}"/>
    <cellStyle name="40% - Accent2 2 3 5 4 3" xfId="29072" xr:uid="{1075FB98-603E-4647-BB91-E7CF0017BF9B}"/>
    <cellStyle name="40% - Accent2 2 3 5 5" xfId="38371" xr:uid="{21E6168E-79A6-4392-8BEA-5B2E5EC5FCA4}"/>
    <cellStyle name="40% - Accent2 2 3 5 6" xfId="19773" xr:uid="{E0E3A713-36BB-46E8-984C-D744AA0A5237}"/>
    <cellStyle name="40% - Accent2 2 3 6" xfId="2324" xr:uid="{00000000-0005-0000-0000-00009C040000}"/>
    <cellStyle name="40% - Accent2 2 3 6 2" xfId="6630" xr:uid="{00000000-0005-0000-0000-00009D040000}"/>
    <cellStyle name="40% - Accent2 2 3 6 2 2" xfId="15956" xr:uid="{D643DDDC-0BF5-4ABF-986F-75C802344330}"/>
    <cellStyle name="40% - Accent2 2 3 6 2 2 2" xfId="52298" xr:uid="{DAAD4964-7C53-4126-9288-FCB0C54EED21}"/>
    <cellStyle name="40% - Accent2 2 3 6 2 2 3" xfId="33702" xr:uid="{37637B3B-C992-4D4B-905B-601301BE5508}"/>
    <cellStyle name="40% - Accent2 2 3 6 2 3" xfId="43001" xr:uid="{5F1C047C-DF6A-4AF5-A0EE-A9B96CE97254}"/>
    <cellStyle name="40% - Accent2 2 3 6 2 4" xfId="24403" xr:uid="{5995E4B7-8477-4733-B201-75C267E18F96}"/>
    <cellStyle name="40% - Accent2 2 3 6 3" xfId="11739" xr:uid="{479A28A2-1177-473C-9B7B-6C365AAB256D}"/>
    <cellStyle name="40% - Accent2 2 3 6 3 2" xfId="48081" xr:uid="{4AE9DBFC-2378-4F78-8B9E-B9A6CC3F8CAD}"/>
    <cellStyle name="40% - Accent2 2 3 6 3 3" xfId="29485" xr:uid="{F85CFBBD-F9AD-4522-AD59-74A8B69C5612}"/>
    <cellStyle name="40% - Accent2 2 3 6 4" xfId="38784" xr:uid="{6B0D666A-ED33-40FC-AEE7-BEAEFB1772AF}"/>
    <cellStyle name="40% - Accent2 2 3 6 5" xfId="20186" xr:uid="{5224CAEF-7765-47D4-B61D-8E7DF5842983}"/>
    <cellStyle name="40% - Accent2 2 3 7" xfId="4564" xr:uid="{00000000-0005-0000-0000-00009E040000}"/>
    <cellStyle name="40% - Accent2 2 3 7 2" xfId="13890" xr:uid="{D3C365F3-AB7C-4860-A189-E6AD6553646A}"/>
    <cellStyle name="40% - Accent2 2 3 7 2 2" xfId="50232" xr:uid="{13A99F73-1905-4959-B7C0-B5DF0575D724}"/>
    <cellStyle name="40% - Accent2 2 3 7 2 3" xfId="31636" xr:uid="{BB7B90E1-765C-4CC3-9EB0-BD8D65A33A41}"/>
    <cellStyle name="40% - Accent2 2 3 7 3" xfId="40935" xr:uid="{690F6CE4-1B7B-48C8-9ED8-E7235AE8EAFA}"/>
    <cellStyle name="40% - Accent2 2 3 7 4" xfId="22337" xr:uid="{F1036BEB-4E2C-4751-8082-4FDEC1AE41CC}"/>
    <cellStyle name="40% - Accent2 2 3 8" xfId="9006" xr:uid="{E6E89EA5-B76F-4FCC-89B9-DD4135B6364B}"/>
    <cellStyle name="40% - Accent2 2 3 8 2" xfId="36076" xr:uid="{A0CF0C8F-4930-467C-AF24-F61CDA9075A7}"/>
    <cellStyle name="40% - Accent2 2 3 8 2 2" xfId="54671" xr:uid="{3C01C832-2FFE-464C-84BD-C0A8E4DD80DA}"/>
    <cellStyle name="40% - Accent2 2 3 8 3" xfId="45374" xr:uid="{A423DE63-50B1-4789-A408-46084B2C449B}"/>
    <cellStyle name="40% - Accent2 2 3 8 4" xfId="26777" xr:uid="{36A5BB67-0218-488B-BE4C-A25221FDEEFF}"/>
    <cellStyle name="40% - Accent2 2 3 9" xfId="9673" xr:uid="{2CE9916D-E3DE-484E-B9A6-88B308A3C9F9}"/>
    <cellStyle name="40% - Accent2 2 3 9 2" xfId="46015" xr:uid="{956B5920-9E37-4E97-B64B-8F5A0CDB2668}"/>
    <cellStyle name="40% - Accent2 2 3 9 3" xfId="27419" xr:uid="{A88029D7-F37B-4935-A873-39011E4E7671}"/>
    <cellStyle name="40% - Accent2 2 4" xfId="627" xr:uid="{00000000-0005-0000-0000-00009F040000}"/>
    <cellStyle name="40% - Accent2 2 4 2" xfId="2898" xr:uid="{00000000-0005-0000-0000-0000A0040000}"/>
    <cellStyle name="40% - Accent2 2 4 2 2" xfId="7120" xr:uid="{00000000-0005-0000-0000-0000A1040000}"/>
    <cellStyle name="40% - Accent2 2 4 2 2 2" xfId="16446" xr:uid="{63B63EEC-7033-4349-B21E-A3CDE5A2F401}"/>
    <cellStyle name="40% - Accent2 2 4 2 2 2 2" xfId="52788" xr:uid="{5F273F17-8D00-4FF5-B4DF-EE4BE4FB214C}"/>
    <cellStyle name="40% - Accent2 2 4 2 2 2 3" xfId="34192" xr:uid="{EF500577-77AF-4928-8352-91BFC810ADC5}"/>
    <cellStyle name="40% - Accent2 2 4 2 2 3" xfId="43491" xr:uid="{399F671E-6074-4C55-8FA6-187A1B2F1AAC}"/>
    <cellStyle name="40% - Accent2 2 4 2 2 4" xfId="24893" xr:uid="{6344D8C2-49DF-4819-A423-3868C99B6FE6}"/>
    <cellStyle name="40% - Accent2 2 4 2 3" xfId="12229" xr:uid="{E6AA0D47-2AF9-4388-99D6-0F257D58D5ED}"/>
    <cellStyle name="40% - Accent2 2 4 2 3 2" xfId="48571" xr:uid="{84D423E4-6C35-4752-8262-D5A9E92A53A7}"/>
    <cellStyle name="40% - Accent2 2 4 2 3 3" xfId="29975" xr:uid="{D67C3E56-31E5-45B2-BBED-ED83157A3699}"/>
    <cellStyle name="40% - Accent2 2 4 2 4" xfId="39274" xr:uid="{3F3870D1-70C7-4D9A-863E-1AB8DA21899E}"/>
    <cellStyle name="40% - Accent2 2 4 2 5" xfId="20676" xr:uid="{EA82048A-0CA5-4E36-A4C2-4AF21BBF2CB2}"/>
    <cellStyle name="40% - Accent2 2 4 3" xfId="4975" xr:uid="{00000000-0005-0000-0000-0000A2040000}"/>
    <cellStyle name="40% - Accent2 2 4 3 2" xfId="14301" xr:uid="{8007841D-71DC-432B-821F-0F8FB5AC24D9}"/>
    <cellStyle name="40% - Accent2 2 4 3 2 2" xfId="50643" xr:uid="{3E13F983-B1CC-452A-A28A-5B5E5BED7754}"/>
    <cellStyle name="40% - Accent2 2 4 3 2 3" xfId="32047" xr:uid="{EC8BB7C9-175A-420E-ADB3-54ECAD5CBE27}"/>
    <cellStyle name="40% - Accent2 2 4 3 3" xfId="41346" xr:uid="{31A6BAF6-0242-499C-AEF5-8CC398BFF1EC}"/>
    <cellStyle name="40% - Accent2 2 4 3 4" xfId="22748" xr:uid="{9F5E9295-0212-47C0-B2B2-D8B04DDFEBA3}"/>
    <cellStyle name="40% - Accent2 2 4 4" xfId="9223" xr:uid="{FA9890B4-781A-4E4C-81EE-BC7448559828}"/>
    <cellStyle name="40% - Accent2 2 4 4 2" xfId="36285" xr:uid="{476E3A4F-C2B9-49B9-904F-AE8D81566C3B}"/>
    <cellStyle name="40% - Accent2 2 4 4 2 2" xfId="54879" xr:uid="{18AF7197-3803-4049-8EBB-8A6CBDEEC2BB}"/>
    <cellStyle name="40% - Accent2 2 4 4 3" xfId="45582" xr:uid="{5474EE31-F995-49E7-87E8-BBAC7866ED47}"/>
    <cellStyle name="40% - Accent2 2 4 4 4" xfId="26986" xr:uid="{65267D58-08AF-44DB-808C-DD8234D10B69}"/>
    <cellStyle name="40% - Accent2 2 4 5" xfId="10084" xr:uid="{33B21A4F-03B1-4DE9-ABEB-F75081260588}"/>
    <cellStyle name="40% - Accent2 2 4 5 2" xfId="46426" xr:uid="{FDD0D3B5-0446-4A96-8C53-1518EA3F3E5E}"/>
    <cellStyle name="40% - Accent2 2 4 5 3" xfId="27830" xr:uid="{81BB2731-FA68-43BE-8E3C-29D967797EC2}"/>
    <cellStyle name="40% - Accent2 2 4 6" xfId="37129" xr:uid="{AE3FF930-C019-424F-8513-A38F42FFDD5D}"/>
    <cellStyle name="40% - Accent2 2 4 7" xfId="18531" xr:uid="{F00F0930-A67F-4540-8F29-A9821C7BA9BB}"/>
    <cellStyle name="40% - Accent2 2 5" xfId="1080" xr:uid="{00000000-0005-0000-0000-0000A3040000}"/>
    <cellStyle name="40% - Accent2 2 5 2" xfId="3311" xr:uid="{00000000-0005-0000-0000-0000A4040000}"/>
    <cellStyle name="40% - Accent2 2 5 2 2" xfId="7533" xr:uid="{00000000-0005-0000-0000-0000A5040000}"/>
    <cellStyle name="40% - Accent2 2 5 2 2 2" xfId="16859" xr:uid="{3C4B8637-574E-465C-B651-E80F8CA184B5}"/>
    <cellStyle name="40% - Accent2 2 5 2 2 2 2" xfId="53201" xr:uid="{357E2354-6E0A-4446-A2A0-A25FB28942CF}"/>
    <cellStyle name="40% - Accent2 2 5 2 2 2 3" xfId="34605" xr:uid="{1FC60A8E-FF4A-4393-BF71-3A1891CF42F8}"/>
    <cellStyle name="40% - Accent2 2 5 2 2 3" xfId="43904" xr:uid="{3EF58D2B-A68C-41A3-8DA5-D12A20D34188}"/>
    <cellStyle name="40% - Accent2 2 5 2 2 4" xfId="25306" xr:uid="{0D26F0B1-9DB9-40AE-AC2F-1665B545BC3C}"/>
    <cellStyle name="40% - Accent2 2 5 2 3" xfId="12642" xr:uid="{0111FF16-D26A-42F8-BB12-55C534BD62DC}"/>
    <cellStyle name="40% - Accent2 2 5 2 3 2" xfId="48984" xr:uid="{8F508081-0FAE-43CC-AD3F-0999973C935F}"/>
    <cellStyle name="40% - Accent2 2 5 2 3 3" xfId="30388" xr:uid="{8FCA5DE5-714F-4AC2-8F92-EB3AA641CBCA}"/>
    <cellStyle name="40% - Accent2 2 5 2 4" xfId="39687" xr:uid="{6DF07020-F741-4005-92D0-DB8E87E5132A}"/>
    <cellStyle name="40% - Accent2 2 5 2 5" xfId="21089" xr:uid="{B1EBDB00-0DE2-417B-94B5-5F604CD8E6D4}"/>
    <cellStyle name="40% - Accent2 2 5 3" xfId="5388" xr:uid="{00000000-0005-0000-0000-0000A6040000}"/>
    <cellStyle name="40% - Accent2 2 5 3 2" xfId="14714" xr:uid="{D2698D43-FE13-4798-AAED-AD1CEB8936E9}"/>
    <cellStyle name="40% - Accent2 2 5 3 2 2" xfId="51056" xr:uid="{18615C00-A8CC-46F8-9C35-AC259E70D368}"/>
    <cellStyle name="40% - Accent2 2 5 3 2 3" xfId="32460" xr:uid="{FD5C6A27-ED71-46DF-9A4D-EB99880BAD82}"/>
    <cellStyle name="40% - Accent2 2 5 3 3" xfId="41759" xr:uid="{583AC83D-8061-413C-BBCB-62F019EFD19B}"/>
    <cellStyle name="40% - Accent2 2 5 3 4" xfId="23161" xr:uid="{BFEE2490-D0C3-4ADD-9812-8B7CC4FB8FE9}"/>
    <cellStyle name="40% - Accent2 2 5 4" xfId="10497" xr:uid="{8ABFB63C-DBB5-4D90-94FE-9401E2D02579}"/>
    <cellStyle name="40% - Accent2 2 5 4 2" xfId="46839" xr:uid="{4ED37851-3C83-41A7-96F9-3664053EA0A2}"/>
    <cellStyle name="40% - Accent2 2 5 4 3" xfId="28243" xr:uid="{02D5A5ED-84FA-432D-8D73-47CDB1F1D78E}"/>
    <cellStyle name="40% - Accent2 2 5 5" xfId="37542" xr:uid="{3187EB18-75D3-4939-BD66-206072683D9E}"/>
    <cellStyle name="40% - Accent2 2 5 6" xfId="18944" xr:uid="{EA962F3D-9FAF-45A1-AC2E-46836C44BA14}"/>
    <cellStyle name="40% - Accent2 2 6" xfId="1494" xr:uid="{00000000-0005-0000-0000-0000A7040000}"/>
    <cellStyle name="40% - Accent2 2 6 2" xfId="3724" xr:uid="{00000000-0005-0000-0000-0000A8040000}"/>
    <cellStyle name="40% - Accent2 2 6 2 2" xfId="7946" xr:uid="{00000000-0005-0000-0000-0000A9040000}"/>
    <cellStyle name="40% - Accent2 2 6 2 2 2" xfId="17272" xr:uid="{14AC4F70-4372-4BDC-8B6D-CA95E35D40B9}"/>
    <cellStyle name="40% - Accent2 2 6 2 2 2 2" xfId="53614" xr:uid="{C6EE8DB0-9F30-4041-8FF4-10835D6B8FB1}"/>
    <cellStyle name="40% - Accent2 2 6 2 2 2 3" xfId="35018" xr:uid="{FC78A2B5-E1EC-44A1-93C5-DA771309D43F}"/>
    <cellStyle name="40% - Accent2 2 6 2 2 3" xfId="44317" xr:uid="{8D0FBE52-AE49-4D95-88BF-1A12D00C36D0}"/>
    <cellStyle name="40% - Accent2 2 6 2 2 4" xfId="25719" xr:uid="{A7159E76-DAF0-4C13-938D-F3EAECF239A5}"/>
    <cellStyle name="40% - Accent2 2 6 2 3" xfId="13055" xr:uid="{B4201FC2-60AC-4BE9-9760-504571E7BC45}"/>
    <cellStyle name="40% - Accent2 2 6 2 3 2" xfId="49397" xr:uid="{CFFB4E3B-238E-42A2-B596-A90D349AF599}"/>
    <cellStyle name="40% - Accent2 2 6 2 3 3" xfId="30801" xr:uid="{D60EEC2E-6952-4DDB-A573-68EDD7299666}"/>
    <cellStyle name="40% - Accent2 2 6 2 4" xfId="40100" xr:uid="{319C117D-6CBC-4594-8D65-6AC951F055DA}"/>
    <cellStyle name="40% - Accent2 2 6 2 5" xfId="21502" xr:uid="{3F0A3298-EF6F-4078-BFE6-7A9300883FD9}"/>
    <cellStyle name="40% - Accent2 2 6 3" xfId="5801" xr:uid="{00000000-0005-0000-0000-0000AA040000}"/>
    <cellStyle name="40% - Accent2 2 6 3 2" xfId="15127" xr:uid="{469258C5-10C8-4ECA-904C-0AF3E94FF07D}"/>
    <cellStyle name="40% - Accent2 2 6 3 2 2" xfId="51469" xr:uid="{FCA99F7F-7D3F-416C-8CC8-AEFAB04645AA}"/>
    <cellStyle name="40% - Accent2 2 6 3 2 3" xfId="32873" xr:uid="{2393741C-E70B-4906-8A78-8952D94FA352}"/>
    <cellStyle name="40% - Accent2 2 6 3 3" xfId="42172" xr:uid="{6E9F9797-BCAA-4749-A4A2-B37104E2AB9C}"/>
    <cellStyle name="40% - Accent2 2 6 3 4" xfId="23574" xr:uid="{FD0EE84C-1851-4BE6-A92A-25C6A00A292D}"/>
    <cellStyle name="40% - Accent2 2 6 4" xfId="10910" xr:uid="{45D83F67-E673-4022-85B8-86E2A46D272E}"/>
    <cellStyle name="40% - Accent2 2 6 4 2" xfId="47252" xr:uid="{6C0BC827-DA04-4F77-B308-600B7D88A6F9}"/>
    <cellStyle name="40% - Accent2 2 6 4 3" xfId="28656" xr:uid="{B3DBC13D-E2CB-42CF-9B88-437EC0F90492}"/>
    <cellStyle name="40% - Accent2 2 6 5" xfId="37955" xr:uid="{071AF277-9691-4EDB-8427-B2558DE58611}"/>
    <cellStyle name="40% - Accent2 2 6 6" xfId="19357" xr:uid="{279589D8-D494-4DB3-97FD-E2286B1E060F}"/>
    <cellStyle name="40% - Accent2 2 7" xfId="1908" xr:uid="{00000000-0005-0000-0000-0000AB040000}"/>
    <cellStyle name="40% - Accent2 2 7 2" xfId="4137" xr:uid="{00000000-0005-0000-0000-0000AC040000}"/>
    <cellStyle name="40% - Accent2 2 7 2 2" xfId="8359" xr:uid="{00000000-0005-0000-0000-0000AD040000}"/>
    <cellStyle name="40% - Accent2 2 7 2 2 2" xfId="17685" xr:uid="{19306261-E8C9-4A61-B3B0-85EA7A75F839}"/>
    <cellStyle name="40% - Accent2 2 7 2 2 2 2" xfId="54027" xr:uid="{B3417C08-F4A1-46EA-8C65-A910A5FED860}"/>
    <cellStyle name="40% - Accent2 2 7 2 2 2 3" xfId="35431" xr:uid="{9CCAA814-CB69-42F2-833A-8EF571ED5A86}"/>
    <cellStyle name="40% - Accent2 2 7 2 2 3" xfId="44730" xr:uid="{77ABC140-752E-4C0E-A468-619962FBA68B}"/>
    <cellStyle name="40% - Accent2 2 7 2 2 4" xfId="26132" xr:uid="{E263E21D-B9A3-4577-B462-4DBA3E8AD784}"/>
    <cellStyle name="40% - Accent2 2 7 2 3" xfId="13468" xr:uid="{E3DBAB38-F8E4-4AD2-AB50-256649055496}"/>
    <cellStyle name="40% - Accent2 2 7 2 3 2" xfId="49810" xr:uid="{FAB68FB2-647E-4094-8585-9FC216CE55DD}"/>
    <cellStyle name="40% - Accent2 2 7 2 3 3" xfId="31214" xr:uid="{F122ABA8-70B2-4F8E-9FE6-1DB44DED14EA}"/>
    <cellStyle name="40% - Accent2 2 7 2 4" xfId="40513" xr:uid="{250D71A0-9977-4813-84CD-7E1A7EA935CC}"/>
    <cellStyle name="40% - Accent2 2 7 2 5" xfId="21915" xr:uid="{67039B77-C8B9-4D82-BEBF-EFF6EB518C1A}"/>
    <cellStyle name="40% - Accent2 2 7 3" xfId="6214" xr:uid="{00000000-0005-0000-0000-0000AE040000}"/>
    <cellStyle name="40% - Accent2 2 7 3 2" xfId="15540" xr:uid="{25E64190-6BED-4B25-A39E-4E092BC33038}"/>
    <cellStyle name="40% - Accent2 2 7 3 2 2" xfId="51882" xr:uid="{7F4AF3A2-D077-47B2-924B-DCDA2CB1C780}"/>
    <cellStyle name="40% - Accent2 2 7 3 2 3" xfId="33286" xr:uid="{FFBED4F7-AAC7-4E64-9556-E0D7AD37DB1F}"/>
    <cellStyle name="40% - Accent2 2 7 3 3" xfId="42585" xr:uid="{EFA24182-FDD7-4967-9865-08B227540177}"/>
    <cellStyle name="40% - Accent2 2 7 3 4" xfId="23987" xr:uid="{0045913A-B408-44AB-AB65-38563E658F46}"/>
    <cellStyle name="40% - Accent2 2 7 4" xfId="11323" xr:uid="{2D18209F-E994-4765-8D6B-97834572AAC5}"/>
    <cellStyle name="40% - Accent2 2 7 4 2" xfId="47665" xr:uid="{B22BE8E2-E5D5-405B-AB6E-576F3B33AD08}"/>
    <cellStyle name="40% - Accent2 2 7 4 3" xfId="29069" xr:uid="{708FE21B-F47D-48C0-9E8A-770370CA1C69}"/>
    <cellStyle name="40% - Accent2 2 7 5" xfId="38368" xr:uid="{C94DD64E-29BA-4DD6-9C31-C8D2475B9C04}"/>
    <cellStyle name="40% - Accent2 2 7 6" xfId="19770" xr:uid="{0B0E9002-CEDA-471D-B85F-D9564233F695}"/>
    <cellStyle name="40% - Accent2 2 8" xfId="2321" xr:uid="{00000000-0005-0000-0000-0000AF040000}"/>
    <cellStyle name="40% - Accent2 2 8 2" xfId="6627" xr:uid="{00000000-0005-0000-0000-0000B0040000}"/>
    <cellStyle name="40% - Accent2 2 8 2 2" xfId="15953" xr:uid="{B0112BD5-8BD4-4211-8835-7ACD53D8758D}"/>
    <cellStyle name="40% - Accent2 2 8 2 2 2" xfId="52295" xr:uid="{631AB3D2-2F6D-4600-BDEB-C435DAB0BDB0}"/>
    <cellStyle name="40% - Accent2 2 8 2 2 3" xfId="33699" xr:uid="{62421089-3500-4B72-BC4B-27FB147E0CBF}"/>
    <cellStyle name="40% - Accent2 2 8 2 3" xfId="42998" xr:uid="{87D47243-BB2D-43A0-9FD5-BB063615A94C}"/>
    <cellStyle name="40% - Accent2 2 8 2 4" xfId="24400" xr:uid="{F9B40013-788E-429E-AB50-C1DD7608B537}"/>
    <cellStyle name="40% - Accent2 2 8 3" xfId="11736" xr:uid="{A73DF698-86F4-4974-BCAE-36B12DF410F6}"/>
    <cellStyle name="40% - Accent2 2 8 3 2" xfId="48078" xr:uid="{22208EC8-296A-4EC7-86A4-5586DE62B24B}"/>
    <cellStyle name="40% - Accent2 2 8 3 3" xfId="29482" xr:uid="{D7280E19-E702-454D-B891-E868BD84B8FE}"/>
    <cellStyle name="40% - Accent2 2 8 4" xfId="38781" xr:uid="{29A6B325-56B8-4285-91C7-E42E317DB894}"/>
    <cellStyle name="40% - Accent2 2 8 5" xfId="20183" xr:uid="{993EA495-C2DF-4964-94D9-3C23BBE4628A}"/>
    <cellStyle name="40% - Accent2 2 9" xfId="4561" xr:uid="{00000000-0005-0000-0000-0000B1040000}"/>
    <cellStyle name="40% - Accent2 2 9 2" xfId="13887" xr:uid="{45703996-EC33-41C7-BCCE-44CDD7E0251C}"/>
    <cellStyle name="40% - Accent2 2 9 2 2" xfId="50229" xr:uid="{1D280CBF-8F00-448C-9E75-C79B7558165C}"/>
    <cellStyle name="40% - Accent2 2 9 2 3" xfId="31633" xr:uid="{870BDC47-617A-4125-9B61-EAFDA5D6EDBD}"/>
    <cellStyle name="40% - Accent2 2 9 3" xfId="40932" xr:uid="{A448B40B-8BD7-44E9-B025-B8A7C7C2BF51}"/>
    <cellStyle name="40% - Accent2 2 9 4" xfId="22334" xr:uid="{F1322252-2D83-4DE2-9EE2-822F1B181A60}"/>
    <cellStyle name="40% - Accent2 3" xfId="62" xr:uid="{00000000-0005-0000-0000-0000B2040000}"/>
    <cellStyle name="40% - Accent2 3 10" xfId="9674" xr:uid="{F99E631F-EB28-482F-97EA-1DCA7571B4AD}"/>
    <cellStyle name="40% - Accent2 3 10 2" xfId="46016" xr:uid="{21CC3CE4-F116-41FA-A60F-818248E2834B}"/>
    <cellStyle name="40% - Accent2 3 10 3" xfId="27420" xr:uid="{093FF234-B67F-4AFA-AA12-0D90444BBEF5}"/>
    <cellStyle name="40% - Accent2 3 11" xfId="36719" xr:uid="{0C8F1A99-4D48-49C3-9292-255A58C8A719}"/>
    <cellStyle name="40% - Accent2 3 12" xfId="18121" xr:uid="{C13491B2-E36F-4D87-983A-758464077974}"/>
    <cellStyle name="40% - Accent2 3 2" xfId="63" xr:uid="{00000000-0005-0000-0000-0000B3040000}"/>
    <cellStyle name="40% - Accent2 3 2 10" xfId="36720" xr:uid="{8E581C25-E0A7-4DF5-9866-1EE33AA64635}"/>
    <cellStyle name="40% - Accent2 3 2 11" xfId="18122" xr:uid="{A2A09823-708A-40C5-92B3-B334CAD9BDAC}"/>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16451" xr:uid="{A5B59A5D-E7BA-4825-AF30-06BABB2FBB24}"/>
    <cellStyle name="40% - Accent2 3 2 2 2 2 2 2" xfId="52793" xr:uid="{867CECA8-4EC3-4138-9714-AD49A88EA378}"/>
    <cellStyle name="40% - Accent2 3 2 2 2 2 2 3" xfId="34197" xr:uid="{1CF9F132-49AC-43F3-BB09-A6AE111724CF}"/>
    <cellStyle name="40% - Accent2 3 2 2 2 2 3" xfId="43496" xr:uid="{8494DCF2-A09A-46FB-A30B-7389985C0AE0}"/>
    <cellStyle name="40% - Accent2 3 2 2 2 2 4" xfId="24898" xr:uid="{61453F50-3893-4ACB-91C0-3401B61A2EC5}"/>
    <cellStyle name="40% - Accent2 3 2 2 2 3" xfId="12234" xr:uid="{70060311-EE4D-469C-85E3-199148BF88B3}"/>
    <cellStyle name="40% - Accent2 3 2 2 2 3 2" xfId="48576" xr:uid="{958FF50F-EA5F-417F-9462-276D90F2CDAF}"/>
    <cellStyle name="40% - Accent2 3 2 2 2 3 3" xfId="29980" xr:uid="{02CA99AE-36B8-4742-8EC2-3AC37E2AFD27}"/>
    <cellStyle name="40% - Accent2 3 2 2 2 4" xfId="39279" xr:uid="{3B54A72C-BBCF-42F2-B2EA-8629E8A54000}"/>
    <cellStyle name="40% - Accent2 3 2 2 2 5" xfId="20681" xr:uid="{76962C80-8FF1-4F79-9926-A8F8065282AD}"/>
    <cellStyle name="40% - Accent2 3 2 2 3" xfId="4980" xr:uid="{00000000-0005-0000-0000-0000B7040000}"/>
    <cellStyle name="40% - Accent2 3 2 2 3 2" xfId="14306" xr:uid="{11AFFD5E-C1D4-48F3-BE0A-1BA12F3D7132}"/>
    <cellStyle name="40% - Accent2 3 2 2 3 2 2" xfId="50648" xr:uid="{B42E55A6-E7FB-4C12-A089-B836BC51CBDB}"/>
    <cellStyle name="40% - Accent2 3 2 2 3 2 3" xfId="32052" xr:uid="{4B9DD3F0-AEBC-4BD9-8D65-B07FB679F308}"/>
    <cellStyle name="40% - Accent2 3 2 2 3 3" xfId="41351" xr:uid="{EB1334A2-949C-44B7-9C95-8F41A99A2F41}"/>
    <cellStyle name="40% - Accent2 3 2 2 3 4" xfId="22753" xr:uid="{357B47AC-AD56-4D7B-B665-41E530A91A9F}"/>
    <cellStyle name="40% - Accent2 3 2 2 4" xfId="9496" xr:uid="{700FA1AF-D943-4FDB-BFB1-F903AD1F731A}"/>
    <cellStyle name="40% - Accent2 3 2 2 4 2" xfId="36557" xr:uid="{B833A116-CE2B-467C-9EB3-578C5943658E}"/>
    <cellStyle name="40% - Accent2 3 2 2 4 2 2" xfId="55151" xr:uid="{55EF17E2-7586-4BB5-89FE-7F9C001019B0}"/>
    <cellStyle name="40% - Accent2 3 2 2 4 3" xfId="45854" xr:uid="{06382FFD-80AD-47E1-A787-4548EEA16CF3}"/>
    <cellStyle name="40% - Accent2 3 2 2 4 4" xfId="27258" xr:uid="{74D6868E-2D29-451C-8372-8DD718655084}"/>
    <cellStyle name="40% - Accent2 3 2 2 5" xfId="10089" xr:uid="{6EBD9D6E-B62B-4F75-B862-E75AD9321C6B}"/>
    <cellStyle name="40% - Accent2 3 2 2 5 2" xfId="46431" xr:uid="{5F78A446-F17B-425E-ADEC-529440D00896}"/>
    <cellStyle name="40% - Accent2 3 2 2 5 3" xfId="27835" xr:uid="{7508AE10-94E7-4480-9A35-15BD4C7F51DC}"/>
    <cellStyle name="40% - Accent2 3 2 2 6" xfId="37134" xr:uid="{A3C34D9F-2560-4CFA-930F-D06C8B5A98F4}"/>
    <cellStyle name="40% - Accent2 3 2 2 7" xfId="18536" xr:uid="{0DC16073-EDA9-4AE0-95D2-6FB66BFAF7BD}"/>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16864" xr:uid="{2AC58711-546D-4339-832A-261284B91E87}"/>
    <cellStyle name="40% - Accent2 3 2 3 2 2 2 2" xfId="53206" xr:uid="{A6FEF1DC-967C-4BE4-B198-2FCF20210389}"/>
    <cellStyle name="40% - Accent2 3 2 3 2 2 2 3" xfId="34610" xr:uid="{0AF6B336-5A8A-40B2-95B3-27B0D65C5231}"/>
    <cellStyle name="40% - Accent2 3 2 3 2 2 3" xfId="43909" xr:uid="{9A4CA7F7-A20D-4B9D-AC50-704663E7A411}"/>
    <cellStyle name="40% - Accent2 3 2 3 2 2 4" xfId="25311" xr:uid="{DB49C9B1-90D8-41A4-9DEB-BE7A69AA1965}"/>
    <cellStyle name="40% - Accent2 3 2 3 2 3" xfId="12647" xr:uid="{F7C5FD44-496D-48C6-A8EE-18AD04E7DD75}"/>
    <cellStyle name="40% - Accent2 3 2 3 2 3 2" xfId="48989" xr:uid="{BA15FC53-8A5C-4D43-AD2C-FFD08ACE5B25}"/>
    <cellStyle name="40% - Accent2 3 2 3 2 3 3" xfId="30393" xr:uid="{B29FE9F1-EEFF-4610-9212-FC9538289B34}"/>
    <cellStyle name="40% - Accent2 3 2 3 2 4" xfId="39692" xr:uid="{D7B5E181-9134-46A3-B3E7-123F704B8190}"/>
    <cellStyle name="40% - Accent2 3 2 3 2 5" xfId="21094" xr:uid="{839AD8DA-1984-4589-B11B-F98A4CD2BE05}"/>
    <cellStyle name="40% - Accent2 3 2 3 3" xfId="5393" xr:uid="{00000000-0005-0000-0000-0000BB040000}"/>
    <cellStyle name="40% - Accent2 3 2 3 3 2" xfId="14719" xr:uid="{C0BCD3D3-B787-4E17-AB55-C953ED462C82}"/>
    <cellStyle name="40% - Accent2 3 2 3 3 2 2" xfId="51061" xr:uid="{60681554-4157-4E50-8F77-427795FF00FE}"/>
    <cellStyle name="40% - Accent2 3 2 3 3 2 3" xfId="32465" xr:uid="{0C18A6B5-1139-41F2-A5CC-DA68A719E905}"/>
    <cellStyle name="40% - Accent2 3 2 3 3 3" xfId="41764" xr:uid="{28A1892B-61A5-493F-B4C8-9CF1D339394B}"/>
    <cellStyle name="40% - Accent2 3 2 3 3 4" xfId="23166" xr:uid="{CF01A507-5ACB-4FD5-A35E-9D1769476FC9}"/>
    <cellStyle name="40% - Accent2 3 2 3 4" xfId="10502" xr:uid="{83579C1E-4019-4FF9-861F-71994223E0D7}"/>
    <cellStyle name="40% - Accent2 3 2 3 4 2" xfId="46844" xr:uid="{531A4618-8465-4193-A1B4-AFA1BACCD5AC}"/>
    <cellStyle name="40% - Accent2 3 2 3 4 3" xfId="28248" xr:uid="{E3DBEB9B-E732-4152-8937-3E9ED2712A07}"/>
    <cellStyle name="40% - Accent2 3 2 3 5" xfId="37547" xr:uid="{F11207B0-DDC9-4012-87EF-F475F0B88FA9}"/>
    <cellStyle name="40% - Accent2 3 2 3 6" xfId="18949" xr:uid="{44F4E5AC-9A6F-4483-95CB-898D51621F09}"/>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17277" xr:uid="{009AB096-358E-45A6-8C24-483440C138E8}"/>
    <cellStyle name="40% - Accent2 3 2 4 2 2 2 2" xfId="53619" xr:uid="{70D709D3-DF72-4552-B93A-203001C9F02A}"/>
    <cellStyle name="40% - Accent2 3 2 4 2 2 2 3" xfId="35023" xr:uid="{DE46E631-5FD0-4031-B743-AE161FBE2AF4}"/>
    <cellStyle name="40% - Accent2 3 2 4 2 2 3" xfId="44322" xr:uid="{57DCF28E-26D0-47AA-9C43-42A15E0154AF}"/>
    <cellStyle name="40% - Accent2 3 2 4 2 2 4" xfId="25724" xr:uid="{870AEE06-25A4-4C2E-9BEA-ADDA2BEAB0D4}"/>
    <cellStyle name="40% - Accent2 3 2 4 2 3" xfId="13060" xr:uid="{E5EAF059-C031-4914-86C9-29915302AF88}"/>
    <cellStyle name="40% - Accent2 3 2 4 2 3 2" xfId="49402" xr:uid="{D7448B3C-CF5B-472C-A67B-FEECFC4227AD}"/>
    <cellStyle name="40% - Accent2 3 2 4 2 3 3" xfId="30806" xr:uid="{028D1F30-C819-422A-AE92-CC30C35D7769}"/>
    <cellStyle name="40% - Accent2 3 2 4 2 4" xfId="40105" xr:uid="{51122D73-52BA-428C-8DB4-BF045E9BEDDB}"/>
    <cellStyle name="40% - Accent2 3 2 4 2 5" xfId="21507" xr:uid="{8786C1F3-3D8C-4FF2-8BD5-37CA8603C3BD}"/>
    <cellStyle name="40% - Accent2 3 2 4 3" xfId="5806" xr:uid="{00000000-0005-0000-0000-0000BF040000}"/>
    <cellStyle name="40% - Accent2 3 2 4 3 2" xfId="15132" xr:uid="{95EBE034-1481-490F-AFB7-E8967A283B0D}"/>
    <cellStyle name="40% - Accent2 3 2 4 3 2 2" xfId="51474" xr:uid="{8988E01D-7587-44BB-B373-1B12DBEF0F1E}"/>
    <cellStyle name="40% - Accent2 3 2 4 3 2 3" xfId="32878" xr:uid="{996DEDC4-8E6F-4022-9738-C78A672F40F9}"/>
    <cellStyle name="40% - Accent2 3 2 4 3 3" xfId="42177" xr:uid="{BBA44CD4-8E94-4A63-AFDB-B3020449B562}"/>
    <cellStyle name="40% - Accent2 3 2 4 3 4" xfId="23579" xr:uid="{473C0042-D8D0-4D47-921C-36A7EF00F6BD}"/>
    <cellStyle name="40% - Accent2 3 2 4 4" xfId="10915" xr:uid="{417956B1-EF40-488A-82B6-B806BA89083C}"/>
    <cellStyle name="40% - Accent2 3 2 4 4 2" xfId="47257" xr:uid="{A85B68AE-1524-4444-A9CB-0128A0AAB621}"/>
    <cellStyle name="40% - Accent2 3 2 4 4 3" xfId="28661" xr:uid="{77931278-E4B0-4F06-A3D3-2318FB56728A}"/>
    <cellStyle name="40% - Accent2 3 2 4 5" xfId="37960" xr:uid="{C1832A77-187A-4D80-B244-9AF5CEE1C628}"/>
    <cellStyle name="40% - Accent2 3 2 4 6" xfId="19362" xr:uid="{3B1AC52D-01A0-4231-9A26-7D99104296C0}"/>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17690" xr:uid="{9BB4F75C-4BA0-475B-BBAD-6519FE9F8ECC}"/>
    <cellStyle name="40% - Accent2 3 2 5 2 2 2 2" xfId="54032" xr:uid="{EF2B574E-573E-4B48-8F2A-C4FED1247BC8}"/>
    <cellStyle name="40% - Accent2 3 2 5 2 2 2 3" xfId="35436" xr:uid="{DA08A5F4-37FE-4BD9-AFCF-E316451C3489}"/>
    <cellStyle name="40% - Accent2 3 2 5 2 2 3" xfId="44735" xr:uid="{A84FAEB0-80FC-416B-9CA3-4F17CFB05F2F}"/>
    <cellStyle name="40% - Accent2 3 2 5 2 2 4" xfId="26137" xr:uid="{66283F4D-BB6C-4724-A0E7-E727E598610E}"/>
    <cellStyle name="40% - Accent2 3 2 5 2 3" xfId="13473" xr:uid="{1D86D3D8-6244-4F9D-99A3-87CBD2B6263F}"/>
    <cellStyle name="40% - Accent2 3 2 5 2 3 2" xfId="49815" xr:uid="{0F5AC5DC-D884-41B8-A031-765C6D51289C}"/>
    <cellStyle name="40% - Accent2 3 2 5 2 3 3" xfId="31219" xr:uid="{B5C1884D-FFE5-4487-BB91-7273B8AF75ED}"/>
    <cellStyle name="40% - Accent2 3 2 5 2 4" xfId="40518" xr:uid="{9611799C-C9D0-44B1-B126-53D8F60CE2C3}"/>
    <cellStyle name="40% - Accent2 3 2 5 2 5" xfId="21920" xr:uid="{319DF36B-CD17-4E69-BED8-A0029F336601}"/>
    <cellStyle name="40% - Accent2 3 2 5 3" xfId="6219" xr:uid="{00000000-0005-0000-0000-0000C3040000}"/>
    <cellStyle name="40% - Accent2 3 2 5 3 2" xfId="15545" xr:uid="{2C20E553-3A4D-4034-858A-1CB5E3102AEE}"/>
    <cellStyle name="40% - Accent2 3 2 5 3 2 2" xfId="51887" xr:uid="{19AD78A0-C7BA-4FDB-A3EF-575CAFB3A27A}"/>
    <cellStyle name="40% - Accent2 3 2 5 3 2 3" xfId="33291" xr:uid="{1C96FD69-F82A-4DF4-894A-06CA624012C3}"/>
    <cellStyle name="40% - Accent2 3 2 5 3 3" xfId="42590" xr:uid="{3D386DD3-A22A-4651-9325-90ECFB38AC5C}"/>
    <cellStyle name="40% - Accent2 3 2 5 3 4" xfId="23992" xr:uid="{CB5C78DE-FB2B-4826-A356-7E9208F91E55}"/>
    <cellStyle name="40% - Accent2 3 2 5 4" xfId="11328" xr:uid="{778E4FFF-4ED1-4FFE-8E8D-E8EAC7BC8F4E}"/>
    <cellStyle name="40% - Accent2 3 2 5 4 2" xfId="47670" xr:uid="{C67F1B8D-8741-4E9A-BF0E-C7335D45267B}"/>
    <cellStyle name="40% - Accent2 3 2 5 4 3" xfId="29074" xr:uid="{2316D4E2-C462-4D49-8AC1-8CB4D12A67D8}"/>
    <cellStyle name="40% - Accent2 3 2 5 5" xfId="38373" xr:uid="{2547FF9F-F6D3-443E-B2D1-A287CB3C7297}"/>
    <cellStyle name="40% - Accent2 3 2 5 6" xfId="19775" xr:uid="{3995FB5C-158D-4B1F-BF11-D6DFB4986828}"/>
    <cellStyle name="40% - Accent2 3 2 6" xfId="2326" xr:uid="{00000000-0005-0000-0000-0000C4040000}"/>
    <cellStyle name="40% - Accent2 3 2 6 2" xfId="6632" xr:uid="{00000000-0005-0000-0000-0000C5040000}"/>
    <cellStyle name="40% - Accent2 3 2 6 2 2" xfId="15958" xr:uid="{1F55F81F-88B0-4544-A252-054403E21B68}"/>
    <cellStyle name="40% - Accent2 3 2 6 2 2 2" xfId="52300" xr:uid="{1F42BD4E-2442-46EF-9096-DBE52EDCC58B}"/>
    <cellStyle name="40% - Accent2 3 2 6 2 2 3" xfId="33704" xr:uid="{02AD59EA-E54D-4243-B2A0-BE97C849B880}"/>
    <cellStyle name="40% - Accent2 3 2 6 2 3" xfId="43003" xr:uid="{F39E1566-E6FC-43A1-B133-E228B2A25022}"/>
    <cellStyle name="40% - Accent2 3 2 6 2 4" xfId="24405" xr:uid="{D34AD1B1-EA05-4B4C-88E2-59E786E88568}"/>
    <cellStyle name="40% - Accent2 3 2 6 3" xfId="11741" xr:uid="{949EDF01-19A2-4BCE-B077-ED7D9161E293}"/>
    <cellStyle name="40% - Accent2 3 2 6 3 2" xfId="48083" xr:uid="{3B268162-1A07-4E1A-864F-5AD00722EA8B}"/>
    <cellStyle name="40% - Accent2 3 2 6 3 3" xfId="29487" xr:uid="{C4F12340-EDA3-43F9-95E7-A05D0EB10186}"/>
    <cellStyle name="40% - Accent2 3 2 6 4" xfId="38786" xr:uid="{EA6A5AC7-B53B-43DE-8D68-3AAB447CD751}"/>
    <cellStyle name="40% - Accent2 3 2 6 5" xfId="20188" xr:uid="{C1C1F8E7-5AB0-4D83-B0A7-A173B39D55DF}"/>
    <cellStyle name="40% - Accent2 3 2 7" xfId="4566" xr:uid="{00000000-0005-0000-0000-0000C6040000}"/>
    <cellStyle name="40% - Accent2 3 2 7 2" xfId="13892" xr:uid="{3FFCED6C-C885-4E9A-8B93-1F38E4AC4B21}"/>
    <cellStyle name="40% - Accent2 3 2 7 2 2" xfId="50234" xr:uid="{618DE1F7-2543-4D6B-B378-FA44BB4DE281}"/>
    <cellStyle name="40% - Accent2 3 2 7 2 3" xfId="31638" xr:uid="{02FF7C2A-C006-4678-BBAE-E15D5C5FFDDA}"/>
    <cellStyle name="40% - Accent2 3 2 7 3" xfId="40937" xr:uid="{703DE2D6-3EAA-4299-B809-26F05AD419FC}"/>
    <cellStyle name="40% - Accent2 3 2 7 4" xfId="22339" xr:uid="{6D316F96-B023-4FAB-B21E-6766913C4426}"/>
    <cellStyle name="40% - Accent2 3 2 8" xfId="9071" xr:uid="{B5463F05-11FC-4377-B380-DDB549C63AA9}"/>
    <cellStyle name="40% - Accent2 3 2 8 2" xfId="36141" xr:uid="{17E45DC5-F42E-4EF7-AB07-4782687FA1D9}"/>
    <cellStyle name="40% - Accent2 3 2 8 2 2" xfId="54736" xr:uid="{EDE8F8CF-8156-4928-97CD-EAF0042E6287}"/>
    <cellStyle name="40% - Accent2 3 2 8 3" xfId="45439" xr:uid="{1CCDC715-9EC0-40BE-8784-67A8A0C5867B}"/>
    <cellStyle name="40% - Accent2 3 2 8 4" xfId="26842" xr:uid="{8945DB3D-0752-4145-8C44-733E4A531239}"/>
    <cellStyle name="40% - Accent2 3 2 9" xfId="9675" xr:uid="{18E5948A-9A67-45DD-9254-CAF1BEE3E799}"/>
    <cellStyle name="40% - Accent2 3 2 9 2" xfId="46017" xr:uid="{8FCF148B-6CA4-48DF-82E6-56323903EEB3}"/>
    <cellStyle name="40% - Accent2 3 2 9 3" xfId="27421" xr:uid="{39F94302-32FF-48A3-983C-A2097A8BAD00}"/>
    <cellStyle name="40% - Accent2 3 3" xfId="631" xr:uid="{00000000-0005-0000-0000-0000C7040000}"/>
    <cellStyle name="40% - Accent2 3 3 2" xfId="2902" xr:uid="{00000000-0005-0000-0000-0000C8040000}"/>
    <cellStyle name="40% - Accent2 3 3 2 2" xfId="7124" xr:uid="{00000000-0005-0000-0000-0000C9040000}"/>
    <cellStyle name="40% - Accent2 3 3 2 2 2" xfId="16450" xr:uid="{DFE00581-4422-4101-A8BC-E371691080D8}"/>
    <cellStyle name="40% - Accent2 3 3 2 2 2 2" xfId="52792" xr:uid="{D733DFE2-7558-4763-819C-EFC3B2B1EE3A}"/>
    <cellStyle name="40% - Accent2 3 3 2 2 2 3" xfId="34196" xr:uid="{94A5E290-E46B-4548-BE49-4578B5E70533}"/>
    <cellStyle name="40% - Accent2 3 3 2 2 3" xfId="43495" xr:uid="{E7AF4960-BEDC-4867-97BB-F099526D69D3}"/>
    <cellStyle name="40% - Accent2 3 3 2 2 4" xfId="24897" xr:uid="{C04DB27D-1853-4A05-BD61-4FFDE8945E3F}"/>
    <cellStyle name="40% - Accent2 3 3 2 3" xfId="12233" xr:uid="{CCDBF3E4-9D99-4F86-ABFB-0D09890F093F}"/>
    <cellStyle name="40% - Accent2 3 3 2 3 2" xfId="48575" xr:uid="{B8FA0020-7741-4B26-B03A-549A979F5F2A}"/>
    <cellStyle name="40% - Accent2 3 3 2 3 3" xfId="29979" xr:uid="{B5E65153-59B0-4B36-969C-89AE4985DE4D}"/>
    <cellStyle name="40% - Accent2 3 3 2 4" xfId="39278" xr:uid="{F51D1F8C-D2E5-4C5A-8BF4-049EF7AE9EA1}"/>
    <cellStyle name="40% - Accent2 3 3 2 5" xfId="20680" xr:uid="{3E60C14C-2457-4AFB-A747-62BCFD2DD89B}"/>
    <cellStyle name="40% - Accent2 3 3 3" xfId="4979" xr:uid="{00000000-0005-0000-0000-0000CA040000}"/>
    <cellStyle name="40% - Accent2 3 3 3 2" xfId="14305" xr:uid="{3CA50C40-C6EE-45CC-8F64-0DE98FC58D40}"/>
    <cellStyle name="40% - Accent2 3 3 3 2 2" xfId="50647" xr:uid="{96C1CDE8-C711-4D1D-B42E-49D498CA2985}"/>
    <cellStyle name="40% - Accent2 3 3 3 2 3" xfId="32051" xr:uid="{9F642FE0-FCF1-4836-ADF3-F9B190386D36}"/>
    <cellStyle name="40% - Accent2 3 3 3 3" xfId="41350" xr:uid="{EF052E34-F0B0-48B7-9589-3ECBCE767904}"/>
    <cellStyle name="40% - Accent2 3 3 3 4" xfId="22752" xr:uid="{A4C4AE8D-6FF1-44DE-94C5-7952F779F2DC}"/>
    <cellStyle name="40% - Accent2 3 3 4" xfId="9289" xr:uid="{B234EB9F-4AFE-41A2-A17D-ABC1D0F80875}"/>
    <cellStyle name="40% - Accent2 3 3 4 2" xfId="36350" xr:uid="{5E160345-CA50-4496-8432-3DD99F095030}"/>
    <cellStyle name="40% - Accent2 3 3 4 2 2" xfId="54944" xr:uid="{16D7671F-8278-4090-BC4C-FC024F25BF11}"/>
    <cellStyle name="40% - Accent2 3 3 4 3" xfId="45647" xr:uid="{D3F76162-AC02-4C46-B9D1-9A590940BFDF}"/>
    <cellStyle name="40% - Accent2 3 3 4 4" xfId="27051" xr:uid="{9E811C84-20C9-41F8-B96D-FCC78D0BA1CC}"/>
    <cellStyle name="40% - Accent2 3 3 5" xfId="10088" xr:uid="{20ADD7C7-106D-4738-AB14-58DCE610A51F}"/>
    <cellStyle name="40% - Accent2 3 3 5 2" xfId="46430" xr:uid="{15EE4E3A-4A5F-4FB3-9331-25641788C81D}"/>
    <cellStyle name="40% - Accent2 3 3 5 3" xfId="27834" xr:uid="{F52CBD72-4AD1-4C06-B1AB-24174AB9F1D0}"/>
    <cellStyle name="40% - Accent2 3 3 6" xfId="37133" xr:uid="{E0FDF02E-EC89-49BA-B2CB-5040C3229C0A}"/>
    <cellStyle name="40% - Accent2 3 3 7" xfId="18535" xr:uid="{5AB2E698-948B-4C54-B3C1-1BFE935E8E04}"/>
    <cellStyle name="40% - Accent2 3 4" xfId="1084" xr:uid="{00000000-0005-0000-0000-0000CB040000}"/>
    <cellStyle name="40% - Accent2 3 4 2" xfId="3315" xr:uid="{00000000-0005-0000-0000-0000CC040000}"/>
    <cellStyle name="40% - Accent2 3 4 2 2" xfId="7537" xr:uid="{00000000-0005-0000-0000-0000CD040000}"/>
    <cellStyle name="40% - Accent2 3 4 2 2 2" xfId="16863" xr:uid="{B57B340B-7F5F-4673-AA2C-A20A58E36015}"/>
    <cellStyle name="40% - Accent2 3 4 2 2 2 2" xfId="53205" xr:uid="{A05EA73C-5A81-46D2-8498-D14A50CE10EA}"/>
    <cellStyle name="40% - Accent2 3 4 2 2 2 3" xfId="34609" xr:uid="{1DE6AEA6-F918-4FAE-8509-6F78B7BC0CC0}"/>
    <cellStyle name="40% - Accent2 3 4 2 2 3" xfId="43908" xr:uid="{9D14D1F7-7FFC-422A-9DFB-6A524493AA70}"/>
    <cellStyle name="40% - Accent2 3 4 2 2 4" xfId="25310" xr:uid="{E2A31803-8F7E-4D09-B502-681F66DF5C56}"/>
    <cellStyle name="40% - Accent2 3 4 2 3" xfId="12646" xr:uid="{B2DF126F-FD12-48A3-9753-0DDD65620729}"/>
    <cellStyle name="40% - Accent2 3 4 2 3 2" xfId="48988" xr:uid="{C9069265-D90F-496C-92DB-8010626AE969}"/>
    <cellStyle name="40% - Accent2 3 4 2 3 3" xfId="30392" xr:uid="{458B14F6-9E76-426B-A147-714FFDC67F61}"/>
    <cellStyle name="40% - Accent2 3 4 2 4" xfId="39691" xr:uid="{214BC6A7-7F03-46FA-9B71-7FCE3B8B329F}"/>
    <cellStyle name="40% - Accent2 3 4 2 5" xfId="21093" xr:uid="{246E71E2-9E0E-47A9-A905-BF42142B6434}"/>
    <cellStyle name="40% - Accent2 3 4 3" xfId="5392" xr:uid="{00000000-0005-0000-0000-0000CE040000}"/>
    <cellStyle name="40% - Accent2 3 4 3 2" xfId="14718" xr:uid="{D67F34E5-F556-4C1C-833B-0C2CEB65A775}"/>
    <cellStyle name="40% - Accent2 3 4 3 2 2" xfId="51060" xr:uid="{37D4758A-CD0D-4675-B207-F2F6E39ECAE5}"/>
    <cellStyle name="40% - Accent2 3 4 3 2 3" xfId="32464" xr:uid="{1A806330-609A-4433-B230-0B911B47AE25}"/>
    <cellStyle name="40% - Accent2 3 4 3 3" xfId="41763" xr:uid="{911D132E-EEF3-4923-BE2E-2B4D302FF94F}"/>
    <cellStyle name="40% - Accent2 3 4 3 4" xfId="23165" xr:uid="{8F101166-3F71-46F3-B64A-966478A35D10}"/>
    <cellStyle name="40% - Accent2 3 4 4" xfId="10501" xr:uid="{44E937C6-C1ED-4660-8628-2F20F6AF4162}"/>
    <cellStyle name="40% - Accent2 3 4 4 2" xfId="46843" xr:uid="{B48CD8D2-DDFB-4C6F-A9B2-85889A8AABD2}"/>
    <cellStyle name="40% - Accent2 3 4 4 3" xfId="28247" xr:uid="{D95964A9-9EEB-49FB-B764-AFDE607F3749}"/>
    <cellStyle name="40% - Accent2 3 4 5" xfId="37546" xr:uid="{F8455E3A-1859-4CFE-922A-6F12CEC8064E}"/>
    <cellStyle name="40% - Accent2 3 4 6" xfId="18948" xr:uid="{001E2112-4FE1-414F-A875-87DD7DDA2357}"/>
    <cellStyle name="40% - Accent2 3 5" xfId="1498" xr:uid="{00000000-0005-0000-0000-0000CF040000}"/>
    <cellStyle name="40% - Accent2 3 5 2" xfId="3728" xr:uid="{00000000-0005-0000-0000-0000D0040000}"/>
    <cellStyle name="40% - Accent2 3 5 2 2" xfId="7950" xr:uid="{00000000-0005-0000-0000-0000D1040000}"/>
    <cellStyle name="40% - Accent2 3 5 2 2 2" xfId="17276" xr:uid="{3BAF0915-EF9D-462F-870F-68E99737AC80}"/>
    <cellStyle name="40% - Accent2 3 5 2 2 2 2" xfId="53618" xr:uid="{8CDC4CA2-4276-460D-A896-2DA85F73E9B6}"/>
    <cellStyle name="40% - Accent2 3 5 2 2 2 3" xfId="35022" xr:uid="{3CA7B815-C7F6-469E-9AC1-94AD1ACBBE16}"/>
    <cellStyle name="40% - Accent2 3 5 2 2 3" xfId="44321" xr:uid="{0BA3B3A4-0604-4EC1-B786-3EF5A2788E33}"/>
    <cellStyle name="40% - Accent2 3 5 2 2 4" xfId="25723" xr:uid="{754CC113-CC78-44DE-9AAB-FA132353E3E4}"/>
    <cellStyle name="40% - Accent2 3 5 2 3" xfId="13059" xr:uid="{DF86487F-24DB-4480-B7F6-85F98A6577B1}"/>
    <cellStyle name="40% - Accent2 3 5 2 3 2" xfId="49401" xr:uid="{C05B80CC-96C4-4DE3-AF4E-1FF2E77E4445}"/>
    <cellStyle name="40% - Accent2 3 5 2 3 3" xfId="30805" xr:uid="{42C00849-A4E8-4F54-A2CC-920034327BDC}"/>
    <cellStyle name="40% - Accent2 3 5 2 4" xfId="40104" xr:uid="{44DED873-B347-40D9-93FE-D1464B51C8D1}"/>
    <cellStyle name="40% - Accent2 3 5 2 5" xfId="21506" xr:uid="{AD9735FB-FD5A-4969-B1BE-F7DFE60B7067}"/>
    <cellStyle name="40% - Accent2 3 5 3" xfId="5805" xr:uid="{00000000-0005-0000-0000-0000D2040000}"/>
    <cellStyle name="40% - Accent2 3 5 3 2" xfId="15131" xr:uid="{D29BDDF0-A015-40AC-876C-A2E9F247BA41}"/>
    <cellStyle name="40% - Accent2 3 5 3 2 2" xfId="51473" xr:uid="{D5392F6F-3854-43CA-9FE2-FF4868E8C7D3}"/>
    <cellStyle name="40% - Accent2 3 5 3 2 3" xfId="32877" xr:uid="{FAFDA649-0DCB-4B7A-AC06-DC2F571FB7D3}"/>
    <cellStyle name="40% - Accent2 3 5 3 3" xfId="42176" xr:uid="{A1017C09-623D-4238-807D-B79B30E06744}"/>
    <cellStyle name="40% - Accent2 3 5 3 4" xfId="23578" xr:uid="{2B7CD709-7A76-4986-9128-CD678F6BE3D0}"/>
    <cellStyle name="40% - Accent2 3 5 4" xfId="10914" xr:uid="{E2058ED3-B9CF-496A-90F2-C64B202F84C4}"/>
    <cellStyle name="40% - Accent2 3 5 4 2" xfId="47256" xr:uid="{E4C743D8-A376-4BD1-972A-71ABF0156429}"/>
    <cellStyle name="40% - Accent2 3 5 4 3" xfId="28660" xr:uid="{E0A0EC93-9E95-437D-B79E-C08B2A94B859}"/>
    <cellStyle name="40% - Accent2 3 5 5" xfId="37959" xr:uid="{5AD47E90-84EF-4B70-919D-F908024C185D}"/>
    <cellStyle name="40% - Accent2 3 5 6" xfId="19361" xr:uid="{2D4B20ED-D74C-46FE-BA86-93328EBC2918}"/>
    <cellStyle name="40% - Accent2 3 6" xfId="1912" xr:uid="{00000000-0005-0000-0000-0000D3040000}"/>
    <cellStyle name="40% - Accent2 3 6 2" xfId="4141" xr:uid="{00000000-0005-0000-0000-0000D4040000}"/>
    <cellStyle name="40% - Accent2 3 6 2 2" xfId="8363" xr:uid="{00000000-0005-0000-0000-0000D5040000}"/>
    <cellStyle name="40% - Accent2 3 6 2 2 2" xfId="17689" xr:uid="{3991717E-9841-4AC7-B421-E933703E1727}"/>
    <cellStyle name="40% - Accent2 3 6 2 2 2 2" xfId="54031" xr:uid="{3C034BF4-56EB-4CCC-A02F-E0BD4EE26E79}"/>
    <cellStyle name="40% - Accent2 3 6 2 2 2 3" xfId="35435" xr:uid="{E8AAF689-D6DF-44CF-BFD1-88C30E74D516}"/>
    <cellStyle name="40% - Accent2 3 6 2 2 3" xfId="44734" xr:uid="{46978F60-FBE2-48F5-BB6D-C1A1E7E61DAD}"/>
    <cellStyle name="40% - Accent2 3 6 2 2 4" xfId="26136" xr:uid="{B5978B5C-7ACF-4302-8631-1248B6AF3437}"/>
    <cellStyle name="40% - Accent2 3 6 2 3" xfId="13472" xr:uid="{955A9A44-0FB9-405B-98A3-262D3543FAF9}"/>
    <cellStyle name="40% - Accent2 3 6 2 3 2" xfId="49814" xr:uid="{0E29CE9C-41BC-407A-A455-956BCBB9FB47}"/>
    <cellStyle name="40% - Accent2 3 6 2 3 3" xfId="31218" xr:uid="{294FBA2F-DD16-4F54-A6EB-8AB015DBB052}"/>
    <cellStyle name="40% - Accent2 3 6 2 4" xfId="40517" xr:uid="{2829A10A-505D-482B-AFF1-E650172472C6}"/>
    <cellStyle name="40% - Accent2 3 6 2 5" xfId="21919" xr:uid="{6D6A87B1-B2FB-4C6E-89B5-41F84B743BA1}"/>
    <cellStyle name="40% - Accent2 3 6 3" xfId="6218" xr:uid="{00000000-0005-0000-0000-0000D6040000}"/>
    <cellStyle name="40% - Accent2 3 6 3 2" xfId="15544" xr:uid="{BC7E6B80-D455-4B12-BA5C-4A366FE6657A}"/>
    <cellStyle name="40% - Accent2 3 6 3 2 2" xfId="51886" xr:uid="{B9BE605A-E052-4763-8E51-B2F617CFEF33}"/>
    <cellStyle name="40% - Accent2 3 6 3 2 3" xfId="33290" xr:uid="{E1962304-4480-4464-9018-19CB5725288C}"/>
    <cellStyle name="40% - Accent2 3 6 3 3" xfId="42589" xr:uid="{96580E69-BA58-4015-B238-08EEBDF7EF2A}"/>
    <cellStyle name="40% - Accent2 3 6 3 4" xfId="23991" xr:uid="{44222445-E163-4C37-BDC2-49CE7E87567C}"/>
    <cellStyle name="40% - Accent2 3 6 4" xfId="11327" xr:uid="{6A0D404A-8AA4-417A-B7E4-9B1470F0E3C1}"/>
    <cellStyle name="40% - Accent2 3 6 4 2" xfId="47669" xr:uid="{0F6F33D3-145A-4AAC-972C-44E68EFCE4A0}"/>
    <cellStyle name="40% - Accent2 3 6 4 3" xfId="29073" xr:uid="{ABD47BC8-D5C4-49B0-BDD1-5D40667B8AE7}"/>
    <cellStyle name="40% - Accent2 3 6 5" xfId="38372" xr:uid="{3FE1A7C8-979C-4D3F-8960-B080D7A1F338}"/>
    <cellStyle name="40% - Accent2 3 6 6" xfId="19774" xr:uid="{7DD63AC9-4BC0-4F10-B694-14E5D9300076}"/>
    <cellStyle name="40% - Accent2 3 7" xfId="2325" xr:uid="{00000000-0005-0000-0000-0000D7040000}"/>
    <cellStyle name="40% - Accent2 3 7 2" xfId="6631" xr:uid="{00000000-0005-0000-0000-0000D8040000}"/>
    <cellStyle name="40% - Accent2 3 7 2 2" xfId="15957" xr:uid="{B55B5F17-FA23-4C10-8029-6F4EEDFDC755}"/>
    <cellStyle name="40% - Accent2 3 7 2 2 2" xfId="52299" xr:uid="{6A929629-81DE-42D4-A6DD-6D5771EA8B60}"/>
    <cellStyle name="40% - Accent2 3 7 2 2 3" xfId="33703" xr:uid="{5289CFE1-4509-48AB-BC8B-755E40198364}"/>
    <cellStyle name="40% - Accent2 3 7 2 3" xfId="43002" xr:uid="{31EBAE9B-D3F9-44A3-9BE3-DC0944EDD438}"/>
    <cellStyle name="40% - Accent2 3 7 2 4" xfId="24404" xr:uid="{9614546E-05D3-4294-A298-7ADA4BD9A487}"/>
    <cellStyle name="40% - Accent2 3 7 3" xfId="11740" xr:uid="{94F9F60D-1989-44FF-A029-46B06F175948}"/>
    <cellStyle name="40% - Accent2 3 7 3 2" xfId="48082" xr:uid="{FF8854EE-E271-44E3-881D-330DF71CEAFA}"/>
    <cellStyle name="40% - Accent2 3 7 3 3" xfId="29486" xr:uid="{6F85F512-43E1-43F4-A11B-2F5B347806E5}"/>
    <cellStyle name="40% - Accent2 3 7 4" xfId="38785" xr:uid="{D5CF16B6-D62A-4795-BA00-262404CC225E}"/>
    <cellStyle name="40% - Accent2 3 7 5" xfId="20187" xr:uid="{02214FF3-867C-416F-BBDF-2E8EC3516DA8}"/>
    <cellStyle name="40% - Accent2 3 8" xfId="4565" xr:uid="{00000000-0005-0000-0000-0000D9040000}"/>
    <cellStyle name="40% - Accent2 3 8 2" xfId="13891" xr:uid="{0B7E9B94-7C68-4F51-9545-B86198B1E01E}"/>
    <cellStyle name="40% - Accent2 3 8 2 2" xfId="50233" xr:uid="{CB518E6C-9970-48C0-8047-93087A4E11DE}"/>
    <cellStyle name="40% - Accent2 3 8 2 3" xfId="31637" xr:uid="{7153D957-7BAA-4F17-A3AD-1780E797EC4C}"/>
    <cellStyle name="40% - Accent2 3 8 3" xfId="40936" xr:uid="{248E9F67-4053-455E-A95A-EE46BBDF5EC8}"/>
    <cellStyle name="40% - Accent2 3 8 4" xfId="22338" xr:uid="{23E18FEB-031D-4CCC-B364-38703E466361}"/>
    <cellStyle name="40% - Accent2 3 9" xfId="8864" xr:uid="{311EF031-8CA9-4ACC-8705-6D408E1B50DB}"/>
    <cellStyle name="40% - Accent2 3 9 2" xfId="35934" xr:uid="{7B250125-83CB-4E11-ACDC-CA459F702134}"/>
    <cellStyle name="40% - Accent2 3 9 2 2" xfId="54529" xr:uid="{90DC9956-3E20-483D-9D00-B1782E4E4102}"/>
    <cellStyle name="40% - Accent2 3 9 3" xfId="45232" xr:uid="{14024E47-9FC6-4AA0-959A-6FD5AECD41BF}"/>
    <cellStyle name="40% - Accent2 3 9 4" xfId="26635" xr:uid="{A3CB50B2-E273-47EF-8A91-FF1D2A893EDC}"/>
    <cellStyle name="40% - Accent2 4" xfId="64" xr:uid="{00000000-0005-0000-0000-0000DA040000}"/>
    <cellStyle name="40% - Accent2 4 10" xfId="36721" xr:uid="{5FB57115-E6E2-4DD9-B0F4-BF5218A1D8DF}"/>
    <cellStyle name="40% - Accent2 4 11" xfId="18123" xr:uid="{337EFA92-774E-4C61-B88D-CA5812024698}"/>
    <cellStyle name="40% - Accent2 4 2" xfId="633" xr:uid="{00000000-0005-0000-0000-0000DB040000}"/>
    <cellStyle name="40% - Accent2 4 2 2" xfId="2904" xr:uid="{00000000-0005-0000-0000-0000DC040000}"/>
    <cellStyle name="40% - Accent2 4 2 2 2" xfId="7126" xr:uid="{00000000-0005-0000-0000-0000DD040000}"/>
    <cellStyle name="40% - Accent2 4 2 2 2 2" xfId="16452" xr:uid="{EC1B3C99-6E8D-4BB0-A86B-6A1F63D53F07}"/>
    <cellStyle name="40% - Accent2 4 2 2 2 2 2" xfId="52794" xr:uid="{1A93EA35-422D-4791-A518-B7BE28B8E565}"/>
    <cellStyle name="40% - Accent2 4 2 2 2 2 3" xfId="34198" xr:uid="{5FEE7B76-1F33-4CD3-83D8-8124828A16D5}"/>
    <cellStyle name="40% - Accent2 4 2 2 2 3" xfId="43497" xr:uid="{CAD11B66-473F-40E2-9019-D40D0794E16F}"/>
    <cellStyle name="40% - Accent2 4 2 2 2 4" xfId="24899" xr:uid="{FD304383-1874-43F0-A2C3-878C4461AA4A}"/>
    <cellStyle name="40% - Accent2 4 2 2 3" xfId="12235" xr:uid="{C2FB3352-7A1E-4154-B166-A86C1BC51D55}"/>
    <cellStyle name="40% - Accent2 4 2 2 3 2" xfId="48577" xr:uid="{ED0DC09B-A1C9-49E9-91D1-F6DF1C5E5C90}"/>
    <cellStyle name="40% - Accent2 4 2 2 3 3" xfId="29981" xr:uid="{7D7BB174-2FCB-446B-B53B-394C28E2BAB3}"/>
    <cellStyle name="40% - Accent2 4 2 2 4" xfId="39280" xr:uid="{B3A9B2BF-9128-4126-B807-3329E6E61E60}"/>
    <cellStyle name="40% - Accent2 4 2 2 5" xfId="20682" xr:uid="{B090DC2A-50A7-4E6E-B69B-BEB3ED1401DF}"/>
    <cellStyle name="40% - Accent2 4 2 3" xfId="4981" xr:uid="{00000000-0005-0000-0000-0000DE040000}"/>
    <cellStyle name="40% - Accent2 4 2 3 2" xfId="14307" xr:uid="{52004A29-F7B5-4AA4-AE10-835D4E6B3F10}"/>
    <cellStyle name="40% - Accent2 4 2 3 2 2" xfId="50649" xr:uid="{A4E365D6-FA19-43A9-9B58-895C84357B77}"/>
    <cellStyle name="40% - Accent2 4 2 3 2 3" xfId="32053" xr:uid="{0937AF5B-BB72-4730-86EB-56FA25EDCFBB}"/>
    <cellStyle name="40% - Accent2 4 2 3 3" xfId="41352" xr:uid="{AE50252C-A57F-4714-A974-A2330E99E236}"/>
    <cellStyle name="40% - Accent2 4 2 3 4" xfId="22754" xr:uid="{F61CDE9A-65F9-4794-8FCA-441EBA6212D2}"/>
    <cellStyle name="40% - Accent2 4 2 4" xfId="9375" xr:uid="{E0F8B4F7-419E-40A5-89E1-F3F0DF6ADFF8}"/>
    <cellStyle name="40% - Accent2 4 2 4 2" xfId="36436" xr:uid="{B6E00165-BB82-4090-B31A-5889F3C30D8E}"/>
    <cellStyle name="40% - Accent2 4 2 4 2 2" xfId="55030" xr:uid="{551A62E4-60AE-4FDF-A55B-F6111A7F756C}"/>
    <cellStyle name="40% - Accent2 4 2 4 3" xfId="45733" xr:uid="{C93A2AFD-439A-4242-A658-23516A354F83}"/>
    <cellStyle name="40% - Accent2 4 2 4 4" xfId="27137" xr:uid="{57D01546-5AE6-4FBB-80B1-54AB8F86B7F7}"/>
    <cellStyle name="40% - Accent2 4 2 5" xfId="10090" xr:uid="{C9AEED25-1E71-4BBA-AA77-9B246EDB302E}"/>
    <cellStyle name="40% - Accent2 4 2 5 2" xfId="46432" xr:uid="{2C1AA843-C338-41A0-AF42-4BA7C2C165AD}"/>
    <cellStyle name="40% - Accent2 4 2 5 3" xfId="27836" xr:uid="{52AA0ED0-3A9F-4FA2-B21A-E096B819C60D}"/>
    <cellStyle name="40% - Accent2 4 2 6" xfId="37135" xr:uid="{E2714187-CA49-4E04-9659-9E4FDEAC4AAB}"/>
    <cellStyle name="40% - Accent2 4 2 7" xfId="18537" xr:uid="{021ACFC4-5E00-4A17-9059-53D4FB7D4311}"/>
    <cellStyle name="40% - Accent2 4 3" xfId="1086" xr:uid="{00000000-0005-0000-0000-0000DF040000}"/>
    <cellStyle name="40% - Accent2 4 3 2" xfId="3317" xr:uid="{00000000-0005-0000-0000-0000E0040000}"/>
    <cellStyle name="40% - Accent2 4 3 2 2" xfId="7539" xr:uid="{00000000-0005-0000-0000-0000E1040000}"/>
    <cellStyle name="40% - Accent2 4 3 2 2 2" xfId="16865" xr:uid="{4E016B74-554F-40D1-938A-E301A1824592}"/>
    <cellStyle name="40% - Accent2 4 3 2 2 2 2" xfId="53207" xr:uid="{3521010D-F72B-458F-8310-6BDA2814BB20}"/>
    <cellStyle name="40% - Accent2 4 3 2 2 2 3" xfId="34611" xr:uid="{F816194F-3B80-4EDB-917E-E67CADFB32AE}"/>
    <cellStyle name="40% - Accent2 4 3 2 2 3" xfId="43910" xr:uid="{C7D5975F-FE7A-4AC8-90D1-711AE6D2C7C9}"/>
    <cellStyle name="40% - Accent2 4 3 2 2 4" xfId="25312" xr:uid="{36C0D43E-0CBF-473C-8A79-3DDE32B7AD20}"/>
    <cellStyle name="40% - Accent2 4 3 2 3" xfId="12648" xr:uid="{28288A3E-3853-450B-AB28-5398067FD059}"/>
    <cellStyle name="40% - Accent2 4 3 2 3 2" xfId="48990" xr:uid="{DDE27658-8AF8-41EF-9D9D-F9BB4E3240A3}"/>
    <cellStyle name="40% - Accent2 4 3 2 3 3" xfId="30394" xr:uid="{902EE6AE-7D4B-4706-BA71-52E648865C93}"/>
    <cellStyle name="40% - Accent2 4 3 2 4" xfId="39693" xr:uid="{C0A663EC-9DD0-450C-AC13-BDAE845390A3}"/>
    <cellStyle name="40% - Accent2 4 3 2 5" xfId="21095" xr:uid="{01C7426A-D58D-4FE3-95F2-B10960C65371}"/>
    <cellStyle name="40% - Accent2 4 3 3" xfId="5394" xr:uid="{00000000-0005-0000-0000-0000E2040000}"/>
    <cellStyle name="40% - Accent2 4 3 3 2" xfId="14720" xr:uid="{94357FBD-C57D-45F6-981F-B3CB758C6E10}"/>
    <cellStyle name="40% - Accent2 4 3 3 2 2" xfId="51062" xr:uid="{B3101938-10C0-486D-8855-866285106B3E}"/>
    <cellStyle name="40% - Accent2 4 3 3 2 3" xfId="32466" xr:uid="{2B33E9E9-C5ED-4A85-B30F-27AEC9D979DE}"/>
    <cellStyle name="40% - Accent2 4 3 3 3" xfId="41765" xr:uid="{26843CF2-2D4E-4070-8FA5-4B107CE5FF60}"/>
    <cellStyle name="40% - Accent2 4 3 3 4" xfId="23167" xr:uid="{00D1E711-0387-430F-AB07-05ADFDF08411}"/>
    <cellStyle name="40% - Accent2 4 3 4" xfId="10503" xr:uid="{57A0AE65-A2DB-46CE-B30D-E6E0CED85AD7}"/>
    <cellStyle name="40% - Accent2 4 3 4 2" xfId="46845" xr:uid="{4E421C39-4C10-42D0-8032-EEE47E9CB650}"/>
    <cellStyle name="40% - Accent2 4 3 4 3" xfId="28249" xr:uid="{680E66AC-2D52-4F2D-9DD7-E9BC3AF2AE4E}"/>
    <cellStyle name="40% - Accent2 4 3 5" xfId="37548" xr:uid="{B10A1EB5-1035-48C1-AE15-4EF4344C28E5}"/>
    <cellStyle name="40% - Accent2 4 3 6" xfId="18950" xr:uid="{790D33C7-C044-4AB6-AFF9-DE78524F7728}"/>
    <cellStyle name="40% - Accent2 4 4" xfId="1500" xr:uid="{00000000-0005-0000-0000-0000E3040000}"/>
    <cellStyle name="40% - Accent2 4 4 2" xfId="3730" xr:uid="{00000000-0005-0000-0000-0000E4040000}"/>
    <cellStyle name="40% - Accent2 4 4 2 2" xfId="7952" xr:uid="{00000000-0005-0000-0000-0000E5040000}"/>
    <cellStyle name="40% - Accent2 4 4 2 2 2" xfId="17278" xr:uid="{3E900FEE-1940-496A-9AFE-DF35492EBB0D}"/>
    <cellStyle name="40% - Accent2 4 4 2 2 2 2" xfId="53620" xr:uid="{50B46B3D-C019-4056-ACDF-211F3688452E}"/>
    <cellStyle name="40% - Accent2 4 4 2 2 2 3" xfId="35024" xr:uid="{E496515E-65DA-4900-994A-2F392D798A37}"/>
    <cellStyle name="40% - Accent2 4 4 2 2 3" xfId="44323" xr:uid="{CC28F166-4A37-4273-9964-A0CC51A0AD59}"/>
    <cellStyle name="40% - Accent2 4 4 2 2 4" xfId="25725" xr:uid="{1149F8E7-6EDE-41F3-B76B-91E04A4F14C1}"/>
    <cellStyle name="40% - Accent2 4 4 2 3" xfId="13061" xr:uid="{1341C0D1-0AD7-41B2-B7AD-CAC348A63103}"/>
    <cellStyle name="40% - Accent2 4 4 2 3 2" xfId="49403" xr:uid="{AF878F9E-3BCF-4D24-99AC-FDB1BE440596}"/>
    <cellStyle name="40% - Accent2 4 4 2 3 3" xfId="30807" xr:uid="{8DB510EE-3040-45C9-B90E-77B47413980B}"/>
    <cellStyle name="40% - Accent2 4 4 2 4" xfId="40106" xr:uid="{E1C02290-742B-4EE7-87C0-352B879396A2}"/>
    <cellStyle name="40% - Accent2 4 4 2 5" xfId="21508" xr:uid="{55533FC9-59A8-4A08-9935-461CADEE4281}"/>
    <cellStyle name="40% - Accent2 4 4 3" xfId="5807" xr:uid="{00000000-0005-0000-0000-0000E6040000}"/>
    <cellStyle name="40% - Accent2 4 4 3 2" xfId="15133" xr:uid="{AA58371F-7396-45E6-8A57-D328F9C9233F}"/>
    <cellStyle name="40% - Accent2 4 4 3 2 2" xfId="51475" xr:uid="{ECFE8844-18EF-461E-8244-347855F1745C}"/>
    <cellStyle name="40% - Accent2 4 4 3 2 3" xfId="32879" xr:uid="{3F5C7126-49F9-45C4-8AEF-92F49E507940}"/>
    <cellStyle name="40% - Accent2 4 4 3 3" xfId="42178" xr:uid="{9DFB35FA-66ED-44E7-86F2-5FAFBE3ED4B6}"/>
    <cellStyle name="40% - Accent2 4 4 3 4" xfId="23580" xr:uid="{07BA1A6E-FB7A-47C2-A32F-6B2C9BBAC8D4}"/>
    <cellStyle name="40% - Accent2 4 4 4" xfId="10916" xr:uid="{66F18D7B-5678-435A-A88F-C35D582EBD3F}"/>
    <cellStyle name="40% - Accent2 4 4 4 2" xfId="47258" xr:uid="{B61709CC-4465-455A-9792-3B9EBB19CC79}"/>
    <cellStyle name="40% - Accent2 4 4 4 3" xfId="28662" xr:uid="{8FA8CB53-13C4-46EB-9E5C-61756ADB6F9D}"/>
    <cellStyle name="40% - Accent2 4 4 5" xfId="37961" xr:uid="{85F30B39-E747-4AD0-8312-78B35EACB1B7}"/>
    <cellStyle name="40% - Accent2 4 4 6" xfId="19363" xr:uid="{07403C37-1D34-4077-AC42-51E448578A72}"/>
    <cellStyle name="40% - Accent2 4 5" xfId="1914" xr:uid="{00000000-0005-0000-0000-0000E7040000}"/>
    <cellStyle name="40% - Accent2 4 5 2" xfId="4143" xr:uid="{00000000-0005-0000-0000-0000E8040000}"/>
    <cellStyle name="40% - Accent2 4 5 2 2" xfId="8365" xr:uid="{00000000-0005-0000-0000-0000E9040000}"/>
    <cellStyle name="40% - Accent2 4 5 2 2 2" xfId="17691" xr:uid="{D7A79E4D-05B6-4609-8B5C-683B55EDAC12}"/>
    <cellStyle name="40% - Accent2 4 5 2 2 2 2" xfId="54033" xr:uid="{EB0B2755-D71E-444D-A530-437C00F94441}"/>
    <cellStyle name="40% - Accent2 4 5 2 2 2 3" xfId="35437" xr:uid="{0A81606E-D48A-4FEF-ACA9-3E6C233F4982}"/>
    <cellStyle name="40% - Accent2 4 5 2 2 3" xfId="44736" xr:uid="{8196CD65-6542-49CD-8B6E-991D94612B6C}"/>
    <cellStyle name="40% - Accent2 4 5 2 2 4" xfId="26138" xr:uid="{E92F7839-D4FA-4304-BD0E-1CD76F33D55E}"/>
    <cellStyle name="40% - Accent2 4 5 2 3" xfId="13474" xr:uid="{7239CA06-B4E1-432B-A687-53AADAAF9484}"/>
    <cellStyle name="40% - Accent2 4 5 2 3 2" xfId="49816" xr:uid="{10DED27F-C045-4B6A-ADCB-9688AFB3505D}"/>
    <cellStyle name="40% - Accent2 4 5 2 3 3" xfId="31220" xr:uid="{9D94941B-38C5-48A7-8292-E7E602054997}"/>
    <cellStyle name="40% - Accent2 4 5 2 4" xfId="40519" xr:uid="{16B4433C-C091-4409-94F9-3681BCF33A32}"/>
    <cellStyle name="40% - Accent2 4 5 2 5" xfId="21921" xr:uid="{7546C692-1684-4DCB-A5D5-3333B036437F}"/>
    <cellStyle name="40% - Accent2 4 5 3" xfId="6220" xr:uid="{00000000-0005-0000-0000-0000EA040000}"/>
    <cellStyle name="40% - Accent2 4 5 3 2" xfId="15546" xr:uid="{B958A2CA-18EA-4319-8402-3231A398E8D1}"/>
    <cellStyle name="40% - Accent2 4 5 3 2 2" xfId="51888" xr:uid="{CED3575B-3369-4EFE-B19D-4B3DCB8B2F64}"/>
    <cellStyle name="40% - Accent2 4 5 3 2 3" xfId="33292" xr:uid="{EAE5A8D7-7E11-4801-BD44-BCB8E8D9ADA4}"/>
    <cellStyle name="40% - Accent2 4 5 3 3" xfId="42591" xr:uid="{DAE4E406-18FA-4BEB-AFEE-B05AF844A06F}"/>
    <cellStyle name="40% - Accent2 4 5 3 4" xfId="23993" xr:uid="{093D5022-3A18-497B-86FB-4BB2AF1175B1}"/>
    <cellStyle name="40% - Accent2 4 5 4" xfId="11329" xr:uid="{C5F8B262-7649-444D-9D56-C16CD0C5303E}"/>
    <cellStyle name="40% - Accent2 4 5 4 2" xfId="47671" xr:uid="{C9AFEAFE-96FE-4FDA-937A-82F3E81181A6}"/>
    <cellStyle name="40% - Accent2 4 5 4 3" xfId="29075" xr:uid="{245AA8B9-77AC-4745-8087-7307F52AACF5}"/>
    <cellStyle name="40% - Accent2 4 5 5" xfId="38374" xr:uid="{DA7C5BEF-AFCD-4FBE-B81C-CA88E83DD8F5}"/>
    <cellStyle name="40% - Accent2 4 5 6" xfId="19776" xr:uid="{D2E4D08A-9C57-4AAB-AB56-8C1F521552AD}"/>
    <cellStyle name="40% - Accent2 4 6" xfId="2327" xr:uid="{00000000-0005-0000-0000-0000EB040000}"/>
    <cellStyle name="40% - Accent2 4 6 2" xfId="6633" xr:uid="{00000000-0005-0000-0000-0000EC040000}"/>
    <cellStyle name="40% - Accent2 4 6 2 2" xfId="15959" xr:uid="{E7D6DE04-C75E-4F63-9486-BADBFCD9B4A4}"/>
    <cellStyle name="40% - Accent2 4 6 2 2 2" xfId="52301" xr:uid="{400CA833-833E-4676-A3C6-0D8FCAD4907C}"/>
    <cellStyle name="40% - Accent2 4 6 2 2 3" xfId="33705" xr:uid="{22423200-112D-471D-A698-CE4E6054B1A8}"/>
    <cellStyle name="40% - Accent2 4 6 2 3" xfId="43004" xr:uid="{15C6DB22-8816-49C8-8064-9E301942ADFB}"/>
    <cellStyle name="40% - Accent2 4 6 2 4" xfId="24406" xr:uid="{5D9CE1A3-D177-44E4-A9B5-A11F35554F05}"/>
    <cellStyle name="40% - Accent2 4 6 3" xfId="11742" xr:uid="{9E14412B-77D1-4ACA-A418-8A699CFDBB3D}"/>
    <cellStyle name="40% - Accent2 4 6 3 2" xfId="48084" xr:uid="{DDF06FCC-F260-48BE-919D-4948E56C2609}"/>
    <cellStyle name="40% - Accent2 4 6 3 3" xfId="29488" xr:uid="{2832C491-1676-44AC-B1A1-4D66E084A754}"/>
    <cellStyle name="40% - Accent2 4 6 4" xfId="38787" xr:uid="{BEF54C85-F74E-4A34-A2A3-661B7261CAB9}"/>
    <cellStyle name="40% - Accent2 4 6 5" xfId="20189" xr:uid="{9AEABF2C-E8E5-4EC5-BB7E-4F8A7FEA426B}"/>
    <cellStyle name="40% - Accent2 4 7" xfId="4567" xr:uid="{00000000-0005-0000-0000-0000ED040000}"/>
    <cellStyle name="40% - Accent2 4 7 2" xfId="13893" xr:uid="{7D4AC8D7-ABFB-497B-971B-4AB59F172740}"/>
    <cellStyle name="40% - Accent2 4 7 2 2" xfId="50235" xr:uid="{8D0F1D09-1939-46C2-A96E-4A775DE08A7A}"/>
    <cellStyle name="40% - Accent2 4 7 2 3" xfId="31639" xr:uid="{9C047D28-4F53-41C7-9ED7-761771E77CAB}"/>
    <cellStyle name="40% - Accent2 4 7 3" xfId="40938" xr:uid="{1236C06F-77B0-42BC-B64D-39167A8F1492}"/>
    <cellStyle name="40% - Accent2 4 7 4" xfId="22340" xr:uid="{FAE856F3-0554-4D84-9267-A8F115117FC0}"/>
    <cellStyle name="40% - Accent2 4 8" xfId="8950" xr:uid="{02FCA414-0598-4779-8636-7B176A3552C0}"/>
    <cellStyle name="40% - Accent2 4 8 2" xfId="36020" xr:uid="{3F02A648-86DD-4E90-817C-21B656EED63B}"/>
    <cellStyle name="40% - Accent2 4 8 2 2" xfId="54615" xr:uid="{EA5E9427-6BEB-4F3E-8164-66DA22474EA6}"/>
    <cellStyle name="40% - Accent2 4 8 3" xfId="45318" xr:uid="{37F7DF0B-16AC-47C9-A976-91DC4E08DAD4}"/>
    <cellStyle name="40% - Accent2 4 8 4" xfId="26721" xr:uid="{C44A1E94-6928-4840-B2B0-69FB8D8CE8A9}"/>
    <cellStyle name="40% - Accent2 4 9" xfId="9676" xr:uid="{4B32F5F6-7AB7-4017-B4C1-A01BAC0B5086}"/>
    <cellStyle name="40% - Accent2 4 9 2" xfId="46018" xr:uid="{6C1A75D6-ACE1-4D71-A46F-B96EFEFCB4E5}"/>
    <cellStyle name="40% - Accent2 4 9 3" xfId="27422" xr:uid="{4E7E2099-35BE-4F57-9F63-E07635DB9E2A}"/>
    <cellStyle name="40% - Accent2 5" xfId="626" xr:uid="{00000000-0005-0000-0000-0000EE040000}"/>
    <cellStyle name="40% - Accent2 5 2" xfId="2897" xr:uid="{00000000-0005-0000-0000-0000EF040000}"/>
    <cellStyle name="40% - Accent2 5 2 2" xfId="7119" xr:uid="{00000000-0005-0000-0000-0000F0040000}"/>
    <cellStyle name="40% - Accent2 5 2 2 2" xfId="16445" xr:uid="{37CEA01E-406C-497C-AB83-EDBAD7B41147}"/>
    <cellStyle name="40% - Accent2 5 2 2 2 2" xfId="52787" xr:uid="{6A96E12E-3A19-4570-AB44-3F10457CCA9E}"/>
    <cellStyle name="40% - Accent2 5 2 2 2 3" xfId="34191" xr:uid="{F99AA1A1-C63A-46F8-899D-77BBD56B71CA}"/>
    <cellStyle name="40% - Accent2 5 2 2 3" xfId="43490" xr:uid="{47BB7EA4-6842-4F5C-8FB3-66D3E4E5D461}"/>
    <cellStyle name="40% - Accent2 5 2 2 4" xfId="24892" xr:uid="{14C3AD16-90CD-486A-940D-2F846B2BEBA0}"/>
    <cellStyle name="40% - Accent2 5 2 3" xfId="12228" xr:uid="{C06E0DDB-5251-4456-A8BA-D376E5CEFD9F}"/>
    <cellStyle name="40% - Accent2 5 2 3 2" xfId="48570" xr:uid="{27C03590-9468-4378-8AC5-E601A0B87DFD}"/>
    <cellStyle name="40% - Accent2 5 2 3 3" xfId="29974" xr:uid="{4C6BF65A-0FF7-4054-B501-0F0DAA4929FB}"/>
    <cellStyle name="40% - Accent2 5 2 4" xfId="39273" xr:uid="{50E83EDE-9997-4F87-9696-4A3E4A041578}"/>
    <cellStyle name="40% - Accent2 5 2 5" xfId="20675" xr:uid="{E08A9EFA-D45D-4EEB-BB29-1F124D6B2D8C}"/>
    <cellStyle name="40% - Accent2 5 3" xfId="4974" xr:uid="{00000000-0005-0000-0000-0000F1040000}"/>
    <cellStyle name="40% - Accent2 5 3 2" xfId="14300" xr:uid="{15D56CF0-3940-4D7F-8B28-75E7595016FD}"/>
    <cellStyle name="40% - Accent2 5 3 2 2" xfId="50642" xr:uid="{7B3777B9-8D2C-4150-B3D3-54E38B76D5BC}"/>
    <cellStyle name="40% - Accent2 5 3 2 3" xfId="32046" xr:uid="{C3ACBD85-15A8-4551-8002-DDC5E8B2C04A}"/>
    <cellStyle name="40% - Accent2 5 3 3" xfId="41345" xr:uid="{3F22A010-41DC-4BB0-9AB8-937039881012}"/>
    <cellStyle name="40% - Accent2 5 3 4" xfId="22747" xr:uid="{291CCDD9-A58E-4032-8F1F-0418BB73345D}"/>
    <cellStyle name="40% - Accent2 5 4" xfId="9183" xr:uid="{071EDB8E-9FD1-4063-BCEF-70B734E5ECF1}"/>
    <cellStyle name="40% - Accent2 5 4 2" xfId="36247" xr:uid="{1D32DCE8-D097-4B04-B1FE-6E454616F9D4}"/>
    <cellStyle name="40% - Accent2 5 4 2 2" xfId="54841" xr:uid="{28E65AD0-393A-41E8-81A3-70A17EE12BFB}"/>
    <cellStyle name="40% - Accent2 5 4 3" xfId="45544" xr:uid="{55203AB9-D626-4ED8-B3DD-62EF6CBEBAEE}"/>
    <cellStyle name="40% - Accent2 5 4 4" xfId="26948" xr:uid="{CA1CE356-3074-4E98-83B0-1337039D3421}"/>
    <cellStyle name="40% - Accent2 5 5" xfId="10083" xr:uid="{B8E42F11-A867-4CD1-91FD-499FBDED20F5}"/>
    <cellStyle name="40% - Accent2 5 5 2" xfId="46425" xr:uid="{3C52CB28-DFEA-487A-AFE2-D6121EA3EC74}"/>
    <cellStyle name="40% - Accent2 5 5 3" xfId="27829" xr:uid="{903D19EF-F3B0-457A-BF20-E6A6A02906F9}"/>
    <cellStyle name="40% - Accent2 5 6" xfId="37128" xr:uid="{7E5470CE-B788-489D-BC06-D17B0D89C964}"/>
    <cellStyle name="40% - Accent2 5 7" xfId="18530" xr:uid="{0EBDDC49-4C13-40E9-AF7C-E3E7FB32A990}"/>
    <cellStyle name="40% - Accent2 6" xfId="1079" xr:uid="{00000000-0005-0000-0000-0000F2040000}"/>
    <cellStyle name="40% - Accent2 6 2" xfId="3310" xr:uid="{00000000-0005-0000-0000-0000F3040000}"/>
    <cellStyle name="40% - Accent2 6 2 2" xfId="7532" xr:uid="{00000000-0005-0000-0000-0000F4040000}"/>
    <cellStyle name="40% - Accent2 6 2 2 2" xfId="16858" xr:uid="{171D168B-3202-4BAE-8286-7E164B0CCDD0}"/>
    <cellStyle name="40% - Accent2 6 2 2 2 2" xfId="53200" xr:uid="{8ECB6A58-6B0B-44E8-B21D-0F8A7DCFB983}"/>
    <cellStyle name="40% - Accent2 6 2 2 2 3" xfId="34604" xr:uid="{B909DE37-31D4-4BBE-9031-5EB864BDC30F}"/>
    <cellStyle name="40% - Accent2 6 2 2 3" xfId="43903" xr:uid="{866A1161-FC27-4643-BD78-13FDB22EFEB7}"/>
    <cellStyle name="40% - Accent2 6 2 2 4" xfId="25305" xr:uid="{740727C1-5FE9-4DE1-9617-CF6B57D02C5D}"/>
    <cellStyle name="40% - Accent2 6 2 3" xfId="12641" xr:uid="{A7A244D4-DBB1-4270-8D02-E13F4B4089DD}"/>
    <cellStyle name="40% - Accent2 6 2 3 2" xfId="48983" xr:uid="{3CAA8596-E96F-449E-B22A-0F1630D7D094}"/>
    <cellStyle name="40% - Accent2 6 2 3 3" xfId="30387" xr:uid="{ECCAE02B-11A5-48BA-9350-9F52A0389C60}"/>
    <cellStyle name="40% - Accent2 6 2 4" xfId="39686" xr:uid="{7930A9C5-6997-45FE-A92C-2AC597C45638}"/>
    <cellStyle name="40% - Accent2 6 2 5" xfId="21088" xr:uid="{61941959-F9E6-4B75-9A0C-B0DEB0CF007F}"/>
    <cellStyle name="40% - Accent2 6 3" xfId="5387" xr:uid="{00000000-0005-0000-0000-0000F5040000}"/>
    <cellStyle name="40% - Accent2 6 3 2" xfId="14713" xr:uid="{A830B6B4-B9FB-47CC-8D4A-142C1543E385}"/>
    <cellStyle name="40% - Accent2 6 3 2 2" xfId="51055" xr:uid="{A936F515-AC60-4DA3-92AE-2D6212AAD2E4}"/>
    <cellStyle name="40% - Accent2 6 3 2 3" xfId="32459" xr:uid="{49770E1B-6247-415A-843F-6A202A5E9728}"/>
    <cellStyle name="40% - Accent2 6 3 3" xfId="41758" xr:uid="{B418B1BC-6D9F-4FDA-8210-4B0259065514}"/>
    <cellStyle name="40% - Accent2 6 3 4" xfId="23160" xr:uid="{AE19E0EF-9CF6-402C-85AA-199868F1D802}"/>
    <cellStyle name="40% - Accent2 6 4" xfId="10496" xr:uid="{B8F607ED-3B45-4617-BEA4-C10193BCAEC7}"/>
    <cellStyle name="40% - Accent2 6 4 2" xfId="46838" xr:uid="{01BDB1D4-63CA-40A1-AF2A-8FD595364724}"/>
    <cellStyle name="40% - Accent2 6 4 3" xfId="28242" xr:uid="{997BD399-6841-4B05-9426-A49E2C8226E1}"/>
    <cellStyle name="40% - Accent2 6 5" xfId="37541" xr:uid="{88E2086F-E770-4DB9-8966-BAE164B734C2}"/>
    <cellStyle name="40% - Accent2 6 6" xfId="18943" xr:uid="{3DF4A61D-7D83-4C4A-85B5-2F7A0BBC68E6}"/>
    <cellStyle name="40% - Accent2 7" xfId="1493" xr:uid="{00000000-0005-0000-0000-0000F6040000}"/>
    <cellStyle name="40% - Accent2 7 2" xfId="3723" xr:uid="{00000000-0005-0000-0000-0000F7040000}"/>
    <cellStyle name="40% - Accent2 7 2 2" xfId="7945" xr:uid="{00000000-0005-0000-0000-0000F8040000}"/>
    <cellStyle name="40% - Accent2 7 2 2 2" xfId="17271" xr:uid="{AC5ECE3D-3DCC-4AA0-82BD-B0396DBE05E6}"/>
    <cellStyle name="40% - Accent2 7 2 2 2 2" xfId="53613" xr:uid="{E12781AF-893E-4E81-882C-2F6D139A8DEB}"/>
    <cellStyle name="40% - Accent2 7 2 2 2 3" xfId="35017" xr:uid="{D2A98A88-8FBC-4718-9326-ABDF7CAC8BE8}"/>
    <cellStyle name="40% - Accent2 7 2 2 3" xfId="44316" xr:uid="{72B9D98F-9EC0-4812-9F2A-17E600A3205B}"/>
    <cellStyle name="40% - Accent2 7 2 2 4" xfId="25718" xr:uid="{5F3E1E9F-F747-45FD-A783-C4ED3685D105}"/>
    <cellStyle name="40% - Accent2 7 2 3" xfId="13054" xr:uid="{13509C5E-81C9-4AE7-A3E7-8CAEF9439473}"/>
    <cellStyle name="40% - Accent2 7 2 3 2" xfId="49396" xr:uid="{BE9121F2-EE15-45FC-9DED-6B43911E87E3}"/>
    <cellStyle name="40% - Accent2 7 2 3 3" xfId="30800" xr:uid="{65161110-D576-4174-BB6D-DBB13B0604E9}"/>
    <cellStyle name="40% - Accent2 7 2 4" xfId="40099" xr:uid="{865448F8-2309-4457-8EBF-5C6BAFC9F57D}"/>
    <cellStyle name="40% - Accent2 7 2 5" xfId="21501" xr:uid="{C9EE1D37-42A3-4DED-95FF-9584FFF48E92}"/>
    <cellStyle name="40% - Accent2 7 3" xfId="5800" xr:uid="{00000000-0005-0000-0000-0000F9040000}"/>
    <cellStyle name="40% - Accent2 7 3 2" xfId="15126" xr:uid="{E5B986E4-D855-4530-84C1-09BAE7CA9989}"/>
    <cellStyle name="40% - Accent2 7 3 2 2" xfId="51468" xr:uid="{025033DE-C25B-4E60-B701-39A06660F1CD}"/>
    <cellStyle name="40% - Accent2 7 3 2 3" xfId="32872" xr:uid="{4A9F592E-9AF8-46A2-B68F-7590B45F812F}"/>
    <cellStyle name="40% - Accent2 7 3 3" xfId="42171" xr:uid="{7237B8DE-68E0-4513-97EC-5A4BB402FB58}"/>
    <cellStyle name="40% - Accent2 7 3 4" xfId="23573" xr:uid="{CD00E0D7-7A06-4233-9334-6799D55F7F99}"/>
    <cellStyle name="40% - Accent2 7 4" xfId="10909" xr:uid="{9CCC9D55-3079-4B53-8CE9-64397E325A0C}"/>
    <cellStyle name="40% - Accent2 7 4 2" xfId="47251" xr:uid="{FB5E057B-D575-4EB5-950F-064041CAA43F}"/>
    <cellStyle name="40% - Accent2 7 4 3" xfId="28655" xr:uid="{BB3CDB08-3A2F-4703-A168-E85CDCCD1C56}"/>
    <cellStyle name="40% - Accent2 7 5" xfId="37954" xr:uid="{E6ABD7F1-5F21-4A62-B7E7-44F6F3A6DF71}"/>
    <cellStyle name="40% - Accent2 7 6" xfId="19356" xr:uid="{9302BE43-AB14-4CB5-81D3-6B9830A85612}"/>
    <cellStyle name="40% - Accent2 8" xfId="1907" xr:uid="{00000000-0005-0000-0000-0000FA040000}"/>
    <cellStyle name="40% - Accent2 8 2" xfId="4136" xr:uid="{00000000-0005-0000-0000-0000FB040000}"/>
    <cellStyle name="40% - Accent2 8 2 2" xfId="8358" xr:uid="{00000000-0005-0000-0000-0000FC040000}"/>
    <cellStyle name="40% - Accent2 8 2 2 2" xfId="17684" xr:uid="{BF68F4F1-F317-4CE5-9F34-28B97200B639}"/>
    <cellStyle name="40% - Accent2 8 2 2 2 2" xfId="54026" xr:uid="{DC515799-19E4-49C0-A5CE-4CA1509EACD3}"/>
    <cellStyle name="40% - Accent2 8 2 2 2 3" xfId="35430" xr:uid="{A799727F-A9AF-4B89-8792-FEC57EE534DF}"/>
    <cellStyle name="40% - Accent2 8 2 2 3" xfId="44729" xr:uid="{31050575-6CC2-428B-BF6D-A7CBE6943834}"/>
    <cellStyle name="40% - Accent2 8 2 2 4" xfId="26131" xr:uid="{AEE958BB-2222-4A50-86DB-AF28D13138A0}"/>
    <cellStyle name="40% - Accent2 8 2 3" xfId="13467" xr:uid="{5B037DA7-7B4E-4C58-92E8-8C1624248701}"/>
    <cellStyle name="40% - Accent2 8 2 3 2" xfId="49809" xr:uid="{CCE4A0AA-D920-4438-8244-A90110DA0C1D}"/>
    <cellStyle name="40% - Accent2 8 2 3 3" xfId="31213" xr:uid="{97E264FB-D1DD-4198-8ADA-4DA5C1DCE182}"/>
    <cellStyle name="40% - Accent2 8 2 4" xfId="40512" xr:uid="{A7EE8FC5-231B-4ACD-A1E7-1C693345C615}"/>
    <cellStyle name="40% - Accent2 8 2 5" xfId="21914" xr:uid="{DAAE5DDC-434C-42C5-82A0-11793148AB01}"/>
    <cellStyle name="40% - Accent2 8 3" xfId="6213" xr:uid="{00000000-0005-0000-0000-0000FD040000}"/>
    <cellStyle name="40% - Accent2 8 3 2" xfId="15539" xr:uid="{A304AB06-A800-409E-8CB0-08DE1D29EA96}"/>
    <cellStyle name="40% - Accent2 8 3 2 2" xfId="51881" xr:uid="{91D6F0F7-617B-48BC-BBA5-56AAB04AA6EA}"/>
    <cellStyle name="40% - Accent2 8 3 2 3" xfId="33285" xr:uid="{CF2EF705-F51C-4E6B-AFA2-98C7BCE5E015}"/>
    <cellStyle name="40% - Accent2 8 3 3" xfId="42584" xr:uid="{B41B3BE6-D808-43E9-8A6D-146790B946BC}"/>
    <cellStyle name="40% - Accent2 8 3 4" xfId="23986" xr:uid="{8CDEE444-D569-4C91-8BF3-AAD007E1FCB6}"/>
    <cellStyle name="40% - Accent2 8 4" xfId="11322" xr:uid="{5AC54DD1-55E3-4D3F-98C3-9630AC6AAF3E}"/>
    <cellStyle name="40% - Accent2 8 4 2" xfId="47664" xr:uid="{09106592-D737-4E1B-8530-500942097B63}"/>
    <cellStyle name="40% - Accent2 8 4 3" xfId="29068" xr:uid="{BB8D6AFB-2155-43D8-A06B-99D23DDF6818}"/>
    <cellStyle name="40% - Accent2 8 5" xfId="38367" xr:uid="{DC0362AA-6456-4358-87A2-3C62A07292B2}"/>
    <cellStyle name="40% - Accent2 8 6" xfId="19769" xr:uid="{F834F6D7-B5B7-4714-A788-DF0B53F3D577}"/>
    <cellStyle name="40% - Accent2 9" xfId="2320" xr:uid="{00000000-0005-0000-0000-0000FE040000}"/>
    <cellStyle name="40% - Accent2 9 2" xfId="6626" xr:uid="{00000000-0005-0000-0000-0000FF040000}"/>
    <cellStyle name="40% - Accent2 9 2 2" xfId="15952" xr:uid="{64354D8A-1590-4B03-B171-61579A9E2AF0}"/>
    <cellStyle name="40% - Accent2 9 2 2 2" xfId="52294" xr:uid="{5D5589A3-9A64-4411-A96F-7E27A55523A5}"/>
    <cellStyle name="40% - Accent2 9 2 2 3" xfId="33698" xr:uid="{3167461A-D90D-4A7C-8FAA-46294658E06C}"/>
    <cellStyle name="40% - Accent2 9 2 3" xfId="42997" xr:uid="{416544CE-32DF-4403-AC0B-C2886DD79E40}"/>
    <cellStyle name="40% - Accent2 9 2 4" xfId="24399" xr:uid="{BDEF0A52-10CF-483E-AAB5-4869FA4FA089}"/>
    <cellStyle name="40% - Accent2 9 3" xfId="11735" xr:uid="{FA0566DC-D7C6-40D9-BA40-4318886BB86D}"/>
    <cellStyle name="40% - Accent2 9 3 2" xfId="48077" xr:uid="{E86F0EE9-58C6-4F02-BCB5-012584C5B6B6}"/>
    <cellStyle name="40% - Accent2 9 3 3" xfId="29481" xr:uid="{3C8FE25B-0421-4AF3-A486-0724457ED9B9}"/>
    <cellStyle name="40% - Accent2 9 4" xfId="38780" xr:uid="{4D4749A0-3EE9-4198-A8BB-DA75992D26AD}"/>
    <cellStyle name="40% - Accent2 9 5" xfId="20182" xr:uid="{C0253A4D-4628-4110-AF72-D457D99CA05B}"/>
    <cellStyle name="40% - Accent3" xfId="65" builtinId="39" customBuiltin="1"/>
    <cellStyle name="40% - Accent3 10" xfId="4568" xr:uid="{00000000-0005-0000-0000-000001050000}"/>
    <cellStyle name="40% - Accent3 10 2" xfId="13894" xr:uid="{B4D890C7-87EF-4047-8AB0-54EBFB186958}"/>
    <cellStyle name="40% - Accent3 10 2 2" xfId="50236" xr:uid="{00F6C321-FB0F-4F09-B8D6-D9E3B1239F6D}"/>
    <cellStyle name="40% - Accent3 10 2 3" xfId="31640" xr:uid="{3889A8DC-3D62-43CC-9901-13BBE6122790}"/>
    <cellStyle name="40% - Accent3 10 3" xfId="40939" xr:uid="{2E67C51C-1171-4C97-B892-C1774E484D54}"/>
    <cellStyle name="40% - Accent3 10 4" xfId="22341" xr:uid="{F2395FB4-1C17-4D0D-BA32-557AC1D21872}"/>
    <cellStyle name="40% - Accent3 11" xfId="8763" xr:uid="{CEFBFA85-5B68-4AEB-BF0D-8E604938B05F}"/>
    <cellStyle name="40% - Accent3 11 2" xfId="35833" xr:uid="{2AD8CADB-F45B-4100-84E7-5B01DCA2CFA2}"/>
    <cellStyle name="40% - Accent3 11 2 2" xfId="54428" xr:uid="{19289C7A-DB0A-4ECF-AEDA-8CBCE468C0F2}"/>
    <cellStyle name="40% - Accent3 11 3" xfId="45131" xr:uid="{2B4EBA7D-69BC-4A40-9618-078DE414E956}"/>
    <cellStyle name="40% - Accent3 11 4" xfId="26534" xr:uid="{0C1EEE51-0276-4282-A373-F261B9262ADA}"/>
    <cellStyle name="40% - Accent3 12" xfId="9677" xr:uid="{39EC9BF4-9580-4A8D-AB89-E21523F75CE0}"/>
    <cellStyle name="40% - Accent3 12 2" xfId="46019" xr:uid="{A07EB77F-40E8-4207-9B1B-86F782106D91}"/>
    <cellStyle name="40% - Accent3 12 3" xfId="27423" xr:uid="{FA98513B-DD79-42A3-8E23-DB99A7A93B06}"/>
    <cellStyle name="40% - Accent3 13" xfId="36722" xr:uid="{53297D40-3009-4198-AAF5-108C0FCB06D5}"/>
    <cellStyle name="40% - Accent3 14" xfId="18124" xr:uid="{5B65147E-9522-4C20-B6F4-D4E1E91B9CF7}"/>
    <cellStyle name="40% - Accent3 2" xfId="66" xr:uid="{00000000-0005-0000-0000-000002050000}"/>
    <cellStyle name="40% - Accent3 2 10" xfId="8800" xr:uid="{00FF2AAD-7D96-45B5-8981-0BB923A3505B}"/>
    <cellStyle name="40% - Accent3 2 10 2" xfId="35870" xr:uid="{5642D01F-32FB-4FD5-A521-3B7E717707BC}"/>
    <cellStyle name="40% - Accent3 2 10 2 2" xfId="54465" xr:uid="{C3A181C0-BE5A-4042-8D1A-A771EEA1267A}"/>
    <cellStyle name="40% - Accent3 2 10 3" xfId="45168" xr:uid="{261868F9-6077-4F8F-B283-02AF14022A46}"/>
    <cellStyle name="40% - Accent3 2 10 4" xfId="26571" xr:uid="{6F0C8426-030B-48F5-B5D2-A686FBE7C4FA}"/>
    <cellStyle name="40% - Accent3 2 11" xfId="9678" xr:uid="{CCBF11F4-2C96-40F4-916E-18607C2514FE}"/>
    <cellStyle name="40% - Accent3 2 11 2" xfId="46020" xr:uid="{7010DD7D-197B-49CC-9B1C-373E53B23D4F}"/>
    <cellStyle name="40% - Accent3 2 11 3" xfId="27424" xr:uid="{0A2A27DE-B152-4F76-AC82-8876D568082D}"/>
    <cellStyle name="40% - Accent3 2 12" xfId="36723" xr:uid="{100B1314-AB03-4821-9CDD-B50701CE4240}"/>
    <cellStyle name="40% - Accent3 2 13" xfId="18125" xr:uid="{A35BF4D0-26F4-4A21-9D1A-DCBDA8701C34}"/>
    <cellStyle name="40% - Accent3 2 2" xfId="67" xr:uid="{00000000-0005-0000-0000-000003050000}"/>
    <cellStyle name="40% - Accent3 2 2 10" xfId="9679" xr:uid="{F1BC00FB-A651-4750-9F4C-CC1A609C79C4}"/>
    <cellStyle name="40% - Accent3 2 2 10 2" xfId="46021" xr:uid="{2E7FE629-BB70-49BB-BE10-1ACF86CCC505}"/>
    <cellStyle name="40% - Accent3 2 2 10 3" xfId="27425" xr:uid="{BAE07FF6-29B1-47D6-89B5-2EB31042B212}"/>
    <cellStyle name="40% - Accent3 2 2 11" xfId="36724" xr:uid="{CF4A03FA-6F96-4453-AD42-BE2023A34A4B}"/>
    <cellStyle name="40% - Accent3 2 2 12" xfId="18126" xr:uid="{7129C324-52F1-4377-8DFD-4A1933994A74}"/>
    <cellStyle name="40% - Accent3 2 2 2" xfId="68" xr:uid="{00000000-0005-0000-0000-000004050000}"/>
    <cellStyle name="40% - Accent3 2 2 2 10" xfId="36725" xr:uid="{83EAFF32-A826-4EA7-91D6-CF6E7D4CD0D1}"/>
    <cellStyle name="40% - Accent3 2 2 2 11" xfId="18127" xr:uid="{685E02A6-6EE3-4A1B-A866-F5D9DC52F632}"/>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16456" xr:uid="{EF1A8F26-2A78-4E13-92BA-45AF5F70241E}"/>
    <cellStyle name="40% - Accent3 2 2 2 2 2 2 2 2" xfId="52798" xr:uid="{EB3733BF-79C4-4416-ADC8-ED088B5A560F}"/>
    <cellStyle name="40% - Accent3 2 2 2 2 2 2 2 3" xfId="34202" xr:uid="{4CA441FD-784C-47B2-90F2-E21B232C862A}"/>
    <cellStyle name="40% - Accent3 2 2 2 2 2 2 3" xfId="43501" xr:uid="{9B91642A-5109-4B1D-BDE2-CE7A10C674FF}"/>
    <cellStyle name="40% - Accent3 2 2 2 2 2 2 4" xfId="24903" xr:uid="{9F8C46A8-C22B-4508-9488-59EFFD9B3162}"/>
    <cellStyle name="40% - Accent3 2 2 2 2 2 3" xfId="12239" xr:uid="{B77EE34F-D2C6-4D13-B353-ECC9D2A5208D}"/>
    <cellStyle name="40% - Accent3 2 2 2 2 2 3 2" xfId="48581" xr:uid="{4A3DD8F2-33FB-4D44-887C-3E9C656F8B57}"/>
    <cellStyle name="40% - Accent3 2 2 2 2 2 3 3" xfId="29985" xr:uid="{4ED68A46-DF55-4A1B-B1CE-CD1BCFD6EDC8}"/>
    <cellStyle name="40% - Accent3 2 2 2 2 2 4" xfId="39284" xr:uid="{A4A36F0B-5138-4358-9A77-9F54C9EBC300}"/>
    <cellStyle name="40% - Accent3 2 2 2 2 2 5" xfId="20686" xr:uid="{06623EF1-63D6-44F1-A3AA-D0DF84FC5025}"/>
    <cellStyle name="40% - Accent3 2 2 2 2 3" xfId="4985" xr:uid="{00000000-0005-0000-0000-000008050000}"/>
    <cellStyle name="40% - Accent3 2 2 2 2 3 2" xfId="14311" xr:uid="{AD07A32A-9860-4CD7-835E-D4F4C587A9EF}"/>
    <cellStyle name="40% - Accent3 2 2 2 2 3 2 2" xfId="50653" xr:uid="{1BE65158-1DF2-4EE5-8542-3B05B020AECA}"/>
    <cellStyle name="40% - Accent3 2 2 2 2 3 2 3" xfId="32057" xr:uid="{F65EADE2-72AA-40CB-B6FF-0BC1445A3203}"/>
    <cellStyle name="40% - Accent3 2 2 2 2 3 3" xfId="41356" xr:uid="{FEC2E1EC-9518-4243-AC56-A6FDDBEB973E}"/>
    <cellStyle name="40% - Accent3 2 2 2 2 3 4" xfId="22758" xr:uid="{5612C4BB-9269-4966-B7BB-63D48AC1DA65}"/>
    <cellStyle name="40% - Accent3 2 2 2 2 4" xfId="9535" xr:uid="{3AC66435-D4C7-42EF-A799-3DC81A57BDF4}"/>
    <cellStyle name="40% - Accent3 2 2 2 2 4 2" xfId="36596" xr:uid="{A89C74D0-C2A4-447E-A58D-91C60CA06021}"/>
    <cellStyle name="40% - Accent3 2 2 2 2 4 2 2" xfId="55190" xr:uid="{2AAAB1DA-92F5-47E4-90CC-C76C98DD4827}"/>
    <cellStyle name="40% - Accent3 2 2 2 2 4 3" xfId="45893" xr:uid="{DA6C0B67-B917-4779-998B-2FB7806A6134}"/>
    <cellStyle name="40% - Accent3 2 2 2 2 4 4" xfId="27297" xr:uid="{A23AAFEF-D623-433D-B942-78495ABF3984}"/>
    <cellStyle name="40% - Accent3 2 2 2 2 5" xfId="10094" xr:uid="{D72695A2-A8C5-47E8-AB70-4F56EA80E845}"/>
    <cellStyle name="40% - Accent3 2 2 2 2 5 2" xfId="46436" xr:uid="{BB241D95-77DD-4D1C-940F-A14C0CD7043C}"/>
    <cellStyle name="40% - Accent3 2 2 2 2 5 3" xfId="27840" xr:uid="{C964D8A3-981E-4312-B04C-46921113557E}"/>
    <cellStyle name="40% - Accent3 2 2 2 2 6" xfId="37139" xr:uid="{1D824411-9EA2-4704-90CC-9EF22ABBA3F1}"/>
    <cellStyle name="40% - Accent3 2 2 2 2 7" xfId="18541" xr:uid="{5D5AAA2E-5AD2-4728-9576-0C7A88C38FDD}"/>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16869" xr:uid="{A0D46574-A901-4C03-BD9B-D2A16DB9B78D}"/>
    <cellStyle name="40% - Accent3 2 2 2 3 2 2 2 2" xfId="53211" xr:uid="{F0EC1A41-8DCA-428B-910C-6490B45438CC}"/>
    <cellStyle name="40% - Accent3 2 2 2 3 2 2 2 3" xfId="34615" xr:uid="{D1E76704-3034-441E-86B3-397F12A1D990}"/>
    <cellStyle name="40% - Accent3 2 2 2 3 2 2 3" xfId="43914" xr:uid="{F023FC24-1553-497B-BC7C-4384E6C7F075}"/>
    <cellStyle name="40% - Accent3 2 2 2 3 2 2 4" xfId="25316" xr:uid="{81D28B70-DC0E-44AF-BBDD-4618A21B4E62}"/>
    <cellStyle name="40% - Accent3 2 2 2 3 2 3" xfId="12652" xr:uid="{11335DF2-534C-487F-BA73-1590EB87F043}"/>
    <cellStyle name="40% - Accent3 2 2 2 3 2 3 2" xfId="48994" xr:uid="{CD376DDC-1997-4955-A432-EEC3A9A24A07}"/>
    <cellStyle name="40% - Accent3 2 2 2 3 2 3 3" xfId="30398" xr:uid="{2A62DB65-3A68-409B-A42D-C24E783EEDB5}"/>
    <cellStyle name="40% - Accent3 2 2 2 3 2 4" xfId="39697" xr:uid="{11E70D6F-E009-4221-9B6E-BD83EE1FFF0E}"/>
    <cellStyle name="40% - Accent3 2 2 2 3 2 5" xfId="21099" xr:uid="{1DD0B7D1-384B-4697-999A-0798F63B1EBB}"/>
    <cellStyle name="40% - Accent3 2 2 2 3 3" xfId="5398" xr:uid="{00000000-0005-0000-0000-00000C050000}"/>
    <cellStyle name="40% - Accent3 2 2 2 3 3 2" xfId="14724" xr:uid="{A959CD60-D379-4578-9C99-F3A8D148B30B}"/>
    <cellStyle name="40% - Accent3 2 2 2 3 3 2 2" xfId="51066" xr:uid="{E6B6C28A-D3FC-4A23-8691-AEE148475D36}"/>
    <cellStyle name="40% - Accent3 2 2 2 3 3 2 3" xfId="32470" xr:uid="{81F92F1B-9721-4AE4-B9F4-F209B1DE7649}"/>
    <cellStyle name="40% - Accent3 2 2 2 3 3 3" xfId="41769" xr:uid="{FFBF4F93-087F-47E3-B1F3-2CD027645A48}"/>
    <cellStyle name="40% - Accent3 2 2 2 3 3 4" xfId="23171" xr:uid="{BB272D86-CEE1-4A9A-BEEA-579F12012517}"/>
    <cellStyle name="40% - Accent3 2 2 2 3 4" xfId="10507" xr:uid="{89E83108-8B19-402E-BE5C-619DBF40A1CB}"/>
    <cellStyle name="40% - Accent3 2 2 2 3 4 2" xfId="46849" xr:uid="{30105943-69FE-4A9D-92FA-D1B48F00A222}"/>
    <cellStyle name="40% - Accent3 2 2 2 3 4 3" xfId="28253" xr:uid="{039A70FA-2B59-4252-9E2A-22249B37812F}"/>
    <cellStyle name="40% - Accent3 2 2 2 3 5" xfId="37552" xr:uid="{BC997B33-F468-449D-BDD9-E0AB565B6A75}"/>
    <cellStyle name="40% - Accent3 2 2 2 3 6" xfId="18954" xr:uid="{A8204A1C-BE0D-48F7-9AA4-DA0035BE319E}"/>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17282" xr:uid="{920FF147-FDAF-4D88-B23B-9736C1C141F1}"/>
    <cellStyle name="40% - Accent3 2 2 2 4 2 2 2 2" xfId="53624" xr:uid="{61A2530C-96D9-4F36-993E-08BC8E70F57B}"/>
    <cellStyle name="40% - Accent3 2 2 2 4 2 2 2 3" xfId="35028" xr:uid="{4E7487C6-F2B8-4490-A156-0C093357D5B4}"/>
    <cellStyle name="40% - Accent3 2 2 2 4 2 2 3" xfId="44327" xr:uid="{97CD548A-0BEC-4B08-88CB-818EDC30A1C0}"/>
    <cellStyle name="40% - Accent3 2 2 2 4 2 2 4" xfId="25729" xr:uid="{F37E8D0F-37BE-4743-90B2-55658806727D}"/>
    <cellStyle name="40% - Accent3 2 2 2 4 2 3" xfId="13065" xr:uid="{8A47E1FA-D359-4BC5-BB4E-9E47590D3D4E}"/>
    <cellStyle name="40% - Accent3 2 2 2 4 2 3 2" xfId="49407" xr:uid="{13D3EB95-AB64-46E6-8B2A-441AEF759F5A}"/>
    <cellStyle name="40% - Accent3 2 2 2 4 2 3 3" xfId="30811" xr:uid="{B90E7B67-D03B-4FD7-A20C-DA9E5FA55374}"/>
    <cellStyle name="40% - Accent3 2 2 2 4 2 4" xfId="40110" xr:uid="{0BAB1166-2A61-418E-A16B-987D547A175E}"/>
    <cellStyle name="40% - Accent3 2 2 2 4 2 5" xfId="21512" xr:uid="{953E2E3C-5F13-4F57-8CDD-25EAF24ECFFB}"/>
    <cellStyle name="40% - Accent3 2 2 2 4 3" xfId="5811" xr:uid="{00000000-0005-0000-0000-000010050000}"/>
    <cellStyle name="40% - Accent3 2 2 2 4 3 2" xfId="15137" xr:uid="{FDF3ADB8-4525-44E9-AE1A-627ED66F19D6}"/>
    <cellStyle name="40% - Accent3 2 2 2 4 3 2 2" xfId="51479" xr:uid="{CC73B7C9-0F56-4B16-B487-DF6A22A0CFAF}"/>
    <cellStyle name="40% - Accent3 2 2 2 4 3 2 3" xfId="32883" xr:uid="{278A5FD3-7DB6-4737-AA7F-04938D6334F0}"/>
    <cellStyle name="40% - Accent3 2 2 2 4 3 3" xfId="42182" xr:uid="{EE754754-6BB9-4729-945B-354978133815}"/>
    <cellStyle name="40% - Accent3 2 2 2 4 3 4" xfId="23584" xr:uid="{E89113EF-0011-4C78-BE93-EFF70799C781}"/>
    <cellStyle name="40% - Accent3 2 2 2 4 4" xfId="10920" xr:uid="{FF7A0036-67CA-4B87-8475-C57BB6756B2D}"/>
    <cellStyle name="40% - Accent3 2 2 2 4 4 2" xfId="47262" xr:uid="{77AD5F73-3CC9-4301-95DB-7722349FA1FC}"/>
    <cellStyle name="40% - Accent3 2 2 2 4 4 3" xfId="28666" xr:uid="{DF1E707D-717B-479D-8458-0F3DAF6A393F}"/>
    <cellStyle name="40% - Accent3 2 2 2 4 5" xfId="37965" xr:uid="{F911B273-8CD0-4296-B1E0-39A06E226A00}"/>
    <cellStyle name="40% - Accent3 2 2 2 4 6" xfId="19367" xr:uid="{7C565246-45AB-421C-9DE6-983BCD01BC81}"/>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17695" xr:uid="{BC581D78-DAFE-4391-B9D9-D61CB5A62BD3}"/>
    <cellStyle name="40% - Accent3 2 2 2 5 2 2 2 2" xfId="54037" xr:uid="{73E69A22-4CED-464F-9F2F-FC679C8167B2}"/>
    <cellStyle name="40% - Accent3 2 2 2 5 2 2 2 3" xfId="35441" xr:uid="{C4E28449-CB2F-49DA-976B-834344094796}"/>
    <cellStyle name="40% - Accent3 2 2 2 5 2 2 3" xfId="44740" xr:uid="{D3460D2A-B59A-4364-BB57-3E3C08BB27F7}"/>
    <cellStyle name="40% - Accent3 2 2 2 5 2 2 4" xfId="26142" xr:uid="{A9223792-8541-4BDF-8089-C1EF5A2C1821}"/>
    <cellStyle name="40% - Accent3 2 2 2 5 2 3" xfId="13478" xr:uid="{1D78534A-2740-47BC-A261-198C81F14C22}"/>
    <cellStyle name="40% - Accent3 2 2 2 5 2 3 2" xfId="49820" xr:uid="{DAEAEF83-A7CB-43B0-A933-7AF9CBF799C2}"/>
    <cellStyle name="40% - Accent3 2 2 2 5 2 3 3" xfId="31224" xr:uid="{5B1090A4-D05D-4A75-95AB-AEF86CE9C650}"/>
    <cellStyle name="40% - Accent3 2 2 2 5 2 4" xfId="40523" xr:uid="{1E4498E2-9CCB-43B7-8C14-B152012AB302}"/>
    <cellStyle name="40% - Accent3 2 2 2 5 2 5" xfId="21925" xr:uid="{351193DF-529C-403D-9A6C-A7BD9BDE08E6}"/>
    <cellStyle name="40% - Accent3 2 2 2 5 3" xfId="6224" xr:uid="{00000000-0005-0000-0000-000014050000}"/>
    <cellStyle name="40% - Accent3 2 2 2 5 3 2" xfId="15550" xr:uid="{41BE2672-C977-41EF-A3BD-17306A3B0875}"/>
    <cellStyle name="40% - Accent3 2 2 2 5 3 2 2" xfId="51892" xr:uid="{4871F1A0-3AE8-4D0A-B4F8-E4DC05D8AED8}"/>
    <cellStyle name="40% - Accent3 2 2 2 5 3 2 3" xfId="33296" xr:uid="{2419C54F-8366-46C5-9FC4-6103AE6E6AC9}"/>
    <cellStyle name="40% - Accent3 2 2 2 5 3 3" xfId="42595" xr:uid="{638B0AC7-CB5C-4544-8D83-5B65028C5BB5}"/>
    <cellStyle name="40% - Accent3 2 2 2 5 3 4" xfId="23997" xr:uid="{99A540EA-45BE-4A9E-9C02-BE0C34A60234}"/>
    <cellStyle name="40% - Accent3 2 2 2 5 4" xfId="11333" xr:uid="{441A9D1B-2FEC-4157-97DF-3901C611E19D}"/>
    <cellStyle name="40% - Accent3 2 2 2 5 4 2" xfId="47675" xr:uid="{8532A32E-BF82-4290-BE4E-D0A9BEC92A30}"/>
    <cellStyle name="40% - Accent3 2 2 2 5 4 3" xfId="29079" xr:uid="{1C1D0F8E-7277-40D8-8C44-9C361DFEA90D}"/>
    <cellStyle name="40% - Accent3 2 2 2 5 5" xfId="38378" xr:uid="{6D98B647-CC03-4458-8D34-6B6DB0CF06C8}"/>
    <cellStyle name="40% - Accent3 2 2 2 5 6" xfId="19780" xr:uid="{0F553B57-1F2F-4656-8F4A-B03291C5768A}"/>
    <cellStyle name="40% - Accent3 2 2 2 6" xfId="2331" xr:uid="{00000000-0005-0000-0000-000015050000}"/>
    <cellStyle name="40% - Accent3 2 2 2 6 2" xfId="6637" xr:uid="{00000000-0005-0000-0000-000016050000}"/>
    <cellStyle name="40% - Accent3 2 2 2 6 2 2" xfId="15963" xr:uid="{E45435DD-4EAF-416F-AEEB-E4E4DA775FB8}"/>
    <cellStyle name="40% - Accent3 2 2 2 6 2 2 2" xfId="52305" xr:uid="{DEFAA468-5E38-47F7-BB2E-65B0AA8E17F9}"/>
    <cellStyle name="40% - Accent3 2 2 2 6 2 2 3" xfId="33709" xr:uid="{A2F3597D-17FB-40C7-B567-2D5864C35A1D}"/>
    <cellStyle name="40% - Accent3 2 2 2 6 2 3" xfId="43008" xr:uid="{0569BC29-D4A2-483A-A88C-C764952B7367}"/>
    <cellStyle name="40% - Accent3 2 2 2 6 2 4" xfId="24410" xr:uid="{2D1C55A3-27A5-4960-B8D7-5201ADB4B0D0}"/>
    <cellStyle name="40% - Accent3 2 2 2 6 3" xfId="11746" xr:uid="{5F0FD1B1-257D-48ED-AABE-7003AABA8912}"/>
    <cellStyle name="40% - Accent3 2 2 2 6 3 2" xfId="48088" xr:uid="{5E5A1F9D-D81E-4446-84F6-E25A2769C10D}"/>
    <cellStyle name="40% - Accent3 2 2 2 6 3 3" xfId="29492" xr:uid="{294432AE-5361-4C17-BCCD-131F195F5CC4}"/>
    <cellStyle name="40% - Accent3 2 2 2 6 4" xfId="38791" xr:uid="{E906E5EF-6FE2-43BD-991B-08C44864290A}"/>
    <cellStyle name="40% - Accent3 2 2 2 6 5" xfId="20193" xr:uid="{A6366980-5BA8-4B82-A1C4-E1260269D954}"/>
    <cellStyle name="40% - Accent3 2 2 2 7" xfId="4571" xr:uid="{00000000-0005-0000-0000-000017050000}"/>
    <cellStyle name="40% - Accent3 2 2 2 7 2" xfId="13897" xr:uid="{39B58586-CD92-4991-8EE3-964555B25E31}"/>
    <cellStyle name="40% - Accent3 2 2 2 7 2 2" xfId="50239" xr:uid="{B64D0109-1C59-46A4-9AF5-F8A7E6767D16}"/>
    <cellStyle name="40% - Accent3 2 2 2 7 2 3" xfId="31643" xr:uid="{FC2F7508-3612-4C54-B74B-6CE3E4F2F1AA}"/>
    <cellStyle name="40% - Accent3 2 2 2 7 3" xfId="40942" xr:uid="{CDF02AC6-11EA-4A95-9EF9-9ABE221729C0}"/>
    <cellStyle name="40% - Accent3 2 2 2 7 4" xfId="22344" xr:uid="{B9028A1C-CD6F-46B5-9485-A9D123FFD65A}"/>
    <cellStyle name="40% - Accent3 2 2 2 8" xfId="9110" xr:uid="{E41CBEF9-86F8-44B9-895F-532A7BDC9A2A}"/>
    <cellStyle name="40% - Accent3 2 2 2 8 2" xfId="36180" xr:uid="{629BCB66-807B-4CDE-A246-BC2EDA6630A4}"/>
    <cellStyle name="40% - Accent3 2 2 2 8 2 2" xfId="54775" xr:uid="{3693B7F2-7533-4E7E-849F-0861772ACFCA}"/>
    <cellStyle name="40% - Accent3 2 2 2 8 3" xfId="45478" xr:uid="{486B271A-4262-484D-8140-3827AB3B16C1}"/>
    <cellStyle name="40% - Accent3 2 2 2 8 4" xfId="26881" xr:uid="{3F2FC795-6C3E-4CBA-B2DA-6803BD58D958}"/>
    <cellStyle name="40% - Accent3 2 2 2 9" xfId="9680" xr:uid="{3B7E7B28-FCAD-49EF-AE41-9455FE29D2BF}"/>
    <cellStyle name="40% - Accent3 2 2 2 9 2" xfId="46022" xr:uid="{B99D8048-CCA3-421E-89F8-D84A0F01B97B}"/>
    <cellStyle name="40% - Accent3 2 2 2 9 3" xfId="27426" xr:uid="{34378DDD-16B1-48F5-A1AA-18E774F8A11E}"/>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16455" xr:uid="{F381E892-CB54-4134-866C-680962B1418B}"/>
    <cellStyle name="40% - Accent3 2 2 3 2 2 2 2" xfId="52797" xr:uid="{41697E05-4B8E-4AB1-AE6F-904C555DA799}"/>
    <cellStyle name="40% - Accent3 2 2 3 2 2 2 3" xfId="34201" xr:uid="{ABDC890D-1F9D-434A-8EDD-993F1425E921}"/>
    <cellStyle name="40% - Accent3 2 2 3 2 2 3" xfId="43500" xr:uid="{3E0BD334-EC38-41F0-B952-1F652329B383}"/>
    <cellStyle name="40% - Accent3 2 2 3 2 2 4" xfId="24902" xr:uid="{A95A40CE-62C8-4DC5-8E40-6F02D6BB63AD}"/>
    <cellStyle name="40% - Accent3 2 2 3 2 3" xfId="12238" xr:uid="{9DB0328B-3213-4077-877F-6512901F5749}"/>
    <cellStyle name="40% - Accent3 2 2 3 2 3 2" xfId="48580" xr:uid="{219159FE-73F6-49DE-8BA4-229114BDD761}"/>
    <cellStyle name="40% - Accent3 2 2 3 2 3 3" xfId="29984" xr:uid="{BBB0AEFC-7C84-4D2E-B8AD-FA4F0B04B8C1}"/>
    <cellStyle name="40% - Accent3 2 2 3 2 4" xfId="39283" xr:uid="{EC5287D7-FB5F-4DF5-B25E-69DC5BCC491E}"/>
    <cellStyle name="40% - Accent3 2 2 3 2 5" xfId="20685" xr:uid="{AF11D31A-4D1B-4C8A-A572-22EFFA4267A1}"/>
    <cellStyle name="40% - Accent3 2 2 3 3" xfId="4984" xr:uid="{00000000-0005-0000-0000-00001B050000}"/>
    <cellStyle name="40% - Accent3 2 2 3 3 2" xfId="14310" xr:uid="{03FE1221-43B6-4C7D-8B61-DDD014466A5A}"/>
    <cellStyle name="40% - Accent3 2 2 3 3 2 2" xfId="50652" xr:uid="{0D4DB3CB-73FF-4FC2-845C-6E9DCFEEA49F}"/>
    <cellStyle name="40% - Accent3 2 2 3 3 2 3" xfId="32056" xr:uid="{79E6BAB4-68C3-4D11-B503-891891151CB1}"/>
    <cellStyle name="40% - Accent3 2 2 3 3 3" xfId="41355" xr:uid="{60564FBE-5C00-47F7-832E-16C55B1640FF}"/>
    <cellStyle name="40% - Accent3 2 2 3 3 4" xfId="22757" xr:uid="{69A97DAB-5121-474E-88AB-21F47D75F13A}"/>
    <cellStyle name="40% - Accent3 2 2 3 4" xfId="9328" xr:uid="{1DAEB9B9-01CE-426D-A8F1-CE08999D7264}"/>
    <cellStyle name="40% - Accent3 2 2 3 4 2" xfId="36389" xr:uid="{060C4671-CF79-4496-911C-BB46586DA7CE}"/>
    <cellStyle name="40% - Accent3 2 2 3 4 2 2" xfId="54983" xr:uid="{10D9A2F2-F71A-41BF-BB03-5097E8D8F722}"/>
    <cellStyle name="40% - Accent3 2 2 3 4 3" xfId="45686" xr:uid="{949FA4F6-30F2-485D-B712-D2EEC181AF40}"/>
    <cellStyle name="40% - Accent3 2 2 3 4 4" xfId="27090" xr:uid="{BFE209A4-1948-48A0-9967-72FDF8EE6840}"/>
    <cellStyle name="40% - Accent3 2 2 3 5" xfId="10093" xr:uid="{36420EB5-C5E6-4271-A7D1-60509A0FB4A1}"/>
    <cellStyle name="40% - Accent3 2 2 3 5 2" xfId="46435" xr:uid="{7FBC628B-92C6-4F42-9317-34024449B0A3}"/>
    <cellStyle name="40% - Accent3 2 2 3 5 3" xfId="27839" xr:uid="{AA4566A3-9319-4740-9B66-62A2DEE4DC4E}"/>
    <cellStyle name="40% - Accent3 2 2 3 6" xfId="37138" xr:uid="{F47277A7-AA04-43C1-8C57-11BBE0620178}"/>
    <cellStyle name="40% - Accent3 2 2 3 7" xfId="18540" xr:uid="{A6F08342-D9A0-40F3-B742-E2C42B914E20}"/>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16868" xr:uid="{2881D2B8-AFDB-4F4D-97F5-C803A5D25060}"/>
    <cellStyle name="40% - Accent3 2 2 4 2 2 2 2" xfId="53210" xr:uid="{C1F6AC74-FCF7-45CC-A765-7A470B2C9FD0}"/>
    <cellStyle name="40% - Accent3 2 2 4 2 2 2 3" xfId="34614" xr:uid="{7E044DF0-2AF4-4195-AE96-2D6D26CA5815}"/>
    <cellStyle name="40% - Accent3 2 2 4 2 2 3" xfId="43913" xr:uid="{80EC2988-FA6E-418C-88AF-EE4D9475DE15}"/>
    <cellStyle name="40% - Accent3 2 2 4 2 2 4" xfId="25315" xr:uid="{81D21B6F-A84A-4225-90E1-736148C6516D}"/>
    <cellStyle name="40% - Accent3 2 2 4 2 3" xfId="12651" xr:uid="{13DB3622-E6F4-48B3-B9DC-CF092D3E4645}"/>
    <cellStyle name="40% - Accent3 2 2 4 2 3 2" xfId="48993" xr:uid="{42131C41-2E62-46D7-A97E-EC199471C64F}"/>
    <cellStyle name="40% - Accent3 2 2 4 2 3 3" xfId="30397" xr:uid="{0EF1F961-DC34-4890-967B-72D8D14DB27C}"/>
    <cellStyle name="40% - Accent3 2 2 4 2 4" xfId="39696" xr:uid="{DAD0F3B6-64D7-49E3-BD17-6F7BEF52AEA8}"/>
    <cellStyle name="40% - Accent3 2 2 4 2 5" xfId="21098" xr:uid="{DC948EAA-CBA1-47D3-A9C9-3FA7BD748811}"/>
    <cellStyle name="40% - Accent3 2 2 4 3" xfId="5397" xr:uid="{00000000-0005-0000-0000-00001F050000}"/>
    <cellStyle name="40% - Accent3 2 2 4 3 2" xfId="14723" xr:uid="{DDB6E734-5D99-42FB-910D-FA98EE5DCFFF}"/>
    <cellStyle name="40% - Accent3 2 2 4 3 2 2" xfId="51065" xr:uid="{3B5D0669-0D1F-4C84-A94F-9BAC7246D80B}"/>
    <cellStyle name="40% - Accent3 2 2 4 3 2 3" xfId="32469" xr:uid="{65E337E2-59E3-42B6-99F7-1594A60797EE}"/>
    <cellStyle name="40% - Accent3 2 2 4 3 3" xfId="41768" xr:uid="{E28B906D-0784-41DC-9C2E-4D2EC86BBB00}"/>
    <cellStyle name="40% - Accent3 2 2 4 3 4" xfId="23170" xr:uid="{6F976201-8645-4222-A840-77C059DC35A2}"/>
    <cellStyle name="40% - Accent3 2 2 4 4" xfId="10506" xr:uid="{589A76C8-1593-4D88-9F5D-8D2A510E770C}"/>
    <cellStyle name="40% - Accent3 2 2 4 4 2" xfId="46848" xr:uid="{C7537FC3-146F-4336-A563-666C3279206F}"/>
    <cellStyle name="40% - Accent3 2 2 4 4 3" xfId="28252" xr:uid="{6A4C1706-4607-4FA2-BFC2-02B40AB6883C}"/>
    <cellStyle name="40% - Accent3 2 2 4 5" xfId="37551" xr:uid="{7E8DAA27-CFCA-45F2-AC08-B86F14FDD438}"/>
    <cellStyle name="40% - Accent3 2 2 4 6" xfId="18953" xr:uid="{86922500-2FFC-4BB1-BCD9-DB450CAEBAEE}"/>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17281" xr:uid="{37CD7859-8DA7-42EB-B924-31F17FEDA9C3}"/>
    <cellStyle name="40% - Accent3 2 2 5 2 2 2 2" xfId="53623" xr:uid="{27A43D9D-0102-4A05-8B8E-E89C8B2A9D06}"/>
    <cellStyle name="40% - Accent3 2 2 5 2 2 2 3" xfId="35027" xr:uid="{5ACACC76-8598-41C7-BFB1-BC8A3ECF4B5B}"/>
    <cellStyle name="40% - Accent3 2 2 5 2 2 3" xfId="44326" xr:uid="{A0998AAE-646F-453C-83CB-883658FC3639}"/>
    <cellStyle name="40% - Accent3 2 2 5 2 2 4" xfId="25728" xr:uid="{97599399-5249-44B1-B229-90FB53B117DA}"/>
    <cellStyle name="40% - Accent3 2 2 5 2 3" xfId="13064" xr:uid="{596F071B-26A3-43BB-8C27-4B05FF629046}"/>
    <cellStyle name="40% - Accent3 2 2 5 2 3 2" xfId="49406" xr:uid="{40ABD156-DCA6-4A40-B381-B206CC1F8746}"/>
    <cellStyle name="40% - Accent3 2 2 5 2 3 3" xfId="30810" xr:uid="{8F2B9497-068F-46F2-B91E-ACE0F8413DF9}"/>
    <cellStyle name="40% - Accent3 2 2 5 2 4" xfId="40109" xr:uid="{B8F7AADC-2CE3-494A-9876-9A86DDD33F4D}"/>
    <cellStyle name="40% - Accent3 2 2 5 2 5" xfId="21511" xr:uid="{89E29BF3-F525-42F0-8306-CD69416ECE1B}"/>
    <cellStyle name="40% - Accent3 2 2 5 3" xfId="5810" xr:uid="{00000000-0005-0000-0000-000023050000}"/>
    <cellStyle name="40% - Accent3 2 2 5 3 2" xfId="15136" xr:uid="{A82FDD82-4F67-4477-9CE5-195035F560F3}"/>
    <cellStyle name="40% - Accent3 2 2 5 3 2 2" xfId="51478" xr:uid="{3B0CE68D-A2CF-4336-9231-ADDD12A4DDD4}"/>
    <cellStyle name="40% - Accent3 2 2 5 3 2 3" xfId="32882" xr:uid="{22663AC0-C213-4CD6-9FE5-0C219A525FA0}"/>
    <cellStyle name="40% - Accent3 2 2 5 3 3" xfId="42181" xr:uid="{4546B356-4081-4909-9E66-8BEACD458B37}"/>
    <cellStyle name="40% - Accent3 2 2 5 3 4" xfId="23583" xr:uid="{9CD63CA9-1EAC-49AB-A0D1-2394EE0B94C8}"/>
    <cellStyle name="40% - Accent3 2 2 5 4" xfId="10919" xr:uid="{81C535BB-0FCE-44F5-86FF-A1A12333E5B5}"/>
    <cellStyle name="40% - Accent3 2 2 5 4 2" xfId="47261" xr:uid="{7EBB80E2-CF11-46A6-84D5-77739A759628}"/>
    <cellStyle name="40% - Accent3 2 2 5 4 3" xfId="28665" xr:uid="{3A3C85D3-6A10-439B-912F-D3792DE30827}"/>
    <cellStyle name="40% - Accent3 2 2 5 5" xfId="37964" xr:uid="{08C426D4-EB24-4FB7-ABFA-C1B1952DFD81}"/>
    <cellStyle name="40% - Accent3 2 2 5 6" xfId="19366" xr:uid="{838E5727-9223-4569-BBC7-1723EDC5306B}"/>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17694" xr:uid="{C30BFA2F-0189-438D-A4F3-1CC3D14FB784}"/>
    <cellStyle name="40% - Accent3 2 2 6 2 2 2 2" xfId="54036" xr:uid="{7D761934-D3E6-4FE3-B753-6EF49D383F33}"/>
    <cellStyle name="40% - Accent3 2 2 6 2 2 2 3" xfId="35440" xr:uid="{636DB030-4B0A-48D2-A00F-9C215C130FED}"/>
    <cellStyle name="40% - Accent3 2 2 6 2 2 3" xfId="44739" xr:uid="{C12E5CD8-C68D-4213-9379-A81897AD8746}"/>
    <cellStyle name="40% - Accent3 2 2 6 2 2 4" xfId="26141" xr:uid="{25F48C16-858D-4881-99D2-F90D6E3BF6CF}"/>
    <cellStyle name="40% - Accent3 2 2 6 2 3" xfId="13477" xr:uid="{A102F5F6-A0E5-4820-BFAF-5AB0CC8E6BE7}"/>
    <cellStyle name="40% - Accent3 2 2 6 2 3 2" xfId="49819" xr:uid="{963F6B15-9179-4173-AE07-85E15290E717}"/>
    <cellStyle name="40% - Accent3 2 2 6 2 3 3" xfId="31223" xr:uid="{A2D346C4-7791-44D8-A8DD-D178B948CB8C}"/>
    <cellStyle name="40% - Accent3 2 2 6 2 4" xfId="40522" xr:uid="{ABB3D43E-9294-462D-A972-97DBB64F28C3}"/>
    <cellStyle name="40% - Accent3 2 2 6 2 5" xfId="21924" xr:uid="{0BC706C3-159F-48A6-ADCA-B4AB7FABCCA7}"/>
    <cellStyle name="40% - Accent3 2 2 6 3" xfId="6223" xr:uid="{00000000-0005-0000-0000-000027050000}"/>
    <cellStyle name="40% - Accent3 2 2 6 3 2" xfId="15549" xr:uid="{83F1FF9F-06F6-4A26-A401-AEA4920B5A97}"/>
    <cellStyle name="40% - Accent3 2 2 6 3 2 2" xfId="51891" xr:uid="{4E75C40C-934D-48AD-AEAA-4E335CCF28C3}"/>
    <cellStyle name="40% - Accent3 2 2 6 3 2 3" xfId="33295" xr:uid="{76C96D1C-401B-4995-86D4-19BF9536C102}"/>
    <cellStyle name="40% - Accent3 2 2 6 3 3" xfId="42594" xr:uid="{D6A2118E-E9F4-46C8-8D16-55DC387FC28E}"/>
    <cellStyle name="40% - Accent3 2 2 6 3 4" xfId="23996" xr:uid="{3FD011D7-B236-4215-B0F7-032C2D9BE0EB}"/>
    <cellStyle name="40% - Accent3 2 2 6 4" xfId="11332" xr:uid="{AC557C21-6C8B-459A-9A3A-A92CA7289C50}"/>
    <cellStyle name="40% - Accent3 2 2 6 4 2" xfId="47674" xr:uid="{017AB2CC-78DD-4CBC-AFFC-2411E480B283}"/>
    <cellStyle name="40% - Accent3 2 2 6 4 3" xfId="29078" xr:uid="{D8ECA00A-57C3-457D-B00D-84AB4E32EBCA}"/>
    <cellStyle name="40% - Accent3 2 2 6 5" xfId="38377" xr:uid="{944E0773-C78C-40CF-B64C-B7D63DFD3EA8}"/>
    <cellStyle name="40% - Accent3 2 2 6 6" xfId="19779" xr:uid="{1ADC6A81-CBDF-46CE-B9E9-72B855B515B7}"/>
    <cellStyle name="40% - Accent3 2 2 7" xfId="2330" xr:uid="{00000000-0005-0000-0000-000028050000}"/>
    <cellStyle name="40% - Accent3 2 2 7 2" xfId="6636" xr:uid="{00000000-0005-0000-0000-000029050000}"/>
    <cellStyle name="40% - Accent3 2 2 7 2 2" xfId="15962" xr:uid="{075809D7-1070-4E80-9BC0-0BCB973070C0}"/>
    <cellStyle name="40% - Accent3 2 2 7 2 2 2" xfId="52304" xr:uid="{A259F6B9-D937-4449-A156-587EBB0FA238}"/>
    <cellStyle name="40% - Accent3 2 2 7 2 2 3" xfId="33708" xr:uid="{896EA967-E89B-4B11-9145-F61756A405F1}"/>
    <cellStyle name="40% - Accent3 2 2 7 2 3" xfId="43007" xr:uid="{A017CA35-B68D-46BB-A95D-A51AD4883620}"/>
    <cellStyle name="40% - Accent3 2 2 7 2 4" xfId="24409" xr:uid="{847C3C3A-AE95-41E6-98A9-516A85D0D9F7}"/>
    <cellStyle name="40% - Accent3 2 2 7 3" xfId="11745" xr:uid="{CA1C4388-1B33-403C-A8B1-E1D3425B8C62}"/>
    <cellStyle name="40% - Accent3 2 2 7 3 2" xfId="48087" xr:uid="{6A594C4B-BFA6-42B3-A018-472D9F13DD9F}"/>
    <cellStyle name="40% - Accent3 2 2 7 3 3" xfId="29491" xr:uid="{3BFB6B18-F433-4166-BF41-321F20989710}"/>
    <cellStyle name="40% - Accent3 2 2 7 4" xfId="38790" xr:uid="{568ECD6E-6CF8-4363-9C9D-D003B69F8E0B}"/>
    <cellStyle name="40% - Accent3 2 2 7 5" xfId="20192" xr:uid="{499E07C6-483E-40B4-94C8-AB64113C1669}"/>
    <cellStyle name="40% - Accent3 2 2 8" xfId="4570" xr:uid="{00000000-0005-0000-0000-00002A050000}"/>
    <cellStyle name="40% - Accent3 2 2 8 2" xfId="13896" xr:uid="{BD3DF295-98D4-4EA9-9B09-D82A5537FC24}"/>
    <cellStyle name="40% - Accent3 2 2 8 2 2" xfId="50238" xr:uid="{2F2608BB-2F22-4689-AC3A-7FACE3C87F86}"/>
    <cellStyle name="40% - Accent3 2 2 8 2 3" xfId="31642" xr:uid="{C563EDD9-8304-4B70-A6A6-D43ED5957BCB}"/>
    <cellStyle name="40% - Accent3 2 2 8 3" xfId="40941" xr:uid="{213597AB-DBE9-4503-9FB1-3AD66CB5404A}"/>
    <cellStyle name="40% - Accent3 2 2 8 4" xfId="22343" xr:uid="{B8C1736D-F1A0-46D8-AABE-FC70CC78384D}"/>
    <cellStyle name="40% - Accent3 2 2 9" xfId="8903" xr:uid="{D9C85917-26AE-466C-8B98-905BCDA9E329}"/>
    <cellStyle name="40% - Accent3 2 2 9 2" xfId="35973" xr:uid="{872BABD6-A61E-4930-9EB5-BC5DA67CB39A}"/>
    <cellStyle name="40% - Accent3 2 2 9 2 2" xfId="54568" xr:uid="{E5CB5E2F-74CD-435C-9270-1F559FB5BA42}"/>
    <cellStyle name="40% - Accent3 2 2 9 3" xfId="45271" xr:uid="{2433606E-BA67-4727-8281-22423E4E81B0}"/>
    <cellStyle name="40% - Accent3 2 2 9 4" xfId="26674" xr:uid="{840DA41E-FA12-43A5-8BE9-9A50E40FAB7C}"/>
    <cellStyle name="40% - Accent3 2 3" xfId="69" xr:uid="{00000000-0005-0000-0000-00002B050000}"/>
    <cellStyle name="40% - Accent3 2 3 10" xfId="36726" xr:uid="{97EBABA1-01A4-4F2F-A2F4-642E8ABC8617}"/>
    <cellStyle name="40% - Accent3 2 3 11" xfId="18128" xr:uid="{C97A6C7F-015E-4378-AD0A-ECFA744BB41A}"/>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16457" xr:uid="{5FB3D274-A375-4CD9-8578-13902A380BD9}"/>
    <cellStyle name="40% - Accent3 2 3 2 2 2 2 2" xfId="52799" xr:uid="{D553E967-F142-4303-9AB0-2BD6E068E050}"/>
    <cellStyle name="40% - Accent3 2 3 2 2 2 2 3" xfId="34203" xr:uid="{42A32591-4B8C-443C-B7DB-8389A4C3BB39}"/>
    <cellStyle name="40% - Accent3 2 3 2 2 2 3" xfId="43502" xr:uid="{EC80C963-29C6-4847-B9BC-EF5648723E77}"/>
    <cellStyle name="40% - Accent3 2 3 2 2 2 4" xfId="24904" xr:uid="{E5B85478-8B1A-452E-8259-7231BE77C1EA}"/>
    <cellStyle name="40% - Accent3 2 3 2 2 3" xfId="12240" xr:uid="{2D30743E-5392-49FF-BF32-FA283FEF871A}"/>
    <cellStyle name="40% - Accent3 2 3 2 2 3 2" xfId="48582" xr:uid="{1357B70C-D4B0-4982-8ECE-2402909C2671}"/>
    <cellStyle name="40% - Accent3 2 3 2 2 3 3" xfId="29986" xr:uid="{9A33550C-7365-409E-9538-79C1AE2BC1A1}"/>
    <cellStyle name="40% - Accent3 2 3 2 2 4" xfId="39285" xr:uid="{15A4AB6D-B349-465D-A063-29BD0D01E090}"/>
    <cellStyle name="40% - Accent3 2 3 2 2 5" xfId="20687" xr:uid="{D0333843-1A23-4071-9A61-D4E1599B0D04}"/>
    <cellStyle name="40% - Accent3 2 3 2 3" xfId="4986" xr:uid="{00000000-0005-0000-0000-00002F050000}"/>
    <cellStyle name="40% - Accent3 2 3 2 3 2" xfId="14312" xr:uid="{D94BD91A-EDF3-4F9E-B5DA-917A33993AE5}"/>
    <cellStyle name="40% - Accent3 2 3 2 3 2 2" xfId="50654" xr:uid="{1FD1B582-D179-49DD-BE2E-1BCD017EA4B8}"/>
    <cellStyle name="40% - Accent3 2 3 2 3 2 3" xfId="32058" xr:uid="{B87D81F3-A391-4365-A92B-CE62AC96EC92}"/>
    <cellStyle name="40% - Accent3 2 3 2 3 3" xfId="41357" xr:uid="{70BA1388-B05F-40A1-A204-CC9BE4C385F5}"/>
    <cellStyle name="40% - Accent3 2 3 2 3 4" xfId="22759" xr:uid="{0A29C7B6-E227-4FC1-8616-C7AD83C8BA55}"/>
    <cellStyle name="40% - Accent3 2 3 2 4" xfId="9432" xr:uid="{54D6848B-0200-4F42-820D-262A8F9A2C0F}"/>
    <cellStyle name="40% - Accent3 2 3 2 4 2" xfId="36493" xr:uid="{D0A84E93-FC1A-4338-8B74-2BC26C756BF8}"/>
    <cellStyle name="40% - Accent3 2 3 2 4 2 2" xfId="55087" xr:uid="{38915A9F-C4C5-437A-893B-E3050716F908}"/>
    <cellStyle name="40% - Accent3 2 3 2 4 3" xfId="45790" xr:uid="{2DDC614D-1682-43C4-9221-0790BDFB55D1}"/>
    <cellStyle name="40% - Accent3 2 3 2 4 4" xfId="27194" xr:uid="{EC938366-03FF-422C-836A-8847EFAE028E}"/>
    <cellStyle name="40% - Accent3 2 3 2 5" xfId="10095" xr:uid="{A8DA5E51-2BEE-4B54-8D42-1067BC272C85}"/>
    <cellStyle name="40% - Accent3 2 3 2 5 2" xfId="46437" xr:uid="{9E7D484F-4CD1-4A0A-BF62-0A87F2EC832B}"/>
    <cellStyle name="40% - Accent3 2 3 2 5 3" xfId="27841" xr:uid="{6F576DFB-4DDA-4A37-B9D4-27BF966D2DE4}"/>
    <cellStyle name="40% - Accent3 2 3 2 6" xfId="37140" xr:uid="{265B9D76-5C4D-4BB7-99F6-AFE37F592D66}"/>
    <cellStyle name="40% - Accent3 2 3 2 7" xfId="18542" xr:uid="{39ADA918-337A-47FA-A218-61CC2EA4726C}"/>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16870" xr:uid="{61E9C7CC-E1D7-41DE-A0AC-EF049EC3ECA5}"/>
    <cellStyle name="40% - Accent3 2 3 3 2 2 2 2" xfId="53212" xr:uid="{5AB7EE26-3AC4-4099-836D-D7543F78F300}"/>
    <cellStyle name="40% - Accent3 2 3 3 2 2 2 3" xfId="34616" xr:uid="{832A5869-74BA-45EF-ABA5-C9A0AE27BD38}"/>
    <cellStyle name="40% - Accent3 2 3 3 2 2 3" xfId="43915" xr:uid="{1B845BC6-1724-4300-BFD5-9AA282B68BF4}"/>
    <cellStyle name="40% - Accent3 2 3 3 2 2 4" xfId="25317" xr:uid="{769EA313-95E7-43F4-AE96-4BA5655F81E5}"/>
    <cellStyle name="40% - Accent3 2 3 3 2 3" xfId="12653" xr:uid="{3A7BC608-F1B0-45FD-9657-93638CA67477}"/>
    <cellStyle name="40% - Accent3 2 3 3 2 3 2" xfId="48995" xr:uid="{E3BD3E66-B599-49E6-9385-DF3C884F4074}"/>
    <cellStyle name="40% - Accent3 2 3 3 2 3 3" xfId="30399" xr:uid="{29279AFB-9FE0-4C78-BA08-FFA4AED9BE85}"/>
    <cellStyle name="40% - Accent3 2 3 3 2 4" xfId="39698" xr:uid="{CE41EA73-7003-4044-8003-91CBAFD77B49}"/>
    <cellStyle name="40% - Accent3 2 3 3 2 5" xfId="21100" xr:uid="{CCB380B9-8DD7-4C61-9136-B88FBBFE19DD}"/>
    <cellStyle name="40% - Accent3 2 3 3 3" xfId="5399" xr:uid="{00000000-0005-0000-0000-000033050000}"/>
    <cellStyle name="40% - Accent3 2 3 3 3 2" xfId="14725" xr:uid="{19D26236-2169-422C-BFE6-95A62A0C619F}"/>
    <cellStyle name="40% - Accent3 2 3 3 3 2 2" xfId="51067" xr:uid="{58D11EAE-6090-4F70-90AD-65C050B66BC2}"/>
    <cellStyle name="40% - Accent3 2 3 3 3 2 3" xfId="32471" xr:uid="{052BCECD-2D96-4CBC-BCBE-FA0EBB8D3350}"/>
    <cellStyle name="40% - Accent3 2 3 3 3 3" xfId="41770" xr:uid="{EA85BEF1-C9BD-4A2D-8BD2-5FB5CE4E4B18}"/>
    <cellStyle name="40% - Accent3 2 3 3 3 4" xfId="23172" xr:uid="{28EF9870-D086-48AB-877C-334C7C72A6CB}"/>
    <cellStyle name="40% - Accent3 2 3 3 4" xfId="10508" xr:uid="{70104371-0C18-4F44-B5B8-5A6A4166B403}"/>
    <cellStyle name="40% - Accent3 2 3 3 4 2" xfId="46850" xr:uid="{3B64C3E5-F560-4392-A8EC-444FBE8A0DFF}"/>
    <cellStyle name="40% - Accent3 2 3 3 4 3" xfId="28254" xr:uid="{F775515C-6C47-4CD6-89C2-C9DC0D65356C}"/>
    <cellStyle name="40% - Accent3 2 3 3 5" xfId="37553" xr:uid="{986D9470-F6E0-499D-94B2-8D085F3C6D23}"/>
    <cellStyle name="40% - Accent3 2 3 3 6" xfId="18955" xr:uid="{E50E3399-9400-4C4E-8AA5-B513BCBB3EFD}"/>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17283" xr:uid="{E365A5B0-B6EF-4A73-815F-69C4FFC1DF8B}"/>
    <cellStyle name="40% - Accent3 2 3 4 2 2 2 2" xfId="53625" xr:uid="{6933B13D-3914-4FCC-BF28-9A3877B981AF}"/>
    <cellStyle name="40% - Accent3 2 3 4 2 2 2 3" xfId="35029" xr:uid="{F48B7F53-1CDA-4197-AD7F-0B8F66175AD2}"/>
    <cellStyle name="40% - Accent3 2 3 4 2 2 3" xfId="44328" xr:uid="{CF23611F-EAB0-4BF8-92F5-ABAC3AD2C952}"/>
    <cellStyle name="40% - Accent3 2 3 4 2 2 4" xfId="25730" xr:uid="{140C2D2B-D4A7-4C96-8734-7BD2693AE5AB}"/>
    <cellStyle name="40% - Accent3 2 3 4 2 3" xfId="13066" xr:uid="{6E26AD2F-08BB-413E-8794-F213FED05FC3}"/>
    <cellStyle name="40% - Accent3 2 3 4 2 3 2" xfId="49408" xr:uid="{A9B2A7CE-6E08-46FB-8436-7701492F77A5}"/>
    <cellStyle name="40% - Accent3 2 3 4 2 3 3" xfId="30812" xr:uid="{C1CBE772-150C-4A65-BE5D-16703B74D6F9}"/>
    <cellStyle name="40% - Accent3 2 3 4 2 4" xfId="40111" xr:uid="{2FCEC300-74C6-4597-8E82-B12BAE8C8A3F}"/>
    <cellStyle name="40% - Accent3 2 3 4 2 5" xfId="21513" xr:uid="{D4212C53-06F8-45CD-8D23-41AE8B798424}"/>
    <cellStyle name="40% - Accent3 2 3 4 3" xfId="5812" xr:uid="{00000000-0005-0000-0000-000037050000}"/>
    <cellStyle name="40% - Accent3 2 3 4 3 2" xfId="15138" xr:uid="{D6076645-9104-4FC1-9706-D79519DAD840}"/>
    <cellStyle name="40% - Accent3 2 3 4 3 2 2" xfId="51480" xr:uid="{75774075-9BD9-4437-8285-685F5374FA83}"/>
    <cellStyle name="40% - Accent3 2 3 4 3 2 3" xfId="32884" xr:uid="{4A175DD6-663E-4717-850F-0ADD3FFB34C7}"/>
    <cellStyle name="40% - Accent3 2 3 4 3 3" xfId="42183" xr:uid="{745F63D6-3BFC-4AC6-8260-0AF6400FAE63}"/>
    <cellStyle name="40% - Accent3 2 3 4 3 4" xfId="23585" xr:uid="{55E3656F-E44C-47F3-AC38-82DF94085752}"/>
    <cellStyle name="40% - Accent3 2 3 4 4" xfId="10921" xr:uid="{C8030BDF-23A5-494E-B2E5-B9AE6E025DBB}"/>
    <cellStyle name="40% - Accent3 2 3 4 4 2" xfId="47263" xr:uid="{99869D32-F372-43F9-B194-97CC6D655134}"/>
    <cellStyle name="40% - Accent3 2 3 4 4 3" xfId="28667" xr:uid="{FC8393A8-A822-4110-9C7A-1FE5DB378AAE}"/>
    <cellStyle name="40% - Accent3 2 3 4 5" xfId="37966" xr:uid="{2CD195BB-0948-441A-BFB9-8E507A7FB120}"/>
    <cellStyle name="40% - Accent3 2 3 4 6" xfId="19368" xr:uid="{A6F6959F-56CA-4F4D-9707-D396BD8CF7B2}"/>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17696" xr:uid="{91EC28A0-B27F-444D-A356-F1DED9D976BF}"/>
    <cellStyle name="40% - Accent3 2 3 5 2 2 2 2" xfId="54038" xr:uid="{DBB8E521-7157-4DB8-8579-010C8C521DA1}"/>
    <cellStyle name="40% - Accent3 2 3 5 2 2 2 3" xfId="35442" xr:uid="{381863F3-67BC-4E3B-B7F2-CB03CE4CE38A}"/>
    <cellStyle name="40% - Accent3 2 3 5 2 2 3" xfId="44741" xr:uid="{C5C49D62-0165-46E5-AA6B-CBD2AA6C4EFA}"/>
    <cellStyle name="40% - Accent3 2 3 5 2 2 4" xfId="26143" xr:uid="{555C0D86-F306-4E79-B612-5D74FD99CA7B}"/>
    <cellStyle name="40% - Accent3 2 3 5 2 3" xfId="13479" xr:uid="{19DB6106-4327-413E-BB64-216E122959B9}"/>
    <cellStyle name="40% - Accent3 2 3 5 2 3 2" xfId="49821" xr:uid="{1F012411-DF94-41AC-B872-22E36FFBBD90}"/>
    <cellStyle name="40% - Accent3 2 3 5 2 3 3" xfId="31225" xr:uid="{43F3D226-DE71-4AF1-8936-FCD2154326EB}"/>
    <cellStyle name="40% - Accent3 2 3 5 2 4" xfId="40524" xr:uid="{4032195E-FC35-460D-A5F1-1BCA59BAC28B}"/>
    <cellStyle name="40% - Accent3 2 3 5 2 5" xfId="21926" xr:uid="{ADA85469-72FD-4FB2-8521-976D41FB29BE}"/>
    <cellStyle name="40% - Accent3 2 3 5 3" xfId="6225" xr:uid="{00000000-0005-0000-0000-00003B050000}"/>
    <cellStyle name="40% - Accent3 2 3 5 3 2" xfId="15551" xr:uid="{145CBC25-9BE8-46CA-81B1-A6B4C5FE2309}"/>
    <cellStyle name="40% - Accent3 2 3 5 3 2 2" xfId="51893" xr:uid="{3980B9A9-7849-423B-A689-FB1AC1098818}"/>
    <cellStyle name="40% - Accent3 2 3 5 3 2 3" xfId="33297" xr:uid="{E45C1445-B44B-40A0-A7FF-845C6359A254}"/>
    <cellStyle name="40% - Accent3 2 3 5 3 3" xfId="42596" xr:uid="{CFF794F9-C8F5-4018-8B76-68AC940FE043}"/>
    <cellStyle name="40% - Accent3 2 3 5 3 4" xfId="23998" xr:uid="{C64987CF-73EE-4FB7-9715-A45E277CE81E}"/>
    <cellStyle name="40% - Accent3 2 3 5 4" xfId="11334" xr:uid="{21337652-FDA0-47C6-A1E7-0262884BBE5B}"/>
    <cellStyle name="40% - Accent3 2 3 5 4 2" xfId="47676" xr:uid="{7CB0CAA2-5CC8-44F3-AFCA-D36B9B4F490E}"/>
    <cellStyle name="40% - Accent3 2 3 5 4 3" xfId="29080" xr:uid="{DF318AE7-0F6C-4614-BBA4-91C9BF0E34D3}"/>
    <cellStyle name="40% - Accent3 2 3 5 5" xfId="38379" xr:uid="{29D4C065-F1A7-4053-A63A-4D78B46BDBD4}"/>
    <cellStyle name="40% - Accent3 2 3 5 6" xfId="19781" xr:uid="{1BDDFEA7-4784-4469-BD29-58304A48DCEE}"/>
    <cellStyle name="40% - Accent3 2 3 6" xfId="2332" xr:uid="{00000000-0005-0000-0000-00003C050000}"/>
    <cellStyle name="40% - Accent3 2 3 6 2" xfId="6638" xr:uid="{00000000-0005-0000-0000-00003D050000}"/>
    <cellStyle name="40% - Accent3 2 3 6 2 2" xfId="15964" xr:uid="{49924077-561C-4F12-BFB6-EF0CE1E0732C}"/>
    <cellStyle name="40% - Accent3 2 3 6 2 2 2" xfId="52306" xr:uid="{9EEE3832-5D90-4C32-AED8-BDDA2876E75B}"/>
    <cellStyle name="40% - Accent3 2 3 6 2 2 3" xfId="33710" xr:uid="{9CA4E8A0-9933-4447-B4DA-C20F99EB6AE5}"/>
    <cellStyle name="40% - Accent3 2 3 6 2 3" xfId="43009" xr:uid="{6228542D-7D0B-4794-B73D-6F63CEB8D60C}"/>
    <cellStyle name="40% - Accent3 2 3 6 2 4" xfId="24411" xr:uid="{739C2ECA-702D-4FD8-9B4D-8FFE8C927262}"/>
    <cellStyle name="40% - Accent3 2 3 6 3" xfId="11747" xr:uid="{3B783751-8EA0-4D4C-AD05-510C5C60A5D9}"/>
    <cellStyle name="40% - Accent3 2 3 6 3 2" xfId="48089" xr:uid="{F7D4EDE5-6247-49B6-BE8B-C9F1B831EA43}"/>
    <cellStyle name="40% - Accent3 2 3 6 3 3" xfId="29493" xr:uid="{377C0A2A-3E78-41A1-9B65-A49138422F78}"/>
    <cellStyle name="40% - Accent3 2 3 6 4" xfId="38792" xr:uid="{D8859401-0958-4EC2-9518-1AA877E8EC25}"/>
    <cellStyle name="40% - Accent3 2 3 6 5" xfId="20194" xr:uid="{58BC29D2-C57E-40F0-87B8-FBCC2B371275}"/>
    <cellStyle name="40% - Accent3 2 3 7" xfId="4572" xr:uid="{00000000-0005-0000-0000-00003E050000}"/>
    <cellStyle name="40% - Accent3 2 3 7 2" xfId="13898" xr:uid="{F14F747A-D040-4D1A-B870-1B1ED37BC792}"/>
    <cellStyle name="40% - Accent3 2 3 7 2 2" xfId="50240" xr:uid="{396FC432-BC99-4A59-8CBF-89E88D2102B1}"/>
    <cellStyle name="40% - Accent3 2 3 7 2 3" xfId="31644" xr:uid="{A4CD86C7-1BFE-4F5B-AA04-F8D49716ABAE}"/>
    <cellStyle name="40% - Accent3 2 3 7 3" xfId="40943" xr:uid="{5211BFEF-C43C-4573-8DE1-BB7B195EF425}"/>
    <cellStyle name="40% - Accent3 2 3 7 4" xfId="22345" xr:uid="{58E43E10-039C-49C5-B66A-3D52D6B3C895}"/>
    <cellStyle name="40% - Accent3 2 3 8" xfId="9007" xr:uid="{2DEFD82C-2A62-4C1E-AA8D-7F2606BD9091}"/>
    <cellStyle name="40% - Accent3 2 3 8 2" xfId="36077" xr:uid="{CDCFD7F7-CC65-46C5-AC2B-008A0C1F8DD6}"/>
    <cellStyle name="40% - Accent3 2 3 8 2 2" xfId="54672" xr:uid="{17EF8CE1-F035-4F3C-9445-B1A5FAECA44C}"/>
    <cellStyle name="40% - Accent3 2 3 8 3" xfId="45375" xr:uid="{C0F805EE-A83E-496B-A47F-1D27CE719137}"/>
    <cellStyle name="40% - Accent3 2 3 8 4" xfId="26778" xr:uid="{DE14C082-45F9-4FFD-8BCE-01D66D16F09E}"/>
    <cellStyle name="40% - Accent3 2 3 9" xfId="9681" xr:uid="{57FC0D90-38DA-41F3-ABC1-8A1B0D7BB534}"/>
    <cellStyle name="40% - Accent3 2 3 9 2" xfId="46023" xr:uid="{F93D6753-9F2E-484A-9F91-8DE255EFF102}"/>
    <cellStyle name="40% - Accent3 2 3 9 3" xfId="27427" xr:uid="{9AA7963A-9B54-4FBD-8FEE-D23B17A5C6B7}"/>
    <cellStyle name="40% - Accent3 2 4" xfId="635" xr:uid="{00000000-0005-0000-0000-00003F050000}"/>
    <cellStyle name="40% - Accent3 2 4 2" xfId="2906" xr:uid="{00000000-0005-0000-0000-000040050000}"/>
    <cellStyle name="40% - Accent3 2 4 2 2" xfId="7128" xr:uid="{00000000-0005-0000-0000-000041050000}"/>
    <cellStyle name="40% - Accent3 2 4 2 2 2" xfId="16454" xr:uid="{4A5B37C5-88FB-43AB-88F7-E8CD1099B0EB}"/>
    <cellStyle name="40% - Accent3 2 4 2 2 2 2" xfId="52796" xr:uid="{AFDF1F61-18E9-4253-876E-53A83B32E253}"/>
    <cellStyle name="40% - Accent3 2 4 2 2 2 3" xfId="34200" xr:uid="{6038F900-CAE5-4B3F-8EBF-0BCEA1EF1836}"/>
    <cellStyle name="40% - Accent3 2 4 2 2 3" xfId="43499" xr:uid="{510D51BA-6F87-44DB-8C90-8FC826CDD1D6}"/>
    <cellStyle name="40% - Accent3 2 4 2 2 4" xfId="24901" xr:uid="{DC709DA6-F531-44BA-9F4A-90AB2DB037E5}"/>
    <cellStyle name="40% - Accent3 2 4 2 3" xfId="12237" xr:uid="{7A66BCEA-27F6-4C20-A116-8FC8B76E5622}"/>
    <cellStyle name="40% - Accent3 2 4 2 3 2" xfId="48579" xr:uid="{085644C7-34EC-4A81-8BDB-03FE7A25F612}"/>
    <cellStyle name="40% - Accent3 2 4 2 3 3" xfId="29983" xr:uid="{9864C49F-BF80-4F85-8790-CC84E386163F}"/>
    <cellStyle name="40% - Accent3 2 4 2 4" xfId="39282" xr:uid="{04114B47-B4C4-4C2E-BA8C-EF773B17933E}"/>
    <cellStyle name="40% - Accent3 2 4 2 5" xfId="20684" xr:uid="{462CFC83-5424-46AB-8A67-4041DC3DA3BE}"/>
    <cellStyle name="40% - Accent3 2 4 3" xfId="4983" xr:uid="{00000000-0005-0000-0000-000042050000}"/>
    <cellStyle name="40% - Accent3 2 4 3 2" xfId="14309" xr:uid="{5B305B29-A523-483B-8B40-10E5AC7CC7D6}"/>
    <cellStyle name="40% - Accent3 2 4 3 2 2" xfId="50651" xr:uid="{21988E47-D77A-4878-89BF-4B68A8C5C34B}"/>
    <cellStyle name="40% - Accent3 2 4 3 2 3" xfId="32055" xr:uid="{BEC3E23F-5EB8-4E50-A1A1-6673D68B769E}"/>
    <cellStyle name="40% - Accent3 2 4 3 3" xfId="41354" xr:uid="{7B2298E6-47BA-4397-984F-1B05D81A1268}"/>
    <cellStyle name="40% - Accent3 2 4 3 4" xfId="22756" xr:uid="{C92A7F2B-56AE-4AA2-99D2-F8DD4CB94D0D}"/>
    <cellStyle name="40% - Accent3 2 4 4" xfId="9224" xr:uid="{6B91012A-BFF2-4F1F-901C-A91F06F80031}"/>
    <cellStyle name="40% - Accent3 2 4 4 2" xfId="36286" xr:uid="{DC2BBF58-9D4D-41A3-A42F-E1C920D1819D}"/>
    <cellStyle name="40% - Accent3 2 4 4 2 2" xfId="54880" xr:uid="{F9AD3E06-944F-4756-A7B1-DEB1668BADA7}"/>
    <cellStyle name="40% - Accent3 2 4 4 3" xfId="45583" xr:uid="{C8CE80FD-DC50-486C-B398-4EC6768064B8}"/>
    <cellStyle name="40% - Accent3 2 4 4 4" xfId="26987" xr:uid="{00F9353C-F38D-4020-A012-98A188EACEDB}"/>
    <cellStyle name="40% - Accent3 2 4 5" xfId="10092" xr:uid="{FFA27CD7-1D34-405C-B460-BA25EABB884D}"/>
    <cellStyle name="40% - Accent3 2 4 5 2" xfId="46434" xr:uid="{C42DD8CC-FFB8-441C-8DA3-1A4CC6DC0D10}"/>
    <cellStyle name="40% - Accent3 2 4 5 3" xfId="27838" xr:uid="{23EB2CBF-0254-4F83-8A77-4C15BFB6E41C}"/>
    <cellStyle name="40% - Accent3 2 4 6" xfId="37137" xr:uid="{6C39D5AB-9F53-4DAA-8F92-28EB393AE505}"/>
    <cellStyle name="40% - Accent3 2 4 7" xfId="18539" xr:uid="{BEB84E79-A153-4D14-BB64-252BA1A0DAC2}"/>
    <cellStyle name="40% - Accent3 2 5" xfId="1088" xr:uid="{00000000-0005-0000-0000-000043050000}"/>
    <cellStyle name="40% - Accent3 2 5 2" xfId="3319" xr:uid="{00000000-0005-0000-0000-000044050000}"/>
    <cellStyle name="40% - Accent3 2 5 2 2" xfId="7541" xr:uid="{00000000-0005-0000-0000-000045050000}"/>
    <cellStyle name="40% - Accent3 2 5 2 2 2" xfId="16867" xr:uid="{61EA4332-5DF6-4E52-92CE-5785C47D5F38}"/>
    <cellStyle name="40% - Accent3 2 5 2 2 2 2" xfId="53209" xr:uid="{9C641782-BFC8-47E6-801D-C5B9F2A33E23}"/>
    <cellStyle name="40% - Accent3 2 5 2 2 2 3" xfId="34613" xr:uid="{605442EA-F86D-4AC0-9245-ADBFFBCFD389}"/>
    <cellStyle name="40% - Accent3 2 5 2 2 3" xfId="43912" xr:uid="{A9194848-1465-4258-A178-E2014B83E1AF}"/>
    <cellStyle name="40% - Accent3 2 5 2 2 4" xfId="25314" xr:uid="{7E9B6C3D-BEDF-4444-8111-B79F9DAEF33E}"/>
    <cellStyle name="40% - Accent3 2 5 2 3" xfId="12650" xr:uid="{E5D4D5A6-EF73-45A6-BEF6-4F82B40B293B}"/>
    <cellStyle name="40% - Accent3 2 5 2 3 2" xfId="48992" xr:uid="{A060B20E-8E1E-4490-BC38-319953CB7361}"/>
    <cellStyle name="40% - Accent3 2 5 2 3 3" xfId="30396" xr:uid="{CE3025B8-B4F9-4698-9BD9-B9518309520B}"/>
    <cellStyle name="40% - Accent3 2 5 2 4" xfId="39695" xr:uid="{6B5B5D06-5ED9-4A29-AA71-F75AF074660B}"/>
    <cellStyle name="40% - Accent3 2 5 2 5" xfId="21097" xr:uid="{BE70E961-B58B-4823-B273-6ED8DEC116F6}"/>
    <cellStyle name="40% - Accent3 2 5 3" xfId="5396" xr:uid="{00000000-0005-0000-0000-000046050000}"/>
    <cellStyle name="40% - Accent3 2 5 3 2" xfId="14722" xr:uid="{B57EBFAE-D02F-418D-A800-2F2C00FCB135}"/>
    <cellStyle name="40% - Accent3 2 5 3 2 2" xfId="51064" xr:uid="{3BB7C2C8-6B25-4AE6-A55E-C72375D3B00C}"/>
    <cellStyle name="40% - Accent3 2 5 3 2 3" xfId="32468" xr:uid="{44A9474B-3270-4C53-8F68-8A416BE4BB07}"/>
    <cellStyle name="40% - Accent3 2 5 3 3" xfId="41767" xr:uid="{E302778C-7F8E-4B43-B272-6B3E315315B8}"/>
    <cellStyle name="40% - Accent3 2 5 3 4" xfId="23169" xr:uid="{0B1A42BA-B69B-433B-8D10-465275712A26}"/>
    <cellStyle name="40% - Accent3 2 5 4" xfId="10505" xr:uid="{34448448-B414-47B6-8C79-9B4CAF5AAD10}"/>
    <cellStyle name="40% - Accent3 2 5 4 2" xfId="46847" xr:uid="{77D62B5C-4F0C-4424-AE21-71F5585E3942}"/>
    <cellStyle name="40% - Accent3 2 5 4 3" xfId="28251" xr:uid="{63A61AC9-8BDD-4144-9677-A88C7C5B9545}"/>
    <cellStyle name="40% - Accent3 2 5 5" xfId="37550" xr:uid="{1EA3AE4C-0B7D-4AC0-AF3C-72E11D0E81B8}"/>
    <cellStyle name="40% - Accent3 2 5 6" xfId="18952" xr:uid="{66A9E78A-7272-4E02-8C62-3D69B17844E1}"/>
    <cellStyle name="40% - Accent3 2 6" xfId="1502" xr:uid="{00000000-0005-0000-0000-000047050000}"/>
    <cellStyle name="40% - Accent3 2 6 2" xfId="3732" xr:uid="{00000000-0005-0000-0000-000048050000}"/>
    <cellStyle name="40% - Accent3 2 6 2 2" xfId="7954" xr:uid="{00000000-0005-0000-0000-000049050000}"/>
    <cellStyle name="40% - Accent3 2 6 2 2 2" xfId="17280" xr:uid="{F4DCE8FA-4A81-4177-9ABA-E8C95AAF58A1}"/>
    <cellStyle name="40% - Accent3 2 6 2 2 2 2" xfId="53622" xr:uid="{BFFC8DE3-5913-4B74-85F8-04A4C354D800}"/>
    <cellStyle name="40% - Accent3 2 6 2 2 2 3" xfId="35026" xr:uid="{76D481F4-9E67-4AC4-958D-6D779F4229BF}"/>
    <cellStyle name="40% - Accent3 2 6 2 2 3" xfId="44325" xr:uid="{89887746-D56D-4A89-BF94-EBF23B980133}"/>
    <cellStyle name="40% - Accent3 2 6 2 2 4" xfId="25727" xr:uid="{94EF7886-9B45-4189-8696-3FB58A7198BF}"/>
    <cellStyle name="40% - Accent3 2 6 2 3" xfId="13063" xr:uid="{17088164-D731-4683-A1E3-EDC708ADE426}"/>
    <cellStyle name="40% - Accent3 2 6 2 3 2" xfId="49405" xr:uid="{FD64F9DD-36A0-4C78-829C-0E8E7153485C}"/>
    <cellStyle name="40% - Accent3 2 6 2 3 3" xfId="30809" xr:uid="{B22D95DC-B67F-4864-8F98-15C26B3BC7CC}"/>
    <cellStyle name="40% - Accent3 2 6 2 4" xfId="40108" xr:uid="{37B27EBC-2734-4353-A245-5B82C033DA7A}"/>
    <cellStyle name="40% - Accent3 2 6 2 5" xfId="21510" xr:uid="{6DA35F42-42B6-4A72-A587-A6881AF6073C}"/>
    <cellStyle name="40% - Accent3 2 6 3" xfId="5809" xr:uid="{00000000-0005-0000-0000-00004A050000}"/>
    <cellStyle name="40% - Accent3 2 6 3 2" xfId="15135" xr:uid="{225366C2-B023-4FB6-B1E4-BFF3DCB7FABF}"/>
    <cellStyle name="40% - Accent3 2 6 3 2 2" xfId="51477" xr:uid="{4752FDFB-5B78-4080-A63F-52EA61463AC2}"/>
    <cellStyle name="40% - Accent3 2 6 3 2 3" xfId="32881" xr:uid="{E283B723-9F14-4B73-9D9E-B19A7869FA1E}"/>
    <cellStyle name="40% - Accent3 2 6 3 3" xfId="42180" xr:uid="{586A5CA4-4BD0-4ED9-A0DA-0F0A2BE94227}"/>
    <cellStyle name="40% - Accent3 2 6 3 4" xfId="23582" xr:uid="{85C3517C-AFB7-4D31-8664-F33CAE9AC7A2}"/>
    <cellStyle name="40% - Accent3 2 6 4" xfId="10918" xr:uid="{004B4B7E-F7FC-45D0-98F2-D44762D24FD1}"/>
    <cellStyle name="40% - Accent3 2 6 4 2" xfId="47260" xr:uid="{C3248843-4D38-4B1A-AD1E-9AFDA8EE8A1E}"/>
    <cellStyle name="40% - Accent3 2 6 4 3" xfId="28664" xr:uid="{AB077BD6-295F-47E6-B405-1DD08532FA41}"/>
    <cellStyle name="40% - Accent3 2 6 5" xfId="37963" xr:uid="{29AB57AE-5778-4A6D-AF6B-FA89A41DCDC3}"/>
    <cellStyle name="40% - Accent3 2 6 6" xfId="19365" xr:uid="{7ED0D816-84E3-4480-B078-C2DC381A0BC6}"/>
    <cellStyle name="40% - Accent3 2 7" xfId="1916" xr:uid="{00000000-0005-0000-0000-00004B050000}"/>
    <cellStyle name="40% - Accent3 2 7 2" xfId="4145" xr:uid="{00000000-0005-0000-0000-00004C050000}"/>
    <cellStyle name="40% - Accent3 2 7 2 2" xfId="8367" xr:uid="{00000000-0005-0000-0000-00004D050000}"/>
    <cellStyle name="40% - Accent3 2 7 2 2 2" xfId="17693" xr:uid="{0471D2BB-060F-423E-8E89-D288C211921B}"/>
    <cellStyle name="40% - Accent3 2 7 2 2 2 2" xfId="54035" xr:uid="{31496DBF-0C2E-463F-94A8-DD27C3E278C2}"/>
    <cellStyle name="40% - Accent3 2 7 2 2 2 3" xfId="35439" xr:uid="{A33C81FF-B6DC-4E04-AACC-99BB2AC5ACF8}"/>
    <cellStyle name="40% - Accent3 2 7 2 2 3" xfId="44738" xr:uid="{B8AF9527-4532-442A-8E14-9B5720ED1F2D}"/>
    <cellStyle name="40% - Accent3 2 7 2 2 4" xfId="26140" xr:uid="{8ECBB7B7-5A1D-4974-88ED-D48D154007FF}"/>
    <cellStyle name="40% - Accent3 2 7 2 3" xfId="13476" xr:uid="{1604D8DE-DB22-49F2-AB6E-4A72F8A74964}"/>
    <cellStyle name="40% - Accent3 2 7 2 3 2" xfId="49818" xr:uid="{D92F94DD-DE6C-4909-B1D5-B12DCDA51636}"/>
    <cellStyle name="40% - Accent3 2 7 2 3 3" xfId="31222" xr:uid="{95E05487-BEC5-4335-8700-5F5C30DF4475}"/>
    <cellStyle name="40% - Accent3 2 7 2 4" xfId="40521" xr:uid="{90F4C65C-F5E5-40ED-83D1-AF144393733B}"/>
    <cellStyle name="40% - Accent3 2 7 2 5" xfId="21923" xr:uid="{130775B4-3F49-49B1-84B8-A4ED99C71C2D}"/>
    <cellStyle name="40% - Accent3 2 7 3" xfId="6222" xr:uid="{00000000-0005-0000-0000-00004E050000}"/>
    <cellStyle name="40% - Accent3 2 7 3 2" xfId="15548" xr:uid="{68596E55-AF8C-4274-9591-907C6F49C698}"/>
    <cellStyle name="40% - Accent3 2 7 3 2 2" xfId="51890" xr:uid="{7E041517-926B-4D70-BEFD-D68D684EAA0A}"/>
    <cellStyle name="40% - Accent3 2 7 3 2 3" xfId="33294" xr:uid="{CEFD6E84-9015-4626-A638-1DD5FC6AA3E7}"/>
    <cellStyle name="40% - Accent3 2 7 3 3" xfId="42593" xr:uid="{75033F1E-7CEE-4CA9-AA2D-84DEE1313DAE}"/>
    <cellStyle name="40% - Accent3 2 7 3 4" xfId="23995" xr:uid="{1D8339FD-709F-4834-B3B2-D1ABA2DE6536}"/>
    <cellStyle name="40% - Accent3 2 7 4" xfId="11331" xr:uid="{1BF479B5-B37A-448D-A3D2-025ABD8356A4}"/>
    <cellStyle name="40% - Accent3 2 7 4 2" xfId="47673" xr:uid="{EA935761-E92A-4A81-A0B6-EE6D74ECD85F}"/>
    <cellStyle name="40% - Accent3 2 7 4 3" xfId="29077" xr:uid="{1E044D8E-D86E-4C12-89DA-01A19ED9D6AC}"/>
    <cellStyle name="40% - Accent3 2 7 5" xfId="38376" xr:uid="{4C22777B-55F4-49CC-8758-106133A9B0DD}"/>
    <cellStyle name="40% - Accent3 2 7 6" xfId="19778" xr:uid="{6D996765-9652-47E7-9C7D-61582B410745}"/>
    <cellStyle name="40% - Accent3 2 8" xfId="2329" xr:uid="{00000000-0005-0000-0000-00004F050000}"/>
    <cellStyle name="40% - Accent3 2 8 2" xfId="6635" xr:uid="{00000000-0005-0000-0000-000050050000}"/>
    <cellStyle name="40% - Accent3 2 8 2 2" xfId="15961" xr:uid="{D5D50FCA-42EC-426D-B661-C5269230F7A1}"/>
    <cellStyle name="40% - Accent3 2 8 2 2 2" xfId="52303" xr:uid="{3CCEA478-E8F1-4353-8BC2-68CFE26C4F4C}"/>
    <cellStyle name="40% - Accent3 2 8 2 2 3" xfId="33707" xr:uid="{48086E83-A29B-451F-89A4-1E31A4F7C034}"/>
    <cellStyle name="40% - Accent3 2 8 2 3" xfId="43006" xr:uid="{D800B3F9-D8BB-419C-9E11-F039CCD061AC}"/>
    <cellStyle name="40% - Accent3 2 8 2 4" xfId="24408" xr:uid="{4B69AA3A-CC26-403D-80DC-132CB0552B85}"/>
    <cellStyle name="40% - Accent3 2 8 3" xfId="11744" xr:uid="{B73FD3B3-9B34-49AB-BCAA-231D713654FE}"/>
    <cellStyle name="40% - Accent3 2 8 3 2" xfId="48086" xr:uid="{F8DDF3B7-E8EB-48DA-BB1B-657C64D6529D}"/>
    <cellStyle name="40% - Accent3 2 8 3 3" xfId="29490" xr:uid="{9DD0E0FB-EC5E-4DBD-B304-BBE7BBCDFA44}"/>
    <cellStyle name="40% - Accent3 2 8 4" xfId="38789" xr:uid="{6C5B451D-E7CB-4B4E-84CB-4056048993D1}"/>
    <cellStyle name="40% - Accent3 2 8 5" xfId="20191" xr:uid="{3EAABE22-A5B5-4D52-924B-25A1683830D5}"/>
    <cellStyle name="40% - Accent3 2 9" xfId="4569" xr:uid="{00000000-0005-0000-0000-000051050000}"/>
    <cellStyle name="40% - Accent3 2 9 2" xfId="13895" xr:uid="{46123435-0DE0-4435-ABEB-4FA0EE842885}"/>
    <cellStyle name="40% - Accent3 2 9 2 2" xfId="50237" xr:uid="{B3791CE0-D4E0-4866-BA01-4CC83E4BCBF2}"/>
    <cellStyle name="40% - Accent3 2 9 2 3" xfId="31641" xr:uid="{43F376AB-5090-435B-92DA-39F93DB10DD6}"/>
    <cellStyle name="40% - Accent3 2 9 3" xfId="40940" xr:uid="{83B1DB47-0D91-4D0D-88BB-D4431287515F}"/>
    <cellStyle name="40% - Accent3 2 9 4" xfId="22342" xr:uid="{D32B2093-CE48-4DCA-844D-0CB5892253F0}"/>
    <cellStyle name="40% - Accent3 3" xfId="70" xr:uid="{00000000-0005-0000-0000-000052050000}"/>
    <cellStyle name="40% - Accent3 3 10" xfId="9682" xr:uid="{37F50FE5-3CF0-4999-9F9E-112F6DD14CDE}"/>
    <cellStyle name="40% - Accent3 3 10 2" xfId="46024" xr:uid="{A11D6642-A8FF-41A1-8D06-82AF8CF69D20}"/>
    <cellStyle name="40% - Accent3 3 10 3" xfId="27428" xr:uid="{A57C693A-1078-452F-A320-2B92C367A7F2}"/>
    <cellStyle name="40% - Accent3 3 11" xfId="36727" xr:uid="{13FBE944-71E0-400A-ADE9-61DC86D44AF6}"/>
    <cellStyle name="40% - Accent3 3 12" xfId="18129" xr:uid="{F9A1FFA2-CB11-402A-ABAB-E014DA1E50F4}"/>
    <cellStyle name="40% - Accent3 3 2" xfId="71" xr:uid="{00000000-0005-0000-0000-000053050000}"/>
    <cellStyle name="40% - Accent3 3 2 10" xfId="36728" xr:uid="{AFC075F4-C2A7-4305-BB66-1037110964B7}"/>
    <cellStyle name="40% - Accent3 3 2 11" xfId="18130" xr:uid="{2A81B2EE-DAC3-4DA3-A0D0-D6D1861AB7AE}"/>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16459" xr:uid="{B4AF7692-781A-488F-B46C-2C7FD50AB757}"/>
    <cellStyle name="40% - Accent3 3 2 2 2 2 2 2" xfId="52801" xr:uid="{45BAEF33-9CBD-4CA9-94A4-AF88B29D4CA3}"/>
    <cellStyle name="40% - Accent3 3 2 2 2 2 2 3" xfId="34205" xr:uid="{492DBDE5-A453-477D-82F6-F0FD006E4322}"/>
    <cellStyle name="40% - Accent3 3 2 2 2 2 3" xfId="43504" xr:uid="{FF63C30A-C3C6-47CB-99CA-42A9BDF869C7}"/>
    <cellStyle name="40% - Accent3 3 2 2 2 2 4" xfId="24906" xr:uid="{B16E0A42-1160-42F0-81FD-F699D01AB1FF}"/>
    <cellStyle name="40% - Accent3 3 2 2 2 3" xfId="12242" xr:uid="{BA6D4EEF-E929-43C0-B83D-5AAAC9FDBD64}"/>
    <cellStyle name="40% - Accent3 3 2 2 2 3 2" xfId="48584" xr:uid="{ED8DAA44-772F-425A-B7EA-014C580DE3CD}"/>
    <cellStyle name="40% - Accent3 3 2 2 2 3 3" xfId="29988" xr:uid="{17631A91-2D3F-4F2D-BBD4-364D5D46873F}"/>
    <cellStyle name="40% - Accent3 3 2 2 2 4" xfId="39287" xr:uid="{0CEB5A62-EED1-4E90-AC38-BACBE3544B53}"/>
    <cellStyle name="40% - Accent3 3 2 2 2 5" xfId="20689" xr:uid="{F11EF274-400C-49E7-A2F7-4503EEEA7EE6}"/>
    <cellStyle name="40% - Accent3 3 2 2 3" xfId="4988" xr:uid="{00000000-0005-0000-0000-000057050000}"/>
    <cellStyle name="40% - Accent3 3 2 2 3 2" xfId="14314" xr:uid="{7937AFA4-9A98-49F7-9B01-F3751E1C0A98}"/>
    <cellStyle name="40% - Accent3 3 2 2 3 2 2" xfId="50656" xr:uid="{51D96E55-6595-4203-A9A9-95E331EEE98F}"/>
    <cellStyle name="40% - Accent3 3 2 2 3 2 3" xfId="32060" xr:uid="{EF1B4764-9A08-4631-BAF4-0C1EC9440B1C}"/>
    <cellStyle name="40% - Accent3 3 2 2 3 3" xfId="41359" xr:uid="{8C792D5A-33E9-40EF-A080-EE72B4173412}"/>
    <cellStyle name="40% - Accent3 3 2 2 3 4" xfId="22761" xr:uid="{60A9D37C-AECD-41F6-AF15-4866CFF202CC}"/>
    <cellStyle name="40% - Accent3 3 2 2 4" xfId="9498" xr:uid="{7C43CF58-5AE0-4BAA-9D2B-CAB92F3612F1}"/>
    <cellStyle name="40% - Accent3 3 2 2 4 2" xfId="36559" xr:uid="{F46782DE-323E-472E-894C-3119BDAD37A0}"/>
    <cellStyle name="40% - Accent3 3 2 2 4 2 2" xfId="55153" xr:uid="{A602D246-EF37-4301-BF1F-DE25746ABC22}"/>
    <cellStyle name="40% - Accent3 3 2 2 4 3" xfId="45856" xr:uid="{A497FE2B-3B00-4DAF-B935-3951169A0ED3}"/>
    <cellStyle name="40% - Accent3 3 2 2 4 4" xfId="27260" xr:uid="{7FBB83D7-38B5-45FA-9AE3-9BEE60D1705C}"/>
    <cellStyle name="40% - Accent3 3 2 2 5" xfId="10097" xr:uid="{93A4509B-D85A-4450-8F8C-7F855FFD05D2}"/>
    <cellStyle name="40% - Accent3 3 2 2 5 2" xfId="46439" xr:uid="{DD63137B-1985-4827-8B58-77E8A6C698DD}"/>
    <cellStyle name="40% - Accent3 3 2 2 5 3" xfId="27843" xr:uid="{75D2D045-EE12-4AC4-AE61-6E2AC8A2FE3D}"/>
    <cellStyle name="40% - Accent3 3 2 2 6" xfId="37142" xr:uid="{E8B6A43D-1266-4920-BFFB-E173B448CD77}"/>
    <cellStyle name="40% - Accent3 3 2 2 7" xfId="18544" xr:uid="{BEA76A97-5A91-4BC9-93BC-F68A01C93515}"/>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16872" xr:uid="{CD1E1211-652D-4373-89E3-41F2332570D2}"/>
    <cellStyle name="40% - Accent3 3 2 3 2 2 2 2" xfId="53214" xr:uid="{8B2E71EF-1BBD-4AED-84DE-7A2884B17807}"/>
    <cellStyle name="40% - Accent3 3 2 3 2 2 2 3" xfId="34618" xr:uid="{F4A06502-EC2F-4887-AA4E-F2FE02E6FEF7}"/>
    <cellStyle name="40% - Accent3 3 2 3 2 2 3" xfId="43917" xr:uid="{F0874AAB-1536-483C-81AA-7161FF118BB5}"/>
    <cellStyle name="40% - Accent3 3 2 3 2 2 4" xfId="25319" xr:uid="{6821A30F-56A3-4205-96DF-3D8377F2391B}"/>
    <cellStyle name="40% - Accent3 3 2 3 2 3" xfId="12655" xr:uid="{7C64D11B-66D0-4F4C-8261-2D70CCE619B1}"/>
    <cellStyle name="40% - Accent3 3 2 3 2 3 2" xfId="48997" xr:uid="{5450271A-BE96-49C7-BEA6-BFE75B02EBEB}"/>
    <cellStyle name="40% - Accent3 3 2 3 2 3 3" xfId="30401" xr:uid="{AEAB63C5-B3D0-42BA-8382-2991FFC98104}"/>
    <cellStyle name="40% - Accent3 3 2 3 2 4" xfId="39700" xr:uid="{42DA4E91-E1E4-465B-A162-878B45E7B074}"/>
    <cellStyle name="40% - Accent3 3 2 3 2 5" xfId="21102" xr:uid="{C4F750C2-05A5-4960-9373-B5BD0E840AEA}"/>
    <cellStyle name="40% - Accent3 3 2 3 3" xfId="5401" xr:uid="{00000000-0005-0000-0000-00005B050000}"/>
    <cellStyle name="40% - Accent3 3 2 3 3 2" xfId="14727" xr:uid="{D4C4BB8A-EBAC-48DC-8B75-716FB693D0CD}"/>
    <cellStyle name="40% - Accent3 3 2 3 3 2 2" xfId="51069" xr:uid="{96CFEEB3-5331-4679-8491-2548ABBAEA24}"/>
    <cellStyle name="40% - Accent3 3 2 3 3 2 3" xfId="32473" xr:uid="{23E8F25B-5001-4060-B3B2-7BD679A19A4A}"/>
    <cellStyle name="40% - Accent3 3 2 3 3 3" xfId="41772" xr:uid="{D2295786-CD7C-4AFA-BEB9-0190B235F5BA}"/>
    <cellStyle name="40% - Accent3 3 2 3 3 4" xfId="23174" xr:uid="{711A38A8-B163-4BC2-8069-F2F8CF032C1A}"/>
    <cellStyle name="40% - Accent3 3 2 3 4" xfId="10510" xr:uid="{0B3EF407-635F-4A47-AA99-4951280B928F}"/>
    <cellStyle name="40% - Accent3 3 2 3 4 2" xfId="46852" xr:uid="{0A8CEEEA-2879-4810-AEA5-62B55C556B50}"/>
    <cellStyle name="40% - Accent3 3 2 3 4 3" xfId="28256" xr:uid="{E5F6A446-A152-4D21-B6C7-0629C6FD98CD}"/>
    <cellStyle name="40% - Accent3 3 2 3 5" xfId="37555" xr:uid="{3ADCE286-4E4D-4367-90A0-DAFDDEBDED9D}"/>
    <cellStyle name="40% - Accent3 3 2 3 6" xfId="18957" xr:uid="{2F24E383-FF5A-4BFD-B58D-CB394F5A2291}"/>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17285" xr:uid="{084D84A6-5E25-4CFC-84C3-FDE6E2E362F3}"/>
    <cellStyle name="40% - Accent3 3 2 4 2 2 2 2" xfId="53627" xr:uid="{6F802B9F-350B-4408-BDA2-E0E08B3CCF5B}"/>
    <cellStyle name="40% - Accent3 3 2 4 2 2 2 3" xfId="35031" xr:uid="{2ACDD96F-88C6-45DB-9E35-D4E5A1454CB1}"/>
    <cellStyle name="40% - Accent3 3 2 4 2 2 3" xfId="44330" xr:uid="{61662242-42C1-4281-863D-40BE5490C934}"/>
    <cellStyle name="40% - Accent3 3 2 4 2 2 4" xfId="25732" xr:uid="{F16FBD60-654B-49FB-A7FA-C72727D5DF49}"/>
    <cellStyle name="40% - Accent3 3 2 4 2 3" xfId="13068" xr:uid="{CAC363D6-52E7-474D-A8BE-4C0EDD1B9D01}"/>
    <cellStyle name="40% - Accent3 3 2 4 2 3 2" xfId="49410" xr:uid="{66409B7C-00DC-4A85-B710-D746A4D40D0E}"/>
    <cellStyle name="40% - Accent3 3 2 4 2 3 3" xfId="30814" xr:uid="{C554E990-251A-4B46-B6D1-302A269B0832}"/>
    <cellStyle name="40% - Accent3 3 2 4 2 4" xfId="40113" xr:uid="{BA030879-3C4E-41C9-9848-56A67A0AE0A5}"/>
    <cellStyle name="40% - Accent3 3 2 4 2 5" xfId="21515" xr:uid="{D4BE88CC-B12E-4488-850E-2E09C77C744B}"/>
    <cellStyle name="40% - Accent3 3 2 4 3" xfId="5814" xr:uid="{00000000-0005-0000-0000-00005F050000}"/>
    <cellStyle name="40% - Accent3 3 2 4 3 2" xfId="15140" xr:uid="{CC4938E9-4F1D-4E08-8CE9-92FEB802E741}"/>
    <cellStyle name="40% - Accent3 3 2 4 3 2 2" xfId="51482" xr:uid="{869E89C4-DC49-46FF-A0AF-CF8FF265437B}"/>
    <cellStyle name="40% - Accent3 3 2 4 3 2 3" xfId="32886" xr:uid="{0734838F-655B-481B-88D1-7E09EF3341A2}"/>
    <cellStyle name="40% - Accent3 3 2 4 3 3" xfId="42185" xr:uid="{4537962B-4739-4C1E-94BF-16BE962058F2}"/>
    <cellStyle name="40% - Accent3 3 2 4 3 4" xfId="23587" xr:uid="{95743501-5869-41C5-AA03-2424C0C601EC}"/>
    <cellStyle name="40% - Accent3 3 2 4 4" xfId="10923" xr:uid="{C6C86EEE-1F5E-4098-A4D1-401629507721}"/>
    <cellStyle name="40% - Accent3 3 2 4 4 2" xfId="47265" xr:uid="{33269134-549C-4F6E-8725-91543B6E695E}"/>
    <cellStyle name="40% - Accent3 3 2 4 4 3" xfId="28669" xr:uid="{4A2680E2-5427-480A-8E19-F12BEE670CB0}"/>
    <cellStyle name="40% - Accent3 3 2 4 5" xfId="37968" xr:uid="{16AD9F02-6F8C-4138-8CDD-AEFF70629550}"/>
    <cellStyle name="40% - Accent3 3 2 4 6" xfId="19370" xr:uid="{8217C7BF-12E6-4966-A174-2A433BDCE0E1}"/>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17698" xr:uid="{2FB58F8B-0C60-4B2C-9747-0679D75036B3}"/>
    <cellStyle name="40% - Accent3 3 2 5 2 2 2 2" xfId="54040" xr:uid="{21DD086E-9687-4768-BA27-CDAE40D415F4}"/>
    <cellStyle name="40% - Accent3 3 2 5 2 2 2 3" xfId="35444" xr:uid="{02725005-C8BB-4A35-82C0-382C842A1A28}"/>
    <cellStyle name="40% - Accent3 3 2 5 2 2 3" xfId="44743" xr:uid="{71095F30-0D40-469E-9164-503EB7E391EC}"/>
    <cellStyle name="40% - Accent3 3 2 5 2 2 4" xfId="26145" xr:uid="{B27C4477-2FD4-4A13-914F-708B0D5B832F}"/>
    <cellStyle name="40% - Accent3 3 2 5 2 3" xfId="13481" xr:uid="{D8FDC376-D510-4223-A5EE-76DC89891569}"/>
    <cellStyle name="40% - Accent3 3 2 5 2 3 2" xfId="49823" xr:uid="{04EE3DD3-0941-4E43-ADF9-143CD6EC69C3}"/>
    <cellStyle name="40% - Accent3 3 2 5 2 3 3" xfId="31227" xr:uid="{A86F4CF4-8A49-4197-B188-7C473FBF3B0C}"/>
    <cellStyle name="40% - Accent3 3 2 5 2 4" xfId="40526" xr:uid="{DE9CEEF2-8171-4048-89A9-FA041CE7D80D}"/>
    <cellStyle name="40% - Accent3 3 2 5 2 5" xfId="21928" xr:uid="{C2176058-1271-4DDA-99D0-B6027680DAE6}"/>
    <cellStyle name="40% - Accent3 3 2 5 3" xfId="6227" xr:uid="{00000000-0005-0000-0000-000063050000}"/>
    <cellStyle name="40% - Accent3 3 2 5 3 2" xfId="15553" xr:uid="{26499BD0-A85C-48F5-AA61-A37FD5FB5F52}"/>
    <cellStyle name="40% - Accent3 3 2 5 3 2 2" xfId="51895" xr:uid="{59715DE1-08FF-4788-B15E-182C4C86BF6B}"/>
    <cellStyle name="40% - Accent3 3 2 5 3 2 3" xfId="33299" xr:uid="{CAD33DB8-A3C5-40E1-A733-10042FB96B3B}"/>
    <cellStyle name="40% - Accent3 3 2 5 3 3" xfId="42598" xr:uid="{81E9ABC4-9C45-4484-AAA1-3FCCBC782F09}"/>
    <cellStyle name="40% - Accent3 3 2 5 3 4" xfId="24000" xr:uid="{0EED4C6C-17FB-487A-BB89-B347092DAC89}"/>
    <cellStyle name="40% - Accent3 3 2 5 4" xfId="11336" xr:uid="{7C8AB6ED-051D-4B45-BC5F-C668FD095712}"/>
    <cellStyle name="40% - Accent3 3 2 5 4 2" xfId="47678" xr:uid="{97847226-6091-4901-847F-E92ABE08AE39}"/>
    <cellStyle name="40% - Accent3 3 2 5 4 3" xfId="29082" xr:uid="{B4CE6970-9A7A-4EFC-B950-42463BAB43E1}"/>
    <cellStyle name="40% - Accent3 3 2 5 5" xfId="38381" xr:uid="{0C79E3CA-660B-401C-916B-102979B61D6A}"/>
    <cellStyle name="40% - Accent3 3 2 5 6" xfId="19783" xr:uid="{05427D32-16F8-4934-9CA4-A0C721CF89C0}"/>
    <cellStyle name="40% - Accent3 3 2 6" xfId="2334" xr:uid="{00000000-0005-0000-0000-000064050000}"/>
    <cellStyle name="40% - Accent3 3 2 6 2" xfId="6640" xr:uid="{00000000-0005-0000-0000-000065050000}"/>
    <cellStyle name="40% - Accent3 3 2 6 2 2" xfId="15966" xr:uid="{01DD03EC-302B-442C-9047-54FD2B2A6942}"/>
    <cellStyle name="40% - Accent3 3 2 6 2 2 2" xfId="52308" xr:uid="{C1A3E77D-EAE2-4510-9DDB-62F3B8ED7DF7}"/>
    <cellStyle name="40% - Accent3 3 2 6 2 2 3" xfId="33712" xr:uid="{AE4ED736-024D-4CD4-817E-260AF1FE93CB}"/>
    <cellStyle name="40% - Accent3 3 2 6 2 3" xfId="43011" xr:uid="{110DDF86-929F-49A5-8704-507884D66223}"/>
    <cellStyle name="40% - Accent3 3 2 6 2 4" xfId="24413" xr:uid="{15B2166A-09F6-4C28-B242-E16CF421BDDE}"/>
    <cellStyle name="40% - Accent3 3 2 6 3" xfId="11749" xr:uid="{67C845A0-DB10-4DC1-9F93-4D1842DE6DC7}"/>
    <cellStyle name="40% - Accent3 3 2 6 3 2" xfId="48091" xr:uid="{13A95CE1-2C86-45B6-A078-3E8B24F70D86}"/>
    <cellStyle name="40% - Accent3 3 2 6 3 3" xfId="29495" xr:uid="{C5AFA8EA-BC19-485D-AF0A-8656A1E76B3A}"/>
    <cellStyle name="40% - Accent3 3 2 6 4" xfId="38794" xr:uid="{33971D5F-6F2D-4DCA-B70F-1F7167E56F1A}"/>
    <cellStyle name="40% - Accent3 3 2 6 5" xfId="20196" xr:uid="{7B65354F-5D57-40CB-9C20-F74AD32D653E}"/>
    <cellStyle name="40% - Accent3 3 2 7" xfId="4574" xr:uid="{00000000-0005-0000-0000-000066050000}"/>
    <cellStyle name="40% - Accent3 3 2 7 2" xfId="13900" xr:uid="{DD375B58-E1F0-4983-A7F2-B895D0155410}"/>
    <cellStyle name="40% - Accent3 3 2 7 2 2" xfId="50242" xr:uid="{73BED1A4-F431-40C4-802B-67BFDD52B824}"/>
    <cellStyle name="40% - Accent3 3 2 7 2 3" xfId="31646" xr:uid="{077396C7-748C-449D-86D0-E752513FFF13}"/>
    <cellStyle name="40% - Accent3 3 2 7 3" xfId="40945" xr:uid="{903B9BBE-2273-4B54-8B53-7AC6847B162C}"/>
    <cellStyle name="40% - Accent3 3 2 7 4" xfId="22347" xr:uid="{9A509469-E323-469A-A7DD-506CAEA72CC8}"/>
    <cellStyle name="40% - Accent3 3 2 8" xfId="9073" xr:uid="{0E71C752-2CF0-411D-A05E-4DA4A73CFC34}"/>
    <cellStyle name="40% - Accent3 3 2 8 2" xfId="36143" xr:uid="{3BED3C18-599A-4F94-B1E5-A88317A80B11}"/>
    <cellStyle name="40% - Accent3 3 2 8 2 2" xfId="54738" xr:uid="{EC1F3BF5-1B37-4E30-9842-95851DCD3D14}"/>
    <cellStyle name="40% - Accent3 3 2 8 3" xfId="45441" xr:uid="{DE8152DA-34A0-4DC1-8F62-D58BE1B48516}"/>
    <cellStyle name="40% - Accent3 3 2 8 4" xfId="26844" xr:uid="{78C4D8A9-F555-415F-A779-A1211640A29B}"/>
    <cellStyle name="40% - Accent3 3 2 9" xfId="9683" xr:uid="{98D59568-9B54-4718-A871-00D1FC8C5651}"/>
    <cellStyle name="40% - Accent3 3 2 9 2" xfId="46025" xr:uid="{E7E67DD5-D0C8-4B44-B485-7F48FF497A61}"/>
    <cellStyle name="40% - Accent3 3 2 9 3" xfId="27429" xr:uid="{1068D53B-F1A1-40DF-B61A-314451EF66C4}"/>
    <cellStyle name="40% - Accent3 3 3" xfId="639" xr:uid="{00000000-0005-0000-0000-000067050000}"/>
    <cellStyle name="40% - Accent3 3 3 2" xfId="2910" xr:uid="{00000000-0005-0000-0000-000068050000}"/>
    <cellStyle name="40% - Accent3 3 3 2 2" xfId="7132" xr:uid="{00000000-0005-0000-0000-000069050000}"/>
    <cellStyle name="40% - Accent3 3 3 2 2 2" xfId="16458" xr:uid="{84CDD74C-E984-4E85-87B6-67E0344EC961}"/>
    <cellStyle name="40% - Accent3 3 3 2 2 2 2" xfId="52800" xr:uid="{950AB62F-CA60-4CA1-8E17-DFC30D8DA406}"/>
    <cellStyle name="40% - Accent3 3 3 2 2 2 3" xfId="34204" xr:uid="{D41705C0-5A7A-4074-9BDF-F9CE814B7C5B}"/>
    <cellStyle name="40% - Accent3 3 3 2 2 3" xfId="43503" xr:uid="{CAACD19B-2A5E-4B94-BDEB-956727C4EFD8}"/>
    <cellStyle name="40% - Accent3 3 3 2 2 4" xfId="24905" xr:uid="{91363FCF-04BF-45E7-B17A-EC499C0BB143}"/>
    <cellStyle name="40% - Accent3 3 3 2 3" xfId="12241" xr:uid="{7404DAB5-C597-4032-9CA7-1BF57D3CF410}"/>
    <cellStyle name="40% - Accent3 3 3 2 3 2" xfId="48583" xr:uid="{11BE2F18-58F4-4232-9089-B5758BFE32A2}"/>
    <cellStyle name="40% - Accent3 3 3 2 3 3" xfId="29987" xr:uid="{A0859BA2-0D5D-4341-872F-7141BD15911F}"/>
    <cellStyle name="40% - Accent3 3 3 2 4" xfId="39286" xr:uid="{AC3CBB3F-14C4-448A-AE38-680273D29D63}"/>
    <cellStyle name="40% - Accent3 3 3 2 5" xfId="20688" xr:uid="{BAF06B00-4D44-4E1D-BC62-8AA510B46349}"/>
    <cellStyle name="40% - Accent3 3 3 3" xfId="4987" xr:uid="{00000000-0005-0000-0000-00006A050000}"/>
    <cellStyle name="40% - Accent3 3 3 3 2" xfId="14313" xr:uid="{1DF97F9A-D6D0-48C1-B7E5-63D30B4172DB}"/>
    <cellStyle name="40% - Accent3 3 3 3 2 2" xfId="50655" xr:uid="{2526D79B-377D-4106-980D-F50FFA124B8D}"/>
    <cellStyle name="40% - Accent3 3 3 3 2 3" xfId="32059" xr:uid="{B38D710B-35B3-4DF1-B402-CD46EAA52AC4}"/>
    <cellStyle name="40% - Accent3 3 3 3 3" xfId="41358" xr:uid="{AAC9FA65-A563-4462-9ADD-2F11F1136F76}"/>
    <cellStyle name="40% - Accent3 3 3 3 4" xfId="22760" xr:uid="{DB011163-277F-4627-B5D3-49A8CEDBA7EE}"/>
    <cellStyle name="40% - Accent3 3 3 4" xfId="9291" xr:uid="{59AB3F6D-A8C6-4A37-A8E3-967850079A77}"/>
    <cellStyle name="40% - Accent3 3 3 4 2" xfId="36352" xr:uid="{8D82A3A9-C920-4785-9706-9BF11EF2B101}"/>
    <cellStyle name="40% - Accent3 3 3 4 2 2" xfId="54946" xr:uid="{FA8A21B7-7DC8-4218-ADAE-7C768673F5AE}"/>
    <cellStyle name="40% - Accent3 3 3 4 3" xfId="45649" xr:uid="{EDB4DA52-3292-4ED8-B0D6-73DB86EC3EBC}"/>
    <cellStyle name="40% - Accent3 3 3 4 4" xfId="27053" xr:uid="{F96CF1BF-EEB0-4B3C-82B5-37611BFA89DC}"/>
    <cellStyle name="40% - Accent3 3 3 5" xfId="10096" xr:uid="{2E198F85-D3DB-462E-ACC5-73134A80EB43}"/>
    <cellStyle name="40% - Accent3 3 3 5 2" xfId="46438" xr:uid="{FF97C34F-A33F-44E8-9110-29FD70491510}"/>
    <cellStyle name="40% - Accent3 3 3 5 3" xfId="27842" xr:uid="{7E7BF5F3-6E25-48A2-9F6A-963F3E6427E1}"/>
    <cellStyle name="40% - Accent3 3 3 6" xfId="37141" xr:uid="{F033BB9C-E4BA-4913-ABA8-191B6894CE6B}"/>
    <cellStyle name="40% - Accent3 3 3 7" xfId="18543" xr:uid="{7CD4620E-487D-49F9-9D68-00236CE6260D}"/>
    <cellStyle name="40% - Accent3 3 4" xfId="1092" xr:uid="{00000000-0005-0000-0000-00006B050000}"/>
    <cellStyle name="40% - Accent3 3 4 2" xfId="3323" xr:uid="{00000000-0005-0000-0000-00006C050000}"/>
    <cellStyle name="40% - Accent3 3 4 2 2" xfId="7545" xr:uid="{00000000-0005-0000-0000-00006D050000}"/>
    <cellStyle name="40% - Accent3 3 4 2 2 2" xfId="16871" xr:uid="{61D10D4B-B0FD-4D5B-9218-672875D4159A}"/>
    <cellStyle name="40% - Accent3 3 4 2 2 2 2" xfId="53213" xr:uid="{F9524FF9-EE36-493E-8BF6-C79EF4437DC3}"/>
    <cellStyle name="40% - Accent3 3 4 2 2 2 3" xfId="34617" xr:uid="{968648F7-818D-4A2F-BAE2-9973F44B1606}"/>
    <cellStyle name="40% - Accent3 3 4 2 2 3" xfId="43916" xr:uid="{7305F5AC-7026-4443-95A4-4838F959BCD6}"/>
    <cellStyle name="40% - Accent3 3 4 2 2 4" xfId="25318" xr:uid="{378268FB-4FDF-4389-BD89-1BAAA5A7EA78}"/>
    <cellStyle name="40% - Accent3 3 4 2 3" xfId="12654" xr:uid="{B9B149E2-832C-4CCB-A75A-780B1D282F86}"/>
    <cellStyle name="40% - Accent3 3 4 2 3 2" xfId="48996" xr:uid="{EB1E70FF-D844-4018-A00B-F570BAF49D08}"/>
    <cellStyle name="40% - Accent3 3 4 2 3 3" xfId="30400" xr:uid="{263B649A-287B-4635-BA76-D7E1200053F2}"/>
    <cellStyle name="40% - Accent3 3 4 2 4" xfId="39699" xr:uid="{8F0E30F2-9DEC-41BF-9D1F-F81FA1BD5DB8}"/>
    <cellStyle name="40% - Accent3 3 4 2 5" xfId="21101" xr:uid="{EE8CFB96-5CD7-4977-9B99-1A36F3CFA784}"/>
    <cellStyle name="40% - Accent3 3 4 3" xfId="5400" xr:uid="{00000000-0005-0000-0000-00006E050000}"/>
    <cellStyle name="40% - Accent3 3 4 3 2" xfId="14726" xr:uid="{97FC60DD-074B-4F22-9FB4-674B284FDED0}"/>
    <cellStyle name="40% - Accent3 3 4 3 2 2" xfId="51068" xr:uid="{8A1D162E-8CD6-48A4-9DEA-D3E0FDDA7AA4}"/>
    <cellStyle name="40% - Accent3 3 4 3 2 3" xfId="32472" xr:uid="{73F50CB1-6991-455C-8E2C-7B7B26C51030}"/>
    <cellStyle name="40% - Accent3 3 4 3 3" xfId="41771" xr:uid="{ACFEC4C8-C56C-47CC-8FEC-72B18F44B269}"/>
    <cellStyle name="40% - Accent3 3 4 3 4" xfId="23173" xr:uid="{91153695-BB57-4C3E-B1B1-D4A30DB07725}"/>
    <cellStyle name="40% - Accent3 3 4 4" xfId="10509" xr:uid="{74249D92-DD04-41A0-B6B1-A7E1F2859DAD}"/>
    <cellStyle name="40% - Accent3 3 4 4 2" xfId="46851" xr:uid="{79338D5F-2181-4804-9923-280B5AC97994}"/>
    <cellStyle name="40% - Accent3 3 4 4 3" xfId="28255" xr:uid="{A7A8FC62-C45F-417A-9383-6BAAB8D5C447}"/>
    <cellStyle name="40% - Accent3 3 4 5" xfId="37554" xr:uid="{533213C3-8710-4AD6-9DCB-49A130F9BEF3}"/>
    <cellStyle name="40% - Accent3 3 4 6" xfId="18956" xr:uid="{5CEA6EC5-D5CA-4B8E-9B26-1D6133753540}"/>
    <cellStyle name="40% - Accent3 3 5" xfId="1506" xr:uid="{00000000-0005-0000-0000-00006F050000}"/>
    <cellStyle name="40% - Accent3 3 5 2" xfId="3736" xr:uid="{00000000-0005-0000-0000-000070050000}"/>
    <cellStyle name="40% - Accent3 3 5 2 2" xfId="7958" xr:uid="{00000000-0005-0000-0000-000071050000}"/>
    <cellStyle name="40% - Accent3 3 5 2 2 2" xfId="17284" xr:uid="{0989528D-EBDB-4B7F-BBFE-4DB3FE3A3663}"/>
    <cellStyle name="40% - Accent3 3 5 2 2 2 2" xfId="53626" xr:uid="{A75E1FBD-C36E-4A1E-A89E-4CBFFB7E6E51}"/>
    <cellStyle name="40% - Accent3 3 5 2 2 2 3" xfId="35030" xr:uid="{B9E7E14F-3057-4A96-A89A-4F4B5124350A}"/>
    <cellStyle name="40% - Accent3 3 5 2 2 3" xfId="44329" xr:uid="{4CCC8F65-D359-495D-A82C-32DEB27BFD35}"/>
    <cellStyle name="40% - Accent3 3 5 2 2 4" xfId="25731" xr:uid="{6130E1B7-D428-442A-A872-03ACDDB9108B}"/>
    <cellStyle name="40% - Accent3 3 5 2 3" xfId="13067" xr:uid="{2A943CC8-AA5F-432A-BC54-B3AD835588FD}"/>
    <cellStyle name="40% - Accent3 3 5 2 3 2" xfId="49409" xr:uid="{BE7EE9D2-AD85-49E4-8883-A545478B85A8}"/>
    <cellStyle name="40% - Accent3 3 5 2 3 3" xfId="30813" xr:uid="{F95832A1-C4EB-4605-9E52-233BAD4F8A56}"/>
    <cellStyle name="40% - Accent3 3 5 2 4" xfId="40112" xr:uid="{0EA20BBF-7451-4EFE-9841-303AC5B4C6C8}"/>
    <cellStyle name="40% - Accent3 3 5 2 5" xfId="21514" xr:uid="{C5579A8B-E515-45B2-B486-030F0FD5827E}"/>
    <cellStyle name="40% - Accent3 3 5 3" xfId="5813" xr:uid="{00000000-0005-0000-0000-000072050000}"/>
    <cellStyle name="40% - Accent3 3 5 3 2" xfId="15139" xr:uid="{7A968174-76E9-420C-8746-8CEDEE3F52E6}"/>
    <cellStyle name="40% - Accent3 3 5 3 2 2" xfId="51481" xr:uid="{580E6E34-59AE-4F85-AF35-3B4D4B5B7006}"/>
    <cellStyle name="40% - Accent3 3 5 3 2 3" xfId="32885" xr:uid="{EA9F0115-C4BF-46F4-96A4-8D9F088CA12B}"/>
    <cellStyle name="40% - Accent3 3 5 3 3" xfId="42184" xr:uid="{BEBB7361-595D-48C3-9F09-5D09F74EB281}"/>
    <cellStyle name="40% - Accent3 3 5 3 4" xfId="23586" xr:uid="{2A5E8220-A4FC-40D5-AC0F-AE79AC1804CF}"/>
    <cellStyle name="40% - Accent3 3 5 4" xfId="10922" xr:uid="{86D5EC1B-7123-47E2-A44D-5C478A0F3F91}"/>
    <cellStyle name="40% - Accent3 3 5 4 2" xfId="47264" xr:uid="{AB33AE58-590C-4D23-83F5-80F07AAEAAE3}"/>
    <cellStyle name="40% - Accent3 3 5 4 3" xfId="28668" xr:uid="{65EBD3F4-E029-4D59-8968-9CC29D306545}"/>
    <cellStyle name="40% - Accent3 3 5 5" xfId="37967" xr:uid="{E89677D2-DA86-4365-A12B-196949D83441}"/>
    <cellStyle name="40% - Accent3 3 5 6" xfId="19369" xr:uid="{BE50B466-3800-412D-A2F6-DD425BE23CBD}"/>
    <cellStyle name="40% - Accent3 3 6" xfId="1920" xr:uid="{00000000-0005-0000-0000-000073050000}"/>
    <cellStyle name="40% - Accent3 3 6 2" xfId="4149" xr:uid="{00000000-0005-0000-0000-000074050000}"/>
    <cellStyle name="40% - Accent3 3 6 2 2" xfId="8371" xr:uid="{00000000-0005-0000-0000-000075050000}"/>
    <cellStyle name="40% - Accent3 3 6 2 2 2" xfId="17697" xr:uid="{7461646A-058D-4A63-BE15-C77F53F3AD0E}"/>
    <cellStyle name="40% - Accent3 3 6 2 2 2 2" xfId="54039" xr:uid="{1FB94751-6C7C-477C-A852-098E5C21B64F}"/>
    <cellStyle name="40% - Accent3 3 6 2 2 2 3" xfId="35443" xr:uid="{857C1CA3-95CF-46F1-85BF-9BE72E78A9F9}"/>
    <cellStyle name="40% - Accent3 3 6 2 2 3" xfId="44742" xr:uid="{0C1DC8E1-590F-4EF6-8C14-1FA1CF64763B}"/>
    <cellStyle name="40% - Accent3 3 6 2 2 4" xfId="26144" xr:uid="{BB331CFF-2C7A-4DA7-B4EA-F08DD54569E1}"/>
    <cellStyle name="40% - Accent3 3 6 2 3" xfId="13480" xr:uid="{D231EBDA-6CAD-476B-A439-6E9BD24179AA}"/>
    <cellStyle name="40% - Accent3 3 6 2 3 2" xfId="49822" xr:uid="{B375260F-749F-4EA6-B127-2F7A271681DE}"/>
    <cellStyle name="40% - Accent3 3 6 2 3 3" xfId="31226" xr:uid="{8F73EB08-9A54-421D-BDE2-9AC8C2B91E86}"/>
    <cellStyle name="40% - Accent3 3 6 2 4" xfId="40525" xr:uid="{B9D8929C-06D3-42A9-BF64-97CFC3221765}"/>
    <cellStyle name="40% - Accent3 3 6 2 5" xfId="21927" xr:uid="{AE14AAB8-3720-415E-9EF6-8FBCED46A0FD}"/>
    <cellStyle name="40% - Accent3 3 6 3" xfId="6226" xr:uid="{00000000-0005-0000-0000-000076050000}"/>
    <cellStyle name="40% - Accent3 3 6 3 2" xfId="15552" xr:uid="{281E8BAC-6D6C-4501-8C11-A3D99FF32164}"/>
    <cellStyle name="40% - Accent3 3 6 3 2 2" xfId="51894" xr:uid="{6C06A235-8150-48C5-9A4E-6C9619E29815}"/>
    <cellStyle name="40% - Accent3 3 6 3 2 3" xfId="33298" xr:uid="{68A6223E-A4ED-4652-B6CD-A912C18AC3B0}"/>
    <cellStyle name="40% - Accent3 3 6 3 3" xfId="42597" xr:uid="{531E64A3-0A38-4F28-854C-A8F80D551F5F}"/>
    <cellStyle name="40% - Accent3 3 6 3 4" xfId="23999" xr:uid="{09F8FB2D-F1F9-4B3F-90F8-AB9F0A2E7F00}"/>
    <cellStyle name="40% - Accent3 3 6 4" xfId="11335" xr:uid="{784CBC94-4FE8-475C-820A-D4CC3FB02E76}"/>
    <cellStyle name="40% - Accent3 3 6 4 2" xfId="47677" xr:uid="{CC28A671-993E-470C-966A-261095D4B37C}"/>
    <cellStyle name="40% - Accent3 3 6 4 3" xfId="29081" xr:uid="{A4CA2B6B-1A67-4659-91E3-8302BDD0F18F}"/>
    <cellStyle name="40% - Accent3 3 6 5" xfId="38380" xr:uid="{30C70060-8DE4-4E8B-B269-0CC6E33FDC39}"/>
    <cellStyle name="40% - Accent3 3 6 6" xfId="19782" xr:uid="{346BA982-FF05-4764-9F35-1CDA5855D94E}"/>
    <cellStyle name="40% - Accent3 3 7" xfId="2333" xr:uid="{00000000-0005-0000-0000-000077050000}"/>
    <cellStyle name="40% - Accent3 3 7 2" xfId="6639" xr:uid="{00000000-0005-0000-0000-000078050000}"/>
    <cellStyle name="40% - Accent3 3 7 2 2" xfId="15965" xr:uid="{99B75850-CE75-48AC-AA1D-95BBD8500C40}"/>
    <cellStyle name="40% - Accent3 3 7 2 2 2" xfId="52307" xr:uid="{756F0AA7-A77C-43D1-8937-D529A6C5A600}"/>
    <cellStyle name="40% - Accent3 3 7 2 2 3" xfId="33711" xr:uid="{C7382BE0-4D9E-4C5A-AE70-8D92FAF68ED5}"/>
    <cellStyle name="40% - Accent3 3 7 2 3" xfId="43010" xr:uid="{1A9B0287-27DA-4E0D-87CC-A1F33BA46229}"/>
    <cellStyle name="40% - Accent3 3 7 2 4" xfId="24412" xr:uid="{1B4E777F-4380-4C73-92BA-61606A1E8562}"/>
    <cellStyle name="40% - Accent3 3 7 3" xfId="11748" xr:uid="{C6B92262-47DF-4B80-8949-C60403FFC752}"/>
    <cellStyle name="40% - Accent3 3 7 3 2" xfId="48090" xr:uid="{0286B8CB-379B-4D5C-BAA6-79ACCCFBA4C7}"/>
    <cellStyle name="40% - Accent3 3 7 3 3" xfId="29494" xr:uid="{12F4579D-0958-4BA7-A025-EF2FE76897E0}"/>
    <cellStyle name="40% - Accent3 3 7 4" xfId="38793" xr:uid="{270C9D85-ADAB-4B54-B627-ECD2AB3B04F5}"/>
    <cellStyle name="40% - Accent3 3 7 5" xfId="20195" xr:uid="{8BF9DE06-5B02-4874-98BC-E1F465E1F5F7}"/>
    <cellStyle name="40% - Accent3 3 8" xfId="4573" xr:uid="{00000000-0005-0000-0000-000079050000}"/>
    <cellStyle name="40% - Accent3 3 8 2" xfId="13899" xr:uid="{2E83E6E0-4A36-453F-8B7B-1A12855E09DA}"/>
    <cellStyle name="40% - Accent3 3 8 2 2" xfId="50241" xr:uid="{D5855A15-630B-49A2-96C9-AE4EA2F6870A}"/>
    <cellStyle name="40% - Accent3 3 8 2 3" xfId="31645" xr:uid="{A7751D5E-1DA5-41FF-88E1-C5A2A45FE492}"/>
    <cellStyle name="40% - Accent3 3 8 3" xfId="40944" xr:uid="{98956647-8354-4430-962B-6FE88A07756D}"/>
    <cellStyle name="40% - Accent3 3 8 4" xfId="22346" xr:uid="{BEDF6746-57B1-42A7-A892-745B6DB62FFA}"/>
    <cellStyle name="40% - Accent3 3 9" xfId="8866" xr:uid="{1A1EF43E-4A2B-42A8-98A3-CEC34DD3B00D}"/>
    <cellStyle name="40% - Accent3 3 9 2" xfId="35936" xr:uid="{22343A77-20AA-4613-8D82-5825F8D1BE09}"/>
    <cellStyle name="40% - Accent3 3 9 2 2" xfId="54531" xr:uid="{5B4C79B7-9F4E-4282-837D-03A0C388B1B1}"/>
    <cellStyle name="40% - Accent3 3 9 3" xfId="45234" xr:uid="{3923ED33-0688-48C3-A127-9E83BD82B006}"/>
    <cellStyle name="40% - Accent3 3 9 4" xfId="26637" xr:uid="{0CE3660C-31AF-4903-AFD9-01EE3A5789FB}"/>
    <cellStyle name="40% - Accent3 4" xfId="72" xr:uid="{00000000-0005-0000-0000-00007A050000}"/>
    <cellStyle name="40% - Accent3 4 10" xfId="36729" xr:uid="{45F50ADD-7697-4D32-AF78-063845B8C6DF}"/>
    <cellStyle name="40% - Accent3 4 11" xfId="18131" xr:uid="{38A2DA87-6A20-4049-830C-87FC1F45391E}"/>
    <cellStyle name="40% - Accent3 4 2" xfId="641" xr:uid="{00000000-0005-0000-0000-00007B050000}"/>
    <cellStyle name="40% - Accent3 4 2 2" xfId="2912" xr:uid="{00000000-0005-0000-0000-00007C050000}"/>
    <cellStyle name="40% - Accent3 4 2 2 2" xfId="7134" xr:uid="{00000000-0005-0000-0000-00007D050000}"/>
    <cellStyle name="40% - Accent3 4 2 2 2 2" xfId="16460" xr:uid="{DD4EAD9C-602C-4F68-9F29-7109611C2AB0}"/>
    <cellStyle name="40% - Accent3 4 2 2 2 2 2" xfId="52802" xr:uid="{301C46A3-5354-4A1B-889A-36650180AC30}"/>
    <cellStyle name="40% - Accent3 4 2 2 2 2 3" xfId="34206" xr:uid="{AF25F87D-824F-4142-87C3-6C5145DA513C}"/>
    <cellStyle name="40% - Accent3 4 2 2 2 3" xfId="43505" xr:uid="{29DDCDBA-F235-45DF-9B98-9A161EDCB31D}"/>
    <cellStyle name="40% - Accent3 4 2 2 2 4" xfId="24907" xr:uid="{4BB07ACE-235C-4F5E-89B1-46E007E55B9D}"/>
    <cellStyle name="40% - Accent3 4 2 2 3" xfId="12243" xr:uid="{07709D9E-CE8B-4A8B-B900-01CA797D582C}"/>
    <cellStyle name="40% - Accent3 4 2 2 3 2" xfId="48585" xr:uid="{F642BB68-9A1D-4BDC-86E2-BB325375DD93}"/>
    <cellStyle name="40% - Accent3 4 2 2 3 3" xfId="29989" xr:uid="{4C203DB7-0E6E-46AD-BA8D-137E034C07D7}"/>
    <cellStyle name="40% - Accent3 4 2 2 4" xfId="39288" xr:uid="{C6001F79-68D6-4792-A48E-625D2A86CBDA}"/>
    <cellStyle name="40% - Accent3 4 2 2 5" xfId="20690" xr:uid="{5D260921-7598-4A8B-A088-1490CB3611D0}"/>
    <cellStyle name="40% - Accent3 4 2 3" xfId="4989" xr:uid="{00000000-0005-0000-0000-00007E050000}"/>
    <cellStyle name="40% - Accent3 4 2 3 2" xfId="14315" xr:uid="{B2E45BDC-7B33-4D7B-8C94-8654DA9BAF28}"/>
    <cellStyle name="40% - Accent3 4 2 3 2 2" xfId="50657" xr:uid="{0BA1564D-D08B-4065-9AE0-2218809C56EB}"/>
    <cellStyle name="40% - Accent3 4 2 3 2 3" xfId="32061" xr:uid="{9EFC8E50-838E-42BD-8B11-ED8C1704594E}"/>
    <cellStyle name="40% - Accent3 4 2 3 3" xfId="41360" xr:uid="{A498D41F-00AC-432E-969F-505683A9797C}"/>
    <cellStyle name="40% - Accent3 4 2 3 4" xfId="22762" xr:uid="{4758A4FA-C527-41F7-BACA-1637642B131C}"/>
    <cellStyle name="40% - Accent3 4 2 4" xfId="9377" xr:uid="{F4393833-4E73-4685-9332-CF918D5239A9}"/>
    <cellStyle name="40% - Accent3 4 2 4 2" xfId="36438" xr:uid="{AF703F31-7679-4BCF-B9D4-AA7B9FF14F62}"/>
    <cellStyle name="40% - Accent3 4 2 4 2 2" xfId="55032" xr:uid="{A9292E39-DEFA-4360-B81E-43D181A8B46B}"/>
    <cellStyle name="40% - Accent3 4 2 4 3" xfId="45735" xr:uid="{EE171ECC-37DE-49EE-B811-73BE91023F30}"/>
    <cellStyle name="40% - Accent3 4 2 4 4" xfId="27139" xr:uid="{B00244A3-78F1-4411-A3AC-51B95B9BD072}"/>
    <cellStyle name="40% - Accent3 4 2 5" xfId="10098" xr:uid="{FB6F1C15-1882-4AB7-BE24-46283B260719}"/>
    <cellStyle name="40% - Accent3 4 2 5 2" xfId="46440" xr:uid="{ECB8BAB8-6E2E-46C6-8676-024667081445}"/>
    <cellStyle name="40% - Accent3 4 2 5 3" xfId="27844" xr:uid="{DCA67773-493E-4EA6-9389-0AD8471DAB8A}"/>
    <cellStyle name="40% - Accent3 4 2 6" xfId="37143" xr:uid="{21000018-3026-42A6-8D13-8274345103CF}"/>
    <cellStyle name="40% - Accent3 4 2 7" xfId="18545" xr:uid="{1155954F-9557-487D-92E4-9C273A34B61E}"/>
    <cellStyle name="40% - Accent3 4 3" xfId="1094" xr:uid="{00000000-0005-0000-0000-00007F050000}"/>
    <cellStyle name="40% - Accent3 4 3 2" xfId="3325" xr:uid="{00000000-0005-0000-0000-000080050000}"/>
    <cellStyle name="40% - Accent3 4 3 2 2" xfId="7547" xr:uid="{00000000-0005-0000-0000-000081050000}"/>
    <cellStyle name="40% - Accent3 4 3 2 2 2" xfId="16873" xr:uid="{91FBC11E-7B10-4F0D-ABB3-DF1CA46C3167}"/>
    <cellStyle name="40% - Accent3 4 3 2 2 2 2" xfId="53215" xr:uid="{B859D3A3-A5BD-423A-907D-7EB1336E3E7B}"/>
    <cellStyle name="40% - Accent3 4 3 2 2 2 3" xfId="34619" xr:uid="{4464FE9C-3F80-4BDF-8C34-40B1531C82D3}"/>
    <cellStyle name="40% - Accent3 4 3 2 2 3" xfId="43918" xr:uid="{E4BFEFD3-75C2-4B99-AB5A-F35D9E6BF7F6}"/>
    <cellStyle name="40% - Accent3 4 3 2 2 4" xfId="25320" xr:uid="{DF1991BF-F9AD-4851-9517-0A2EA54FA6B9}"/>
    <cellStyle name="40% - Accent3 4 3 2 3" xfId="12656" xr:uid="{D28C154A-BA34-449C-8D25-70E9322A5EDA}"/>
    <cellStyle name="40% - Accent3 4 3 2 3 2" xfId="48998" xr:uid="{D5B9234E-893E-469A-B1C7-0AB6CBB3785A}"/>
    <cellStyle name="40% - Accent3 4 3 2 3 3" xfId="30402" xr:uid="{315F5A06-8880-4C7A-AEA2-21C33CEE219B}"/>
    <cellStyle name="40% - Accent3 4 3 2 4" xfId="39701" xr:uid="{6CA28C3E-CC2C-47FA-A74B-88495FD9B268}"/>
    <cellStyle name="40% - Accent3 4 3 2 5" xfId="21103" xr:uid="{EA8C6EB0-5698-48BA-A701-035A509A173F}"/>
    <cellStyle name="40% - Accent3 4 3 3" xfId="5402" xr:uid="{00000000-0005-0000-0000-000082050000}"/>
    <cellStyle name="40% - Accent3 4 3 3 2" xfId="14728" xr:uid="{5AF124C7-D3BB-4E38-8829-82770D899AD5}"/>
    <cellStyle name="40% - Accent3 4 3 3 2 2" xfId="51070" xr:uid="{B9BD1F1F-5B69-4295-9EE4-67EECAF7EE2A}"/>
    <cellStyle name="40% - Accent3 4 3 3 2 3" xfId="32474" xr:uid="{8E581EC6-EB94-4B29-96CA-C4BE5C600F7E}"/>
    <cellStyle name="40% - Accent3 4 3 3 3" xfId="41773" xr:uid="{F33EEFF6-B812-4481-9884-F268CBA6FB6D}"/>
    <cellStyle name="40% - Accent3 4 3 3 4" xfId="23175" xr:uid="{CDD8952D-D254-4443-B701-E23B49AF378B}"/>
    <cellStyle name="40% - Accent3 4 3 4" xfId="10511" xr:uid="{27A67D89-CA16-4037-A9C2-CC24265292BB}"/>
    <cellStyle name="40% - Accent3 4 3 4 2" xfId="46853" xr:uid="{2DE39DE4-104E-46CF-8F29-CB55B85EF0BD}"/>
    <cellStyle name="40% - Accent3 4 3 4 3" xfId="28257" xr:uid="{4F7A80F4-BFD2-4ADC-B875-A24059B6A6B6}"/>
    <cellStyle name="40% - Accent3 4 3 5" xfId="37556" xr:uid="{BBB79943-4131-45BD-8664-F397B95F58EB}"/>
    <cellStyle name="40% - Accent3 4 3 6" xfId="18958" xr:uid="{E1FED891-C639-413B-99F1-05950E2147F8}"/>
    <cellStyle name="40% - Accent3 4 4" xfId="1508" xr:uid="{00000000-0005-0000-0000-000083050000}"/>
    <cellStyle name="40% - Accent3 4 4 2" xfId="3738" xr:uid="{00000000-0005-0000-0000-000084050000}"/>
    <cellStyle name="40% - Accent3 4 4 2 2" xfId="7960" xr:uid="{00000000-0005-0000-0000-000085050000}"/>
    <cellStyle name="40% - Accent3 4 4 2 2 2" xfId="17286" xr:uid="{F49EFB4C-58F5-4F1D-8B2A-3925498C4742}"/>
    <cellStyle name="40% - Accent3 4 4 2 2 2 2" xfId="53628" xr:uid="{8AEDA150-71BE-47BB-B6D8-21C2E31A4E6F}"/>
    <cellStyle name="40% - Accent3 4 4 2 2 2 3" xfId="35032" xr:uid="{5E280665-8AF7-4880-8155-3EEDBCE7A651}"/>
    <cellStyle name="40% - Accent3 4 4 2 2 3" xfId="44331" xr:uid="{CEE7E918-14C2-488C-9A36-368943198DAC}"/>
    <cellStyle name="40% - Accent3 4 4 2 2 4" xfId="25733" xr:uid="{0DF1B8F9-B804-42C3-B83C-CF37D00815E7}"/>
    <cellStyle name="40% - Accent3 4 4 2 3" xfId="13069" xr:uid="{6E569815-43EE-4A06-BA9F-B8D408C161B7}"/>
    <cellStyle name="40% - Accent3 4 4 2 3 2" xfId="49411" xr:uid="{F5A2D0D4-E3EC-4CD2-A829-425E499ECC30}"/>
    <cellStyle name="40% - Accent3 4 4 2 3 3" xfId="30815" xr:uid="{D1EF7890-067C-49AF-A79C-A19F73733D12}"/>
    <cellStyle name="40% - Accent3 4 4 2 4" xfId="40114" xr:uid="{E781ED9D-4A08-4ED3-A3DD-15A8DADE4420}"/>
    <cellStyle name="40% - Accent3 4 4 2 5" xfId="21516" xr:uid="{8F9DEE3E-15D0-4020-AA61-911028BE4191}"/>
    <cellStyle name="40% - Accent3 4 4 3" xfId="5815" xr:uid="{00000000-0005-0000-0000-000086050000}"/>
    <cellStyle name="40% - Accent3 4 4 3 2" xfId="15141" xr:uid="{0AAAAF36-FEB4-4DE5-9666-233A291B60AE}"/>
    <cellStyle name="40% - Accent3 4 4 3 2 2" xfId="51483" xr:uid="{F1EDD7C5-0DCA-4949-9468-23F2CBBDD6F8}"/>
    <cellStyle name="40% - Accent3 4 4 3 2 3" xfId="32887" xr:uid="{EE7AA53A-3075-46AD-9AA0-7A8ECDFEA02C}"/>
    <cellStyle name="40% - Accent3 4 4 3 3" xfId="42186" xr:uid="{88DC20FA-1C60-43D4-9CA9-9EC4C3C3CE0E}"/>
    <cellStyle name="40% - Accent3 4 4 3 4" xfId="23588" xr:uid="{34C6AA47-BFC0-45B4-801E-C908BF92DFC4}"/>
    <cellStyle name="40% - Accent3 4 4 4" xfId="10924" xr:uid="{D02558AD-A72C-4ABD-B2BD-D5D196BBF597}"/>
    <cellStyle name="40% - Accent3 4 4 4 2" xfId="47266" xr:uid="{DEED0255-5780-4D7D-97AE-98BB658182DE}"/>
    <cellStyle name="40% - Accent3 4 4 4 3" xfId="28670" xr:uid="{2994F159-F90A-478C-8EE3-FAD43544F188}"/>
    <cellStyle name="40% - Accent3 4 4 5" xfId="37969" xr:uid="{0123D659-62D7-437E-B0D1-5B5DDB26AD85}"/>
    <cellStyle name="40% - Accent3 4 4 6" xfId="19371" xr:uid="{C628A927-B9C3-4613-B9CE-C0F4D7FF7114}"/>
    <cellStyle name="40% - Accent3 4 5" xfId="1922" xr:uid="{00000000-0005-0000-0000-000087050000}"/>
    <cellStyle name="40% - Accent3 4 5 2" xfId="4151" xr:uid="{00000000-0005-0000-0000-000088050000}"/>
    <cellStyle name="40% - Accent3 4 5 2 2" xfId="8373" xr:uid="{00000000-0005-0000-0000-000089050000}"/>
    <cellStyle name="40% - Accent3 4 5 2 2 2" xfId="17699" xr:uid="{8F37B5B1-FD50-4C92-89C0-2AA16695710A}"/>
    <cellStyle name="40% - Accent3 4 5 2 2 2 2" xfId="54041" xr:uid="{3558BEF3-AFA3-45A0-BD45-6A8F8580C4B3}"/>
    <cellStyle name="40% - Accent3 4 5 2 2 2 3" xfId="35445" xr:uid="{F7847D4C-3CFA-4EDB-ADE4-AE7CE6DD695E}"/>
    <cellStyle name="40% - Accent3 4 5 2 2 3" xfId="44744" xr:uid="{A99B0C52-A952-43CF-B43A-CB3ACB430907}"/>
    <cellStyle name="40% - Accent3 4 5 2 2 4" xfId="26146" xr:uid="{52E0D5F3-10EB-4A77-B1BB-86B39CC885D8}"/>
    <cellStyle name="40% - Accent3 4 5 2 3" xfId="13482" xr:uid="{0773BB7A-0933-448F-8290-0F1FC743B1D9}"/>
    <cellStyle name="40% - Accent3 4 5 2 3 2" xfId="49824" xr:uid="{4DAF9B3D-5F16-4380-8DE8-8DD5F1EC7468}"/>
    <cellStyle name="40% - Accent3 4 5 2 3 3" xfId="31228" xr:uid="{323DCB10-2EC5-4F28-9634-DFB0DB75F3AB}"/>
    <cellStyle name="40% - Accent3 4 5 2 4" xfId="40527" xr:uid="{2B56233E-2FB0-467F-9599-57BAC26C126E}"/>
    <cellStyle name="40% - Accent3 4 5 2 5" xfId="21929" xr:uid="{1BBAEFC6-0BE5-4CCA-AD99-25AB06C8BF8A}"/>
    <cellStyle name="40% - Accent3 4 5 3" xfId="6228" xr:uid="{00000000-0005-0000-0000-00008A050000}"/>
    <cellStyle name="40% - Accent3 4 5 3 2" xfId="15554" xr:uid="{D86FD231-9077-494C-96BF-CAE785753027}"/>
    <cellStyle name="40% - Accent3 4 5 3 2 2" xfId="51896" xr:uid="{65D3D5F8-A6AF-4BC4-B14E-A89739931F5A}"/>
    <cellStyle name="40% - Accent3 4 5 3 2 3" xfId="33300" xr:uid="{D46AD212-3F98-4D6C-A60A-FAB6C0525577}"/>
    <cellStyle name="40% - Accent3 4 5 3 3" xfId="42599" xr:uid="{F021E457-C58F-438C-8AE7-B85F49A035CE}"/>
    <cellStyle name="40% - Accent3 4 5 3 4" xfId="24001" xr:uid="{8513606A-21E4-4C33-864F-590CFE1D28E8}"/>
    <cellStyle name="40% - Accent3 4 5 4" xfId="11337" xr:uid="{CA3FD1D5-B31C-423B-9AA5-69CA20F41030}"/>
    <cellStyle name="40% - Accent3 4 5 4 2" xfId="47679" xr:uid="{614416FA-EF30-4250-8EF0-52A7D283A113}"/>
    <cellStyle name="40% - Accent3 4 5 4 3" xfId="29083" xr:uid="{5CD77605-EC8D-49C0-8C3F-07ED668B7E81}"/>
    <cellStyle name="40% - Accent3 4 5 5" xfId="38382" xr:uid="{F30A0B81-C9BD-4967-9CA9-90FE47C0BC88}"/>
    <cellStyle name="40% - Accent3 4 5 6" xfId="19784" xr:uid="{FD118CC6-3BFD-4645-AC89-283BA84F8368}"/>
    <cellStyle name="40% - Accent3 4 6" xfId="2335" xr:uid="{00000000-0005-0000-0000-00008B050000}"/>
    <cellStyle name="40% - Accent3 4 6 2" xfId="6641" xr:uid="{00000000-0005-0000-0000-00008C050000}"/>
    <cellStyle name="40% - Accent3 4 6 2 2" xfId="15967" xr:uid="{9E5E692E-6260-4986-9227-67AF334D0ADB}"/>
    <cellStyle name="40% - Accent3 4 6 2 2 2" xfId="52309" xr:uid="{5A8A40FC-CB36-4613-A513-C4E902615F21}"/>
    <cellStyle name="40% - Accent3 4 6 2 2 3" xfId="33713" xr:uid="{2F91DB64-E097-436D-BFDD-0994310AB25D}"/>
    <cellStyle name="40% - Accent3 4 6 2 3" xfId="43012" xr:uid="{8A4BC563-E481-4875-84FC-0C68D594C876}"/>
    <cellStyle name="40% - Accent3 4 6 2 4" xfId="24414" xr:uid="{52CD5CE7-6D5A-4DC6-98E0-A8D71C7F64DA}"/>
    <cellStyle name="40% - Accent3 4 6 3" xfId="11750" xr:uid="{81B58B2F-FBAF-487A-B824-14E4002F3159}"/>
    <cellStyle name="40% - Accent3 4 6 3 2" xfId="48092" xr:uid="{A1AFC873-675C-4E45-9015-F8362F6087F1}"/>
    <cellStyle name="40% - Accent3 4 6 3 3" xfId="29496" xr:uid="{C383D6BF-74A0-45B8-84C3-8371D63E51FE}"/>
    <cellStyle name="40% - Accent3 4 6 4" xfId="38795" xr:uid="{59160FFE-B752-45EE-AED3-5F6DD8522B09}"/>
    <cellStyle name="40% - Accent3 4 6 5" xfId="20197" xr:uid="{AE6EE009-1834-4937-A0BF-69F072F41EDB}"/>
    <cellStyle name="40% - Accent3 4 7" xfId="4575" xr:uid="{00000000-0005-0000-0000-00008D050000}"/>
    <cellStyle name="40% - Accent3 4 7 2" xfId="13901" xr:uid="{DAC6647E-7AFD-49BD-A341-14D846B8D888}"/>
    <cellStyle name="40% - Accent3 4 7 2 2" xfId="50243" xr:uid="{6316813B-214D-4B55-91D9-66A37158573E}"/>
    <cellStyle name="40% - Accent3 4 7 2 3" xfId="31647" xr:uid="{781F3504-C71F-4DFC-B369-AA679206F4DB}"/>
    <cellStyle name="40% - Accent3 4 7 3" xfId="40946" xr:uid="{E5C5BF6A-FFD2-4E5F-9A25-DE29BAC7B4AD}"/>
    <cellStyle name="40% - Accent3 4 7 4" xfId="22348" xr:uid="{35DD1C6C-098C-49C2-86C1-C357FE0842F3}"/>
    <cellStyle name="40% - Accent3 4 8" xfId="8952" xr:uid="{74BF8F1E-4A34-4787-9BA1-0B97E446635F}"/>
    <cellStyle name="40% - Accent3 4 8 2" xfId="36022" xr:uid="{D758D630-8B90-460D-91A9-6D73BCA11759}"/>
    <cellStyle name="40% - Accent3 4 8 2 2" xfId="54617" xr:uid="{D1B28830-8E8C-4BB7-BCC3-D5754591AC0A}"/>
    <cellStyle name="40% - Accent3 4 8 3" xfId="45320" xr:uid="{7893BC42-B4BE-4F4D-AA32-D9E3E7222134}"/>
    <cellStyle name="40% - Accent3 4 8 4" xfId="26723" xr:uid="{8E51BF14-4AA6-4324-9436-6EE55B5FB530}"/>
    <cellStyle name="40% - Accent3 4 9" xfId="9684" xr:uid="{850D24F3-2EF0-41BD-8076-B121812169C5}"/>
    <cellStyle name="40% - Accent3 4 9 2" xfId="46026" xr:uid="{A614BCC9-0927-47BB-872B-D2E76E115EE9}"/>
    <cellStyle name="40% - Accent3 4 9 3" xfId="27430" xr:uid="{367BD77F-C3A0-42EA-8859-09A694B21CFE}"/>
    <cellStyle name="40% - Accent3 5" xfId="634" xr:uid="{00000000-0005-0000-0000-00008E050000}"/>
    <cellStyle name="40% - Accent3 5 2" xfId="2905" xr:uid="{00000000-0005-0000-0000-00008F050000}"/>
    <cellStyle name="40% - Accent3 5 2 2" xfId="7127" xr:uid="{00000000-0005-0000-0000-000090050000}"/>
    <cellStyle name="40% - Accent3 5 2 2 2" xfId="16453" xr:uid="{3A205808-ED69-404B-8AD4-FD2341B40B00}"/>
    <cellStyle name="40% - Accent3 5 2 2 2 2" xfId="52795" xr:uid="{AD8E64C3-B89A-4E83-9DC8-2DCE7F89CA7E}"/>
    <cellStyle name="40% - Accent3 5 2 2 2 3" xfId="34199" xr:uid="{2A618F8F-005F-4553-92E5-17CFBE5DC707}"/>
    <cellStyle name="40% - Accent3 5 2 2 3" xfId="43498" xr:uid="{4FF96DE6-908C-4730-A31A-D4A72C4068A3}"/>
    <cellStyle name="40% - Accent3 5 2 2 4" xfId="24900" xr:uid="{C3DC6B61-F30E-4856-AFFA-6513ADCC0079}"/>
    <cellStyle name="40% - Accent3 5 2 3" xfId="12236" xr:uid="{E4DC26A5-E338-4011-9B91-78012A580C81}"/>
    <cellStyle name="40% - Accent3 5 2 3 2" xfId="48578" xr:uid="{915E96F1-F0AB-4088-B390-6D3AC5E19E6F}"/>
    <cellStyle name="40% - Accent3 5 2 3 3" xfId="29982" xr:uid="{FF2BF6A4-2E3F-4742-83CF-DCA16C77FEF2}"/>
    <cellStyle name="40% - Accent3 5 2 4" xfId="39281" xr:uid="{B65739AD-8620-472E-8AF3-68EB7698A1A5}"/>
    <cellStyle name="40% - Accent3 5 2 5" xfId="20683" xr:uid="{BE730E4B-E468-4170-90A4-BC8F62E4BAAA}"/>
    <cellStyle name="40% - Accent3 5 3" xfId="4982" xr:uid="{00000000-0005-0000-0000-000091050000}"/>
    <cellStyle name="40% - Accent3 5 3 2" xfId="14308" xr:uid="{006A496D-8700-41DE-B87D-6D7B711D80A9}"/>
    <cellStyle name="40% - Accent3 5 3 2 2" xfId="50650" xr:uid="{D1123551-BC91-4693-8C9D-9380981323ED}"/>
    <cellStyle name="40% - Accent3 5 3 2 3" xfId="32054" xr:uid="{EEB9D7F9-BB3A-44CB-AB5E-AC154C781982}"/>
    <cellStyle name="40% - Accent3 5 3 3" xfId="41353" xr:uid="{8CB80F95-C298-461F-B2A4-70F4C34493B3}"/>
    <cellStyle name="40% - Accent3 5 3 4" xfId="22755" xr:uid="{95C61090-EEF6-4250-B780-B84388F29F28}"/>
    <cellStyle name="40% - Accent3 5 4" xfId="9185" xr:uid="{526F025D-EBF7-4976-9E38-4C0631A2843B}"/>
    <cellStyle name="40% - Accent3 5 4 2" xfId="36249" xr:uid="{B7FE7A03-2196-4826-83C7-C13912D69F40}"/>
    <cellStyle name="40% - Accent3 5 4 2 2" xfId="54843" xr:uid="{62D645D1-9A17-4008-A54E-70DB0F91A57E}"/>
    <cellStyle name="40% - Accent3 5 4 3" xfId="45546" xr:uid="{6CFF9182-B286-40DC-AD84-5B4BE85B919A}"/>
    <cellStyle name="40% - Accent3 5 4 4" xfId="26950" xr:uid="{9648F076-87D4-40C2-840C-2499633DCB0C}"/>
    <cellStyle name="40% - Accent3 5 5" xfId="10091" xr:uid="{214E740E-C067-4C94-AD75-6C3CBB7CFAAF}"/>
    <cellStyle name="40% - Accent3 5 5 2" xfId="46433" xr:uid="{299472E1-1659-493B-8B08-9DFD07D403FA}"/>
    <cellStyle name="40% - Accent3 5 5 3" xfId="27837" xr:uid="{28BE3E88-5E3C-414D-BEA1-404979073082}"/>
    <cellStyle name="40% - Accent3 5 6" xfId="37136" xr:uid="{8A298E67-FC94-4714-9AED-6BDEF2975D86}"/>
    <cellStyle name="40% - Accent3 5 7" xfId="18538" xr:uid="{DE93FA46-2EE1-49FB-BA85-CB270227245A}"/>
    <cellStyle name="40% - Accent3 6" xfId="1087" xr:uid="{00000000-0005-0000-0000-000092050000}"/>
    <cellStyle name="40% - Accent3 6 2" xfId="3318" xr:uid="{00000000-0005-0000-0000-000093050000}"/>
    <cellStyle name="40% - Accent3 6 2 2" xfId="7540" xr:uid="{00000000-0005-0000-0000-000094050000}"/>
    <cellStyle name="40% - Accent3 6 2 2 2" xfId="16866" xr:uid="{DEC3DACA-5CDE-4B98-BE50-6CFBFF4FED8B}"/>
    <cellStyle name="40% - Accent3 6 2 2 2 2" xfId="53208" xr:uid="{B44980CA-BA6B-48D4-88AE-DAD1FE445812}"/>
    <cellStyle name="40% - Accent3 6 2 2 2 3" xfId="34612" xr:uid="{74C26E95-A07E-499B-BF2C-EF89726E7004}"/>
    <cellStyle name="40% - Accent3 6 2 2 3" xfId="43911" xr:uid="{58A4B0AB-562F-4874-8D21-91DE798E6585}"/>
    <cellStyle name="40% - Accent3 6 2 2 4" xfId="25313" xr:uid="{DBB150D6-450C-401C-A54C-942859D4215E}"/>
    <cellStyle name="40% - Accent3 6 2 3" xfId="12649" xr:uid="{70359DCC-F2D8-4488-BA28-78E94AF2B128}"/>
    <cellStyle name="40% - Accent3 6 2 3 2" xfId="48991" xr:uid="{20BB02B2-7E81-4CD0-B76E-B2BC738155F2}"/>
    <cellStyle name="40% - Accent3 6 2 3 3" xfId="30395" xr:uid="{539D3B48-B6E1-4ABD-AC77-221B7F117E91}"/>
    <cellStyle name="40% - Accent3 6 2 4" xfId="39694" xr:uid="{C9CB36F1-F555-429E-91DD-3B81A9061334}"/>
    <cellStyle name="40% - Accent3 6 2 5" xfId="21096" xr:uid="{D316F391-32F8-4163-B90E-D4D898CC839F}"/>
    <cellStyle name="40% - Accent3 6 3" xfId="5395" xr:uid="{00000000-0005-0000-0000-000095050000}"/>
    <cellStyle name="40% - Accent3 6 3 2" xfId="14721" xr:uid="{83A776ED-0375-43A4-AE40-97423AEB686D}"/>
    <cellStyle name="40% - Accent3 6 3 2 2" xfId="51063" xr:uid="{C7313266-E7C8-486D-AA02-8BB2E36C6578}"/>
    <cellStyle name="40% - Accent3 6 3 2 3" xfId="32467" xr:uid="{9EE8FF22-7E9E-41BE-937B-AAA7E9FA994F}"/>
    <cellStyle name="40% - Accent3 6 3 3" xfId="41766" xr:uid="{85906689-7798-4A7B-82B4-C4CC231A44B6}"/>
    <cellStyle name="40% - Accent3 6 3 4" xfId="23168" xr:uid="{5B8F2782-4DFC-43CE-8B47-80CE1462D6C5}"/>
    <cellStyle name="40% - Accent3 6 4" xfId="10504" xr:uid="{73B80715-DCCE-413E-B426-AE312515B74E}"/>
    <cellStyle name="40% - Accent3 6 4 2" xfId="46846" xr:uid="{31A38D65-1641-4E80-A91E-BDB7F0B562BB}"/>
    <cellStyle name="40% - Accent3 6 4 3" xfId="28250" xr:uid="{4DC086C7-ED39-4723-97E1-8D59609735AA}"/>
    <cellStyle name="40% - Accent3 6 5" xfId="37549" xr:uid="{7DD3E492-B809-4B93-BE98-549457B01FFB}"/>
    <cellStyle name="40% - Accent3 6 6" xfId="18951" xr:uid="{0D881C2E-6D77-4807-BB09-07501D0DCE38}"/>
    <cellStyle name="40% - Accent3 7" xfId="1501" xr:uid="{00000000-0005-0000-0000-000096050000}"/>
    <cellStyle name="40% - Accent3 7 2" xfId="3731" xr:uid="{00000000-0005-0000-0000-000097050000}"/>
    <cellStyle name="40% - Accent3 7 2 2" xfId="7953" xr:uid="{00000000-0005-0000-0000-000098050000}"/>
    <cellStyle name="40% - Accent3 7 2 2 2" xfId="17279" xr:uid="{C782C3E1-2E69-406B-AAAD-4B7B8131F5CC}"/>
    <cellStyle name="40% - Accent3 7 2 2 2 2" xfId="53621" xr:uid="{8595A0EC-BD03-4C55-B6FB-A5C32EA0C6AA}"/>
    <cellStyle name="40% - Accent3 7 2 2 2 3" xfId="35025" xr:uid="{5C5398E8-4C84-4866-BFA3-E9C0377205FA}"/>
    <cellStyle name="40% - Accent3 7 2 2 3" xfId="44324" xr:uid="{E6BC5A4A-0BE2-49FC-842A-3771D48A9BFB}"/>
    <cellStyle name="40% - Accent3 7 2 2 4" xfId="25726" xr:uid="{E2B08008-27D6-4223-AE6C-F33E0FEE7EB8}"/>
    <cellStyle name="40% - Accent3 7 2 3" xfId="13062" xr:uid="{577FD19B-6E0C-4A9C-BDA1-73ABEC5FB3D3}"/>
    <cellStyle name="40% - Accent3 7 2 3 2" xfId="49404" xr:uid="{7C5F57F4-ED13-4D81-A42A-0221E97A335C}"/>
    <cellStyle name="40% - Accent3 7 2 3 3" xfId="30808" xr:uid="{F8115B5F-42DE-4DB2-BD9A-04D85444CD63}"/>
    <cellStyle name="40% - Accent3 7 2 4" xfId="40107" xr:uid="{EF07CDBD-2E76-4E0F-8700-FBD1DD7A7FC6}"/>
    <cellStyle name="40% - Accent3 7 2 5" xfId="21509" xr:uid="{53D08976-ECB3-4627-926F-E7EFAC9F9590}"/>
    <cellStyle name="40% - Accent3 7 3" xfId="5808" xr:uid="{00000000-0005-0000-0000-000099050000}"/>
    <cellStyle name="40% - Accent3 7 3 2" xfId="15134" xr:uid="{15962010-DB8C-4B2D-921E-84FC7F784B6D}"/>
    <cellStyle name="40% - Accent3 7 3 2 2" xfId="51476" xr:uid="{83E138EA-3416-415C-8072-0F1668445618}"/>
    <cellStyle name="40% - Accent3 7 3 2 3" xfId="32880" xr:uid="{0A59E28A-2E22-4C35-AFBE-2E8E21037510}"/>
    <cellStyle name="40% - Accent3 7 3 3" xfId="42179" xr:uid="{14A4EAD9-23C0-4F44-A611-4E331F433AC5}"/>
    <cellStyle name="40% - Accent3 7 3 4" xfId="23581" xr:uid="{510D0FCD-9FCD-474E-A639-3A10B1D9CCAC}"/>
    <cellStyle name="40% - Accent3 7 4" xfId="10917" xr:uid="{281E5FDB-6CC8-4BC8-8E2C-0FF8BAF55AAE}"/>
    <cellStyle name="40% - Accent3 7 4 2" xfId="47259" xr:uid="{4BC6E9F3-10F8-41B8-B5AB-44BE84BA92BA}"/>
    <cellStyle name="40% - Accent3 7 4 3" xfId="28663" xr:uid="{1BF6551B-6298-48C9-9558-E61D7E30F3E1}"/>
    <cellStyle name="40% - Accent3 7 5" xfId="37962" xr:uid="{BE4BA56C-4598-4FCD-BB3D-E7D3BCCE15CA}"/>
    <cellStyle name="40% - Accent3 7 6" xfId="19364" xr:uid="{00A81402-47BA-4406-B561-F00F36E2DC54}"/>
    <cellStyle name="40% - Accent3 8" xfId="1915" xr:uid="{00000000-0005-0000-0000-00009A050000}"/>
    <cellStyle name="40% - Accent3 8 2" xfId="4144" xr:uid="{00000000-0005-0000-0000-00009B050000}"/>
    <cellStyle name="40% - Accent3 8 2 2" xfId="8366" xr:uid="{00000000-0005-0000-0000-00009C050000}"/>
    <cellStyle name="40% - Accent3 8 2 2 2" xfId="17692" xr:uid="{C66A9F10-0DCA-4FF4-AF78-52670640714A}"/>
    <cellStyle name="40% - Accent3 8 2 2 2 2" xfId="54034" xr:uid="{39DFC309-FB37-4B45-B406-9D84D48D46FC}"/>
    <cellStyle name="40% - Accent3 8 2 2 2 3" xfId="35438" xr:uid="{0312DCF5-D37C-413B-BFC0-5A2B6666385F}"/>
    <cellStyle name="40% - Accent3 8 2 2 3" xfId="44737" xr:uid="{2F62DF6F-619A-4DC3-B323-3693BB3DBA31}"/>
    <cellStyle name="40% - Accent3 8 2 2 4" xfId="26139" xr:uid="{4BA16ABB-8E5A-4671-B4E2-9CE05263978F}"/>
    <cellStyle name="40% - Accent3 8 2 3" xfId="13475" xr:uid="{9CF1C80D-8187-49B1-9E57-74D92E874950}"/>
    <cellStyle name="40% - Accent3 8 2 3 2" xfId="49817" xr:uid="{125E432C-9172-4316-ADC6-258F656D038F}"/>
    <cellStyle name="40% - Accent3 8 2 3 3" xfId="31221" xr:uid="{CC426ECC-D9F0-460E-9722-7440F44EAFD0}"/>
    <cellStyle name="40% - Accent3 8 2 4" xfId="40520" xr:uid="{708187A5-EE63-4BD6-821D-6097DDA52ADA}"/>
    <cellStyle name="40% - Accent3 8 2 5" xfId="21922" xr:uid="{D1A77504-7B4B-44F1-A913-91426DAF9A36}"/>
    <cellStyle name="40% - Accent3 8 3" xfId="6221" xr:uid="{00000000-0005-0000-0000-00009D050000}"/>
    <cellStyle name="40% - Accent3 8 3 2" xfId="15547" xr:uid="{833F9B99-C201-4952-9090-09CFC3AEFAFC}"/>
    <cellStyle name="40% - Accent3 8 3 2 2" xfId="51889" xr:uid="{F5679F49-041E-4247-9FEA-4807DA55FCC5}"/>
    <cellStyle name="40% - Accent3 8 3 2 3" xfId="33293" xr:uid="{9049CE49-3C46-4721-9574-2C1F523CCE88}"/>
    <cellStyle name="40% - Accent3 8 3 3" xfId="42592" xr:uid="{6AAAB9D0-21CA-40D7-9499-CA0348333878}"/>
    <cellStyle name="40% - Accent3 8 3 4" xfId="23994" xr:uid="{EEF4BE58-4100-46AE-8EF7-5C3509E0336C}"/>
    <cellStyle name="40% - Accent3 8 4" xfId="11330" xr:uid="{71DB03B9-63E5-47BD-BD2F-607B42D1E00E}"/>
    <cellStyle name="40% - Accent3 8 4 2" xfId="47672" xr:uid="{91E0DC1F-1A79-4113-A02D-1400C93CA56A}"/>
    <cellStyle name="40% - Accent3 8 4 3" xfId="29076" xr:uid="{60FE7098-339C-456D-B272-98B1A54A8C16}"/>
    <cellStyle name="40% - Accent3 8 5" xfId="38375" xr:uid="{08CDCCBB-3E54-4AFC-A630-84EF69B0A326}"/>
    <cellStyle name="40% - Accent3 8 6" xfId="19777" xr:uid="{E7AD657A-79FA-417A-AF6D-2B8FB0D1FE33}"/>
    <cellStyle name="40% - Accent3 9" xfId="2328" xr:uid="{00000000-0005-0000-0000-00009E050000}"/>
    <cellStyle name="40% - Accent3 9 2" xfId="6634" xr:uid="{00000000-0005-0000-0000-00009F050000}"/>
    <cellStyle name="40% - Accent3 9 2 2" xfId="15960" xr:uid="{FB96E013-61A9-47B6-8F0D-E7AE600C9D1F}"/>
    <cellStyle name="40% - Accent3 9 2 2 2" xfId="52302" xr:uid="{4230D06A-74FA-45A4-B67B-0F15BF5512C2}"/>
    <cellStyle name="40% - Accent3 9 2 2 3" xfId="33706" xr:uid="{9D2C5B8C-014A-4D74-8A8E-81FFE053053A}"/>
    <cellStyle name="40% - Accent3 9 2 3" xfId="43005" xr:uid="{9333D1C9-2D57-45A9-8B77-FC14A2EACD76}"/>
    <cellStyle name="40% - Accent3 9 2 4" xfId="24407" xr:uid="{96D70479-84C1-4F79-A1A3-DC835C31467E}"/>
    <cellStyle name="40% - Accent3 9 3" xfId="11743" xr:uid="{D6CF718F-BF20-45CD-876E-98516C9288BC}"/>
    <cellStyle name="40% - Accent3 9 3 2" xfId="48085" xr:uid="{AAC3F132-F2F4-4774-AA41-C8497E8C2FEC}"/>
    <cellStyle name="40% - Accent3 9 3 3" xfId="29489" xr:uid="{C4F411D5-7E9B-4898-84F3-704DA6E82898}"/>
    <cellStyle name="40% - Accent3 9 4" xfId="38788" xr:uid="{D586BF04-EDD5-40D9-9AA0-5E363FCD7A78}"/>
    <cellStyle name="40% - Accent3 9 5" xfId="20190" xr:uid="{C7003EC0-C19D-45E4-898E-1F0159585581}"/>
    <cellStyle name="40% - Accent4" xfId="73" builtinId="43" customBuiltin="1"/>
    <cellStyle name="40% - Accent4 10" xfId="4576" xr:uid="{00000000-0005-0000-0000-0000A1050000}"/>
    <cellStyle name="40% - Accent4 10 2" xfId="13902" xr:uid="{D4209A2A-E9FB-408A-821E-5032877AA62C}"/>
    <cellStyle name="40% - Accent4 10 2 2" xfId="50244" xr:uid="{10A30BE9-916D-4417-9757-EC769E9CF664}"/>
    <cellStyle name="40% - Accent4 10 2 3" xfId="31648" xr:uid="{14DB9C07-DF25-4932-8B38-900E2D7E3FB8}"/>
    <cellStyle name="40% - Accent4 10 3" xfId="40947" xr:uid="{4507067A-EBA1-431D-B395-135B04233C70}"/>
    <cellStyle name="40% - Accent4 10 4" xfId="22349" xr:uid="{3A65899F-D933-4302-ACAF-6BF46BA90098}"/>
    <cellStyle name="40% - Accent4 11" xfId="8765" xr:uid="{18B6B6D6-5043-43D1-BB02-3855BF7027C3}"/>
    <cellStyle name="40% - Accent4 11 2" xfId="35835" xr:uid="{83359064-77BB-443D-BE0E-345B1E94D348}"/>
    <cellStyle name="40% - Accent4 11 2 2" xfId="54430" xr:uid="{C5A5F11C-CC55-4401-80DF-EC13AA94E2BD}"/>
    <cellStyle name="40% - Accent4 11 3" xfId="45133" xr:uid="{AE28D2BC-20B7-4109-B4A0-CA49AC1D7A2C}"/>
    <cellStyle name="40% - Accent4 11 4" xfId="26536" xr:uid="{C6DD23CC-5F8B-415D-A98F-2A495C1E6C31}"/>
    <cellStyle name="40% - Accent4 12" xfId="9685" xr:uid="{58254DEB-E98A-4EEF-91AE-EB1E9E16C685}"/>
    <cellStyle name="40% - Accent4 12 2" xfId="46027" xr:uid="{EE452E1A-87DA-4CDC-8E21-B2755F8A7700}"/>
    <cellStyle name="40% - Accent4 12 3" xfId="27431" xr:uid="{A4239D58-DFEA-4FEE-B06C-DE70E71B8A76}"/>
    <cellStyle name="40% - Accent4 13" xfId="36730" xr:uid="{499BD495-0393-4710-B59D-A725233E2551}"/>
    <cellStyle name="40% - Accent4 14" xfId="18132" xr:uid="{7905A9C6-8C66-42F7-BD63-97A14AB9933A}"/>
    <cellStyle name="40% - Accent4 2" xfId="74" xr:uid="{00000000-0005-0000-0000-0000A2050000}"/>
    <cellStyle name="40% - Accent4 2 10" xfId="8801" xr:uid="{223FCC58-A05E-4022-8080-E75A80678FA6}"/>
    <cellStyle name="40% - Accent4 2 10 2" xfId="35871" xr:uid="{4CE501E8-A578-4C03-B656-17C3B497E415}"/>
    <cellStyle name="40% - Accent4 2 10 2 2" xfId="54466" xr:uid="{2DE775D4-0872-454D-A269-45E12F07D16A}"/>
    <cellStyle name="40% - Accent4 2 10 3" xfId="45169" xr:uid="{CC721618-C76F-418D-8F19-3ADF0338F1FD}"/>
    <cellStyle name="40% - Accent4 2 10 4" xfId="26572" xr:uid="{16C43F6D-FF50-4EF0-8EBD-F14E9FAAA2DD}"/>
    <cellStyle name="40% - Accent4 2 11" xfId="9686" xr:uid="{B18B9B33-88BA-438A-B1D8-63A0957011BC}"/>
    <cellStyle name="40% - Accent4 2 11 2" xfId="46028" xr:uid="{F41AF031-9314-46F3-B659-48D43DB73A19}"/>
    <cellStyle name="40% - Accent4 2 11 3" xfId="27432" xr:uid="{1633FFB7-7A35-4F0F-A222-FD5DC335D72C}"/>
    <cellStyle name="40% - Accent4 2 12" xfId="36731" xr:uid="{F7087A65-33FA-448C-AD22-125A7E8E184E}"/>
    <cellStyle name="40% - Accent4 2 13" xfId="18133" xr:uid="{DF495823-2EE9-49D0-9AE5-2CFE1F02D1AF}"/>
    <cellStyle name="40% - Accent4 2 2" xfId="75" xr:uid="{00000000-0005-0000-0000-0000A3050000}"/>
    <cellStyle name="40% - Accent4 2 2 10" xfId="9687" xr:uid="{9D1EDFF2-F48E-4A5C-8939-06F6E40CD7DF}"/>
    <cellStyle name="40% - Accent4 2 2 10 2" xfId="46029" xr:uid="{B314641F-1A0F-4971-B73A-D619978F32C8}"/>
    <cellStyle name="40% - Accent4 2 2 10 3" xfId="27433" xr:uid="{DC4769A5-14F7-4E8F-9073-ED37C3A0ED39}"/>
    <cellStyle name="40% - Accent4 2 2 11" xfId="36732" xr:uid="{53AB1C45-8E2C-4AE9-8AEC-2DDF9587D8E9}"/>
    <cellStyle name="40% - Accent4 2 2 12" xfId="18134" xr:uid="{A7A9A10D-E624-4A84-9511-29B9CC702A06}"/>
    <cellStyle name="40% - Accent4 2 2 2" xfId="76" xr:uid="{00000000-0005-0000-0000-0000A4050000}"/>
    <cellStyle name="40% - Accent4 2 2 2 10" xfId="36733" xr:uid="{726193B5-4754-42C5-B8F2-9C3924400092}"/>
    <cellStyle name="40% - Accent4 2 2 2 11" xfId="18135" xr:uid="{33B9EB63-FD2A-48F6-B3FD-EBA7959AEC06}"/>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16464" xr:uid="{E9648B70-C184-4B43-BD7B-9776DE0093BD}"/>
    <cellStyle name="40% - Accent4 2 2 2 2 2 2 2 2" xfId="52806" xr:uid="{3C222C0B-D042-49C4-9302-A74F27AE42BD}"/>
    <cellStyle name="40% - Accent4 2 2 2 2 2 2 2 3" xfId="34210" xr:uid="{32178E90-4DB9-4D6C-840F-A3BA2D05661E}"/>
    <cellStyle name="40% - Accent4 2 2 2 2 2 2 3" xfId="43509" xr:uid="{CB1575B7-071A-4DB9-9324-B7B14BF46AD1}"/>
    <cellStyle name="40% - Accent4 2 2 2 2 2 2 4" xfId="24911" xr:uid="{94058977-CC88-469F-88BA-C15439280DA3}"/>
    <cellStyle name="40% - Accent4 2 2 2 2 2 3" xfId="12247" xr:uid="{F53687A3-D141-4617-93D8-D4E2A6164DEA}"/>
    <cellStyle name="40% - Accent4 2 2 2 2 2 3 2" xfId="48589" xr:uid="{6F78FEE1-F4EF-4D28-AA31-88ED4D31F129}"/>
    <cellStyle name="40% - Accent4 2 2 2 2 2 3 3" xfId="29993" xr:uid="{227AC503-A2C2-4490-9CF5-919A19FCBA35}"/>
    <cellStyle name="40% - Accent4 2 2 2 2 2 4" xfId="39292" xr:uid="{645199B8-A6D8-42CB-B560-FF94CE60AC2C}"/>
    <cellStyle name="40% - Accent4 2 2 2 2 2 5" xfId="20694" xr:uid="{38FB2B19-E6D9-440C-80A6-3EC5784AE04F}"/>
    <cellStyle name="40% - Accent4 2 2 2 2 3" xfId="4993" xr:uid="{00000000-0005-0000-0000-0000A8050000}"/>
    <cellStyle name="40% - Accent4 2 2 2 2 3 2" xfId="14319" xr:uid="{C7FC9DB3-343B-4E1F-A3A5-AAA147204411}"/>
    <cellStyle name="40% - Accent4 2 2 2 2 3 2 2" xfId="50661" xr:uid="{14B40931-BB7D-40F7-B9A5-8AAACF06CBA2}"/>
    <cellStyle name="40% - Accent4 2 2 2 2 3 2 3" xfId="32065" xr:uid="{0CC94ED1-46DF-4F35-B117-155915EA4DE8}"/>
    <cellStyle name="40% - Accent4 2 2 2 2 3 3" xfId="41364" xr:uid="{EBB592B8-ABB8-4FA1-A287-466848E9EB3D}"/>
    <cellStyle name="40% - Accent4 2 2 2 2 3 4" xfId="22766" xr:uid="{A4820D44-9226-4110-874A-68AB05C03621}"/>
    <cellStyle name="40% - Accent4 2 2 2 2 4" xfId="9536" xr:uid="{4351D24F-CE30-4CFD-968F-4B882F0FC9B5}"/>
    <cellStyle name="40% - Accent4 2 2 2 2 4 2" xfId="36597" xr:uid="{38E6DB7B-4111-4BF8-9C10-7DE79B919671}"/>
    <cellStyle name="40% - Accent4 2 2 2 2 4 2 2" xfId="55191" xr:uid="{3B3F4085-49C7-4867-BCF5-043846A92C53}"/>
    <cellStyle name="40% - Accent4 2 2 2 2 4 3" xfId="45894" xr:uid="{5F8E4564-2684-4214-92BE-21B01AEC6AAE}"/>
    <cellStyle name="40% - Accent4 2 2 2 2 4 4" xfId="27298" xr:uid="{8DD93A88-5EEA-4913-ADAA-10BC9326981A}"/>
    <cellStyle name="40% - Accent4 2 2 2 2 5" xfId="10102" xr:uid="{336E9D8F-89C2-498A-9161-896E602B58A0}"/>
    <cellStyle name="40% - Accent4 2 2 2 2 5 2" xfId="46444" xr:uid="{F66CDFB8-7BEF-4E06-B338-FB73B99A96F3}"/>
    <cellStyle name="40% - Accent4 2 2 2 2 5 3" xfId="27848" xr:uid="{6E4D7D6B-9BE9-4206-9774-B1E482637F40}"/>
    <cellStyle name="40% - Accent4 2 2 2 2 6" xfId="37147" xr:uid="{97A5C61F-52F5-4440-A72E-D01DBCF9512A}"/>
    <cellStyle name="40% - Accent4 2 2 2 2 7" xfId="18549" xr:uid="{5DD71E42-FD70-4837-AC49-C869C47F7ABE}"/>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16877" xr:uid="{1352960E-9C20-4B63-AC49-909BA929F1DA}"/>
    <cellStyle name="40% - Accent4 2 2 2 3 2 2 2 2" xfId="53219" xr:uid="{B3D314BE-EC66-4534-91AA-DA1B4625A56E}"/>
    <cellStyle name="40% - Accent4 2 2 2 3 2 2 2 3" xfId="34623" xr:uid="{2A8F700D-FFC9-4290-9CDB-EA7C5DAB9097}"/>
    <cellStyle name="40% - Accent4 2 2 2 3 2 2 3" xfId="43922" xr:uid="{8B63A746-BD04-439C-B948-C03FC59839F7}"/>
    <cellStyle name="40% - Accent4 2 2 2 3 2 2 4" xfId="25324" xr:uid="{3E69A7F5-9320-4A1C-9A7C-8616055379B8}"/>
    <cellStyle name="40% - Accent4 2 2 2 3 2 3" xfId="12660" xr:uid="{BDB89201-CA9C-4995-B81A-7A332393AE01}"/>
    <cellStyle name="40% - Accent4 2 2 2 3 2 3 2" xfId="49002" xr:uid="{B41D25C8-50A3-4395-860B-0C980D56C6AF}"/>
    <cellStyle name="40% - Accent4 2 2 2 3 2 3 3" xfId="30406" xr:uid="{426C6DDD-BB78-46CA-B46A-2C1545AADE03}"/>
    <cellStyle name="40% - Accent4 2 2 2 3 2 4" xfId="39705" xr:uid="{AC3CA5D3-CA7C-4F7E-9B6D-85D4DA01F7FD}"/>
    <cellStyle name="40% - Accent4 2 2 2 3 2 5" xfId="21107" xr:uid="{2E022683-76CC-416D-AC1E-3B147038CD29}"/>
    <cellStyle name="40% - Accent4 2 2 2 3 3" xfId="5406" xr:uid="{00000000-0005-0000-0000-0000AC050000}"/>
    <cellStyle name="40% - Accent4 2 2 2 3 3 2" xfId="14732" xr:uid="{C96414F6-86AD-4E41-9BE6-CB5B34BAA6CB}"/>
    <cellStyle name="40% - Accent4 2 2 2 3 3 2 2" xfId="51074" xr:uid="{1A2AB9AD-6F02-4CE2-8D1F-F87DC670C516}"/>
    <cellStyle name="40% - Accent4 2 2 2 3 3 2 3" xfId="32478" xr:uid="{19A2DD0B-5775-4E1D-9113-E2B7E2564009}"/>
    <cellStyle name="40% - Accent4 2 2 2 3 3 3" xfId="41777" xr:uid="{40C2FBDA-4BA7-4C75-B9FE-ABB26305683D}"/>
    <cellStyle name="40% - Accent4 2 2 2 3 3 4" xfId="23179" xr:uid="{A9CB028A-7E63-4AE0-8B67-0BB016498286}"/>
    <cellStyle name="40% - Accent4 2 2 2 3 4" xfId="10515" xr:uid="{E500FEDF-F98D-4A9E-9386-8B9A4EF679FC}"/>
    <cellStyle name="40% - Accent4 2 2 2 3 4 2" xfId="46857" xr:uid="{39D4548C-EF03-4DD0-9125-E1DF7F37155A}"/>
    <cellStyle name="40% - Accent4 2 2 2 3 4 3" xfId="28261" xr:uid="{627A9D07-7C96-4531-92D2-B98DA1AC1226}"/>
    <cellStyle name="40% - Accent4 2 2 2 3 5" xfId="37560" xr:uid="{F54AFC05-7A5E-45F5-A79B-18FDD28770B8}"/>
    <cellStyle name="40% - Accent4 2 2 2 3 6" xfId="18962" xr:uid="{EC5C0F08-3C27-4162-ABD0-43897DA94496}"/>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17290" xr:uid="{9BBD5BE8-E9B3-4939-B635-B430CD2B7AF0}"/>
    <cellStyle name="40% - Accent4 2 2 2 4 2 2 2 2" xfId="53632" xr:uid="{F3949E9D-0C7F-4C6E-ADF1-DE186B20BADD}"/>
    <cellStyle name="40% - Accent4 2 2 2 4 2 2 2 3" xfId="35036" xr:uid="{7170C4BD-59DF-4FA9-B9F2-F3C46AEAAF4E}"/>
    <cellStyle name="40% - Accent4 2 2 2 4 2 2 3" xfId="44335" xr:uid="{3CF9703A-A4D5-4BE2-9F70-26D203EBFBCE}"/>
    <cellStyle name="40% - Accent4 2 2 2 4 2 2 4" xfId="25737" xr:uid="{63E5CEBB-CDA6-49C6-92BB-BFF959E125C9}"/>
    <cellStyle name="40% - Accent4 2 2 2 4 2 3" xfId="13073" xr:uid="{9E7F99CA-5F26-482E-9057-843C63B6AA1D}"/>
    <cellStyle name="40% - Accent4 2 2 2 4 2 3 2" xfId="49415" xr:uid="{EAF5B053-A8BF-42D7-9612-0D4A2C051308}"/>
    <cellStyle name="40% - Accent4 2 2 2 4 2 3 3" xfId="30819" xr:uid="{89660AA2-FC36-41B3-9CE1-CC89323E4AE9}"/>
    <cellStyle name="40% - Accent4 2 2 2 4 2 4" xfId="40118" xr:uid="{29AC8A72-86F1-461E-99C7-67902763AF96}"/>
    <cellStyle name="40% - Accent4 2 2 2 4 2 5" xfId="21520" xr:uid="{1A461660-E8D3-40F5-BBDE-70192422407C}"/>
    <cellStyle name="40% - Accent4 2 2 2 4 3" xfId="5819" xr:uid="{00000000-0005-0000-0000-0000B0050000}"/>
    <cellStyle name="40% - Accent4 2 2 2 4 3 2" xfId="15145" xr:uid="{A05C3BD9-098C-4373-8CAB-0D987DC9F01B}"/>
    <cellStyle name="40% - Accent4 2 2 2 4 3 2 2" xfId="51487" xr:uid="{7F40E931-0C32-448F-8B8E-8DCE06AEC861}"/>
    <cellStyle name="40% - Accent4 2 2 2 4 3 2 3" xfId="32891" xr:uid="{6648C4D2-767F-440B-BEF3-0F3E2DA7ED52}"/>
    <cellStyle name="40% - Accent4 2 2 2 4 3 3" xfId="42190" xr:uid="{5268C00E-DE27-46C2-B6F7-3725C4434752}"/>
    <cellStyle name="40% - Accent4 2 2 2 4 3 4" xfId="23592" xr:uid="{B1275792-2196-4DF8-BE5C-2322FA290582}"/>
    <cellStyle name="40% - Accent4 2 2 2 4 4" xfId="10928" xr:uid="{9E9C37F9-45E2-47DF-8911-CFB8417A2E35}"/>
    <cellStyle name="40% - Accent4 2 2 2 4 4 2" xfId="47270" xr:uid="{4AD76E85-BBA1-4910-9A65-66D8C18F7263}"/>
    <cellStyle name="40% - Accent4 2 2 2 4 4 3" xfId="28674" xr:uid="{DDFDF869-8C37-4EDF-AB46-84F2FF9B9CB2}"/>
    <cellStyle name="40% - Accent4 2 2 2 4 5" xfId="37973" xr:uid="{8AC69B08-2510-40BB-B7BC-359ABB7C7914}"/>
    <cellStyle name="40% - Accent4 2 2 2 4 6" xfId="19375" xr:uid="{6E383E03-3882-4296-A393-D9517C83D711}"/>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17703" xr:uid="{D817741A-0297-443B-A172-10DDFC2466E7}"/>
    <cellStyle name="40% - Accent4 2 2 2 5 2 2 2 2" xfId="54045" xr:uid="{962DAB7B-50F2-4DB8-8661-3F39382FE307}"/>
    <cellStyle name="40% - Accent4 2 2 2 5 2 2 2 3" xfId="35449" xr:uid="{56113025-39E1-4C72-AAA3-6B09676BC017}"/>
    <cellStyle name="40% - Accent4 2 2 2 5 2 2 3" xfId="44748" xr:uid="{FF66D9E1-ED58-4644-90DF-3350A9F0C145}"/>
    <cellStyle name="40% - Accent4 2 2 2 5 2 2 4" xfId="26150" xr:uid="{BBC7B810-3211-4571-9B57-D19208039FDF}"/>
    <cellStyle name="40% - Accent4 2 2 2 5 2 3" xfId="13486" xr:uid="{052BD7FD-735E-4AC0-B0EC-B6F6E94A94CB}"/>
    <cellStyle name="40% - Accent4 2 2 2 5 2 3 2" xfId="49828" xr:uid="{C40D483F-D56D-4F4F-A140-82EB0C13FDBA}"/>
    <cellStyle name="40% - Accent4 2 2 2 5 2 3 3" xfId="31232" xr:uid="{96796211-A558-413F-8EEB-503F97BF2D1F}"/>
    <cellStyle name="40% - Accent4 2 2 2 5 2 4" xfId="40531" xr:uid="{363B40EE-9B9F-4987-BDF2-F38C4A8E38E4}"/>
    <cellStyle name="40% - Accent4 2 2 2 5 2 5" xfId="21933" xr:uid="{0CE9AF1B-8F3B-4E98-8E29-8788A1B237E8}"/>
    <cellStyle name="40% - Accent4 2 2 2 5 3" xfId="6232" xr:uid="{00000000-0005-0000-0000-0000B4050000}"/>
    <cellStyle name="40% - Accent4 2 2 2 5 3 2" xfId="15558" xr:uid="{D10AB70C-E5C2-42EA-A7EC-BA81CD09CF16}"/>
    <cellStyle name="40% - Accent4 2 2 2 5 3 2 2" xfId="51900" xr:uid="{E14BB143-3C72-4DC2-AC1C-547D65374C1E}"/>
    <cellStyle name="40% - Accent4 2 2 2 5 3 2 3" xfId="33304" xr:uid="{3CD8AD95-9671-4EAD-8ABC-916D3038434F}"/>
    <cellStyle name="40% - Accent4 2 2 2 5 3 3" xfId="42603" xr:uid="{088DD2D8-6DF5-4F09-925D-F14F05537169}"/>
    <cellStyle name="40% - Accent4 2 2 2 5 3 4" xfId="24005" xr:uid="{8CB4BB61-7BDF-4DA8-B78D-C868FEC33497}"/>
    <cellStyle name="40% - Accent4 2 2 2 5 4" xfId="11341" xr:uid="{94162218-E6D7-4794-B666-A3BE0AA90B1D}"/>
    <cellStyle name="40% - Accent4 2 2 2 5 4 2" xfId="47683" xr:uid="{B48C2D58-E708-427E-8535-1723668ECFF1}"/>
    <cellStyle name="40% - Accent4 2 2 2 5 4 3" xfId="29087" xr:uid="{CA60ABAB-FE92-4905-9455-6554708DB1C6}"/>
    <cellStyle name="40% - Accent4 2 2 2 5 5" xfId="38386" xr:uid="{E22CD60B-856F-43B6-8A14-61816020370F}"/>
    <cellStyle name="40% - Accent4 2 2 2 5 6" xfId="19788" xr:uid="{0D06F7E4-A023-4B65-8F7B-FB80E26AF595}"/>
    <cellStyle name="40% - Accent4 2 2 2 6" xfId="2339" xr:uid="{00000000-0005-0000-0000-0000B5050000}"/>
    <cellStyle name="40% - Accent4 2 2 2 6 2" xfId="6645" xr:uid="{00000000-0005-0000-0000-0000B6050000}"/>
    <cellStyle name="40% - Accent4 2 2 2 6 2 2" xfId="15971" xr:uid="{E124AB94-DE1B-4C65-92B9-A1F7DCD07D31}"/>
    <cellStyle name="40% - Accent4 2 2 2 6 2 2 2" xfId="52313" xr:uid="{F4C364D5-8953-4D22-A31D-9981B9EEB891}"/>
    <cellStyle name="40% - Accent4 2 2 2 6 2 2 3" xfId="33717" xr:uid="{CFC52283-43C0-4F9F-83B4-E9D61633ED5D}"/>
    <cellStyle name="40% - Accent4 2 2 2 6 2 3" xfId="43016" xr:uid="{B9581B2E-6902-4813-8F27-E929D59A4E1E}"/>
    <cellStyle name="40% - Accent4 2 2 2 6 2 4" xfId="24418" xr:uid="{71C5BCAB-0906-4CB7-ADB1-943923AD181C}"/>
    <cellStyle name="40% - Accent4 2 2 2 6 3" xfId="11754" xr:uid="{77BB629A-434C-47C7-BC7E-DEE0EFFAE83F}"/>
    <cellStyle name="40% - Accent4 2 2 2 6 3 2" xfId="48096" xr:uid="{95680D7D-FCDB-4C7D-9B38-9FA75638EAAE}"/>
    <cellStyle name="40% - Accent4 2 2 2 6 3 3" xfId="29500" xr:uid="{324573DB-2997-4F43-BF68-63971418B05C}"/>
    <cellStyle name="40% - Accent4 2 2 2 6 4" xfId="38799" xr:uid="{80B99350-8BD0-4547-A48F-436BCA05985B}"/>
    <cellStyle name="40% - Accent4 2 2 2 6 5" xfId="20201" xr:uid="{2DF5D8D9-E492-478E-B98C-A5181C11DF37}"/>
    <cellStyle name="40% - Accent4 2 2 2 7" xfId="4579" xr:uid="{00000000-0005-0000-0000-0000B7050000}"/>
    <cellStyle name="40% - Accent4 2 2 2 7 2" xfId="13905" xr:uid="{FFB99C72-715D-4AA4-B8CF-CCAE525E7CF8}"/>
    <cellStyle name="40% - Accent4 2 2 2 7 2 2" xfId="50247" xr:uid="{7EFF3B2B-B311-40F6-9933-16FFD69A4D8E}"/>
    <cellStyle name="40% - Accent4 2 2 2 7 2 3" xfId="31651" xr:uid="{5D7C6444-BA56-47E3-9CD3-83247731D308}"/>
    <cellStyle name="40% - Accent4 2 2 2 7 3" xfId="40950" xr:uid="{78E5A549-4805-4A60-AF36-21CDFC21912F}"/>
    <cellStyle name="40% - Accent4 2 2 2 7 4" xfId="22352" xr:uid="{2CF53F16-A125-4A28-8467-B153604FEDDC}"/>
    <cellStyle name="40% - Accent4 2 2 2 8" xfId="9111" xr:uid="{1DD86F12-0D11-497C-88D9-78D90E1EF65F}"/>
    <cellStyle name="40% - Accent4 2 2 2 8 2" xfId="36181" xr:uid="{05B83B7C-CD8F-4BE2-86C7-1297620690AF}"/>
    <cellStyle name="40% - Accent4 2 2 2 8 2 2" xfId="54776" xr:uid="{1A2AFF77-BA94-4F6F-889B-7ADEFB33CE45}"/>
    <cellStyle name="40% - Accent4 2 2 2 8 3" xfId="45479" xr:uid="{17556F86-DD14-4151-B8C6-56573B44F866}"/>
    <cellStyle name="40% - Accent4 2 2 2 8 4" xfId="26882" xr:uid="{2F2BD7D2-CF5E-4D40-95F2-EEC949B9B8E1}"/>
    <cellStyle name="40% - Accent4 2 2 2 9" xfId="9688" xr:uid="{DA2CE156-BF9F-42C9-912E-BD93CC06FF82}"/>
    <cellStyle name="40% - Accent4 2 2 2 9 2" xfId="46030" xr:uid="{9CA5A75F-F3F7-471A-A573-614BC9DC0094}"/>
    <cellStyle name="40% - Accent4 2 2 2 9 3" xfId="27434" xr:uid="{10118E06-4FD9-4BCD-B702-C68621693313}"/>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16463" xr:uid="{F1B9E87C-D508-4DA2-839D-284E61938823}"/>
    <cellStyle name="40% - Accent4 2 2 3 2 2 2 2" xfId="52805" xr:uid="{629E6128-9991-496F-90B7-B5995AD6460D}"/>
    <cellStyle name="40% - Accent4 2 2 3 2 2 2 3" xfId="34209" xr:uid="{0012EED6-93FF-4A3F-8B83-F21A2B899C32}"/>
    <cellStyle name="40% - Accent4 2 2 3 2 2 3" xfId="43508" xr:uid="{D560B672-8CAA-4279-8DBB-492CD4630CC6}"/>
    <cellStyle name="40% - Accent4 2 2 3 2 2 4" xfId="24910" xr:uid="{E3B473AF-A1C5-4430-9165-D68A9EF076E4}"/>
    <cellStyle name="40% - Accent4 2 2 3 2 3" xfId="12246" xr:uid="{3CD195F1-6179-4FE7-B508-B90C9DF24607}"/>
    <cellStyle name="40% - Accent4 2 2 3 2 3 2" xfId="48588" xr:uid="{980288B2-CEDE-43D4-AD64-C17C35FF52C4}"/>
    <cellStyle name="40% - Accent4 2 2 3 2 3 3" xfId="29992" xr:uid="{2B7A2622-DA83-4A01-98F6-7866D105D934}"/>
    <cellStyle name="40% - Accent4 2 2 3 2 4" xfId="39291" xr:uid="{9D105646-7E13-48E1-B0D0-8573206D82E4}"/>
    <cellStyle name="40% - Accent4 2 2 3 2 5" xfId="20693" xr:uid="{70F87CFC-EDF8-4BB9-9394-B95F4C98D203}"/>
    <cellStyle name="40% - Accent4 2 2 3 3" xfId="4992" xr:uid="{00000000-0005-0000-0000-0000BB050000}"/>
    <cellStyle name="40% - Accent4 2 2 3 3 2" xfId="14318" xr:uid="{F0B14ACA-61DE-41A9-AE2C-70FBB29B5C77}"/>
    <cellStyle name="40% - Accent4 2 2 3 3 2 2" xfId="50660" xr:uid="{00FCFA06-4D54-4B11-BEF2-E5CE0BA779AE}"/>
    <cellStyle name="40% - Accent4 2 2 3 3 2 3" xfId="32064" xr:uid="{72B0838A-6F6C-4EE0-A072-ACC93465B0D7}"/>
    <cellStyle name="40% - Accent4 2 2 3 3 3" xfId="41363" xr:uid="{93DD9B1C-5242-4F70-87FA-F53A63126524}"/>
    <cellStyle name="40% - Accent4 2 2 3 3 4" xfId="22765" xr:uid="{57134B83-73EF-4B91-9710-09EDDC168B9C}"/>
    <cellStyle name="40% - Accent4 2 2 3 4" xfId="9329" xr:uid="{62CB3536-9FC4-4DBF-9121-AD0025D891C9}"/>
    <cellStyle name="40% - Accent4 2 2 3 4 2" xfId="36390" xr:uid="{34D8966B-4DB3-4CB5-AA60-CF047C5B5FC5}"/>
    <cellStyle name="40% - Accent4 2 2 3 4 2 2" xfId="54984" xr:uid="{A324FDF7-4C22-446C-B9A1-C335B38C7DF1}"/>
    <cellStyle name="40% - Accent4 2 2 3 4 3" xfId="45687" xr:uid="{B991D0D4-A26C-4E79-AD61-089CB3835FF9}"/>
    <cellStyle name="40% - Accent4 2 2 3 4 4" xfId="27091" xr:uid="{D10187D4-4EA5-4B56-AC65-5037234F0932}"/>
    <cellStyle name="40% - Accent4 2 2 3 5" xfId="10101" xr:uid="{9EDA4228-C81E-4FB7-8F90-D9586AE7D728}"/>
    <cellStyle name="40% - Accent4 2 2 3 5 2" xfId="46443" xr:uid="{4DCC9302-A15F-46C6-9657-334006F7AA4A}"/>
    <cellStyle name="40% - Accent4 2 2 3 5 3" xfId="27847" xr:uid="{F8F1768E-EB84-4A6B-9D49-6ABA6D0E2A54}"/>
    <cellStyle name="40% - Accent4 2 2 3 6" xfId="37146" xr:uid="{0DA61488-9AA0-4181-8FEA-579F733F7AEA}"/>
    <cellStyle name="40% - Accent4 2 2 3 7" xfId="18548" xr:uid="{37B120A6-9E67-4DD1-ABAD-51E9AF6974B0}"/>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16876" xr:uid="{186CE721-9ADA-4F2B-AC79-CC174922FAA2}"/>
    <cellStyle name="40% - Accent4 2 2 4 2 2 2 2" xfId="53218" xr:uid="{ACDA34F1-9D3C-4707-966C-8F229A69CC55}"/>
    <cellStyle name="40% - Accent4 2 2 4 2 2 2 3" xfId="34622" xr:uid="{7661E4E0-7014-42EC-B72E-F1F95853AAC9}"/>
    <cellStyle name="40% - Accent4 2 2 4 2 2 3" xfId="43921" xr:uid="{DE8C5F41-ED28-491D-A3D9-193882550ACA}"/>
    <cellStyle name="40% - Accent4 2 2 4 2 2 4" xfId="25323" xr:uid="{1D5B857A-CE23-4129-9E8A-B63ED5C78322}"/>
    <cellStyle name="40% - Accent4 2 2 4 2 3" xfId="12659" xr:uid="{B3B6D38E-4489-4A60-ACA7-0AE84AF30DE4}"/>
    <cellStyle name="40% - Accent4 2 2 4 2 3 2" xfId="49001" xr:uid="{F6E3914E-FB3A-4782-9912-B1BCA607FAFB}"/>
    <cellStyle name="40% - Accent4 2 2 4 2 3 3" xfId="30405" xr:uid="{CCE028FD-53E4-41C6-A775-7CC0E90647BD}"/>
    <cellStyle name="40% - Accent4 2 2 4 2 4" xfId="39704" xr:uid="{59BD9CBE-98D3-4281-B58D-D8C6E6BA2267}"/>
    <cellStyle name="40% - Accent4 2 2 4 2 5" xfId="21106" xr:uid="{C472794A-CBC3-4913-AC08-72B65E9D838D}"/>
    <cellStyle name="40% - Accent4 2 2 4 3" xfId="5405" xr:uid="{00000000-0005-0000-0000-0000BF050000}"/>
    <cellStyle name="40% - Accent4 2 2 4 3 2" xfId="14731" xr:uid="{3389799B-A99A-4A96-8E89-31B701B7FED4}"/>
    <cellStyle name="40% - Accent4 2 2 4 3 2 2" xfId="51073" xr:uid="{83CC5771-65F0-479A-A58A-7EE16B8729BE}"/>
    <cellStyle name="40% - Accent4 2 2 4 3 2 3" xfId="32477" xr:uid="{86D66E4D-04AB-402A-8D16-A63AD621FAF2}"/>
    <cellStyle name="40% - Accent4 2 2 4 3 3" xfId="41776" xr:uid="{1CD07F65-DC18-418B-8D66-BE450498186F}"/>
    <cellStyle name="40% - Accent4 2 2 4 3 4" xfId="23178" xr:uid="{86F31310-9863-462F-B2D0-CE04105F8CDB}"/>
    <cellStyle name="40% - Accent4 2 2 4 4" xfId="10514" xr:uid="{DCD2BD2D-4918-4F8B-BE47-D02340E7A7F8}"/>
    <cellStyle name="40% - Accent4 2 2 4 4 2" xfId="46856" xr:uid="{CC069A2B-D0B2-41F5-BC62-7BB66D0C757B}"/>
    <cellStyle name="40% - Accent4 2 2 4 4 3" xfId="28260" xr:uid="{AD9B5E50-F9ED-44EB-861D-25B4AF134BF9}"/>
    <cellStyle name="40% - Accent4 2 2 4 5" xfId="37559" xr:uid="{FFCFBCD2-4DEA-4E11-8A7A-DE2588252D67}"/>
    <cellStyle name="40% - Accent4 2 2 4 6" xfId="18961" xr:uid="{44881BEE-319E-44B3-8F04-D97231653866}"/>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17289" xr:uid="{98C6690B-25FE-44C6-AE0E-CE39CEE74E08}"/>
    <cellStyle name="40% - Accent4 2 2 5 2 2 2 2" xfId="53631" xr:uid="{2916A836-A3B9-426B-B9BA-BA6FE87242DF}"/>
    <cellStyle name="40% - Accent4 2 2 5 2 2 2 3" xfId="35035" xr:uid="{886DDAFE-C078-49A0-A69D-0120FC351301}"/>
    <cellStyle name="40% - Accent4 2 2 5 2 2 3" xfId="44334" xr:uid="{07A18A6F-0E93-4BC5-93A4-A274AAA434D9}"/>
    <cellStyle name="40% - Accent4 2 2 5 2 2 4" xfId="25736" xr:uid="{D03AB70C-8415-4370-AFD0-4006BAA8C2FD}"/>
    <cellStyle name="40% - Accent4 2 2 5 2 3" xfId="13072" xr:uid="{F39D68BC-218D-4F2A-BD06-D83A51B21F2A}"/>
    <cellStyle name="40% - Accent4 2 2 5 2 3 2" xfId="49414" xr:uid="{1F347873-32D1-40E3-BE4B-7E401EDF031D}"/>
    <cellStyle name="40% - Accent4 2 2 5 2 3 3" xfId="30818" xr:uid="{2CCA0AFB-75D6-4FC3-AF0C-10E1F02B0844}"/>
    <cellStyle name="40% - Accent4 2 2 5 2 4" xfId="40117" xr:uid="{B7084FED-231C-4DB2-9E56-9112F696BBE4}"/>
    <cellStyle name="40% - Accent4 2 2 5 2 5" xfId="21519" xr:uid="{1D2725CD-C3A7-4379-A93B-F598482217BA}"/>
    <cellStyle name="40% - Accent4 2 2 5 3" xfId="5818" xr:uid="{00000000-0005-0000-0000-0000C3050000}"/>
    <cellStyle name="40% - Accent4 2 2 5 3 2" xfId="15144" xr:uid="{12D0A37B-351E-4F3A-B2CF-82E07BF449BF}"/>
    <cellStyle name="40% - Accent4 2 2 5 3 2 2" xfId="51486" xr:uid="{F31C9D43-5618-405B-A628-5E5BCBD262A9}"/>
    <cellStyle name="40% - Accent4 2 2 5 3 2 3" xfId="32890" xr:uid="{9E0C1665-0585-4BCB-A599-3B28BC808984}"/>
    <cellStyle name="40% - Accent4 2 2 5 3 3" xfId="42189" xr:uid="{C54AE40B-B85B-4AD1-A823-FC6CE8B5F0EC}"/>
    <cellStyle name="40% - Accent4 2 2 5 3 4" xfId="23591" xr:uid="{1EADE588-9EB1-4AFE-8C0C-AA624F3D0801}"/>
    <cellStyle name="40% - Accent4 2 2 5 4" xfId="10927" xr:uid="{3EE6A556-1578-4B4B-B45E-1208E9B1F45A}"/>
    <cellStyle name="40% - Accent4 2 2 5 4 2" xfId="47269" xr:uid="{7476F42D-3A68-4298-9F50-984D279056A9}"/>
    <cellStyle name="40% - Accent4 2 2 5 4 3" xfId="28673" xr:uid="{948FDE36-AE79-40F6-8593-C9821600226E}"/>
    <cellStyle name="40% - Accent4 2 2 5 5" xfId="37972" xr:uid="{E52EBEE0-297C-49B8-923F-ABE73FF03DB5}"/>
    <cellStyle name="40% - Accent4 2 2 5 6" xfId="19374" xr:uid="{1F838597-6709-438D-B163-4679C0FB9B7B}"/>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17702" xr:uid="{462CE0A1-853A-4D06-AC53-91DA5AD03520}"/>
    <cellStyle name="40% - Accent4 2 2 6 2 2 2 2" xfId="54044" xr:uid="{25A7B9DF-B4D1-469B-B1A4-774FD5C7F054}"/>
    <cellStyle name="40% - Accent4 2 2 6 2 2 2 3" xfId="35448" xr:uid="{F633D6ED-182D-45F8-96AD-F8781DA73A94}"/>
    <cellStyle name="40% - Accent4 2 2 6 2 2 3" xfId="44747" xr:uid="{2616E6BC-AD4D-459A-9CB8-E5D6ACB2EAC5}"/>
    <cellStyle name="40% - Accent4 2 2 6 2 2 4" xfId="26149" xr:uid="{D4A71D3B-9F2B-456D-A094-82C1AD2BF9F0}"/>
    <cellStyle name="40% - Accent4 2 2 6 2 3" xfId="13485" xr:uid="{60405C75-964C-4FE0-A9B2-1E9AD6A530DF}"/>
    <cellStyle name="40% - Accent4 2 2 6 2 3 2" xfId="49827" xr:uid="{906DFB9C-ABED-4E88-9BB1-069FDA49E48D}"/>
    <cellStyle name="40% - Accent4 2 2 6 2 3 3" xfId="31231" xr:uid="{1AA88ACF-D0B5-4A1E-B30B-B5836F6A4D3D}"/>
    <cellStyle name="40% - Accent4 2 2 6 2 4" xfId="40530" xr:uid="{C14E8891-493E-4115-A8FB-2F8CA4579EA6}"/>
    <cellStyle name="40% - Accent4 2 2 6 2 5" xfId="21932" xr:uid="{7F9D739E-5B90-4FF5-A0EF-CF98ABC810B2}"/>
    <cellStyle name="40% - Accent4 2 2 6 3" xfId="6231" xr:uid="{00000000-0005-0000-0000-0000C7050000}"/>
    <cellStyle name="40% - Accent4 2 2 6 3 2" xfId="15557" xr:uid="{E03CD4EA-2FF8-450C-8E49-45FB626621A0}"/>
    <cellStyle name="40% - Accent4 2 2 6 3 2 2" xfId="51899" xr:uid="{4D788708-4A9B-46F6-A61C-9C437E87E4F2}"/>
    <cellStyle name="40% - Accent4 2 2 6 3 2 3" xfId="33303" xr:uid="{021DAB93-4D5B-407F-93C6-E54B5CBE56CF}"/>
    <cellStyle name="40% - Accent4 2 2 6 3 3" xfId="42602" xr:uid="{9A652CD3-D5C8-4D2B-9248-B4E782CB0552}"/>
    <cellStyle name="40% - Accent4 2 2 6 3 4" xfId="24004" xr:uid="{A9211796-E598-4770-B2E7-26B0DFE71599}"/>
    <cellStyle name="40% - Accent4 2 2 6 4" xfId="11340" xr:uid="{CB2A6F2C-85DA-4302-9EC9-A7C059A77928}"/>
    <cellStyle name="40% - Accent4 2 2 6 4 2" xfId="47682" xr:uid="{9D14C3F6-7536-4175-A699-B2D63EEFA361}"/>
    <cellStyle name="40% - Accent4 2 2 6 4 3" xfId="29086" xr:uid="{04CA89FD-47F3-4F87-911F-E5FDD4656890}"/>
    <cellStyle name="40% - Accent4 2 2 6 5" xfId="38385" xr:uid="{FA32FD1F-D8AC-4696-9447-84D97B8BE16F}"/>
    <cellStyle name="40% - Accent4 2 2 6 6" xfId="19787" xr:uid="{BBEA8500-C636-4CF0-9167-6700A70AF988}"/>
    <cellStyle name="40% - Accent4 2 2 7" xfId="2338" xr:uid="{00000000-0005-0000-0000-0000C8050000}"/>
    <cellStyle name="40% - Accent4 2 2 7 2" xfId="6644" xr:uid="{00000000-0005-0000-0000-0000C9050000}"/>
    <cellStyle name="40% - Accent4 2 2 7 2 2" xfId="15970" xr:uid="{95C96B6C-C59F-4526-BC69-FC089912904E}"/>
    <cellStyle name="40% - Accent4 2 2 7 2 2 2" xfId="52312" xr:uid="{93C6ADDC-4BBE-432F-BCA7-8B648216C022}"/>
    <cellStyle name="40% - Accent4 2 2 7 2 2 3" xfId="33716" xr:uid="{726788DC-B078-4464-A39F-823425FEA8AB}"/>
    <cellStyle name="40% - Accent4 2 2 7 2 3" xfId="43015" xr:uid="{BF700E09-F5DC-4B4F-9501-4B312D8F0D65}"/>
    <cellStyle name="40% - Accent4 2 2 7 2 4" xfId="24417" xr:uid="{904A66AB-A797-4EB2-986E-0B015EFAB5AC}"/>
    <cellStyle name="40% - Accent4 2 2 7 3" xfId="11753" xr:uid="{A0FC4A0F-9015-4263-B9CA-BABB7CD1851E}"/>
    <cellStyle name="40% - Accent4 2 2 7 3 2" xfId="48095" xr:uid="{164375A3-7293-4ED7-83A1-79325CF57235}"/>
    <cellStyle name="40% - Accent4 2 2 7 3 3" xfId="29499" xr:uid="{00B2C030-8B0C-4AD8-9B49-3AEFE9F56162}"/>
    <cellStyle name="40% - Accent4 2 2 7 4" xfId="38798" xr:uid="{C9A97B75-42A7-46B4-ABDD-FBB25864B89D}"/>
    <cellStyle name="40% - Accent4 2 2 7 5" xfId="20200" xr:uid="{956DCFBE-EB91-42E7-B968-1B1C6F16B52E}"/>
    <cellStyle name="40% - Accent4 2 2 8" xfId="4578" xr:uid="{00000000-0005-0000-0000-0000CA050000}"/>
    <cellStyle name="40% - Accent4 2 2 8 2" xfId="13904" xr:uid="{30251979-FB15-4643-8226-E0FCD381F5C3}"/>
    <cellStyle name="40% - Accent4 2 2 8 2 2" xfId="50246" xr:uid="{527E3E08-19E0-4630-A36E-75C1D847FA36}"/>
    <cellStyle name="40% - Accent4 2 2 8 2 3" xfId="31650" xr:uid="{C5AE7DF1-8316-4391-89E4-5BAA84FBAE78}"/>
    <cellStyle name="40% - Accent4 2 2 8 3" xfId="40949" xr:uid="{416E73A3-ACC4-4734-B141-BAEE7223D5A7}"/>
    <cellStyle name="40% - Accent4 2 2 8 4" xfId="22351" xr:uid="{1B2C24C4-A79F-48EF-ACAF-70473CF36721}"/>
    <cellStyle name="40% - Accent4 2 2 9" xfId="8904" xr:uid="{64C959C5-2FAF-462D-88B6-14B59CDC763B}"/>
    <cellStyle name="40% - Accent4 2 2 9 2" xfId="35974" xr:uid="{A5267771-A791-40AE-8FC2-C355C1280BF6}"/>
    <cellStyle name="40% - Accent4 2 2 9 2 2" xfId="54569" xr:uid="{244499A6-C036-4A5B-B470-6640F150567B}"/>
    <cellStyle name="40% - Accent4 2 2 9 3" xfId="45272" xr:uid="{8DE238D4-52B0-4CBB-A6F5-D298C7F7FCC8}"/>
    <cellStyle name="40% - Accent4 2 2 9 4" xfId="26675" xr:uid="{4C9D676E-9E05-4A9B-B628-479B7EC1C7E1}"/>
    <cellStyle name="40% - Accent4 2 3" xfId="77" xr:uid="{00000000-0005-0000-0000-0000CB050000}"/>
    <cellStyle name="40% - Accent4 2 3 10" xfId="36734" xr:uid="{298DCCC8-A524-4351-B0A8-E2867F51B035}"/>
    <cellStyle name="40% - Accent4 2 3 11" xfId="18136" xr:uid="{50CC0FBF-E7E8-4470-AAC4-28E41915D3BA}"/>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16465" xr:uid="{A1552004-3E5E-40FF-BB29-9DDD6F815085}"/>
    <cellStyle name="40% - Accent4 2 3 2 2 2 2 2" xfId="52807" xr:uid="{8EB4FBF6-AD50-4E81-B1D4-B1175890BC7E}"/>
    <cellStyle name="40% - Accent4 2 3 2 2 2 2 3" xfId="34211" xr:uid="{2381F32C-A9E0-42FF-AB75-D038E2CA1A25}"/>
    <cellStyle name="40% - Accent4 2 3 2 2 2 3" xfId="43510" xr:uid="{77E96723-0323-4458-BF29-766C0E497950}"/>
    <cellStyle name="40% - Accent4 2 3 2 2 2 4" xfId="24912" xr:uid="{F36F3359-2602-4004-B7FF-D36DCA0C8226}"/>
    <cellStyle name="40% - Accent4 2 3 2 2 3" xfId="12248" xr:uid="{2D595733-E1F9-421A-B24D-2C739F1644BD}"/>
    <cellStyle name="40% - Accent4 2 3 2 2 3 2" xfId="48590" xr:uid="{E8F731BD-5CC1-4806-93F6-B1376D9F910B}"/>
    <cellStyle name="40% - Accent4 2 3 2 2 3 3" xfId="29994" xr:uid="{6848D338-4618-48AF-A4AB-48AA804C5511}"/>
    <cellStyle name="40% - Accent4 2 3 2 2 4" xfId="39293" xr:uid="{7F64CA71-ACC8-41B6-873A-082ED12DCCA7}"/>
    <cellStyle name="40% - Accent4 2 3 2 2 5" xfId="20695" xr:uid="{82AD7912-0D0B-40DB-9DAE-A6C578B720DB}"/>
    <cellStyle name="40% - Accent4 2 3 2 3" xfId="4994" xr:uid="{00000000-0005-0000-0000-0000CF050000}"/>
    <cellStyle name="40% - Accent4 2 3 2 3 2" xfId="14320" xr:uid="{FF96EE84-C6A3-4FD2-841E-6209F5C5B743}"/>
    <cellStyle name="40% - Accent4 2 3 2 3 2 2" xfId="50662" xr:uid="{A1597A8D-F2B9-4167-86BD-BF8E0CD98219}"/>
    <cellStyle name="40% - Accent4 2 3 2 3 2 3" xfId="32066" xr:uid="{E97F67A7-137B-41BC-ADD9-6351468C75B0}"/>
    <cellStyle name="40% - Accent4 2 3 2 3 3" xfId="41365" xr:uid="{3CBC17C7-E4B1-4DD2-99EE-E7B92651D3A3}"/>
    <cellStyle name="40% - Accent4 2 3 2 3 4" xfId="22767" xr:uid="{28D22272-6B15-46BF-B8DD-EA83C1988182}"/>
    <cellStyle name="40% - Accent4 2 3 2 4" xfId="9433" xr:uid="{058786D1-7E7D-40D9-9218-B4C7219F4E53}"/>
    <cellStyle name="40% - Accent4 2 3 2 4 2" xfId="36494" xr:uid="{B84D6417-2910-44DE-A91C-9A01A2310189}"/>
    <cellStyle name="40% - Accent4 2 3 2 4 2 2" xfId="55088" xr:uid="{9C5F007C-05FB-4771-9284-A1391CCBA1D8}"/>
    <cellStyle name="40% - Accent4 2 3 2 4 3" xfId="45791" xr:uid="{040497A1-2BED-406E-AAA3-623E83BEA25B}"/>
    <cellStyle name="40% - Accent4 2 3 2 4 4" xfId="27195" xr:uid="{00082361-CC32-4794-9CF2-0E5C7E20F326}"/>
    <cellStyle name="40% - Accent4 2 3 2 5" xfId="10103" xr:uid="{4E9320C1-3C2B-47FD-8887-5A8159575B80}"/>
    <cellStyle name="40% - Accent4 2 3 2 5 2" xfId="46445" xr:uid="{50B1BE81-0EDC-4EAF-83D5-239914672851}"/>
    <cellStyle name="40% - Accent4 2 3 2 5 3" xfId="27849" xr:uid="{4629B6A2-1F0E-46DE-94FE-DAD671411358}"/>
    <cellStyle name="40% - Accent4 2 3 2 6" xfId="37148" xr:uid="{6F07C6EE-F784-479C-A11B-9545E781BB9C}"/>
    <cellStyle name="40% - Accent4 2 3 2 7" xfId="18550" xr:uid="{9D13D43C-692D-4D7A-B61C-EC285DDC4B33}"/>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16878" xr:uid="{0415F9A9-2148-4BC3-B890-4C7D9FA47070}"/>
    <cellStyle name="40% - Accent4 2 3 3 2 2 2 2" xfId="53220" xr:uid="{29DEB6C4-9B92-41E2-89E9-8A355E6258B1}"/>
    <cellStyle name="40% - Accent4 2 3 3 2 2 2 3" xfId="34624" xr:uid="{35367901-279C-4230-990C-FEAF20728F57}"/>
    <cellStyle name="40% - Accent4 2 3 3 2 2 3" xfId="43923" xr:uid="{F86691DD-30C8-4FE5-A726-AC17874B9A5F}"/>
    <cellStyle name="40% - Accent4 2 3 3 2 2 4" xfId="25325" xr:uid="{01C7A2B0-2155-4FF3-99D8-F9AD055345DE}"/>
    <cellStyle name="40% - Accent4 2 3 3 2 3" xfId="12661" xr:uid="{8F785E06-47AD-4EA5-85A5-E9DC7D1FC092}"/>
    <cellStyle name="40% - Accent4 2 3 3 2 3 2" xfId="49003" xr:uid="{A168E303-E3DA-4D04-9BCC-AC57DD008177}"/>
    <cellStyle name="40% - Accent4 2 3 3 2 3 3" xfId="30407" xr:uid="{EC470CE6-C52B-4AAA-ADD1-0D36C0BF78E8}"/>
    <cellStyle name="40% - Accent4 2 3 3 2 4" xfId="39706" xr:uid="{8E2959F6-6A0B-41DC-8D0D-9A4C1B4E8A8B}"/>
    <cellStyle name="40% - Accent4 2 3 3 2 5" xfId="21108" xr:uid="{66FF2ADA-BF46-4767-85BA-9847DDAD83F9}"/>
    <cellStyle name="40% - Accent4 2 3 3 3" xfId="5407" xr:uid="{00000000-0005-0000-0000-0000D3050000}"/>
    <cellStyle name="40% - Accent4 2 3 3 3 2" xfId="14733" xr:uid="{8D2A59BE-FE1C-4E52-B183-160448312A41}"/>
    <cellStyle name="40% - Accent4 2 3 3 3 2 2" xfId="51075" xr:uid="{F7056CC8-42B6-429A-B459-941C1FC0D30E}"/>
    <cellStyle name="40% - Accent4 2 3 3 3 2 3" xfId="32479" xr:uid="{A29AFD96-4DE6-41D3-BE63-91B1AC5BD1B2}"/>
    <cellStyle name="40% - Accent4 2 3 3 3 3" xfId="41778" xr:uid="{800721E1-C025-4018-A752-1059D2D48B93}"/>
    <cellStyle name="40% - Accent4 2 3 3 3 4" xfId="23180" xr:uid="{1B71476A-71A7-4060-9677-FBE0A41F3795}"/>
    <cellStyle name="40% - Accent4 2 3 3 4" xfId="10516" xr:uid="{0C002075-3652-4413-B73D-53CCF4D7979D}"/>
    <cellStyle name="40% - Accent4 2 3 3 4 2" xfId="46858" xr:uid="{584E1E4B-C2CA-4EA9-BC2A-4719860BF4D0}"/>
    <cellStyle name="40% - Accent4 2 3 3 4 3" xfId="28262" xr:uid="{F57B9B26-201A-485A-A8E0-3B3011DFC224}"/>
    <cellStyle name="40% - Accent4 2 3 3 5" xfId="37561" xr:uid="{8515FA30-42AC-4B7C-9638-B87AFAD86AF2}"/>
    <cellStyle name="40% - Accent4 2 3 3 6" xfId="18963" xr:uid="{71D75CAD-B5D5-46A8-9CA0-990F2DA88621}"/>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17291" xr:uid="{FCD5F196-EF0B-499F-B5C4-4C1FACE8166C}"/>
    <cellStyle name="40% - Accent4 2 3 4 2 2 2 2" xfId="53633" xr:uid="{B043248C-196A-497A-85F5-430D5844607C}"/>
    <cellStyle name="40% - Accent4 2 3 4 2 2 2 3" xfId="35037" xr:uid="{791DED48-69A8-4FEC-A7B2-48936D63F7CA}"/>
    <cellStyle name="40% - Accent4 2 3 4 2 2 3" xfId="44336" xr:uid="{8E780522-5EB9-4AB3-B4D8-33A6A41F79F9}"/>
    <cellStyle name="40% - Accent4 2 3 4 2 2 4" xfId="25738" xr:uid="{292A4458-FD10-4537-8751-71D9DF075E84}"/>
    <cellStyle name="40% - Accent4 2 3 4 2 3" xfId="13074" xr:uid="{C192D3BA-36F5-48C2-97B2-BA5321BA12A0}"/>
    <cellStyle name="40% - Accent4 2 3 4 2 3 2" xfId="49416" xr:uid="{8751B853-540F-4A4A-A186-8E1EE640019A}"/>
    <cellStyle name="40% - Accent4 2 3 4 2 3 3" xfId="30820" xr:uid="{1A79EBE1-CEC3-439A-9840-A1E6DC0A9472}"/>
    <cellStyle name="40% - Accent4 2 3 4 2 4" xfId="40119" xr:uid="{15B094D7-F1C7-481E-A833-F06E0AF9DEFB}"/>
    <cellStyle name="40% - Accent4 2 3 4 2 5" xfId="21521" xr:uid="{86BF1332-0851-4748-A682-90732C321914}"/>
    <cellStyle name="40% - Accent4 2 3 4 3" xfId="5820" xr:uid="{00000000-0005-0000-0000-0000D7050000}"/>
    <cellStyle name="40% - Accent4 2 3 4 3 2" xfId="15146" xr:uid="{7C99336A-8B46-431D-8882-88499BE4146B}"/>
    <cellStyle name="40% - Accent4 2 3 4 3 2 2" xfId="51488" xr:uid="{6C6D2FDF-61F5-463E-A421-0A9F6C670260}"/>
    <cellStyle name="40% - Accent4 2 3 4 3 2 3" xfId="32892" xr:uid="{BD8EE01D-D418-4280-AA5F-12515F5A0985}"/>
    <cellStyle name="40% - Accent4 2 3 4 3 3" xfId="42191" xr:uid="{E97B09A8-969B-4F9D-82A8-B747625B4DE8}"/>
    <cellStyle name="40% - Accent4 2 3 4 3 4" xfId="23593" xr:uid="{66DB6834-29E3-4F55-BF9D-F7778DC2C63C}"/>
    <cellStyle name="40% - Accent4 2 3 4 4" xfId="10929" xr:uid="{754D3C1E-4128-4B82-851D-5F1DE63030CD}"/>
    <cellStyle name="40% - Accent4 2 3 4 4 2" xfId="47271" xr:uid="{CE2B84AE-189C-4DA2-BF14-60FF34FCB30F}"/>
    <cellStyle name="40% - Accent4 2 3 4 4 3" xfId="28675" xr:uid="{AC86C365-E14C-4BCC-ADDE-9208C2EA2C24}"/>
    <cellStyle name="40% - Accent4 2 3 4 5" xfId="37974" xr:uid="{209AA33C-AF02-44CA-A9C3-600433A1C26F}"/>
    <cellStyle name="40% - Accent4 2 3 4 6" xfId="19376" xr:uid="{3C408513-FD6B-4FF9-96BF-8DAAE1362A04}"/>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17704" xr:uid="{2D84BC29-1DF0-4629-B537-5298F0F830DE}"/>
    <cellStyle name="40% - Accent4 2 3 5 2 2 2 2" xfId="54046" xr:uid="{A39A08BB-892D-41AC-8F58-9E77D865051D}"/>
    <cellStyle name="40% - Accent4 2 3 5 2 2 2 3" xfId="35450" xr:uid="{E3AE2F08-2ED4-427D-9082-DD3E77EFF950}"/>
    <cellStyle name="40% - Accent4 2 3 5 2 2 3" xfId="44749" xr:uid="{0B875B80-9795-468C-AD0C-CD697406DC97}"/>
    <cellStyle name="40% - Accent4 2 3 5 2 2 4" xfId="26151" xr:uid="{9484265D-78E6-44A8-9F2E-AEACE1D49090}"/>
    <cellStyle name="40% - Accent4 2 3 5 2 3" xfId="13487" xr:uid="{5ED081BB-EDCE-4CB8-A45F-0D8CF4903902}"/>
    <cellStyle name="40% - Accent4 2 3 5 2 3 2" xfId="49829" xr:uid="{6E92555D-6197-4836-B08B-151640D2432F}"/>
    <cellStyle name="40% - Accent4 2 3 5 2 3 3" xfId="31233" xr:uid="{FE94FA9B-2784-4AC9-A42D-6A042593CBC4}"/>
    <cellStyle name="40% - Accent4 2 3 5 2 4" xfId="40532" xr:uid="{F4DAFB3C-3109-42CA-BF46-CB68EBF793D0}"/>
    <cellStyle name="40% - Accent4 2 3 5 2 5" xfId="21934" xr:uid="{9460FED7-9208-41F3-A4D3-E113E07A1ACD}"/>
    <cellStyle name="40% - Accent4 2 3 5 3" xfId="6233" xr:uid="{00000000-0005-0000-0000-0000DB050000}"/>
    <cellStyle name="40% - Accent4 2 3 5 3 2" xfId="15559" xr:uid="{8E90C26E-8777-48FD-8232-00DD2CE0FF53}"/>
    <cellStyle name="40% - Accent4 2 3 5 3 2 2" xfId="51901" xr:uid="{C50198C8-C7E9-47C7-9AA4-F72A89713C8A}"/>
    <cellStyle name="40% - Accent4 2 3 5 3 2 3" xfId="33305" xr:uid="{ECB0B102-C3EB-45B6-8D15-B53BDDC504BC}"/>
    <cellStyle name="40% - Accent4 2 3 5 3 3" xfId="42604" xr:uid="{54344305-3B8C-4106-8B13-B1C4F0464B6E}"/>
    <cellStyle name="40% - Accent4 2 3 5 3 4" xfId="24006" xr:uid="{7FE2A695-4D68-42B4-8F55-F4F0E9CBA8F4}"/>
    <cellStyle name="40% - Accent4 2 3 5 4" xfId="11342" xr:uid="{6BD939C1-B211-49CC-9FF3-DFDC543269F3}"/>
    <cellStyle name="40% - Accent4 2 3 5 4 2" xfId="47684" xr:uid="{24C53044-E7BA-4712-999A-4C1DFFF3DB71}"/>
    <cellStyle name="40% - Accent4 2 3 5 4 3" xfId="29088" xr:uid="{6FA4F0BA-49A5-426F-AE60-FCAF4A0BDB3A}"/>
    <cellStyle name="40% - Accent4 2 3 5 5" xfId="38387" xr:uid="{37348EA1-798C-4FC1-A200-662E283F15F9}"/>
    <cellStyle name="40% - Accent4 2 3 5 6" xfId="19789" xr:uid="{8D15B388-932B-4640-B716-0125FCC38286}"/>
    <cellStyle name="40% - Accent4 2 3 6" xfId="2340" xr:uid="{00000000-0005-0000-0000-0000DC050000}"/>
    <cellStyle name="40% - Accent4 2 3 6 2" xfId="6646" xr:uid="{00000000-0005-0000-0000-0000DD050000}"/>
    <cellStyle name="40% - Accent4 2 3 6 2 2" xfId="15972" xr:uid="{2A2847AE-353A-44F1-A481-7A10E62B3A45}"/>
    <cellStyle name="40% - Accent4 2 3 6 2 2 2" xfId="52314" xr:uid="{22B34DDD-BE45-49AC-BC70-8890862EEE64}"/>
    <cellStyle name="40% - Accent4 2 3 6 2 2 3" xfId="33718" xr:uid="{B3370A99-73A2-46AA-B1AC-2364C720215F}"/>
    <cellStyle name="40% - Accent4 2 3 6 2 3" xfId="43017" xr:uid="{86279356-20C0-4A48-93E7-FCFFEE13C9ED}"/>
    <cellStyle name="40% - Accent4 2 3 6 2 4" xfId="24419" xr:uid="{B85DBA89-C1C3-4928-AB20-347F13DD141F}"/>
    <cellStyle name="40% - Accent4 2 3 6 3" xfId="11755" xr:uid="{5830A26A-6EBD-4C75-8C96-280C769EE413}"/>
    <cellStyle name="40% - Accent4 2 3 6 3 2" xfId="48097" xr:uid="{7F7D8325-C19F-4971-8329-4AF141C5C221}"/>
    <cellStyle name="40% - Accent4 2 3 6 3 3" xfId="29501" xr:uid="{C574FEC0-FB54-434F-9F18-3D4C3C4C810C}"/>
    <cellStyle name="40% - Accent4 2 3 6 4" xfId="38800" xr:uid="{EE1954E0-CD1D-47B8-A4A8-074BCFEB6E24}"/>
    <cellStyle name="40% - Accent4 2 3 6 5" xfId="20202" xr:uid="{A9BEA9C3-5F60-4917-BEDD-28DD3F8D4D5E}"/>
    <cellStyle name="40% - Accent4 2 3 7" xfId="4580" xr:uid="{00000000-0005-0000-0000-0000DE050000}"/>
    <cellStyle name="40% - Accent4 2 3 7 2" xfId="13906" xr:uid="{EB233219-AD27-414E-A9E8-2009B9C87F80}"/>
    <cellStyle name="40% - Accent4 2 3 7 2 2" xfId="50248" xr:uid="{7FF5851A-F0E6-48C0-873F-F761CBE82E9F}"/>
    <cellStyle name="40% - Accent4 2 3 7 2 3" xfId="31652" xr:uid="{042854DE-BE1F-46AE-BC91-F93BFA0F70CF}"/>
    <cellStyle name="40% - Accent4 2 3 7 3" xfId="40951" xr:uid="{CA834BFC-52D3-4AFB-88F8-74754C167E6B}"/>
    <cellStyle name="40% - Accent4 2 3 7 4" xfId="22353" xr:uid="{C9840099-7ED5-4C5E-B5EE-A8DD7297684C}"/>
    <cellStyle name="40% - Accent4 2 3 8" xfId="9008" xr:uid="{270F4CAB-C86F-4D9D-804F-69497913908B}"/>
    <cellStyle name="40% - Accent4 2 3 8 2" xfId="36078" xr:uid="{CF651F1B-111F-43FE-AF0F-F49069D07560}"/>
    <cellStyle name="40% - Accent4 2 3 8 2 2" xfId="54673" xr:uid="{D27E890A-7428-4D61-AA48-1C3613607840}"/>
    <cellStyle name="40% - Accent4 2 3 8 3" xfId="45376" xr:uid="{CAB236A1-E696-4C06-9DDF-3F76297DCFC0}"/>
    <cellStyle name="40% - Accent4 2 3 8 4" xfId="26779" xr:uid="{276C0A1A-1053-4D28-A8FB-1C466F63C27F}"/>
    <cellStyle name="40% - Accent4 2 3 9" xfId="9689" xr:uid="{3359693E-19B8-4021-8B96-C2B796B8ECAE}"/>
    <cellStyle name="40% - Accent4 2 3 9 2" xfId="46031" xr:uid="{71E83954-875B-4DFB-A14D-97102A23A93B}"/>
    <cellStyle name="40% - Accent4 2 3 9 3" xfId="27435" xr:uid="{201C8A97-832A-4ADD-9FE8-1E5571B567BD}"/>
    <cellStyle name="40% - Accent4 2 4" xfId="643" xr:uid="{00000000-0005-0000-0000-0000DF050000}"/>
    <cellStyle name="40% - Accent4 2 4 2" xfId="2914" xr:uid="{00000000-0005-0000-0000-0000E0050000}"/>
    <cellStyle name="40% - Accent4 2 4 2 2" xfId="7136" xr:uid="{00000000-0005-0000-0000-0000E1050000}"/>
    <cellStyle name="40% - Accent4 2 4 2 2 2" xfId="16462" xr:uid="{8FC864D0-15DA-46EB-96B1-5FB5DB8EFBAD}"/>
    <cellStyle name="40% - Accent4 2 4 2 2 2 2" xfId="52804" xr:uid="{2B002A8A-D265-4CE5-94BF-ADEB2F070326}"/>
    <cellStyle name="40% - Accent4 2 4 2 2 2 3" xfId="34208" xr:uid="{5F22B4A3-8DF0-497F-B5AB-6FC0F76B95F8}"/>
    <cellStyle name="40% - Accent4 2 4 2 2 3" xfId="43507" xr:uid="{45CD4AFB-E07C-40FE-88D4-D98AE31D4848}"/>
    <cellStyle name="40% - Accent4 2 4 2 2 4" xfId="24909" xr:uid="{5224147B-98D2-40D9-97F3-832F335C9031}"/>
    <cellStyle name="40% - Accent4 2 4 2 3" xfId="12245" xr:uid="{04097791-8867-408E-B66C-D9490B89B22B}"/>
    <cellStyle name="40% - Accent4 2 4 2 3 2" xfId="48587" xr:uid="{4B5A0D71-3327-450E-A950-39C1BA070F28}"/>
    <cellStyle name="40% - Accent4 2 4 2 3 3" xfId="29991" xr:uid="{24DD03AD-9024-404D-A185-1D37C2C9C12C}"/>
    <cellStyle name="40% - Accent4 2 4 2 4" xfId="39290" xr:uid="{AE979E04-29EF-4C25-B785-0C79F7CE856B}"/>
    <cellStyle name="40% - Accent4 2 4 2 5" xfId="20692" xr:uid="{D52042F1-66BA-4428-856D-C39E8184B241}"/>
    <cellStyle name="40% - Accent4 2 4 3" xfId="4991" xr:uid="{00000000-0005-0000-0000-0000E2050000}"/>
    <cellStyle name="40% - Accent4 2 4 3 2" xfId="14317" xr:uid="{B5564E36-08F8-49F6-A658-948A8D9796C4}"/>
    <cellStyle name="40% - Accent4 2 4 3 2 2" xfId="50659" xr:uid="{AA827E73-4D3D-4193-AF00-ECE0C2192208}"/>
    <cellStyle name="40% - Accent4 2 4 3 2 3" xfId="32063" xr:uid="{BBD9848A-2C89-43D7-8130-029233809E17}"/>
    <cellStyle name="40% - Accent4 2 4 3 3" xfId="41362" xr:uid="{9736F853-1886-4F11-8FAF-BEE5E4C598A0}"/>
    <cellStyle name="40% - Accent4 2 4 3 4" xfId="22764" xr:uid="{D4DF724A-8FC1-4D44-9433-C81FC9717782}"/>
    <cellStyle name="40% - Accent4 2 4 4" xfId="9225" xr:uid="{40EEB981-54C4-40E4-A2F9-BCD479248D23}"/>
    <cellStyle name="40% - Accent4 2 4 4 2" xfId="36287" xr:uid="{3AEB748A-906E-4CE6-9A5B-C0DCA5D11C6F}"/>
    <cellStyle name="40% - Accent4 2 4 4 2 2" xfId="54881" xr:uid="{F28412A1-3E0C-4EF3-9FC8-DF6666986657}"/>
    <cellStyle name="40% - Accent4 2 4 4 3" xfId="45584" xr:uid="{B557E362-4804-4529-86CE-8974901C293F}"/>
    <cellStyle name="40% - Accent4 2 4 4 4" xfId="26988" xr:uid="{F2C6DD6C-5B8D-4EFF-AF39-696C2D3A4D61}"/>
    <cellStyle name="40% - Accent4 2 4 5" xfId="10100" xr:uid="{57DEE0AD-62E7-433C-89E8-4A35B5557969}"/>
    <cellStyle name="40% - Accent4 2 4 5 2" xfId="46442" xr:uid="{9FC3F830-03C4-4A36-9D6E-1CB9999330B3}"/>
    <cellStyle name="40% - Accent4 2 4 5 3" xfId="27846" xr:uid="{AF39451E-7E03-4F73-ACCE-629DFEB8867E}"/>
    <cellStyle name="40% - Accent4 2 4 6" xfId="37145" xr:uid="{19274EC2-7F1C-453F-9422-75C49A532F60}"/>
    <cellStyle name="40% - Accent4 2 4 7" xfId="18547" xr:uid="{785DEC75-A2D5-455B-8F3B-42AE5C782D8D}"/>
    <cellStyle name="40% - Accent4 2 5" xfId="1096" xr:uid="{00000000-0005-0000-0000-0000E3050000}"/>
    <cellStyle name="40% - Accent4 2 5 2" xfId="3327" xr:uid="{00000000-0005-0000-0000-0000E4050000}"/>
    <cellStyle name="40% - Accent4 2 5 2 2" xfId="7549" xr:uid="{00000000-0005-0000-0000-0000E5050000}"/>
    <cellStyle name="40% - Accent4 2 5 2 2 2" xfId="16875" xr:uid="{8840362B-D394-4C55-98B5-A60B511E2767}"/>
    <cellStyle name="40% - Accent4 2 5 2 2 2 2" xfId="53217" xr:uid="{029EB9D0-5EFF-4AED-A555-B6566BBAAB1A}"/>
    <cellStyle name="40% - Accent4 2 5 2 2 2 3" xfId="34621" xr:uid="{C7DA8E7B-EEC6-4467-99CD-F5E83AD74999}"/>
    <cellStyle name="40% - Accent4 2 5 2 2 3" xfId="43920" xr:uid="{8BE9245D-643B-4CD9-B54A-756795035B88}"/>
    <cellStyle name="40% - Accent4 2 5 2 2 4" xfId="25322" xr:uid="{2732CF2A-BEED-43C1-A4E7-DE0058BAB70B}"/>
    <cellStyle name="40% - Accent4 2 5 2 3" xfId="12658" xr:uid="{0B8550EA-A1FA-49F3-8C02-3D776BDB3DE4}"/>
    <cellStyle name="40% - Accent4 2 5 2 3 2" xfId="49000" xr:uid="{4129312F-1642-4EBD-9068-E357439653B2}"/>
    <cellStyle name="40% - Accent4 2 5 2 3 3" xfId="30404" xr:uid="{C7741FDF-7D6E-423F-A40A-F2D8AED1BD3D}"/>
    <cellStyle name="40% - Accent4 2 5 2 4" xfId="39703" xr:uid="{F5551265-9634-4650-8878-A5EE512816BA}"/>
    <cellStyle name="40% - Accent4 2 5 2 5" xfId="21105" xr:uid="{1B19BC93-C717-4338-A6A7-7801A25B9DBA}"/>
    <cellStyle name="40% - Accent4 2 5 3" xfId="5404" xr:uid="{00000000-0005-0000-0000-0000E6050000}"/>
    <cellStyle name="40% - Accent4 2 5 3 2" xfId="14730" xr:uid="{5B969FEE-384E-42B5-A4C4-8C373D4CA026}"/>
    <cellStyle name="40% - Accent4 2 5 3 2 2" xfId="51072" xr:uid="{DDFA4CA1-1CF1-49A9-8BA9-94F96B4AADB5}"/>
    <cellStyle name="40% - Accent4 2 5 3 2 3" xfId="32476" xr:uid="{C57CEE24-93DF-44FB-800C-F678E89B16E1}"/>
    <cellStyle name="40% - Accent4 2 5 3 3" xfId="41775" xr:uid="{A91ECC00-D372-41C1-8B73-DF8C60BB2B26}"/>
    <cellStyle name="40% - Accent4 2 5 3 4" xfId="23177" xr:uid="{222D2A86-9FB3-41F0-ADB1-4D0F6348C7C7}"/>
    <cellStyle name="40% - Accent4 2 5 4" xfId="10513" xr:uid="{A284E2F7-B9BD-4EE2-839E-FC66D148EB8A}"/>
    <cellStyle name="40% - Accent4 2 5 4 2" xfId="46855" xr:uid="{841FE550-9475-4B8A-8740-AB04E0403F0C}"/>
    <cellStyle name="40% - Accent4 2 5 4 3" xfId="28259" xr:uid="{A2A4E07D-BB3D-4113-9B3D-FA359F832BA1}"/>
    <cellStyle name="40% - Accent4 2 5 5" xfId="37558" xr:uid="{A7687178-9271-4423-A826-B029AF7D883A}"/>
    <cellStyle name="40% - Accent4 2 5 6" xfId="18960" xr:uid="{5AD5C756-8CBC-43CF-9D0D-ECCA3DF693C5}"/>
    <cellStyle name="40% - Accent4 2 6" xfId="1510" xr:uid="{00000000-0005-0000-0000-0000E7050000}"/>
    <cellStyle name="40% - Accent4 2 6 2" xfId="3740" xr:uid="{00000000-0005-0000-0000-0000E8050000}"/>
    <cellStyle name="40% - Accent4 2 6 2 2" xfId="7962" xr:uid="{00000000-0005-0000-0000-0000E9050000}"/>
    <cellStyle name="40% - Accent4 2 6 2 2 2" xfId="17288" xr:uid="{771E01A3-294B-43E3-BA43-59C7AD3B10AC}"/>
    <cellStyle name="40% - Accent4 2 6 2 2 2 2" xfId="53630" xr:uid="{E88C92B2-5719-480D-9D34-40A6106BA7C1}"/>
    <cellStyle name="40% - Accent4 2 6 2 2 2 3" xfId="35034" xr:uid="{64DDDA63-5FAF-4E14-A3AC-78313D2A8CBB}"/>
    <cellStyle name="40% - Accent4 2 6 2 2 3" xfId="44333" xr:uid="{349F34BC-5F1E-4190-BE38-54816EC8A456}"/>
    <cellStyle name="40% - Accent4 2 6 2 2 4" xfId="25735" xr:uid="{DD3BB909-DA0A-42E9-BDC3-F417DB93C658}"/>
    <cellStyle name="40% - Accent4 2 6 2 3" xfId="13071" xr:uid="{1ED350C1-4FF4-4BEA-95C3-A392EB3171B4}"/>
    <cellStyle name="40% - Accent4 2 6 2 3 2" xfId="49413" xr:uid="{0EC11BA9-CF35-4374-910E-201DC9193141}"/>
    <cellStyle name="40% - Accent4 2 6 2 3 3" xfId="30817" xr:uid="{E84EDC3C-EA34-4B9C-823C-6AC4B37C77ED}"/>
    <cellStyle name="40% - Accent4 2 6 2 4" xfId="40116" xr:uid="{2428C9D0-93D3-4FE6-B09A-0F17458952BC}"/>
    <cellStyle name="40% - Accent4 2 6 2 5" xfId="21518" xr:uid="{2704A646-E6B8-44C6-A40E-61060D93E738}"/>
    <cellStyle name="40% - Accent4 2 6 3" xfId="5817" xr:uid="{00000000-0005-0000-0000-0000EA050000}"/>
    <cellStyle name="40% - Accent4 2 6 3 2" xfId="15143" xr:uid="{C11155A6-71CE-4591-94C2-B5AC67F12432}"/>
    <cellStyle name="40% - Accent4 2 6 3 2 2" xfId="51485" xr:uid="{662E9D96-B854-4680-8E73-DEAC6F0E8338}"/>
    <cellStyle name="40% - Accent4 2 6 3 2 3" xfId="32889" xr:uid="{DDDE91BB-FD51-4A7B-8C6F-4ACB96E4C3B7}"/>
    <cellStyle name="40% - Accent4 2 6 3 3" xfId="42188" xr:uid="{072485C1-D061-4936-B2A9-A7903879D402}"/>
    <cellStyle name="40% - Accent4 2 6 3 4" xfId="23590" xr:uid="{DE10409D-85ED-4A75-8981-6C775A1E8D87}"/>
    <cellStyle name="40% - Accent4 2 6 4" xfId="10926" xr:uid="{D57EFE6E-FDFC-46EE-8DCF-D7810645476C}"/>
    <cellStyle name="40% - Accent4 2 6 4 2" xfId="47268" xr:uid="{065F3E08-5EB6-4CFF-9104-C9C5C4F90C9B}"/>
    <cellStyle name="40% - Accent4 2 6 4 3" xfId="28672" xr:uid="{24392507-06AD-4346-B83B-BD1CC7387A56}"/>
    <cellStyle name="40% - Accent4 2 6 5" xfId="37971" xr:uid="{072A058C-76E8-4D98-AEB4-663BADC0C0FB}"/>
    <cellStyle name="40% - Accent4 2 6 6" xfId="19373" xr:uid="{88A4BB7D-A79C-417A-B7F8-1387ACD456D3}"/>
    <cellStyle name="40% - Accent4 2 7" xfId="1924" xr:uid="{00000000-0005-0000-0000-0000EB050000}"/>
    <cellStyle name="40% - Accent4 2 7 2" xfId="4153" xr:uid="{00000000-0005-0000-0000-0000EC050000}"/>
    <cellStyle name="40% - Accent4 2 7 2 2" xfId="8375" xr:uid="{00000000-0005-0000-0000-0000ED050000}"/>
    <cellStyle name="40% - Accent4 2 7 2 2 2" xfId="17701" xr:uid="{20FE9E51-F7F6-4DE9-B2F3-9290BFBCF3E8}"/>
    <cellStyle name="40% - Accent4 2 7 2 2 2 2" xfId="54043" xr:uid="{737BC379-DBE4-44F8-B065-1490B421216F}"/>
    <cellStyle name="40% - Accent4 2 7 2 2 2 3" xfId="35447" xr:uid="{EB5A0054-680E-4260-9AAD-1F9E45264C66}"/>
    <cellStyle name="40% - Accent4 2 7 2 2 3" xfId="44746" xr:uid="{AA604E1A-1EAA-4427-A3BE-5533CE7DD2FC}"/>
    <cellStyle name="40% - Accent4 2 7 2 2 4" xfId="26148" xr:uid="{6CC5D42A-BF6A-41FC-9126-449A69F84177}"/>
    <cellStyle name="40% - Accent4 2 7 2 3" xfId="13484" xr:uid="{1226A530-E9A9-49A9-BEFF-A8B2635E25F1}"/>
    <cellStyle name="40% - Accent4 2 7 2 3 2" xfId="49826" xr:uid="{527BC20C-0C4D-43C0-9DDC-384E4CE0F6C6}"/>
    <cellStyle name="40% - Accent4 2 7 2 3 3" xfId="31230" xr:uid="{5AC7C44B-C1C9-42CE-BE76-61716242EBF0}"/>
    <cellStyle name="40% - Accent4 2 7 2 4" xfId="40529" xr:uid="{F76C8ABA-78AC-4F48-91D6-BC000720A3AF}"/>
    <cellStyle name="40% - Accent4 2 7 2 5" xfId="21931" xr:uid="{57850ADA-AAE4-4D80-B73D-1E71F0F4A35D}"/>
    <cellStyle name="40% - Accent4 2 7 3" xfId="6230" xr:uid="{00000000-0005-0000-0000-0000EE050000}"/>
    <cellStyle name="40% - Accent4 2 7 3 2" xfId="15556" xr:uid="{24B793F7-4793-4B8B-91F2-8B9345CF77EA}"/>
    <cellStyle name="40% - Accent4 2 7 3 2 2" xfId="51898" xr:uid="{70823E3A-BE4C-4975-8B28-837BD52ED771}"/>
    <cellStyle name="40% - Accent4 2 7 3 2 3" xfId="33302" xr:uid="{7A338ED1-94E2-467A-BA4B-A11606C5102B}"/>
    <cellStyle name="40% - Accent4 2 7 3 3" xfId="42601" xr:uid="{B33CF88C-ADCC-4F18-99FB-9B4DD2257165}"/>
    <cellStyle name="40% - Accent4 2 7 3 4" xfId="24003" xr:uid="{BDC591F8-4CE0-43C4-8157-F8D340E90B63}"/>
    <cellStyle name="40% - Accent4 2 7 4" xfId="11339" xr:uid="{29DA5494-B5C3-41E6-960B-9694D5358BE0}"/>
    <cellStyle name="40% - Accent4 2 7 4 2" xfId="47681" xr:uid="{23E6D3B6-DAA1-4C0F-AC4D-B5297BDD3CD2}"/>
    <cellStyle name="40% - Accent4 2 7 4 3" xfId="29085" xr:uid="{D8108765-B264-4189-9BB4-32CEAD44E5E1}"/>
    <cellStyle name="40% - Accent4 2 7 5" xfId="38384" xr:uid="{F6D7AE55-F838-4576-8160-431DB06617CC}"/>
    <cellStyle name="40% - Accent4 2 7 6" xfId="19786" xr:uid="{7E09EF4E-D110-4BA7-8D1F-B6A05AA6F5D7}"/>
    <cellStyle name="40% - Accent4 2 8" xfId="2337" xr:uid="{00000000-0005-0000-0000-0000EF050000}"/>
    <cellStyle name="40% - Accent4 2 8 2" xfId="6643" xr:uid="{00000000-0005-0000-0000-0000F0050000}"/>
    <cellStyle name="40% - Accent4 2 8 2 2" xfId="15969" xr:uid="{40810209-7BF3-4E41-A588-FBF54C59D20C}"/>
    <cellStyle name="40% - Accent4 2 8 2 2 2" xfId="52311" xr:uid="{9A2DF307-3E96-473E-9D41-B2A41966E686}"/>
    <cellStyle name="40% - Accent4 2 8 2 2 3" xfId="33715" xr:uid="{95A0210A-93BB-4919-ABE5-6674E873F5D0}"/>
    <cellStyle name="40% - Accent4 2 8 2 3" xfId="43014" xr:uid="{478A4057-754D-4B47-A4AB-F1A0C482D5CF}"/>
    <cellStyle name="40% - Accent4 2 8 2 4" xfId="24416" xr:uid="{73E99140-AAA2-45B5-AE8C-8233D8DC1750}"/>
    <cellStyle name="40% - Accent4 2 8 3" xfId="11752" xr:uid="{DEDDD290-773A-4621-B8CB-DB63DAB90002}"/>
    <cellStyle name="40% - Accent4 2 8 3 2" xfId="48094" xr:uid="{4562F7E1-1893-48E7-B674-B7FB6FD66923}"/>
    <cellStyle name="40% - Accent4 2 8 3 3" xfId="29498" xr:uid="{875045D9-D9E0-429D-AB2F-CA4E5968AFFD}"/>
    <cellStyle name="40% - Accent4 2 8 4" xfId="38797" xr:uid="{480844E8-47A4-41E5-84BC-B42319ED8E48}"/>
    <cellStyle name="40% - Accent4 2 8 5" xfId="20199" xr:uid="{8111F4CB-E3F8-4041-9C18-B630B0D4EF19}"/>
    <cellStyle name="40% - Accent4 2 9" xfId="4577" xr:uid="{00000000-0005-0000-0000-0000F1050000}"/>
    <cellStyle name="40% - Accent4 2 9 2" xfId="13903" xr:uid="{CE3165E9-432E-410C-A121-1817864FEE62}"/>
    <cellStyle name="40% - Accent4 2 9 2 2" xfId="50245" xr:uid="{A5398C5D-4122-4DBB-9F1B-131FD3C322EC}"/>
    <cellStyle name="40% - Accent4 2 9 2 3" xfId="31649" xr:uid="{157181C4-2D18-4D39-B4DB-6374D51432E7}"/>
    <cellStyle name="40% - Accent4 2 9 3" xfId="40948" xr:uid="{E1A1AFB1-F061-4019-8B1A-74C9BE55CCD4}"/>
    <cellStyle name="40% - Accent4 2 9 4" xfId="22350" xr:uid="{F8107038-0B0D-4429-8610-5EBA9D814A20}"/>
    <cellStyle name="40% - Accent4 3" xfId="78" xr:uid="{00000000-0005-0000-0000-0000F2050000}"/>
    <cellStyle name="40% - Accent4 3 10" xfId="9690" xr:uid="{AE4208BE-AEF7-4C81-A974-0A839FD9E9AB}"/>
    <cellStyle name="40% - Accent4 3 10 2" xfId="46032" xr:uid="{7B415458-A690-4F19-BE2C-7A6C158F211E}"/>
    <cellStyle name="40% - Accent4 3 10 3" xfId="27436" xr:uid="{07B33A6F-1089-4BCE-B5D5-125A22ECC179}"/>
    <cellStyle name="40% - Accent4 3 11" xfId="36735" xr:uid="{57667643-340B-4DD2-A341-32E4B946A3BE}"/>
    <cellStyle name="40% - Accent4 3 12" xfId="18137" xr:uid="{4976DD85-66E2-47C2-9D0B-8581A6AA47B2}"/>
    <cellStyle name="40% - Accent4 3 2" xfId="79" xr:uid="{00000000-0005-0000-0000-0000F3050000}"/>
    <cellStyle name="40% - Accent4 3 2 10" xfId="36736" xr:uid="{B0C75D1E-DD49-45EA-901D-81AC40EC4ED2}"/>
    <cellStyle name="40% - Accent4 3 2 11" xfId="18138" xr:uid="{ADE17202-30D7-405E-A30E-8F2A19F17384}"/>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16467" xr:uid="{6100722E-9B1C-4581-85CC-E106D901A1C4}"/>
    <cellStyle name="40% - Accent4 3 2 2 2 2 2 2" xfId="52809" xr:uid="{94D821EE-0DBC-4C03-8CF9-287E9C1F3B08}"/>
    <cellStyle name="40% - Accent4 3 2 2 2 2 2 3" xfId="34213" xr:uid="{73FA977F-ACF5-481F-A933-7EFADC07CAE0}"/>
    <cellStyle name="40% - Accent4 3 2 2 2 2 3" xfId="43512" xr:uid="{EB6285C4-890F-4DE0-9072-DF8CC01BD9B0}"/>
    <cellStyle name="40% - Accent4 3 2 2 2 2 4" xfId="24914" xr:uid="{80AFA84A-03BF-4843-B79F-B5A8C895C27A}"/>
    <cellStyle name="40% - Accent4 3 2 2 2 3" xfId="12250" xr:uid="{02A09407-2910-4E5D-A169-861C83ADB6EE}"/>
    <cellStyle name="40% - Accent4 3 2 2 2 3 2" xfId="48592" xr:uid="{399C7E2D-C8E9-4BD9-A152-AAF3F39ECF64}"/>
    <cellStyle name="40% - Accent4 3 2 2 2 3 3" xfId="29996" xr:uid="{61B07B93-2D11-42A5-8026-718507566E71}"/>
    <cellStyle name="40% - Accent4 3 2 2 2 4" xfId="39295" xr:uid="{F092E876-5BB0-4105-BD22-9247E485DEA0}"/>
    <cellStyle name="40% - Accent4 3 2 2 2 5" xfId="20697" xr:uid="{73C9357E-45D1-4C83-883B-B17A6B03AD9A}"/>
    <cellStyle name="40% - Accent4 3 2 2 3" xfId="4996" xr:uid="{00000000-0005-0000-0000-0000F7050000}"/>
    <cellStyle name="40% - Accent4 3 2 2 3 2" xfId="14322" xr:uid="{921570DA-34D3-498E-B126-65EAFD60845D}"/>
    <cellStyle name="40% - Accent4 3 2 2 3 2 2" xfId="50664" xr:uid="{F2F88ED9-6B8F-4D2B-8DC6-7ACDCD51E58F}"/>
    <cellStyle name="40% - Accent4 3 2 2 3 2 3" xfId="32068" xr:uid="{DA297452-FF1C-4BB8-8F87-8D525609B6DA}"/>
    <cellStyle name="40% - Accent4 3 2 2 3 3" xfId="41367" xr:uid="{42614593-5B30-4B4F-901E-09F37B3E7440}"/>
    <cellStyle name="40% - Accent4 3 2 2 3 4" xfId="22769" xr:uid="{12DA4C17-4368-46AD-BFE3-FC0525D06213}"/>
    <cellStyle name="40% - Accent4 3 2 2 4" xfId="9500" xr:uid="{EAAAC99F-A3A1-40FB-B78D-6862EF121B7A}"/>
    <cellStyle name="40% - Accent4 3 2 2 4 2" xfId="36561" xr:uid="{03741041-B85C-496F-813C-EF0EF9D27E3F}"/>
    <cellStyle name="40% - Accent4 3 2 2 4 2 2" xfId="55155" xr:uid="{3376AE36-C4BF-4FB5-888F-893ECE6BAE32}"/>
    <cellStyle name="40% - Accent4 3 2 2 4 3" xfId="45858" xr:uid="{2BF32621-50E8-4C41-9B5A-4724E36A43EE}"/>
    <cellStyle name="40% - Accent4 3 2 2 4 4" xfId="27262" xr:uid="{0E8241A7-8A31-4625-B5C9-60F2719DCA14}"/>
    <cellStyle name="40% - Accent4 3 2 2 5" xfId="10105" xr:uid="{BE6B0713-CABC-49EE-99BE-5305B42E529D}"/>
    <cellStyle name="40% - Accent4 3 2 2 5 2" xfId="46447" xr:uid="{C68B28EF-AAC5-4F5F-9C32-5F628AB692D2}"/>
    <cellStyle name="40% - Accent4 3 2 2 5 3" xfId="27851" xr:uid="{437DACC3-64BE-41EE-9B03-E7A99021266B}"/>
    <cellStyle name="40% - Accent4 3 2 2 6" xfId="37150" xr:uid="{31F5293B-3043-4A76-95F3-092E1EE9AF2D}"/>
    <cellStyle name="40% - Accent4 3 2 2 7" xfId="18552" xr:uid="{2D547E75-0590-49FD-AADB-0757620E1AC2}"/>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16880" xr:uid="{55C23D56-DD9E-4896-A1CA-9D5EB6EBCFCA}"/>
    <cellStyle name="40% - Accent4 3 2 3 2 2 2 2" xfId="53222" xr:uid="{44DFB4E3-A9E2-406C-B262-EB29F6655D9E}"/>
    <cellStyle name="40% - Accent4 3 2 3 2 2 2 3" xfId="34626" xr:uid="{BA486C06-10A8-4E0E-9C3A-FE79DBE9A078}"/>
    <cellStyle name="40% - Accent4 3 2 3 2 2 3" xfId="43925" xr:uid="{EA3C1720-91AE-4D2D-B6E9-D8EB25B5D8E6}"/>
    <cellStyle name="40% - Accent4 3 2 3 2 2 4" xfId="25327" xr:uid="{3A844A16-5F5A-438A-9343-703A42E0920C}"/>
    <cellStyle name="40% - Accent4 3 2 3 2 3" xfId="12663" xr:uid="{0EFFD84F-8538-4FA8-B83D-93547F628048}"/>
    <cellStyle name="40% - Accent4 3 2 3 2 3 2" xfId="49005" xr:uid="{E6353E0D-A135-492E-BC14-D2387E0B14D5}"/>
    <cellStyle name="40% - Accent4 3 2 3 2 3 3" xfId="30409" xr:uid="{DAF499CE-BB69-4786-AE30-D4C8A036B0F8}"/>
    <cellStyle name="40% - Accent4 3 2 3 2 4" xfId="39708" xr:uid="{9D508E14-E7B1-46D4-A2F6-804ACA5BD8D1}"/>
    <cellStyle name="40% - Accent4 3 2 3 2 5" xfId="21110" xr:uid="{5727F270-C4A0-4E0E-8A89-438C533512CC}"/>
    <cellStyle name="40% - Accent4 3 2 3 3" xfId="5409" xr:uid="{00000000-0005-0000-0000-0000FB050000}"/>
    <cellStyle name="40% - Accent4 3 2 3 3 2" xfId="14735" xr:uid="{D58339EB-E4F1-445A-8C2B-4783057080EB}"/>
    <cellStyle name="40% - Accent4 3 2 3 3 2 2" xfId="51077" xr:uid="{D7499450-CB10-4F75-98AC-97227F0E9B4F}"/>
    <cellStyle name="40% - Accent4 3 2 3 3 2 3" xfId="32481" xr:uid="{0A4DD2CD-F22F-4D06-BCF9-76D7200A0C5B}"/>
    <cellStyle name="40% - Accent4 3 2 3 3 3" xfId="41780" xr:uid="{211136C3-56C3-4BFD-9A3A-16D9BE0177EA}"/>
    <cellStyle name="40% - Accent4 3 2 3 3 4" xfId="23182" xr:uid="{E53206B0-7C3F-4F27-8CFF-908849CAC4C1}"/>
    <cellStyle name="40% - Accent4 3 2 3 4" xfId="10518" xr:uid="{CEE69AB8-F9C2-47C4-B776-EE4A3C7BEEA6}"/>
    <cellStyle name="40% - Accent4 3 2 3 4 2" xfId="46860" xr:uid="{97D78B20-C0E2-49FF-A41A-BD49BA4752B4}"/>
    <cellStyle name="40% - Accent4 3 2 3 4 3" xfId="28264" xr:uid="{0FA3A004-FB1D-4927-92D5-76C05C2728B5}"/>
    <cellStyle name="40% - Accent4 3 2 3 5" xfId="37563" xr:uid="{EF34FB30-B6F6-4889-A06F-E6C6619D0F9B}"/>
    <cellStyle name="40% - Accent4 3 2 3 6" xfId="18965" xr:uid="{61E3824D-5509-40B8-B65C-74B704D00808}"/>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17293" xr:uid="{D3C633A4-5B7B-4B66-A796-5B88E15C0D74}"/>
    <cellStyle name="40% - Accent4 3 2 4 2 2 2 2" xfId="53635" xr:uid="{65D2BD90-12F0-4B6B-A41B-F31954EE6D34}"/>
    <cellStyle name="40% - Accent4 3 2 4 2 2 2 3" xfId="35039" xr:uid="{896B74A6-47EE-4308-8951-1EC3D36A27D1}"/>
    <cellStyle name="40% - Accent4 3 2 4 2 2 3" xfId="44338" xr:uid="{091EABBD-54E8-475B-9E0E-0953E1634A5A}"/>
    <cellStyle name="40% - Accent4 3 2 4 2 2 4" xfId="25740" xr:uid="{99BC85CC-C562-415D-82DF-A926694457E3}"/>
    <cellStyle name="40% - Accent4 3 2 4 2 3" xfId="13076" xr:uid="{BFBBDC45-224D-46BD-80B3-082641FC1913}"/>
    <cellStyle name="40% - Accent4 3 2 4 2 3 2" xfId="49418" xr:uid="{767F79F0-03A6-49B2-B49E-E1811CE73B6C}"/>
    <cellStyle name="40% - Accent4 3 2 4 2 3 3" xfId="30822" xr:uid="{C5FF2CD7-F6A2-4785-8E3F-755730A381D3}"/>
    <cellStyle name="40% - Accent4 3 2 4 2 4" xfId="40121" xr:uid="{029629F0-96AE-47A9-8DAC-23EBDE3D0CC2}"/>
    <cellStyle name="40% - Accent4 3 2 4 2 5" xfId="21523" xr:uid="{CABB1405-8443-4A5E-941C-6E192EB5FB61}"/>
    <cellStyle name="40% - Accent4 3 2 4 3" xfId="5822" xr:uid="{00000000-0005-0000-0000-0000FF050000}"/>
    <cellStyle name="40% - Accent4 3 2 4 3 2" xfId="15148" xr:uid="{589F45F9-98B0-4659-A943-E2D752A5AFA0}"/>
    <cellStyle name="40% - Accent4 3 2 4 3 2 2" xfId="51490" xr:uid="{AD240EAC-1AA3-4C7F-8CCF-8670D057BD71}"/>
    <cellStyle name="40% - Accent4 3 2 4 3 2 3" xfId="32894" xr:uid="{BEE2997F-7514-4EEF-92AD-B5F31C5A2DC0}"/>
    <cellStyle name="40% - Accent4 3 2 4 3 3" xfId="42193" xr:uid="{4B36A85E-E258-41BF-8D2C-2F9E6B7CE0B4}"/>
    <cellStyle name="40% - Accent4 3 2 4 3 4" xfId="23595" xr:uid="{B332EBB0-2F5C-4694-BCF4-DFCA00CD80F5}"/>
    <cellStyle name="40% - Accent4 3 2 4 4" xfId="10931" xr:uid="{7545B15A-D959-4C3E-B986-DD626D13AAA3}"/>
    <cellStyle name="40% - Accent4 3 2 4 4 2" xfId="47273" xr:uid="{028EFAB5-D5C1-4465-B6C7-9B52988A7F7F}"/>
    <cellStyle name="40% - Accent4 3 2 4 4 3" xfId="28677" xr:uid="{B025A2E8-DEDF-4DA8-AEAF-59753E1B88D2}"/>
    <cellStyle name="40% - Accent4 3 2 4 5" xfId="37976" xr:uid="{9608DFBC-1DB5-45BB-8FA2-A7414D0718D9}"/>
    <cellStyle name="40% - Accent4 3 2 4 6" xfId="19378" xr:uid="{FE1A23C3-533C-4245-A983-810D0EC4B316}"/>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17706" xr:uid="{CA7524E4-C13D-44E1-A671-472F49C08067}"/>
    <cellStyle name="40% - Accent4 3 2 5 2 2 2 2" xfId="54048" xr:uid="{2557D6D6-CB03-4EA5-82B9-A7F4C0AEC172}"/>
    <cellStyle name="40% - Accent4 3 2 5 2 2 2 3" xfId="35452" xr:uid="{8E7A4966-26FE-438F-8E6E-36BA0E4CE190}"/>
    <cellStyle name="40% - Accent4 3 2 5 2 2 3" xfId="44751" xr:uid="{B6B604FC-8FAC-45D7-8832-3486320014DB}"/>
    <cellStyle name="40% - Accent4 3 2 5 2 2 4" xfId="26153" xr:uid="{1A9F89FB-9724-434C-8B15-7D98206CBBDB}"/>
    <cellStyle name="40% - Accent4 3 2 5 2 3" xfId="13489" xr:uid="{11CB34EB-6C21-4351-8373-4D9EF182ACED}"/>
    <cellStyle name="40% - Accent4 3 2 5 2 3 2" xfId="49831" xr:uid="{F1E07A9F-C468-4829-A2C8-63FB47A0D68A}"/>
    <cellStyle name="40% - Accent4 3 2 5 2 3 3" xfId="31235" xr:uid="{21F92D0C-8A4D-426A-ABD7-F4B1179B3A13}"/>
    <cellStyle name="40% - Accent4 3 2 5 2 4" xfId="40534" xr:uid="{C9592806-DA19-4BD5-AC15-2A29946EB46E}"/>
    <cellStyle name="40% - Accent4 3 2 5 2 5" xfId="21936" xr:uid="{BCE27583-F6E1-4D7B-B0D0-4AD8BC1005E4}"/>
    <cellStyle name="40% - Accent4 3 2 5 3" xfId="6235" xr:uid="{00000000-0005-0000-0000-000003060000}"/>
    <cellStyle name="40% - Accent4 3 2 5 3 2" xfId="15561" xr:uid="{5591287E-CECE-4457-A721-4509C01F9E79}"/>
    <cellStyle name="40% - Accent4 3 2 5 3 2 2" xfId="51903" xr:uid="{8D50A41D-D7E3-4F82-921B-5A7DE779596D}"/>
    <cellStyle name="40% - Accent4 3 2 5 3 2 3" xfId="33307" xr:uid="{CFE9020D-36EE-4BC7-B502-450B1661BE84}"/>
    <cellStyle name="40% - Accent4 3 2 5 3 3" xfId="42606" xr:uid="{037D8066-84A7-4869-BE91-035A398073A8}"/>
    <cellStyle name="40% - Accent4 3 2 5 3 4" xfId="24008" xr:uid="{183169F7-C932-472D-AA7E-0B60D83B0C5A}"/>
    <cellStyle name="40% - Accent4 3 2 5 4" xfId="11344" xr:uid="{B9633DDC-709E-4C83-AE5A-1F7ED0CD4AD9}"/>
    <cellStyle name="40% - Accent4 3 2 5 4 2" xfId="47686" xr:uid="{CEAFC069-8977-4D1C-9B56-736696F2683C}"/>
    <cellStyle name="40% - Accent4 3 2 5 4 3" xfId="29090" xr:uid="{540F38D9-CBE5-4A1B-AEF5-78B8E0DEDF1C}"/>
    <cellStyle name="40% - Accent4 3 2 5 5" xfId="38389" xr:uid="{C34881DE-E9D4-4BF0-A42A-1BE9031D150D}"/>
    <cellStyle name="40% - Accent4 3 2 5 6" xfId="19791" xr:uid="{B05A34D3-8F74-419D-89BA-2A18F3869190}"/>
    <cellStyle name="40% - Accent4 3 2 6" xfId="2342" xr:uid="{00000000-0005-0000-0000-000004060000}"/>
    <cellStyle name="40% - Accent4 3 2 6 2" xfId="6648" xr:uid="{00000000-0005-0000-0000-000005060000}"/>
    <cellStyle name="40% - Accent4 3 2 6 2 2" xfId="15974" xr:uid="{DDFD341D-5793-4A78-818C-FF551B45CFE1}"/>
    <cellStyle name="40% - Accent4 3 2 6 2 2 2" xfId="52316" xr:uid="{779530A5-54E2-4140-B07A-0BBA194BCFF8}"/>
    <cellStyle name="40% - Accent4 3 2 6 2 2 3" xfId="33720" xr:uid="{E8ACA7AB-DA6B-458B-BD18-68039B59E417}"/>
    <cellStyle name="40% - Accent4 3 2 6 2 3" xfId="43019" xr:uid="{79A4D329-828D-4C64-A420-8AE75C0D2737}"/>
    <cellStyle name="40% - Accent4 3 2 6 2 4" xfId="24421" xr:uid="{049C1323-F510-4416-8B31-FC52CA4F6B46}"/>
    <cellStyle name="40% - Accent4 3 2 6 3" xfId="11757" xr:uid="{336CBCA9-B174-43F3-8AB9-AC701414B823}"/>
    <cellStyle name="40% - Accent4 3 2 6 3 2" xfId="48099" xr:uid="{4ECB6BED-0F28-480F-9F49-4648E0A50F56}"/>
    <cellStyle name="40% - Accent4 3 2 6 3 3" xfId="29503" xr:uid="{A24DD9BE-4988-49A7-897B-30028AEB5C33}"/>
    <cellStyle name="40% - Accent4 3 2 6 4" xfId="38802" xr:uid="{55879C0F-6F42-4474-8353-2883944D862F}"/>
    <cellStyle name="40% - Accent4 3 2 6 5" xfId="20204" xr:uid="{57FBBE0E-37ED-4228-8229-4FE52078BB8D}"/>
    <cellStyle name="40% - Accent4 3 2 7" xfId="4582" xr:uid="{00000000-0005-0000-0000-000006060000}"/>
    <cellStyle name="40% - Accent4 3 2 7 2" xfId="13908" xr:uid="{BB19098C-301E-4432-874C-B80F8C7AC9BA}"/>
    <cellStyle name="40% - Accent4 3 2 7 2 2" xfId="50250" xr:uid="{0A3E2B6E-60F9-4FA9-A8CC-CA1F0B626965}"/>
    <cellStyle name="40% - Accent4 3 2 7 2 3" xfId="31654" xr:uid="{A49822A0-17E4-40F1-A12F-F92CE95734A4}"/>
    <cellStyle name="40% - Accent4 3 2 7 3" xfId="40953" xr:uid="{FA666D4C-19E1-4F7C-821C-E336A7E3CDEE}"/>
    <cellStyle name="40% - Accent4 3 2 7 4" xfId="22355" xr:uid="{7E167890-90EB-43D2-9BF7-EBF5692CE106}"/>
    <cellStyle name="40% - Accent4 3 2 8" xfId="9075" xr:uid="{6C51FF47-5618-4E1E-BC97-01FFF287A6C3}"/>
    <cellStyle name="40% - Accent4 3 2 8 2" xfId="36145" xr:uid="{FBB3649E-6CB9-4A81-8CD3-A35CA40A4BB9}"/>
    <cellStyle name="40% - Accent4 3 2 8 2 2" xfId="54740" xr:uid="{399FC278-D71E-4081-B0A5-6ABADFAF90DE}"/>
    <cellStyle name="40% - Accent4 3 2 8 3" xfId="45443" xr:uid="{FA35A718-3B72-4798-AC56-DE569BD03F92}"/>
    <cellStyle name="40% - Accent4 3 2 8 4" xfId="26846" xr:uid="{7D29D83D-AE03-4DDF-852D-1774F31982DF}"/>
    <cellStyle name="40% - Accent4 3 2 9" xfId="9691" xr:uid="{AD3B3172-88FC-4FF7-888B-FDB23B512CAF}"/>
    <cellStyle name="40% - Accent4 3 2 9 2" xfId="46033" xr:uid="{EAE8121B-9931-4D57-B57A-0DF19B817596}"/>
    <cellStyle name="40% - Accent4 3 2 9 3" xfId="27437" xr:uid="{BFEA39AF-6BDF-4666-B594-E55A438CF295}"/>
    <cellStyle name="40% - Accent4 3 3" xfId="647" xr:uid="{00000000-0005-0000-0000-000007060000}"/>
    <cellStyle name="40% - Accent4 3 3 2" xfId="2918" xr:uid="{00000000-0005-0000-0000-000008060000}"/>
    <cellStyle name="40% - Accent4 3 3 2 2" xfId="7140" xr:uid="{00000000-0005-0000-0000-000009060000}"/>
    <cellStyle name="40% - Accent4 3 3 2 2 2" xfId="16466" xr:uid="{D6C0FE4A-8451-4C49-A96F-7EF82EF01F52}"/>
    <cellStyle name="40% - Accent4 3 3 2 2 2 2" xfId="52808" xr:uid="{B0F75735-B638-4C8E-B984-2C671644FE1D}"/>
    <cellStyle name="40% - Accent4 3 3 2 2 2 3" xfId="34212" xr:uid="{09B34272-F4A6-42A6-AC61-ABFFB1AFDCBF}"/>
    <cellStyle name="40% - Accent4 3 3 2 2 3" xfId="43511" xr:uid="{7B198D03-B24E-4567-9D2C-EC3CB3689439}"/>
    <cellStyle name="40% - Accent4 3 3 2 2 4" xfId="24913" xr:uid="{9E2D9321-9626-463B-842F-C672862A9E69}"/>
    <cellStyle name="40% - Accent4 3 3 2 3" xfId="12249" xr:uid="{6B99D699-3E51-4415-809B-16469F8650CC}"/>
    <cellStyle name="40% - Accent4 3 3 2 3 2" xfId="48591" xr:uid="{59F61E07-D1D4-40F7-8916-0F8981A852D6}"/>
    <cellStyle name="40% - Accent4 3 3 2 3 3" xfId="29995" xr:uid="{926F825D-C154-452A-8C5F-D47E46638E12}"/>
    <cellStyle name="40% - Accent4 3 3 2 4" xfId="39294" xr:uid="{5B489FF4-C985-4039-9D2D-AA66895F343B}"/>
    <cellStyle name="40% - Accent4 3 3 2 5" xfId="20696" xr:uid="{7613E29B-0D81-473A-9B13-FA523952822A}"/>
    <cellStyle name="40% - Accent4 3 3 3" xfId="4995" xr:uid="{00000000-0005-0000-0000-00000A060000}"/>
    <cellStyle name="40% - Accent4 3 3 3 2" xfId="14321" xr:uid="{DCE37DA3-5C7C-4FFC-83DF-49533000C620}"/>
    <cellStyle name="40% - Accent4 3 3 3 2 2" xfId="50663" xr:uid="{D5E7A2D8-8857-4898-88B1-18BEDC2BF4AD}"/>
    <cellStyle name="40% - Accent4 3 3 3 2 3" xfId="32067" xr:uid="{BE257C6B-07F6-4490-8FFF-A1BF7ADB332B}"/>
    <cellStyle name="40% - Accent4 3 3 3 3" xfId="41366" xr:uid="{FB71BC6B-3ACC-4B01-9F24-05E7BA98AB6B}"/>
    <cellStyle name="40% - Accent4 3 3 3 4" xfId="22768" xr:uid="{57221B2C-AFEE-4870-9A43-A3B90DC3CE38}"/>
    <cellStyle name="40% - Accent4 3 3 4" xfId="9293" xr:uid="{4A28D7F5-3617-45DC-A350-6C6596CDA765}"/>
    <cellStyle name="40% - Accent4 3 3 4 2" xfId="36354" xr:uid="{CBDA25C0-5C84-46E9-924E-7E9D588CAB56}"/>
    <cellStyle name="40% - Accent4 3 3 4 2 2" xfId="54948" xr:uid="{ADD713C3-2EB8-4FAB-BFB5-1C8B9B4B55D3}"/>
    <cellStyle name="40% - Accent4 3 3 4 3" xfId="45651" xr:uid="{085F9D36-BC45-408F-871B-5CF9CF9E1C1A}"/>
    <cellStyle name="40% - Accent4 3 3 4 4" xfId="27055" xr:uid="{F0F5A563-3FF9-44D3-BA95-5728F505F73A}"/>
    <cellStyle name="40% - Accent4 3 3 5" xfId="10104" xr:uid="{6AB6F167-7430-466F-84CC-CDBE663E8832}"/>
    <cellStyle name="40% - Accent4 3 3 5 2" xfId="46446" xr:uid="{26B48197-9D4D-4C5A-A5CF-0188E5950883}"/>
    <cellStyle name="40% - Accent4 3 3 5 3" xfId="27850" xr:uid="{6B2F9323-DC0A-4062-85AD-AB088E25E5CD}"/>
    <cellStyle name="40% - Accent4 3 3 6" xfId="37149" xr:uid="{064ED996-4A92-4D63-8A6F-64B0F1C1A706}"/>
    <cellStyle name="40% - Accent4 3 3 7" xfId="18551" xr:uid="{E81DB43A-2CCA-4AA3-9758-C05CF56E2C9A}"/>
    <cellStyle name="40% - Accent4 3 4" xfId="1100" xr:uid="{00000000-0005-0000-0000-00000B060000}"/>
    <cellStyle name="40% - Accent4 3 4 2" xfId="3331" xr:uid="{00000000-0005-0000-0000-00000C060000}"/>
    <cellStyle name="40% - Accent4 3 4 2 2" xfId="7553" xr:uid="{00000000-0005-0000-0000-00000D060000}"/>
    <cellStyle name="40% - Accent4 3 4 2 2 2" xfId="16879" xr:uid="{29333D4D-8D7E-43B9-8F3B-565A1DE6425B}"/>
    <cellStyle name="40% - Accent4 3 4 2 2 2 2" xfId="53221" xr:uid="{52593196-5F85-484C-AA14-ECA0E6BC2BB6}"/>
    <cellStyle name="40% - Accent4 3 4 2 2 2 3" xfId="34625" xr:uid="{89CE64AD-5D21-442C-BF58-AF649F3F0F92}"/>
    <cellStyle name="40% - Accent4 3 4 2 2 3" xfId="43924" xr:uid="{69C9F78B-AE03-45E9-8022-FB029D8033DE}"/>
    <cellStyle name="40% - Accent4 3 4 2 2 4" xfId="25326" xr:uid="{A7D683FC-D4BE-4B62-8562-95BF482C175B}"/>
    <cellStyle name="40% - Accent4 3 4 2 3" xfId="12662" xr:uid="{F763BD77-6755-4C11-8AF0-67EB8762A3BD}"/>
    <cellStyle name="40% - Accent4 3 4 2 3 2" xfId="49004" xr:uid="{594F6400-E4A2-414B-9C97-3D0F111DE77C}"/>
    <cellStyle name="40% - Accent4 3 4 2 3 3" xfId="30408" xr:uid="{2826F290-63F8-4488-9309-86AAB1D07ED3}"/>
    <cellStyle name="40% - Accent4 3 4 2 4" xfId="39707" xr:uid="{878FB94E-E0F2-47FB-AA2D-A907F376529F}"/>
    <cellStyle name="40% - Accent4 3 4 2 5" xfId="21109" xr:uid="{5A2E5BC0-3456-462D-8DD1-85DBC27DD4BF}"/>
    <cellStyle name="40% - Accent4 3 4 3" xfId="5408" xr:uid="{00000000-0005-0000-0000-00000E060000}"/>
    <cellStyle name="40% - Accent4 3 4 3 2" xfId="14734" xr:uid="{CE6A6254-4CA2-416B-BBA1-394210AA8FAE}"/>
    <cellStyle name="40% - Accent4 3 4 3 2 2" xfId="51076" xr:uid="{EAEACBF8-67B4-4620-B28E-123F60B99F16}"/>
    <cellStyle name="40% - Accent4 3 4 3 2 3" xfId="32480" xr:uid="{85068098-D8EF-4F26-8087-C44925104918}"/>
    <cellStyle name="40% - Accent4 3 4 3 3" xfId="41779" xr:uid="{2FDE401E-219D-4040-80FA-C0D3483B423A}"/>
    <cellStyle name="40% - Accent4 3 4 3 4" xfId="23181" xr:uid="{AB4AB71F-C96A-4275-AE31-A199917C99A2}"/>
    <cellStyle name="40% - Accent4 3 4 4" xfId="10517" xr:uid="{407C3578-80B7-4CDB-8595-1331E4FBE148}"/>
    <cellStyle name="40% - Accent4 3 4 4 2" xfId="46859" xr:uid="{9A63AB7B-27E1-4557-8E9E-628452B07CCD}"/>
    <cellStyle name="40% - Accent4 3 4 4 3" xfId="28263" xr:uid="{152436AE-2B7E-478E-95B4-0441C91B6018}"/>
    <cellStyle name="40% - Accent4 3 4 5" xfId="37562" xr:uid="{22D92D9E-129A-4BD0-850C-8784C9512DE6}"/>
    <cellStyle name="40% - Accent4 3 4 6" xfId="18964" xr:uid="{34C05C11-EDC2-4F74-87B1-0EE40E0C2934}"/>
    <cellStyle name="40% - Accent4 3 5" xfId="1514" xr:uid="{00000000-0005-0000-0000-00000F060000}"/>
    <cellStyle name="40% - Accent4 3 5 2" xfId="3744" xr:uid="{00000000-0005-0000-0000-000010060000}"/>
    <cellStyle name="40% - Accent4 3 5 2 2" xfId="7966" xr:uid="{00000000-0005-0000-0000-000011060000}"/>
    <cellStyle name="40% - Accent4 3 5 2 2 2" xfId="17292" xr:uid="{1C2D5B36-B124-4421-AAD3-8C8AEB5A6150}"/>
    <cellStyle name="40% - Accent4 3 5 2 2 2 2" xfId="53634" xr:uid="{BB880590-34AC-4E8B-ABBE-B7F4ECDC755F}"/>
    <cellStyle name="40% - Accent4 3 5 2 2 2 3" xfId="35038" xr:uid="{4C22A736-D386-412E-95D2-EA34709CC963}"/>
    <cellStyle name="40% - Accent4 3 5 2 2 3" xfId="44337" xr:uid="{C0DD1081-037F-4A2D-B8DF-229E6E313FCE}"/>
    <cellStyle name="40% - Accent4 3 5 2 2 4" xfId="25739" xr:uid="{B3AB6F2E-03DD-4EC2-9A55-193E38E7B6C0}"/>
    <cellStyle name="40% - Accent4 3 5 2 3" xfId="13075" xr:uid="{69C07A45-2F09-4744-88C2-6EF3400C62EB}"/>
    <cellStyle name="40% - Accent4 3 5 2 3 2" xfId="49417" xr:uid="{81AD4522-29F2-4956-A7B5-39CFAD359EB8}"/>
    <cellStyle name="40% - Accent4 3 5 2 3 3" xfId="30821" xr:uid="{D8095E68-BFFB-43D7-8E09-924087A5E5F5}"/>
    <cellStyle name="40% - Accent4 3 5 2 4" xfId="40120" xr:uid="{515DBEE2-807E-4C43-ADDD-C520EE3E3809}"/>
    <cellStyle name="40% - Accent4 3 5 2 5" xfId="21522" xr:uid="{E83CF8DC-DBDD-4287-899A-CAA4224B39C8}"/>
    <cellStyle name="40% - Accent4 3 5 3" xfId="5821" xr:uid="{00000000-0005-0000-0000-000012060000}"/>
    <cellStyle name="40% - Accent4 3 5 3 2" xfId="15147" xr:uid="{451F6CDE-D3A2-4F9A-9296-07829C44119C}"/>
    <cellStyle name="40% - Accent4 3 5 3 2 2" xfId="51489" xr:uid="{326E45FA-A3D2-4E96-BA0A-C8305FAA15C0}"/>
    <cellStyle name="40% - Accent4 3 5 3 2 3" xfId="32893" xr:uid="{F7703684-B679-4307-B3F3-0DEBC1EC03BE}"/>
    <cellStyle name="40% - Accent4 3 5 3 3" xfId="42192" xr:uid="{EF094ADA-FD0D-4EFC-97E6-C688DFC16368}"/>
    <cellStyle name="40% - Accent4 3 5 3 4" xfId="23594" xr:uid="{8DBBCD45-1EC9-4F32-948C-D51982B44197}"/>
    <cellStyle name="40% - Accent4 3 5 4" xfId="10930" xr:uid="{6D6C3A52-6866-41B7-B793-A7DE1FE42BAC}"/>
    <cellStyle name="40% - Accent4 3 5 4 2" xfId="47272" xr:uid="{D981EB68-EDE6-4A14-B19B-322E3184139F}"/>
    <cellStyle name="40% - Accent4 3 5 4 3" xfId="28676" xr:uid="{26790765-2EA9-4ED3-BD5F-28E3387DAD6F}"/>
    <cellStyle name="40% - Accent4 3 5 5" xfId="37975" xr:uid="{0BFFD4F5-B440-44C3-A3B5-C42DF91971C4}"/>
    <cellStyle name="40% - Accent4 3 5 6" xfId="19377" xr:uid="{EBAE28A3-2325-45E0-9F59-2886F683B9DD}"/>
    <cellStyle name="40% - Accent4 3 6" xfId="1928" xr:uid="{00000000-0005-0000-0000-000013060000}"/>
    <cellStyle name="40% - Accent4 3 6 2" xfId="4157" xr:uid="{00000000-0005-0000-0000-000014060000}"/>
    <cellStyle name="40% - Accent4 3 6 2 2" xfId="8379" xr:uid="{00000000-0005-0000-0000-000015060000}"/>
    <cellStyle name="40% - Accent4 3 6 2 2 2" xfId="17705" xr:uid="{ED5ED079-DD0E-471F-9DFF-BA0EFC73C786}"/>
    <cellStyle name="40% - Accent4 3 6 2 2 2 2" xfId="54047" xr:uid="{770D0747-F167-480F-B15C-17C3D1EAE61D}"/>
    <cellStyle name="40% - Accent4 3 6 2 2 2 3" xfId="35451" xr:uid="{8E1ACC35-05A1-4483-A564-FA12FF9DB044}"/>
    <cellStyle name="40% - Accent4 3 6 2 2 3" xfId="44750" xr:uid="{C039F2FB-7FC6-4EED-8D15-F1AA4267A97C}"/>
    <cellStyle name="40% - Accent4 3 6 2 2 4" xfId="26152" xr:uid="{0EF70FD8-A1E9-43D8-9144-DE94702AB241}"/>
    <cellStyle name="40% - Accent4 3 6 2 3" xfId="13488" xr:uid="{2989F08F-7A7C-4D2B-AA4D-930DB7011F9E}"/>
    <cellStyle name="40% - Accent4 3 6 2 3 2" xfId="49830" xr:uid="{27B9C96B-B32F-4555-978D-48E56AB62CDF}"/>
    <cellStyle name="40% - Accent4 3 6 2 3 3" xfId="31234" xr:uid="{BC60C588-CE94-4147-B289-5E80BB2C2D91}"/>
    <cellStyle name="40% - Accent4 3 6 2 4" xfId="40533" xr:uid="{E2D56A2C-857E-4EF0-9A98-6955536A492D}"/>
    <cellStyle name="40% - Accent4 3 6 2 5" xfId="21935" xr:uid="{0F86FF1C-21D6-4E4C-BC3F-4035EEC7008A}"/>
    <cellStyle name="40% - Accent4 3 6 3" xfId="6234" xr:uid="{00000000-0005-0000-0000-000016060000}"/>
    <cellStyle name="40% - Accent4 3 6 3 2" xfId="15560" xr:uid="{33A7B8AC-2705-43D0-956A-DDBD0CE0E90A}"/>
    <cellStyle name="40% - Accent4 3 6 3 2 2" xfId="51902" xr:uid="{49A8EA4D-6B79-420D-925D-0CE3970B4200}"/>
    <cellStyle name="40% - Accent4 3 6 3 2 3" xfId="33306" xr:uid="{FDD87E20-E893-47DA-A25A-C9F8578EA1F7}"/>
    <cellStyle name="40% - Accent4 3 6 3 3" xfId="42605" xr:uid="{C414D66D-4B6B-4F0B-BC24-1C7F86C6A492}"/>
    <cellStyle name="40% - Accent4 3 6 3 4" xfId="24007" xr:uid="{27C8603A-FCF9-4181-994A-A1F964B70CA3}"/>
    <cellStyle name="40% - Accent4 3 6 4" xfId="11343" xr:uid="{EEB3D0AA-6A78-4240-8D0B-9EFE023F23F6}"/>
    <cellStyle name="40% - Accent4 3 6 4 2" xfId="47685" xr:uid="{7F6586B6-02A1-4D26-9E6A-C5F2F813C13B}"/>
    <cellStyle name="40% - Accent4 3 6 4 3" xfId="29089" xr:uid="{8CA5FEAA-6C0B-4BAA-9A9A-044745036FAF}"/>
    <cellStyle name="40% - Accent4 3 6 5" xfId="38388" xr:uid="{5C38ACDA-C85D-46AA-B00B-8C46603DF7E8}"/>
    <cellStyle name="40% - Accent4 3 6 6" xfId="19790" xr:uid="{73E13007-88E9-4023-A055-CCC8E00D8655}"/>
    <cellStyle name="40% - Accent4 3 7" xfId="2341" xr:uid="{00000000-0005-0000-0000-000017060000}"/>
    <cellStyle name="40% - Accent4 3 7 2" xfId="6647" xr:uid="{00000000-0005-0000-0000-000018060000}"/>
    <cellStyle name="40% - Accent4 3 7 2 2" xfId="15973" xr:uid="{F5E9F101-FBAE-4858-A83F-374DCF9E6E1B}"/>
    <cellStyle name="40% - Accent4 3 7 2 2 2" xfId="52315" xr:uid="{536333CE-2969-40A0-9FB3-AB7E84463243}"/>
    <cellStyle name="40% - Accent4 3 7 2 2 3" xfId="33719" xr:uid="{34CF1D5C-2AA0-43C4-9C56-90FF7839FB5D}"/>
    <cellStyle name="40% - Accent4 3 7 2 3" xfId="43018" xr:uid="{2E1D43B0-4082-43B9-AE8C-F387ECCD87C2}"/>
    <cellStyle name="40% - Accent4 3 7 2 4" xfId="24420" xr:uid="{AB60C864-27A7-4979-A816-A4A4A1B1FF51}"/>
    <cellStyle name="40% - Accent4 3 7 3" xfId="11756" xr:uid="{C6F952E0-2165-4B66-8E1C-921597415BE5}"/>
    <cellStyle name="40% - Accent4 3 7 3 2" xfId="48098" xr:uid="{4A1C92A0-F911-49EE-92E8-D1934039FC91}"/>
    <cellStyle name="40% - Accent4 3 7 3 3" xfId="29502" xr:uid="{71D10338-B3E4-4B48-B01A-7F44BD29597B}"/>
    <cellStyle name="40% - Accent4 3 7 4" xfId="38801" xr:uid="{BEA3A358-CE66-4A5C-9047-995A18A2F026}"/>
    <cellStyle name="40% - Accent4 3 7 5" xfId="20203" xr:uid="{F12F22CC-90AC-4F14-8F9E-4776486DE07D}"/>
    <cellStyle name="40% - Accent4 3 8" xfId="4581" xr:uid="{00000000-0005-0000-0000-000019060000}"/>
    <cellStyle name="40% - Accent4 3 8 2" xfId="13907" xr:uid="{486F410C-B972-4A71-ADC3-A80A0D2C4840}"/>
    <cellStyle name="40% - Accent4 3 8 2 2" xfId="50249" xr:uid="{1C683B52-D947-4C91-BC13-1A1C67EB63D5}"/>
    <cellStyle name="40% - Accent4 3 8 2 3" xfId="31653" xr:uid="{2ACFEA15-B28F-49BF-BC5B-D6F87A309376}"/>
    <cellStyle name="40% - Accent4 3 8 3" xfId="40952" xr:uid="{BEC2D798-E1CF-463B-B328-14757C1F32D6}"/>
    <cellStyle name="40% - Accent4 3 8 4" xfId="22354" xr:uid="{5C17DF97-4C63-4E7E-9AE9-C9F5C5AE2FB6}"/>
    <cellStyle name="40% - Accent4 3 9" xfId="8868" xr:uid="{538D9F50-ACCA-4DB0-A3F1-A129ACFFA0BF}"/>
    <cellStyle name="40% - Accent4 3 9 2" xfId="35938" xr:uid="{50BE99CB-CD0C-4972-A1EA-B4656F112057}"/>
    <cellStyle name="40% - Accent4 3 9 2 2" xfId="54533" xr:uid="{E37986FF-2B57-40E5-8D23-AAFEF3FD7E23}"/>
    <cellStyle name="40% - Accent4 3 9 3" xfId="45236" xr:uid="{7C1001ED-F4B4-41E0-AE21-55552E01DB6C}"/>
    <cellStyle name="40% - Accent4 3 9 4" xfId="26639" xr:uid="{255F8AE5-7E5A-4766-822D-FE4057FD3189}"/>
    <cellStyle name="40% - Accent4 4" xfId="80" xr:uid="{00000000-0005-0000-0000-00001A060000}"/>
    <cellStyle name="40% - Accent4 4 10" xfId="36737" xr:uid="{6F378CFF-C64D-4DAE-A9AC-943670386211}"/>
    <cellStyle name="40% - Accent4 4 11" xfId="18139" xr:uid="{A7008A2F-511D-440F-8CBB-1E94E1051702}"/>
    <cellStyle name="40% - Accent4 4 2" xfId="649" xr:uid="{00000000-0005-0000-0000-00001B060000}"/>
    <cellStyle name="40% - Accent4 4 2 2" xfId="2920" xr:uid="{00000000-0005-0000-0000-00001C060000}"/>
    <cellStyle name="40% - Accent4 4 2 2 2" xfId="7142" xr:uid="{00000000-0005-0000-0000-00001D060000}"/>
    <cellStyle name="40% - Accent4 4 2 2 2 2" xfId="16468" xr:uid="{4430CE98-E061-4780-8304-453B94C05C11}"/>
    <cellStyle name="40% - Accent4 4 2 2 2 2 2" xfId="52810" xr:uid="{2966E62A-048A-450E-8A7E-F82587CB1050}"/>
    <cellStyle name="40% - Accent4 4 2 2 2 2 3" xfId="34214" xr:uid="{458D56B4-C712-475F-987C-2B290DBF74AA}"/>
    <cellStyle name="40% - Accent4 4 2 2 2 3" xfId="43513" xr:uid="{6496D2F3-866D-496B-97D2-DF98022EAFA2}"/>
    <cellStyle name="40% - Accent4 4 2 2 2 4" xfId="24915" xr:uid="{ED9BC4F0-4C85-46C0-B0DA-9F89E0C4BE38}"/>
    <cellStyle name="40% - Accent4 4 2 2 3" xfId="12251" xr:uid="{15BC574E-5F05-4596-B152-9963C6D57E48}"/>
    <cellStyle name="40% - Accent4 4 2 2 3 2" xfId="48593" xr:uid="{7155691D-C294-4C3C-83DA-1860DE0BCB9F}"/>
    <cellStyle name="40% - Accent4 4 2 2 3 3" xfId="29997" xr:uid="{F9C1E0F5-40E9-4DD6-9EFF-59BEE48E1A11}"/>
    <cellStyle name="40% - Accent4 4 2 2 4" xfId="39296" xr:uid="{342CEA53-2985-444A-9575-0C6123E9AD39}"/>
    <cellStyle name="40% - Accent4 4 2 2 5" xfId="20698" xr:uid="{AA7492C5-684D-4FDD-8236-07A43DEC8DA4}"/>
    <cellStyle name="40% - Accent4 4 2 3" xfId="4997" xr:uid="{00000000-0005-0000-0000-00001E060000}"/>
    <cellStyle name="40% - Accent4 4 2 3 2" xfId="14323" xr:uid="{F2DFB7AA-9AA0-453B-AD42-E85E64C31736}"/>
    <cellStyle name="40% - Accent4 4 2 3 2 2" xfId="50665" xr:uid="{D2462A93-8FAB-4D98-BFFE-241A918E01A9}"/>
    <cellStyle name="40% - Accent4 4 2 3 2 3" xfId="32069" xr:uid="{89975D22-307E-4215-8D6A-3586360DF18D}"/>
    <cellStyle name="40% - Accent4 4 2 3 3" xfId="41368" xr:uid="{91F2A258-93E3-45A1-9D8F-2310E8606664}"/>
    <cellStyle name="40% - Accent4 4 2 3 4" xfId="22770" xr:uid="{4B8625FD-4602-4EE0-8A43-5DA71DD0E11A}"/>
    <cellStyle name="40% - Accent4 4 2 4" xfId="9379" xr:uid="{EE31EAE0-1741-4D6E-B7B4-C5DB59044F55}"/>
    <cellStyle name="40% - Accent4 4 2 4 2" xfId="36440" xr:uid="{A802C479-AAD7-4070-BCC6-1F5E0E8F5595}"/>
    <cellStyle name="40% - Accent4 4 2 4 2 2" xfId="55034" xr:uid="{65519204-5F81-4E02-B474-50C0B4F8DB80}"/>
    <cellStyle name="40% - Accent4 4 2 4 3" xfId="45737" xr:uid="{1B35D1D7-88A9-4526-B4E6-D416242768C8}"/>
    <cellStyle name="40% - Accent4 4 2 4 4" xfId="27141" xr:uid="{9A03CD71-9892-4BF4-88A4-C7EC14EDBD1B}"/>
    <cellStyle name="40% - Accent4 4 2 5" xfId="10106" xr:uid="{00BF1DBC-3DA8-498A-9A11-4663C5D91588}"/>
    <cellStyle name="40% - Accent4 4 2 5 2" xfId="46448" xr:uid="{6D18D13A-9DDB-4C63-B47D-8BB4ACD84B3F}"/>
    <cellStyle name="40% - Accent4 4 2 5 3" xfId="27852" xr:uid="{0A73A3D6-EADF-43F4-9999-A630A4B903D3}"/>
    <cellStyle name="40% - Accent4 4 2 6" xfId="37151" xr:uid="{DC69D85E-4B79-45BA-9DF1-FBE4182E2885}"/>
    <cellStyle name="40% - Accent4 4 2 7" xfId="18553" xr:uid="{C0F498C5-2AAA-4EDF-9AE3-17D4FE43111D}"/>
    <cellStyle name="40% - Accent4 4 3" xfId="1102" xr:uid="{00000000-0005-0000-0000-00001F060000}"/>
    <cellStyle name="40% - Accent4 4 3 2" xfId="3333" xr:uid="{00000000-0005-0000-0000-000020060000}"/>
    <cellStyle name="40% - Accent4 4 3 2 2" xfId="7555" xr:uid="{00000000-0005-0000-0000-000021060000}"/>
    <cellStyle name="40% - Accent4 4 3 2 2 2" xfId="16881" xr:uid="{83ACCFAB-11E2-4824-AACB-8325F3CA01AE}"/>
    <cellStyle name="40% - Accent4 4 3 2 2 2 2" xfId="53223" xr:uid="{46FD77C5-6DED-4639-87C0-2EE737B40699}"/>
    <cellStyle name="40% - Accent4 4 3 2 2 2 3" xfId="34627" xr:uid="{11852059-D00A-47B9-9B9E-20495315972F}"/>
    <cellStyle name="40% - Accent4 4 3 2 2 3" xfId="43926" xr:uid="{02EC8D27-8821-4D3E-AA9C-0C36D9EB20CC}"/>
    <cellStyle name="40% - Accent4 4 3 2 2 4" xfId="25328" xr:uid="{10043FB9-9D32-478C-A81E-CC5A948B3634}"/>
    <cellStyle name="40% - Accent4 4 3 2 3" xfId="12664" xr:uid="{4C15B091-D97F-4F34-8464-0968CF01077B}"/>
    <cellStyle name="40% - Accent4 4 3 2 3 2" xfId="49006" xr:uid="{871F7AC2-8DA4-43D9-B8AF-E306B4430682}"/>
    <cellStyle name="40% - Accent4 4 3 2 3 3" xfId="30410" xr:uid="{EE909D14-98B3-4454-AC21-EFFBEA5F44FB}"/>
    <cellStyle name="40% - Accent4 4 3 2 4" xfId="39709" xr:uid="{02F2EB82-2673-45D2-9D46-C5B5367F7DF3}"/>
    <cellStyle name="40% - Accent4 4 3 2 5" xfId="21111" xr:uid="{FF974DDB-ECB1-4C46-A3ED-8B25E3E821DB}"/>
    <cellStyle name="40% - Accent4 4 3 3" xfId="5410" xr:uid="{00000000-0005-0000-0000-000022060000}"/>
    <cellStyle name="40% - Accent4 4 3 3 2" xfId="14736" xr:uid="{50FC5DA9-4B50-447C-B87E-90DD727B14F8}"/>
    <cellStyle name="40% - Accent4 4 3 3 2 2" xfId="51078" xr:uid="{A43F18CE-74AD-4980-87F2-9E97C538D759}"/>
    <cellStyle name="40% - Accent4 4 3 3 2 3" xfId="32482" xr:uid="{D4548F2D-69D7-4187-9383-64BDA0303396}"/>
    <cellStyle name="40% - Accent4 4 3 3 3" xfId="41781" xr:uid="{B1637137-A82F-4973-BA92-F6523FFE0BB6}"/>
    <cellStyle name="40% - Accent4 4 3 3 4" xfId="23183" xr:uid="{5D625940-D6CC-47E0-84E0-1FF4D38E6291}"/>
    <cellStyle name="40% - Accent4 4 3 4" xfId="10519" xr:uid="{EA7167D3-1016-441A-B8D8-B830611AFACD}"/>
    <cellStyle name="40% - Accent4 4 3 4 2" xfId="46861" xr:uid="{05893776-44CC-4706-BF35-8D636760CA08}"/>
    <cellStyle name="40% - Accent4 4 3 4 3" xfId="28265" xr:uid="{372521CD-D896-451B-BD00-081D9E236870}"/>
    <cellStyle name="40% - Accent4 4 3 5" xfId="37564" xr:uid="{0306660B-2643-4F9E-BFA7-96CC6ABBB8D6}"/>
    <cellStyle name="40% - Accent4 4 3 6" xfId="18966" xr:uid="{88DFD095-6161-4355-AB77-26013EEF9E4C}"/>
    <cellStyle name="40% - Accent4 4 4" xfId="1516" xr:uid="{00000000-0005-0000-0000-000023060000}"/>
    <cellStyle name="40% - Accent4 4 4 2" xfId="3746" xr:uid="{00000000-0005-0000-0000-000024060000}"/>
    <cellStyle name="40% - Accent4 4 4 2 2" xfId="7968" xr:uid="{00000000-0005-0000-0000-000025060000}"/>
    <cellStyle name="40% - Accent4 4 4 2 2 2" xfId="17294" xr:uid="{60545154-A822-4899-AA85-8AB5E7A6FA58}"/>
    <cellStyle name="40% - Accent4 4 4 2 2 2 2" xfId="53636" xr:uid="{9BBF33F5-72A3-4928-8A99-C6D3B7A89259}"/>
    <cellStyle name="40% - Accent4 4 4 2 2 2 3" xfId="35040" xr:uid="{5B9B07A4-17AD-424E-913D-9E571EE7A134}"/>
    <cellStyle name="40% - Accent4 4 4 2 2 3" xfId="44339" xr:uid="{FFA4EA17-2D93-4E90-B78C-187281CB3131}"/>
    <cellStyle name="40% - Accent4 4 4 2 2 4" xfId="25741" xr:uid="{8DFB18B8-9F40-46EF-8529-EDB6C12EED90}"/>
    <cellStyle name="40% - Accent4 4 4 2 3" xfId="13077" xr:uid="{225EA9F2-5A52-4B3A-A3C5-C01D95B1CF76}"/>
    <cellStyle name="40% - Accent4 4 4 2 3 2" xfId="49419" xr:uid="{56354638-10A9-4BF1-9B8E-B721F5E239AF}"/>
    <cellStyle name="40% - Accent4 4 4 2 3 3" xfId="30823" xr:uid="{7EF5E506-091B-4A53-9AB5-BBA51372A13F}"/>
    <cellStyle name="40% - Accent4 4 4 2 4" xfId="40122" xr:uid="{19E8B2D1-5783-4250-B78E-7EA6D56EAF86}"/>
    <cellStyle name="40% - Accent4 4 4 2 5" xfId="21524" xr:uid="{80675D46-96B8-4B8F-85D4-810C44165EF8}"/>
    <cellStyle name="40% - Accent4 4 4 3" xfId="5823" xr:uid="{00000000-0005-0000-0000-000026060000}"/>
    <cellStyle name="40% - Accent4 4 4 3 2" xfId="15149" xr:uid="{07B362A5-F637-472C-93C3-B98F06C6D3F9}"/>
    <cellStyle name="40% - Accent4 4 4 3 2 2" xfId="51491" xr:uid="{E9431D2C-7DE8-4E42-B3B4-5E5FE4FA1977}"/>
    <cellStyle name="40% - Accent4 4 4 3 2 3" xfId="32895" xr:uid="{D749BCF2-E877-4A6A-B514-8DA14DFD934C}"/>
    <cellStyle name="40% - Accent4 4 4 3 3" xfId="42194" xr:uid="{0C47ADAC-CB9E-4965-A692-DF96FE59ADDE}"/>
    <cellStyle name="40% - Accent4 4 4 3 4" xfId="23596" xr:uid="{B3DE24F0-8009-45A7-B10A-8D0545E9BAF4}"/>
    <cellStyle name="40% - Accent4 4 4 4" xfId="10932" xr:uid="{A229572B-3F9C-441B-96FE-76145AD78E11}"/>
    <cellStyle name="40% - Accent4 4 4 4 2" xfId="47274" xr:uid="{6512B797-08EA-43C2-BE3D-271E8D39B3E8}"/>
    <cellStyle name="40% - Accent4 4 4 4 3" xfId="28678" xr:uid="{EA3CF76F-967A-4E78-A32C-A69168C6600E}"/>
    <cellStyle name="40% - Accent4 4 4 5" xfId="37977" xr:uid="{10B0E2FE-BB4B-49F0-9BFA-C24FEC878308}"/>
    <cellStyle name="40% - Accent4 4 4 6" xfId="19379" xr:uid="{D3DD1E7E-7A2F-46F5-9F34-6AEBD43A1140}"/>
    <cellStyle name="40% - Accent4 4 5" xfId="1930" xr:uid="{00000000-0005-0000-0000-000027060000}"/>
    <cellStyle name="40% - Accent4 4 5 2" xfId="4159" xr:uid="{00000000-0005-0000-0000-000028060000}"/>
    <cellStyle name="40% - Accent4 4 5 2 2" xfId="8381" xr:uid="{00000000-0005-0000-0000-000029060000}"/>
    <cellStyle name="40% - Accent4 4 5 2 2 2" xfId="17707" xr:uid="{D4626335-9B68-4E49-893F-38FBD3C7C733}"/>
    <cellStyle name="40% - Accent4 4 5 2 2 2 2" xfId="54049" xr:uid="{1AE99372-112A-4524-9C47-A1F59E3CED07}"/>
    <cellStyle name="40% - Accent4 4 5 2 2 2 3" xfId="35453" xr:uid="{935F15CB-1D08-4EA8-9E31-D3359276D2F5}"/>
    <cellStyle name="40% - Accent4 4 5 2 2 3" xfId="44752" xr:uid="{8752A09D-00CA-4D27-8D16-35ACB3142914}"/>
    <cellStyle name="40% - Accent4 4 5 2 2 4" xfId="26154" xr:uid="{7BAD7E1E-9247-4FAC-A22C-B24A4E082880}"/>
    <cellStyle name="40% - Accent4 4 5 2 3" xfId="13490" xr:uid="{359A99F3-3671-40BF-BE44-9CC71B2074E9}"/>
    <cellStyle name="40% - Accent4 4 5 2 3 2" xfId="49832" xr:uid="{68067768-6359-4047-A6F2-31BBB1D1CBA0}"/>
    <cellStyle name="40% - Accent4 4 5 2 3 3" xfId="31236" xr:uid="{0B262FDD-95CE-4D3E-B063-F7F0AE1505F0}"/>
    <cellStyle name="40% - Accent4 4 5 2 4" xfId="40535" xr:uid="{DF2B4D88-0B18-4CE7-AD9C-6C27B7E725DA}"/>
    <cellStyle name="40% - Accent4 4 5 2 5" xfId="21937" xr:uid="{3373BCBA-1905-4EA2-B3DE-43B8D5A48AD9}"/>
    <cellStyle name="40% - Accent4 4 5 3" xfId="6236" xr:uid="{00000000-0005-0000-0000-00002A060000}"/>
    <cellStyle name="40% - Accent4 4 5 3 2" xfId="15562" xr:uid="{88A920D6-BE10-4D22-8E20-E341E601006F}"/>
    <cellStyle name="40% - Accent4 4 5 3 2 2" xfId="51904" xr:uid="{8A2622F5-72A6-4A90-8035-4A1A027BDBA4}"/>
    <cellStyle name="40% - Accent4 4 5 3 2 3" xfId="33308" xr:uid="{F3C46B45-2F1A-4A4F-9D57-F1EBD7BAF8E4}"/>
    <cellStyle name="40% - Accent4 4 5 3 3" xfId="42607" xr:uid="{8A5810AA-49BE-4D9E-B627-75BFC0600E9A}"/>
    <cellStyle name="40% - Accent4 4 5 3 4" xfId="24009" xr:uid="{545A2795-7D8F-4AB3-83F8-D53D8975FFE0}"/>
    <cellStyle name="40% - Accent4 4 5 4" xfId="11345" xr:uid="{3A5CD3E2-941C-4D25-91A3-E1937CD32109}"/>
    <cellStyle name="40% - Accent4 4 5 4 2" xfId="47687" xr:uid="{DEF3F941-B7EE-4BE6-BD16-DCEAF3117833}"/>
    <cellStyle name="40% - Accent4 4 5 4 3" xfId="29091" xr:uid="{8A164FA9-1355-4965-95AD-B76F3DE60BFC}"/>
    <cellStyle name="40% - Accent4 4 5 5" xfId="38390" xr:uid="{E0AD53EB-958B-42D9-997C-C64173B7C710}"/>
    <cellStyle name="40% - Accent4 4 5 6" xfId="19792" xr:uid="{914FA4DC-D412-43B8-811E-A6E137C06DB4}"/>
    <cellStyle name="40% - Accent4 4 6" xfId="2343" xr:uid="{00000000-0005-0000-0000-00002B060000}"/>
    <cellStyle name="40% - Accent4 4 6 2" xfId="6649" xr:uid="{00000000-0005-0000-0000-00002C060000}"/>
    <cellStyle name="40% - Accent4 4 6 2 2" xfId="15975" xr:uid="{5C4E1D0E-4DA2-4CCA-8F5D-C30077A5F2A3}"/>
    <cellStyle name="40% - Accent4 4 6 2 2 2" xfId="52317" xr:uid="{AC899E26-BA4C-4FBD-BB66-4FF07BF30A16}"/>
    <cellStyle name="40% - Accent4 4 6 2 2 3" xfId="33721" xr:uid="{C77F7550-2CED-4FD5-8266-09404B9EE95E}"/>
    <cellStyle name="40% - Accent4 4 6 2 3" xfId="43020" xr:uid="{ED1B80E8-B8AA-4220-89A5-482493AC59B3}"/>
    <cellStyle name="40% - Accent4 4 6 2 4" xfId="24422" xr:uid="{F77A3052-0209-4BBD-B7C5-FC66BD37E745}"/>
    <cellStyle name="40% - Accent4 4 6 3" xfId="11758" xr:uid="{A2B9334B-A7D1-411E-8DF1-7F44F7B6BF27}"/>
    <cellStyle name="40% - Accent4 4 6 3 2" xfId="48100" xr:uid="{71A845BD-CFF4-49BE-9E81-D9D1747C0A01}"/>
    <cellStyle name="40% - Accent4 4 6 3 3" xfId="29504" xr:uid="{09D59450-CFA6-4CE3-B2BE-51792A23E7BD}"/>
    <cellStyle name="40% - Accent4 4 6 4" xfId="38803" xr:uid="{6A529913-CCA8-4D21-B625-54BC30ADE56B}"/>
    <cellStyle name="40% - Accent4 4 6 5" xfId="20205" xr:uid="{F35EE1F1-9D5F-4FD2-A3FC-720A921D5883}"/>
    <cellStyle name="40% - Accent4 4 7" xfId="4583" xr:uid="{00000000-0005-0000-0000-00002D060000}"/>
    <cellStyle name="40% - Accent4 4 7 2" xfId="13909" xr:uid="{BFA64BF1-160A-4B46-81F3-94487E9FF26E}"/>
    <cellStyle name="40% - Accent4 4 7 2 2" xfId="50251" xr:uid="{118A13EB-B024-4F2B-8080-0FD5D3A8F189}"/>
    <cellStyle name="40% - Accent4 4 7 2 3" xfId="31655" xr:uid="{929B4E22-C626-438D-AFEA-D81F8EB5C553}"/>
    <cellStyle name="40% - Accent4 4 7 3" xfId="40954" xr:uid="{B0596A4C-AF7A-46F3-9EB9-4C45E79B9583}"/>
    <cellStyle name="40% - Accent4 4 7 4" xfId="22356" xr:uid="{00D093B3-63D3-40C7-A770-D1CFE0FBC361}"/>
    <cellStyle name="40% - Accent4 4 8" xfId="8954" xr:uid="{2C178683-58B3-4513-85E7-15FAC3AC035D}"/>
    <cellStyle name="40% - Accent4 4 8 2" xfId="36024" xr:uid="{F83301A9-5B13-401C-B67B-A661A133DC08}"/>
    <cellStyle name="40% - Accent4 4 8 2 2" xfId="54619" xr:uid="{85D04B62-244B-43BF-B7F2-9EDEAE41A8B1}"/>
    <cellStyle name="40% - Accent4 4 8 3" xfId="45322" xr:uid="{07E9A2D5-C3A5-4067-B014-C7FFFDF3249C}"/>
    <cellStyle name="40% - Accent4 4 8 4" xfId="26725" xr:uid="{4F63B6D4-A0BA-4F65-ACDB-ECB9276C2B4A}"/>
    <cellStyle name="40% - Accent4 4 9" xfId="9692" xr:uid="{7136D215-8430-41EF-B551-323E091A40AC}"/>
    <cellStyle name="40% - Accent4 4 9 2" xfId="46034" xr:uid="{66334821-BCA8-4233-AE18-A4C53D41C794}"/>
    <cellStyle name="40% - Accent4 4 9 3" xfId="27438" xr:uid="{76D46451-33EE-4788-8424-DCE9628C7109}"/>
    <cellStyle name="40% - Accent4 5" xfId="642" xr:uid="{00000000-0005-0000-0000-00002E060000}"/>
    <cellStyle name="40% - Accent4 5 2" xfId="2913" xr:uid="{00000000-0005-0000-0000-00002F060000}"/>
    <cellStyle name="40% - Accent4 5 2 2" xfId="7135" xr:uid="{00000000-0005-0000-0000-000030060000}"/>
    <cellStyle name="40% - Accent4 5 2 2 2" xfId="16461" xr:uid="{8CAF10D7-EF85-4C5B-9C50-D47350F1EDD8}"/>
    <cellStyle name="40% - Accent4 5 2 2 2 2" xfId="52803" xr:uid="{FD9BD71F-EC2D-4CA5-9FA1-749281AF98F5}"/>
    <cellStyle name="40% - Accent4 5 2 2 2 3" xfId="34207" xr:uid="{6A4B2F6B-B8C4-4F0B-8FD1-5C4C19E6C3F6}"/>
    <cellStyle name="40% - Accent4 5 2 2 3" xfId="43506" xr:uid="{F67714D2-DDF7-499E-A606-69E3986CA788}"/>
    <cellStyle name="40% - Accent4 5 2 2 4" xfId="24908" xr:uid="{686BE068-D941-4A5D-8320-72A879DC4794}"/>
    <cellStyle name="40% - Accent4 5 2 3" xfId="12244" xr:uid="{75949F44-0131-47AB-A2F0-FC19B5583167}"/>
    <cellStyle name="40% - Accent4 5 2 3 2" xfId="48586" xr:uid="{6D549AE7-2D4C-4A1A-94AC-7988EB6930D1}"/>
    <cellStyle name="40% - Accent4 5 2 3 3" xfId="29990" xr:uid="{3CDB207E-C0D3-4378-A12B-E2892AD8B37F}"/>
    <cellStyle name="40% - Accent4 5 2 4" xfId="39289" xr:uid="{D426EF10-E143-4125-90A6-40523EC86124}"/>
    <cellStyle name="40% - Accent4 5 2 5" xfId="20691" xr:uid="{D35585E5-414E-4F4A-BA14-9730F1C0C01C}"/>
    <cellStyle name="40% - Accent4 5 3" xfId="4990" xr:uid="{00000000-0005-0000-0000-000031060000}"/>
    <cellStyle name="40% - Accent4 5 3 2" xfId="14316" xr:uid="{932573EB-1BCD-44EA-9F3A-080631E8237C}"/>
    <cellStyle name="40% - Accent4 5 3 2 2" xfId="50658" xr:uid="{5982AF04-0F52-4317-96CD-07F51CCB590E}"/>
    <cellStyle name="40% - Accent4 5 3 2 3" xfId="32062" xr:uid="{12CED84E-6AB2-40A5-BE00-A6881A2ADBBC}"/>
    <cellStyle name="40% - Accent4 5 3 3" xfId="41361" xr:uid="{B44ABFF0-424E-493F-AA4D-8F8C7C35C019}"/>
    <cellStyle name="40% - Accent4 5 3 4" xfId="22763" xr:uid="{FFE3460F-E739-4762-B7B9-BBDE550E20CC}"/>
    <cellStyle name="40% - Accent4 5 4" xfId="9187" xr:uid="{33022C89-0CDD-4091-8005-358F63FF8F46}"/>
    <cellStyle name="40% - Accent4 5 4 2" xfId="36251" xr:uid="{6F08F89E-F71E-48CE-A36A-37C04756679E}"/>
    <cellStyle name="40% - Accent4 5 4 2 2" xfId="54845" xr:uid="{7FEC35E2-7E58-4804-8C92-E1E3FCB7FCD1}"/>
    <cellStyle name="40% - Accent4 5 4 3" xfId="45548" xr:uid="{74E7C121-C066-4C43-A0AB-55BFC6D64CB2}"/>
    <cellStyle name="40% - Accent4 5 4 4" xfId="26952" xr:uid="{5C001C92-3174-4528-A516-08A8275CFAF3}"/>
    <cellStyle name="40% - Accent4 5 5" xfId="10099" xr:uid="{B288376C-761A-42AB-A85F-2539B767C978}"/>
    <cellStyle name="40% - Accent4 5 5 2" xfId="46441" xr:uid="{C321B767-5886-4FF2-B3EB-4C63FBFE2592}"/>
    <cellStyle name="40% - Accent4 5 5 3" xfId="27845" xr:uid="{0E5A96DA-34E5-4527-BE0B-F06F4852DBA7}"/>
    <cellStyle name="40% - Accent4 5 6" xfId="37144" xr:uid="{26B0E223-8354-4DEF-AE17-896873A6FD03}"/>
    <cellStyle name="40% - Accent4 5 7" xfId="18546" xr:uid="{F4A3CA1B-46F0-4898-9268-2A5CF19E7D6F}"/>
    <cellStyle name="40% - Accent4 6" xfId="1095" xr:uid="{00000000-0005-0000-0000-000032060000}"/>
    <cellStyle name="40% - Accent4 6 2" xfId="3326" xr:uid="{00000000-0005-0000-0000-000033060000}"/>
    <cellStyle name="40% - Accent4 6 2 2" xfId="7548" xr:uid="{00000000-0005-0000-0000-000034060000}"/>
    <cellStyle name="40% - Accent4 6 2 2 2" xfId="16874" xr:uid="{123798E8-A9E3-4AA4-AE68-00ED08503216}"/>
    <cellStyle name="40% - Accent4 6 2 2 2 2" xfId="53216" xr:uid="{D5CB9984-6525-466F-85AD-682A8080238C}"/>
    <cellStyle name="40% - Accent4 6 2 2 2 3" xfId="34620" xr:uid="{EC9B7C36-4C29-45FF-8342-3FEF467ECAE3}"/>
    <cellStyle name="40% - Accent4 6 2 2 3" xfId="43919" xr:uid="{C8AECFD0-0D47-44A1-B7C6-059AA9C97D1C}"/>
    <cellStyle name="40% - Accent4 6 2 2 4" xfId="25321" xr:uid="{1765D0D2-1303-46E1-A010-BC7121D61AA8}"/>
    <cellStyle name="40% - Accent4 6 2 3" xfId="12657" xr:uid="{7F3D9A13-4C39-41FB-AB5E-7220A37371AD}"/>
    <cellStyle name="40% - Accent4 6 2 3 2" xfId="48999" xr:uid="{75649AF2-AFFE-43E5-9BBB-A003D7A88C0B}"/>
    <cellStyle name="40% - Accent4 6 2 3 3" xfId="30403" xr:uid="{D42C2C8E-0E4A-4362-B634-7B16B442E0D6}"/>
    <cellStyle name="40% - Accent4 6 2 4" xfId="39702" xr:uid="{39C8C825-8A09-44BD-B725-C9F6BE65691E}"/>
    <cellStyle name="40% - Accent4 6 2 5" xfId="21104" xr:uid="{EE216C58-9F14-4FB4-9AE6-9587FB0BE4B0}"/>
    <cellStyle name="40% - Accent4 6 3" xfId="5403" xr:uid="{00000000-0005-0000-0000-000035060000}"/>
    <cellStyle name="40% - Accent4 6 3 2" xfId="14729" xr:uid="{1787799C-1CE7-492F-84FA-2F0F17635264}"/>
    <cellStyle name="40% - Accent4 6 3 2 2" xfId="51071" xr:uid="{18384A6D-C42C-452B-B085-EE46A5E04553}"/>
    <cellStyle name="40% - Accent4 6 3 2 3" xfId="32475" xr:uid="{9B918D87-708B-42DB-82E2-FDFB771445B6}"/>
    <cellStyle name="40% - Accent4 6 3 3" xfId="41774" xr:uid="{0A5C2F3B-DF80-42BE-A993-8EE370926C30}"/>
    <cellStyle name="40% - Accent4 6 3 4" xfId="23176" xr:uid="{71EF7ABC-6CB3-4A9C-9646-A85B254794DE}"/>
    <cellStyle name="40% - Accent4 6 4" xfId="10512" xr:uid="{12094AB8-404E-4726-884F-D431CC733B50}"/>
    <cellStyle name="40% - Accent4 6 4 2" xfId="46854" xr:uid="{065F7BF9-6A6A-46C7-99B1-ED7F53A2D21A}"/>
    <cellStyle name="40% - Accent4 6 4 3" xfId="28258" xr:uid="{DAB80716-C9E2-4CB8-85CB-D13225F26CA6}"/>
    <cellStyle name="40% - Accent4 6 5" xfId="37557" xr:uid="{0EFAAF7E-EA9C-4236-AD6F-31724732888E}"/>
    <cellStyle name="40% - Accent4 6 6" xfId="18959" xr:uid="{525D1BB8-32A7-4401-A909-D5389394E810}"/>
    <cellStyle name="40% - Accent4 7" xfId="1509" xr:uid="{00000000-0005-0000-0000-000036060000}"/>
    <cellStyle name="40% - Accent4 7 2" xfId="3739" xr:uid="{00000000-0005-0000-0000-000037060000}"/>
    <cellStyle name="40% - Accent4 7 2 2" xfId="7961" xr:uid="{00000000-0005-0000-0000-000038060000}"/>
    <cellStyle name="40% - Accent4 7 2 2 2" xfId="17287" xr:uid="{29B754F6-56EE-4FEA-9272-F57931FA4C5D}"/>
    <cellStyle name="40% - Accent4 7 2 2 2 2" xfId="53629" xr:uid="{F2281FC8-9E3A-4123-B419-4C771F812009}"/>
    <cellStyle name="40% - Accent4 7 2 2 2 3" xfId="35033" xr:uid="{28485812-42E1-4A12-B8F1-652581557938}"/>
    <cellStyle name="40% - Accent4 7 2 2 3" xfId="44332" xr:uid="{FF70D3F4-6FF0-4970-9AA9-03F0700AD0A1}"/>
    <cellStyle name="40% - Accent4 7 2 2 4" xfId="25734" xr:uid="{03747827-982B-4B90-A9DA-57CB8285BC94}"/>
    <cellStyle name="40% - Accent4 7 2 3" xfId="13070" xr:uid="{BBD783CC-588B-4BEA-977E-A3BEE830DE56}"/>
    <cellStyle name="40% - Accent4 7 2 3 2" xfId="49412" xr:uid="{D5B06023-D830-427B-AA6E-7E084FD42D7B}"/>
    <cellStyle name="40% - Accent4 7 2 3 3" xfId="30816" xr:uid="{2A7933F0-3D3F-4494-B1BC-B28BEBE9E1E1}"/>
    <cellStyle name="40% - Accent4 7 2 4" xfId="40115" xr:uid="{BCEC94B4-CEC5-4E8C-8B74-C98F21135C84}"/>
    <cellStyle name="40% - Accent4 7 2 5" xfId="21517" xr:uid="{EE91DBD5-2CD3-4590-BD40-C9B07699E3CE}"/>
    <cellStyle name="40% - Accent4 7 3" xfId="5816" xr:uid="{00000000-0005-0000-0000-000039060000}"/>
    <cellStyle name="40% - Accent4 7 3 2" xfId="15142" xr:uid="{CE50A7B0-64E7-4183-AF63-2052FD4DDC13}"/>
    <cellStyle name="40% - Accent4 7 3 2 2" xfId="51484" xr:uid="{F8A4991F-1969-4DD5-A8C8-784B4ABC60C8}"/>
    <cellStyle name="40% - Accent4 7 3 2 3" xfId="32888" xr:uid="{45AFC5D0-639F-44D7-A5D8-77BE142DDC8B}"/>
    <cellStyle name="40% - Accent4 7 3 3" xfId="42187" xr:uid="{E1F813DA-E74C-491D-9CC8-A4D77679A35A}"/>
    <cellStyle name="40% - Accent4 7 3 4" xfId="23589" xr:uid="{E99B8A9C-D2F6-4A71-9837-511C7D4F914F}"/>
    <cellStyle name="40% - Accent4 7 4" xfId="10925" xr:uid="{31259783-9691-4D35-8D1B-EAD35AFA111F}"/>
    <cellStyle name="40% - Accent4 7 4 2" xfId="47267" xr:uid="{1A417EF3-7114-4324-974D-181569E7ED06}"/>
    <cellStyle name="40% - Accent4 7 4 3" xfId="28671" xr:uid="{A77C9F7E-BF79-4F0E-AB78-5D2B09519D0B}"/>
    <cellStyle name="40% - Accent4 7 5" xfId="37970" xr:uid="{D7C832DD-55AE-41FB-BA38-F079A2C0EC26}"/>
    <cellStyle name="40% - Accent4 7 6" xfId="19372" xr:uid="{687486DF-CDC3-45B0-A39F-1E21B12F2C9E}"/>
    <cellStyle name="40% - Accent4 8" xfId="1923" xr:uid="{00000000-0005-0000-0000-00003A060000}"/>
    <cellStyle name="40% - Accent4 8 2" xfId="4152" xr:uid="{00000000-0005-0000-0000-00003B060000}"/>
    <cellStyle name="40% - Accent4 8 2 2" xfId="8374" xr:uid="{00000000-0005-0000-0000-00003C060000}"/>
    <cellStyle name="40% - Accent4 8 2 2 2" xfId="17700" xr:uid="{BBEA8E8A-21FC-44A7-8394-D466EDB0EB9D}"/>
    <cellStyle name="40% - Accent4 8 2 2 2 2" xfId="54042" xr:uid="{3D4093ED-4E93-49DB-8802-9FD3BD7AF428}"/>
    <cellStyle name="40% - Accent4 8 2 2 2 3" xfId="35446" xr:uid="{55A64BBF-EB8E-4DAC-B389-DE73DBFDF6E9}"/>
    <cellStyle name="40% - Accent4 8 2 2 3" xfId="44745" xr:uid="{B0A8B286-E936-43D7-BF81-FE3360CF2E5A}"/>
    <cellStyle name="40% - Accent4 8 2 2 4" xfId="26147" xr:uid="{CF08172D-4B82-4EB9-A483-C32EA4767AD6}"/>
    <cellStyle name="40% - Accent4 8 2 3" xfId="13483" xr:uid="{7EED90E1-7050-47F4-8721-1F1B75F72DD6}"/>
    <cellStyle name="40% - Accent4 8 2 3 2" xfId="49825" xr:uid="{9E7E1C4B-82B2-4641-8F13-6B60C6E93321}"/>
    <cellStyle name="40% - Accent4 8 2 3 3" xfId="31229" xr:uid="{E4D4BD1C-4958-4556-8B15-3ECBE8D79099}"/>
    <cellStyle name="40% - Accent4 8 2 4" xfId="40528" xr:uid="{14BD4FC8-303E-49C5-BA6C-6BA0A66C7786}"/>
    <cellStyle name="40% - Accent4 8 2 5" xfId="21930" xr:uid="{D1DFDB72-D66B-425C-8B7F-2517301F61DE}"/>
    <cellStyle name="40% - Accent4 8 3" xfId="6229" xr:uid="{00000000-0005-0000-0000-00003D060000}"/>
    <cellStyle name="40% - Accent4 8 3 2" xfId="15555" xr:uid="{C5373C89-0451-43E5-A035-027947FDE87A}"/>
    <cellStyle name="40% - Accent4 8 3 2 2" xfId="51897" xr:uid="{572F0C43-DF32-4B4F-AD6D-D97EA7DB803A}"/>
    <cellStyle name="40% - Accent4 8 3 2 3" xfId="33301" xr:uid="{A20A44AF-1415-4E55-86CE-A260F011308F}"/>
    <cellStyle name="40% - Accent4 8 3 3" xfId="42600" xr:uid="{E7E0D5CC-84BC-459E-9D8E-DC53ECD6B21A}"/>
    <cellStyle name="40% - Accent4 8 3 4" xfId="24002" xr:uid="{3469A947-BBA2-4EB1-9D75-3EFE55744401}"/>
    <cellStyle name="40% - Accent4 8 4" xfId="11338" xr:uid="{462C1839-877B-429D-9D7A-4EAD2A8561C9}"/>
    <cellStyle name="40% - Accent4 8 4 2" xfId="47680" xr:uid="{905085C4-5FD5-4246-A4BE-98EA048CCA1D}"/>
    <cellStyle name="40% - Accent4 8 4 3" xfId="29084" xr:uid="{2D9C9022-C7C2-4004-A648-F0CE4D5FCC88}"/>
    <cellStyle name="40% - Accent4 8 5" xfId="38383" xr:uid="{19223248-94D9-4C29-9F1D-C84CAD65EB6C}"/>
    <cellStyle name="40% - Accent4 8 6" xfId="19785" xr:uid="{CB73BE08-F8D8-4813-8F9B-395CBD132F6A}"/>
    <cellStyle name="40% - Accent4 9" xfId="2336" xr:uid="{00000000-0005-0000-0000-00003E060000}"/>
    <cellStyle name="40% - Accent4 9 2" xfId="6642" xr:uid="{00000000-0005-0000-0000-00003F060000}"/>
    <cellStyle name="40% - Accent4 9 2 2" xfId="15968" xr:uid="{845CA13B-7144-4E1B-9632-D8796DB4D88F}"/>
    <cellStyle name="40% - Accent4 9 2 2 2" xfId="52310" xr:uid="{67C734D0-E579-4614-B328-C6632FB241B2}"/>
    <cellStyle name="40% - Accent4 9 2 2 3" xfId="33714" xr:uid="{871F11E3-1DCD-4FEC-9E9D-230BDB5F6F26}"/>
    <cellStyle name="40% - Accent4 9 2 3" xfId="43013" xr:uid="{F0B33FBC-8236-4C25-93CF-35F3CEAE2C34}"/>
    <cellStyle name="40% - Accent4 9 2 4" xfId="24415" xr:uid="{1DCF2E96-9A43-470D-8599-D390A77FA929}"/>
    <cellStyle name="40% - Accent4 9 3" xfId="11751" xr:uid="{7B20289A-B107-4770-88C2-3F0AC5C1A5C0}"/>
    <cellStyle name="40% - Accent4 9 3 2" xfId="48093" xr:uid="{866C4297-84D8-4257-8873-5DE20C89C9C3}"/>
    <cellStyle name="40% - Accent4 9 3 3" xfId="29497" xr:uid="{031E7AAD-C16F-4ABC-876E-59F3CB816FE1}"/>
    <cellStyle name="40% - Accent4 9 4" xfId="38796" xr:uid="{EEF9A0D0-3E04-4E61-A248-8CC92572AA79}"/>
    <cellStyle name="40% - Accent4 9 5" xfId="20198" xr:uid="{2CAC3E20-A717-4FF5-8E59-A710A04C2003}"/>
    <cellStyle name="40% - Accent5" xfId="81" builtinId="47" customBuiltin="1"/>
    <cellStyle name="40% - Accent5 10" xfId="4584" xr:uid="{00000000-0005-0000-0000-000041060000}"/>
    <cellStyle name="40% - Accent5 10 2" xfId="13910" xr:uid="{9A371DD7-9653-4A54-856C-4A882CEBC701}"/>
    <cellStyle name="40% - Accent5 10 2 2" xfId="50252" xr:uid="{2EAAB547-C086-4EB2-A124-06439D93E154}"/>
    <cellStyle name="40% - Accent5 10 2 3" xfId="31656" xr:uid="{4D19777E-3A48-4250-B37D-8D2B41F94BDE}"/>
    <cellStyle name="40% - Accent5 10 3" xfId="40955" xr:uid="{33AEA84C-784D-4B02-821F-4E43ED6A93AF}"/>
    <cellStyle name="40% - Accent5 10 4" xfId="22357" xr:uid="{6DD42B67-4D6C-42C4-A350-5D7FDFBE4E69}"/>
    <cellStyle name="40% - Accent5 11" xfId="8767" xr:uid="{7A46ADF8-3420-4D4A-A3FE-8E96F0FA38E7}"/>
    <cellStyle name="40% - Accent5 11 2" xfId="35837" xr:uid="{3C37110C-7449-4CD5-B0AB-58888AE6A1C6}"/>
    <cellStyle name="40% - Accent5 11 2 2" xfId="54432" xr:uid="{D8758D41-AF6C-428C-8228-77048CBFDC42}"/>
    <cellStyle name="40% - Accent5 11 3" xfId="45135" xr:uid="{8B1ACBA5-AF09-4C00-9324-5DEE96063DD9}"/>
    <cellStyle name="40% - Accent5 11 4" xfId="26538" xr:uid="{CBA76432-534F-4F39-987E-1722F3962672}"/>
    <cellStyle name="40% - Accent5 12" xfId="9693" xr:uid="{6A7584CF-B60B-4942-8EB4-64BB4EC1E79F}"/>
    <cellStyle name="40% - Accent5 12 2" xfId="46035" xr:uid="{4D8A2D10-CF87-47D9-BF73-85694A214279}"/>
    <cellStyle name="40% - Accent5 12 3" xfId="27439" xr:uid="{F7E0FD57-026A-462C-8D14-FC8F2DA0C879}"/>
    <cellStyle name="40% - Accent5 13" xfId="36738" xr:uid="{B7A3E07C-4534-45F0-893C-E6FEBA26F1BA}"/>
    <cellStyle name="40% - Accent5 14" xfId="18140" xr:uid="{9B9DAA8B-6172-4166-8C37-6E80A4395EB8}"/>
    <cellStyle name="40% - Accent5 2" xfId="82" xr:uid="{00000000-0005-0000-0000-000042060000}"/>
    <cellStyle name="40% - Accent5 2 10" xfId="8802" xr:uid="{CF9BFF45-99AC-47A3-8B01-051C55FBB24D}"/>
    <cellStyle name="40% - Accent5 2 10 2" xfId="35872" xr:uid="{2B41B0F6-32B2-462C-AF55-30C2E01F65F2}"/>
    <cellStyle name="40% - Accent5 2 10 2 2" xfId="54467" xr:uid="{8C15675A-B562-47A5-8782-5668ED910164}"/>
    <cellStyle name="40% - Accent5 2 10 3" xfId="45170" xr:uid="{9B438B52-9619-4A03-842E-9CC68A656079}"/>
    <cellStyle name="40% - Accent5 2 10 4" xfId="26573" xr:uid="{CF36E917-D1FC-4804-BB42-A0D339000D6A}"/>
    <cellStyle name="40% - Accent5 2 11" xfId="9694" xr:uid="{060D0B6D-D8A4-45C3-9441-0F448FDD8854}"/>
    <cellStyle name="40% - Accent5 2 11 2" xfId="46036" xr:uid="{A6BE8B14-CD5C-4CE2-A34C-A06AE62F91C4}"/>
    <cellStyle name="40% - Accent5 2 11 3" xfId="27440" xr:uid="{9FCFB5A2-CDE1-49E0-89F5-A795BC0E642B}"/>
    <cellStyle name="40% - Accent5 2 12" xfId="36739" xr:uid="{347350F2-3EF3-4D7C-850A-3631341D2615}"/>
    <cellStyle name="40% - Accent5 2 13" xfId="18141" xr:uid="{11BA6EEC-EEF0-465B-8D3B-58DA41B416CF}"/>
    <cellStyle name="40% - Accent5 2 2" xfId="83" xr:uid="{00000000-0005-0000-0000-000043060000}"/>
    <cellStyle name="40% - Accent5 2 2 10" xfId="9695" xr:uid="{D66FCAD5-7B01-465B-A953-2056B8517DF5}"/>
    <cellStyle name="40% - Accent5 2 2 10 2" xfId="46037" xr:uid="{6C138179-6A96-437D-BEC7-C5256E822691}"/>
    <cellStyle name="40% - Accent5 2 2 10 3" xfId="27441" xr:uid="{0DCF227E-7A9C-4F7A-B034-2EE51A9EC730}"/>
    <cellStyle name="40% - Accent5 2 2 11" xfId="36740" xr:uid="{290ABD32-E7B0-42E2-9707-C05A85616146}"/>
    <cellStyle name="40% - Accent5 2 2 12" xfId="18142" xr:uid="{3AF53D3F-B737-4A4D-8DCB-B4D7A361DCC4}"/>
    <cellStyle name="40% - Accent5 2 2 2" xfId="84" xr:uid="{00000000-0005-0000-0000-000044060000}"/>
    <cellStyle name="40% - Accent5 2 2 2 10" xfId="36741" xr:uid="{6D402320-C0BD-45F8-8E2B-9DD3EAC855F4}"/>
    <cellStyle name="40% - Accent5 2 2 2 11" xfId="18143" xr:uid="{6443BAC2-A8BE-438D-B0F1-1D002FE8BCF5}"/>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16472" xr:uid="{7EB0197B-3470-4A8D-B955-F035C5868033}"/>
    <cellStyle name="40% - Accent5 2 2 2 2 2 2 2 2" xfId="52814" xr:uid="{05B13EE4-B699-47FC-AB2B-58E8C162E635}"/>
    <cellStyle name="40% - Accent5 2 2 2 2 2 2 2 3" xfId="34218" xr:uid="{D5861679-6004-4EA7-90E3-0B14401002EF}"/>
    <cellStyle name="40% - Accent5 2 2 2 2 2 2 3" xfId="43517" xr:uid="{9EAC9133-880F-429B-857A-93D631C56184}"/>
    <cellStyle name="40% - Accent5 2 2 2 2 2 2 4" xfId="24919" xr:uid="{DC375687-A042-422D-9320-81B5ED6F295F}"/>
    <cellStyle name="40% - Accent5 2 2 2 2 2 3" xfId="12255" xr:uid="{9B9EFE67-D450-4E34-A4E8-82E5E3B4BA17}"/>
    <cellStyle name="40% - Accent5 2 2 2 2 2 3 2" xfId="48597" xr:uid="{1F7592B9-9C58-4135-A69C-936F6B1472F7}"/>
    <cellStyle name="40% - Accent5 2 2 2 2 2 3 3" xfId="30001" xr:uid="{9162867E-483C-4674-AA8F-D107805F4363}"/>
    <cellStyle name="40% - Accent5 2 2 2 2 2 4" xfId="39300" xr:uid="{E412D399-EC31-4A9B-B334-BB3AE813F3A3}"/>
    <cellStyle name="40% - Accent5 2 2 2 2 2 5" xfId="20702" xr:uid="{E0E418AE-5197-44A6-A09B-B658BE6A2B3B}"/>
    <cellStyle name="40% - Accent5 2 2 2 2 3" xfId="5001" xr:uid="{00000000-0005-0000-0000-000048060000}"/>
    <cellStyle name="40% - Accent5 2 2 2 2 3 2" xfId="14327" xr:uid="{08633D49-19E3-4A94-92CE-89D1C2913652}"/>
    <cellStyle name="40% - Accent5 2 2 2 2 3 2 2" xfId="50669" xr:uid="{9AE499D1-4BC7-4296-A55E-79C4E5F08432}"/>
    <cellStyle name="40% - Accent5 2 2 2 2 3 2 3" xfId="32073" xr:uid="{D3FEC361-4362-43CC-8566-AA8E6C1A2BB5}"/>
    <cellStyle name="40% - Accent5 2 2 2 2 3 3" xfId="41372" xr:uid="{D88C4CCD-34D2-49C6-89DC-F7F3EE9430E0}"/>
    <cellStyle name="40% - Accent5 2 2 2 2 3 4" xfId="22774" xr:uid="{2CA636BF-E63A-4247-AFBC-933CACC9A285}"/>
    <cellStyle name="40% - Accent5 2 2 2 2 4" xfId="9537" xr:uid="{83834145-5D3F-4083-A609-6DB90651C4CE}"/>
    <cellStyle name="40% - Accent5 2 2 2 2 4 2" xfId="36598" xr:uid="{154F0F71-5E52-4227-AFB6-8AEC88C98E85}"/>
    <cellStyle name="40% - Accent5 2 2 2 2 4 2 2" xfId="55192" xr:uid="{5C5C4C23-18F9-47D7-9E66-3A87B0377E9D}"/>
    <cellStyle name="40% - Accent5 2 2 2 2 4 3" xfId="45895" xr:uid="{19F477B0-BB8E-45DA-995B-3E21D569BADC}"/>
    <cellStyle name="40% - Accent5 2 2 2 2 4 4" xfId="27299" xr:uid="{4CB5EA5F-CEF9-46B6-8866-3C1472A1C3A4}"/>
    <cellStyle name="40% - Accent5 2 2 2 2 5" xfId="10110" xr:uid="{5ADC8EB1-3FEC-4F81-BC96-73829DA821B2}"/>
    <cellStyle name="40% - Accent5 2 2 2 2 5 2" xfId="46452" xr:uid="{2E19066A-A395-4CD4-BBB2-F681CCBA4DDE}"/>
    <cellStyle name="40% - Accent5 2 2 2 2 5 3" xfId="27856" xr:uid="{8D714493-375B-4A5B-8B90-8A3ABDAAA5C7}"/>
    <cellStyle name="40% - Accent5 2 2 2 2 6" xfId="37155" xr:uid="{3A9EC588-4B38-4BEE-99A2-F470CCD44661}"/>
    <cellStyle name="40% - Accent5 2 2 2 2 7" xfId="18557" xr:uid="{5BE42DB3-45EB-440F-B54E-A8D7D4F8067B}"/>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16885" xr:uid="{D6035B01-E8F0-4871-A033-12F75D0B74EA}"/>
    <cellStyle name="40% - Accent5 2 2 2 3 2 2 2 2" xfId="53227" xr:uid="{7DEB71F3-A1A2-450C-AC9E-C97D9360B042}"/>
    <cellStyle name="40% - Accent5 2 2 2 3 2 2 2 3" xfId="34631" xr:uid="{1FA80C49-F48E-47A8-93B7-17A14A4ABA7E}"/>
    <cellStyle name="40% - Accent5 2 2 2 3 2 2 3" xfId="43930" xr:uid="{200E4573-1841-445C-A75F-043D6E0205C5}"/>
    <cellStyle name="40% - Accent5 2 2 2 3 2 2 4" xfId="25332" xr:uid="{44BF818A-6C83-4BC7-8955-ED30CB95C910}"/>
    <cellStyle name="40% - Accent5 2 2 2 3 2 3" xfId="12668" xr:uid="{E6C83B10-85F6-4800-BCCC-9D7ACE2ACB57}"/>
    <cellStyle name="40% - Accent5 2 2 2 3 2 3 2" xfId="49010" xr:uid="{08C42A4A-5017-4AD4-AAB3-2CDB786D476C}"/>
    <cellStyle name="40% - Accent5 2 2 2 3 2 3 3" xfId="30414" xr:uid="{E45B39F1-F47E-46BD-9D48-72DF79F5C5CE}"/>
    <cellStyle name="40% - Accent5 2 2 2 3 2 4" xfId="39713" xr:uid="{B113F7CD-BAEC-48DC-AF33-A3FD235E865A}"/>
    <cellStyle name="40% - Accent5 2 2 2 3 2 5" xfId="21115" xr:uid="{C888C31C-0792-4BC8-BE41-8FBBC98A536F}"/>
    <cellStyle name="40% - Accent5 2 2 2 3 3" xfId="5414" xr:uid="{00000000-0005-0000-0000-00004C060000}"/>
    <cellStyle name="40% - Accent5 2 2 2 3 3 2" xfId="14740" xr:uid="{58687C49-B746-4494-8BE2-55982FCF64AF}"/>
    <cellStyle name="40% - Accent5 2 2 2 3 3 2 2" xfId="51082" xr:uid="{7CF096D5-9390-45B5-AD17-2854B8671DF7}"/>
    <cellStyle name="40% - Accent5 2 2 2 3 3 2 3" xfId="32486" xr:uid="{9189F8AB-35F7-4345-A4BE-8F427E0C2A7F}"/>
    <cellStyle name="40% - Accent5 2 2 2 3 3 3" xfId="41785" xr:uid="{9B9B3A27-1B4F-4DEE-9113-565A23DA1927}"/>
    <cellStyle name="40% - Accent5 2 2 2 3 3 4" xfId="23187" xr:uid="{F4A4A8E2-923D-4D2C-8D7D-7B392B12ADB0}"/>
    <cellStyle name="40% - Accent5 2 2 2 3 4" xfId="10523" xr:uid="{972DB107-EBE9-4277-AC64-BD8556C6A4A9}"/>
    <cellStyle name="40% - Accent5 2 2 2 3 4 2" xfId="46865" xr:uid="{D148C64B-8097-4F8D-87C5-21579311315C}"/>
    <cellStyle name="40% - Accent5 2 2 2 3 4 3" xfId="28269" xr:uid="{56A9D4A3-2E4E-47A0-81F2-452EC1EE1FE5}"/>
    <cellStyle name="40% - Accent5 2 2 2 3 5" xfId="37568" xr:uid="{5453D550-712A-42B3-9D78-A83E757511EF}"/>
    <cellStyle name="40% - Accent5 2 2 2 3 6" xfId="18970" xr:uid="{61D789D5-174C-4444-BFA1-843AA9BC374F}"/>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17298" xr:uid="{352C47B8-B350-4043-94C1-3B777DF78390}"/>
    <cellStyle name="40% - Accent5 2 2 2 4 2 2 2 2" xfId="53640" xr:uid="{466A759A-7774-49D7-83F1-FE35FB529116}"/>
    <cellStyle name="40% - Accent5 2 2 2 4 2 2 2 3" xfId="35044" xr:uid="{41A6BF1B-40B3-4317-A07A-ED674FE6B46F}"/>
    <cellStyle name="40% - Accent5 2 2 2 4 2 2 3" xfId="44343" xr:uid="{A8427121-8EB3-4239-8476-C4357D2701CA}"/>
    <cellStyle name="40% - Accent5 2 2 2 4 2 2 4" xfId="25745" xr:uid="{1B4DB991-0AC5-4200-BD14-0B7C1ACDFC6A}"/>
    <cellStyle name="40% - Accent5 2 2 2 4 2 3" xfId="13081" xr:uid="{C6DA0172-ABC6-4CB6-87FA-3FBDCC17AA64}"/>
    <cellStyle name="40% - Accent5 2 2 2 4 2 3 2" xfId="49423" xr:uid="{2E177D4C-814A-4914-8796-ED0EA7611FBA}"/>
    <cellStyle name="40% - Accent5 2 2 2 4 2 3 3" xfId="30827" xr:uid="{3930FF40-13AB-488C-B1F9-592D372C74B1}"/>
    <cellStyle name="40% - Accent5 2 2 2 4 2 4" xfId="40126" xr:uid="{7172FDC8-96F4-4B5E-BA6F-2CFD5724376A}"/>
    <cellStyle name="40% - Accent5 2 2 2 4 2 5" xfId="21528" xr:uid="{AB26880B-5A92-4EA9-86AC-388E6AA97956}"/>
    <cellStyle name="40% - Accent5 2 2 2 4 3" xfId="5827" xr:uid="{00000000-0005-0000-0000-000050060000}"/>
    <cellStyle name="40% - Accent5 2 2 2 4 3 2" xfId="15153" xr:uid="{5C787087-9394-446E-820B-AFD8B510B037}"/>
    <cellStyle name="40% - Accent5 2 2 2 4 3 2 2" xfId="51495" xr:uid="{CF8517BE-F39E-4D4F-804B-17186CAF818D}"/>
    <cellStyle name="40% - Accent5 2 2 2 4 3 2 3" xfId="32899" xr:uid="{EE254B79-CFB2-4317-98BE-454E1401B89A}"/>
    <cellStyle name="40% - Accent5 2 2 2 4 3 3" xfId="42198" xr:uid="{55800B91-1A54-4652-900F-45B0CB09EBE1}"/>
    <cellStyle name="40% - Accent5 2 2 2 4 3 4" xfId="23600" xr:uid="{0A58613D-1952-411E-A5DC-C160E231A52E}"/>
    <cellStyle name="40% - Accent5 2 2 2 4 4" xfId="10936" xr:uid="{3DCF601B-8735-48DC-A6E5-835A7826C630}"/>
    <cellStyle name="40% - Accent5 2 2 2 4 4 2" xfId="47278" xr:uid="{2BA68364-37FA-46E3-A7EE-D6D73FA89598}"/>
    <cellStyle name="40% - Accent5 2 2 2 4 4 3" xfId="28682" xr:uid="{C6114A4E-C806-4E7C-951A-43E9FAEC6C6D}"/>
    <cellStyle name="40% - Accent5 2 2 2 4 5" xfId="37981" xr:uid="{351E7823-FE08-4FDB-A034-1A373F51A74F}"/>
    <cellStyle name="40% - Accent5 2 2 2 4 6" xfId="19383" xr:uid="{17D191A2-44E9-4EB2-A7AA-F9349B57C3C5}"/>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17711" xr:uid="{1C746939-CD9F-4CB6-AA48-3E4ADCC4DB81}"/>
    <cellStyle name="40% - Accent5 2 2 2 5 2 2 2 2" xfId="54053" xr:uid="{4240E6BD-DA9F-41B5-879E-35DF175E38C5}"/>
    <cellStyle name="40% - Accent5 2 2 2 5 2 2 2 3" xfId="35457" xr:uid="{EF2D7D9E-89DA-470C-8AB0-4C0926DF29C8}"/>
    <cellStyle name="40% - Accent5 2 2 2 5 2 2 3" xfId="44756" xr:uid="{AE78DE4B-E972-4C50-9F55-9570D0008CCE}"/>
    <cellStyle name="40% - Accent5 2 2 2 5 2 2 4" xfId="26158" xr:uid="{5B62EC24-B1BE-434E-827A-1D1DAC1AF287}"/>
    <cellStyle name="40% - Accent5 2 2 2 5 2 3" xfId="13494" xr:uid="{A2669BCF-4EDA-4620-A1E9-AC7131054FE6}"/>
    <cellStyle name="40% - Accent5 2 2 2 5 2 3 2" xfId="49836" xr:uid="{2E5F9C37-2B7D-4028-ACE6-17AA0C1A4618}"/>
    <cellStyle name="40% - Accent5 2 2 2 5 2 3 3" xfId="31240" xr:uid="{EB011024-E0B1-490C-9C9C-F0A1488C4573}"/>
    <cellStyle name="40% - Accent5 2 2 2 5 2 4" xfId="40539" xr:uid="{249B6C34-516F-41EA-9BBD-217F064DCB25}"/>
    <cellStyle name="40% - Accent5 2 2 2 5 2 5" xfId="21941" xr:uid="{35FC2BF2-AA6F-4A20-932B-D7C785681769}"/>
    <cellStyle name="40% - Accent5 2 2 2 5 3" xfId="6240" xr:uid="{00000000-0005-0000-0000-000054060000}"/>
    <cellStyle name="40% - Accent5 2 2 2 5 3 2" xfId="15566" xr:uid="{A10EB9A5-A90B-4B84-B977-13525A3A9264}"/>
    <cellStyle name="40% - Accent5 2 2 2 5 3 2 2" xfId="51908" xr:uid="{200AAB0D-C285-4030-8E99-18CC83CE73BE}"/>
    <cellStyle name="40% - Accent5 2 2 2 5 3 2 3" xfId="33312" xr:uid="{562E85AC-1D29-4A0C-9188-0FBE83C17948}"/>
    <cellStyle name="40% - Accent5 2 2 2 5 3 3" xfId="42611" xr:uid="{A60678C8-BBDF-454B-B8EA-14EFED2D7BF8}"/>
    <cellStyle name="40% - Accent5 2 2 2 5 3 4" xfId="24013" xr:uid="{972E3E61-549C-4E78-A221-7BD9DEC48374}"/>
    <cellStyle name="40% - Accent5 2 2 2 5 4" xfId="11349" xr:uid="{3E429E4C-F646-42D8-AC8B-9F598F5AE288}"/>
    <cellStyle name="40% - Accent5 2 2 2 5 4 2" xfId="47691" xr:uid="{49B44B98-1D93-4A8A-92F6-7E0F5880A55C}"/>
    <cellStyle name="40% - Accent5 2 2 2 5 4 3" xfId="29095" xr:uid="{A9CF024A-5D33-4C94-B27E-CF52BD0D435E}"/>
    <cellStyle name="40% - Accent5 2 2 2 5 5" xfId="38394" xr:uid="{18E6B033-FAE3-46CA-B665-47CDABE509E9}"/>
    <cellStyle name="40% - Accent5 2 2 2 5 6" xfId="19796" xr:uid="{E67BFE92-972C-4F77-B91E-799140E59999}"/>
    <cellStyle name="40% - Accent5 2 2 2 6" xfId="2347" xr:uid="{00000000-0005-0000-0000-000055060000}"/>
    <cellStyle name="40% - Accent5 2 2 2 6 2" xfId="6653" xr:uid="{00000000-0005-0000-0000-000056060000}"/>
    <cellStyle name="40% - Accent5 2 2 2 6 2 2" xfId="15979" xr:uid="{0A354158-7496-49A0-BF20-A2EADDD9E2CD}"/>
    <cellStyle name="40% - Accent5 2 2 2 6 2 2 2" xfId="52321" xr:uid="{8C5BEA93-C6A2-41C7-BB92-B919EC43CB61}"/>
    <cellStyle name="40% - Accent5 2 2 2 6 2 2 3" xfId="33725" xr:uid="{B29A608B-3EBB-4F0E-BD3A-568D4DB08F82}"/>
    <cellStyle name="40% - Accent5 2 2 2 6 2 3" xfId="43024" xr:uid="{60527796-75E0-4376-895E-F48FBA4A54B0}"/>
    <cellStyle name="40% - Accent5 2 2 2 6 2 4" xfId="24426" xr:uid="{0518F949-F7B5-4F25-A611-F0E131DBE2E0}"/>
    <cellStyle name="40% - Accent5 2 2 2 6 3" xfId="11762" xr:uid="{7AD2FBFF-C489-49A7-8A13-0440B1E7F928}"/>
    <cellStyle name="40% - Accent5 2 2 2 6 3 2" xfId="48104" xr:uid="{03E22A65-7922-4CB7-9192-1A582F8BA0BD}"/>
    <cellStyle name="40% - Accent5 2 2 2 6 3 3" xfId="29508" xr:uid="{291C776F-1CA2-40DE-9033-670D1EAEEDC5}"/>
    <cellStyle name="40% - Accent5 2 2 2 6 4" xfId="38807" xr:uid="{F40382F6-ACD8-44D8-83AB-8F83C93C3C40}"/>
    <cellStyle name="40% - Accent5 2 2 2 6 5" xfId="20209" xr:uid="{812F340C-36AE-4CDB-A842-DA28D07F381F}"/>
    <cellStyle name="40% - Accent5 2 2 2 7" xfId="4587" xr:uid="{00000000-0005-0000-0000-000057060000}"/>
    <cellStyle name="40% - Accent5 2 2 2 7 2" xfId="13913" xr:uid="{997B23D8-F0BC-486E-B195-D881FB8A0D6A}"/>
    <cellStyle name="40% - Accent5 2 2 2 7 2 2" xfId="50255" xr:uid="{171DB165-944F-4F2C-977F-2CBA76D1DC91}"/>
    <cellStyle name="40% - Accent5 2 2 2 7 2 3" xfId="31659" xr:uid="{F6E209F6-26D7-4495-8E13-49E3091AD8C7}"/>
    <cellStyle name="40% - Accent5 2 2 2 7 3" xfId="40958" xr:uid="{24430BFF-54C8-44FD-AE5E-E396A1940AA4}"/>
    <cellStyle name="40% - Accent5 2 2 2 7 4" xfId="22360" xr:uid="{6FC0CAF5-B4EA-49E5-B654-9F15531B0B20}"/>
    <cellStyle name="40% - Accent5 2 2 2 8" xfId="9112" xr:uid="{65D0CC40-E9D0-4CE3-B684-8DE4A2C7BCD7}"/>
    <cellStyle name="40% - Accent5 2 2 2 8 2" xfId="36182" xr:uid="{29CA31A4-B15B-4B90-A8C2-4F5ED12B9AA1}"/>
    <cellStyle name="40% - Accent5 2 2 2 8 2 2" xfId="54777" xr:uid="{4F8B9328-CD51-49CE-93CC-1F50BE5E5BD1}"/>
    <cellStyle name="40% - Accent5 2 2 2 8 3" xfId="45480" xr:uid="{6A5D353F-834C-4214-960A-19976DBD97AE}"/>
    <cellStyle name="40% - Accent5 2 2 2 8 4" xfId="26883" xr:uid="{1F2C2974-9AFF-4D36-916D-ACAC4B77C9AF}"/>
    <cellStyle name="40% - Accent5 2 2 2 9" xfId="9696" xr:uid="{6FB7BF8A-0463-41BF-A2CF-4150DDD8B603}"/>
    <cellStyle name="40% - Accent5 2 2 2 9 2" xfId="46038" xr:uid="{1FA72B70-3E89-49A3-AA28-C79E0D4065F6}"/>
    <cellStyle name="40% - Accent5 2 2 2 9 3" xfId="27442" xr:uid="{DF58105E-F235-4EE9-A5A6-B8EB5A01732A}"/>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16471" xr:uid="{CFF7ADA1-4F30-476B-A30E-557233C92253}"/>
    <cellStyle name="40% - Accent5 2 2 3 2 2 2 2" xfId="52813" xr:uid="{9EF19E69-23D2-4CB7-8437-998D957A1AFC}"/>
    <cellStyle name="40% - Accent5 2 2 3 2 2 2 3" xfId="34217" xr:uid="{BCC42D05-D195-452E-8577-6CE0C10080D3}"/>
    <cellStyle name="40% - Accent5 2 2 3 2 2 3" xfId="43516" xr:uid="{855BC7CB-ED3C-4913-B377-59AEB3C9ECB7}"/>
    <cellStyle name="40% - Accent5 2 2 3 2 2 4" xfId="24918" xr:uid="{928691F9-5E9D-40EA-ABD5-AEEA67AAF75B}"/>
    <cellStyle name="40% - Accent5 2 2 3 2 3" xfId="12254" xr:uid="{1BF08B79-937A-4C7F-992E-2FE3E2F20D4B}"/>
    <cellStyle name="40% - Accent5 2 2 3 2 3 2" xfId="48596" xr:uid="{FB2FA23B-31A9-4303-B0E9-5079BBEF8EE9}"/>
    <cellStyle name="40% - Accent5 2 2 3 2 3 3" xfId="30000" xr:uid="{5E347D70-8C63-4553-A585-2C40E098E736}"/>
    <cellStyle name="40% - Accent5 2 2 3 2 4" xfId="39299" xr:uid="{D5AD1C0B-1721-43E6-9526-75F09DADEB03}"/>
    <cellStyle name="40% - Accent5 2 2 3 2 5" xfId="20701" xr:uid="{06F571AF-3ED8-4455-ADA3-433E221AFE72}"/>
    <cellStyle name="40% - Accent5 2 2 3 3" xfId="5000" xr:uid="{00000000-0005-0000-0000-00005B060000}"/>
    <cellStyle name="40% - Accent5 2 2 3 3 2" xfId="14326" xr:uid="{2677E9B0-2A38-4F72-BE10-2E2D6C0322F5}"/>
    <cellStyle name="40% - Accent5 2 2 3 3 2 2" xfId="50668" xr:uid="{E8648E40-F28F-4F9E-8A53-0B8D2ADA3276}"/>
    <cellStyle name="40% - Accent5 2 2 3 3 2 3" xfId="32072" xr:uid="{277EF158-589B-4572-890D-DF120AD20A50}"/>
    <cellStyle name="40% - Accent5 2 2 3 3 3" xfId="41371" xr:uid="{A1A089C8-BC8E-4A79-8758-6623B7B680D6}"/>
    <cellStyle name="40% - Accent5 2 2 3 3 4" xfId="22773" xr:uid="{C1853BAD-7AF0-4556-B01D-D1B1DBEEDF58}"/>
    <cellStyle name="40% - Accent5 2 2 3 4" xfId="9330" xr:uid="{75959B30-FD84-42A5-95AE-69048CCC8361}"/>
    <cellStyle name="40% - Accent5 2 2 3 4 2" xfId="36391" xr:uid="{4C1B7337-C483-411E-BBBF-9BBBC81DEE4C}"/>
    <cellStyle name="40% - Accent5 2 2 3 4 2 2" xfId="54985" xr:uid="{13659788-30CA-4617-BF97-1B4A005E4E55}"/>
    <cellStyle name="40% - Accent5 2 2 3 4 3" xfId="45688" xr:uid="{742E394D-9DCD-4D6D-88BD-BFDBDC6C65C8}"/>
    <cellStyle name="40% - Accent5 2 2 3 4 4" xfId="27092" xr:uid="{ACA64687-F97C-4429-A02D-312DD5AB6475}"/>
    <cellStyle name="40% - Accent5 2 2 3 5" xfId="10109" xr:uid="{3BFA3927-DD96-4750-BFFF-C73258DCCC3C}"/>
    <cellStyle name="40% - Accent5 2 2 3 5 2" xfId="46451" xr:uid="{075BADE4-5273-4AFA-B113-2C6293614B66}"/>
    <cellStyle name="40% - Accent5 2 2 3 5 3" xfId="27855" xr:uid="{2E2AECB1-7B50-42E9-8E6C-CCE79DFD2FBC}"/>
    <cellStyle name="40% - Accent5 2 2 3 6" xfId="37154" xr:uid="{D1EDB883-FFE1-4AC7-930F-48B98DCC1A95}"/>
    <cellStyle name="40% - Accent5 2 2 3 7" xfId="18556" xr:uid="{38EFA55F-44D7-4588-B49B-AE15BD818874}"/>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16884" xr:uid="{A3D8A90D-1153-4BA2-9D24-DCCA681F211A}"/>
    <cellStyle name="40% - Accent5 2 2 4 2 2 2 2" xfId="53226" xr:uid="{B374BD56-B7FA-486F-83F9-428AFCBE286D}"/>
    <cellStyle name="40% - Accent5 2 2 4 2 2 2 3" xfId="34630" xr:uid="{FDD419C3-D129-47BC-84B0-19980C89AE13}"/>
    <cellStyle name="40% - Accent5 2 2 4 2 2 3" xfId="43929" xr:uid="{B6114E4E-DF24-45B3-8B7D-55E53D644A43}"/>
    <cellStyle name="40% - Accent5 2 2 4 2 2 4" xfId="25331" xr:uid="{A469E20F-193F-4186-AA6A-7B177B35F292}"/>
    <cellStyle name="40% - Accent5 2 2 4 2 3" xfId="12667" xr:uid="{3B03799F-234D-4464-AD7F-30005D4BA3EA}"/>
    <cellStyle name="40% - Accent5 2 2 4 2 3 2" xfId="49009" xr:uid="{AC7DF143-4BDB-43F1-BEF0-241CECCC575D}"/>
    <cellStyle name="40% - Accent5 2 2 4 2 3 3" xfId="30413" xr:uid="{C54FE638-3AA0-4AAE-9CDB-CD4ADAA23C45}"/>
    <cellStyle name="40% - Accent5 2 2 4 2 4" xfId="39712" xr:uid="{39F4B5AE-620E-4675-A464-6E1C1ED29CD0}"/>
    <cellStyle name="40% - Accent5 2 2 4 2 5" xfId="21114" xr:uid="{BA0F248A-1E82-49B5-91DF-1E26DB630869}"/>
    <cellStyle name="40% - Accent5 2 2 4 3" xfId="5413" xr:uid="{00000000-0005-0000-0000-00005F060000}"/>
    <cellStyle name="40% - Accent5 2 2 4 3 2" xfId="14739" xr:uid="{3961197A-87B7-48B4-9769-68EB6F52B40E}"/>
    <cellStyle name="40% - Accent5 2 2 4 3 2 2" xfId="51081" xr:uid="{CA8D66C5-4EA0-46FB-B801-E41C13E87858}"/>
    <cellStyle name="40% - Accent5 2 2 4 3 2 3" xfId="32485" xr:uid="{166E617A-AD7D-48FA-AAE3-A1C3873308DC}"/>
    <cellStyle name="40% - Accent5 2 2 4 3 3" xfId="41784" xr:uid="{26C7F1EE-871B-4CE4-8783-384743DA0A14}"/>
    <cellStyle name="40% - Accent5 2 2 4 3 4" xfId="23186" xr:uid="{4480573E-BF1B-4AAE-B159-02E335CDC6B3}"/>
    <cellStyle name="40% - Accent5 2 2 4 4" xfId="10522" xr:uid="{C9AF16D6-8F09-48AA-A071-EDA7B99DB6B7}"/>
    <cellStyle name="40% - Accent5 2 2 4 4 2" xfId="46864" xr:uid="{10EF2507-119A-4B09-83BB-DC565B4EB0CE}"/>
    <cellStyle name="40% - Accent5 2 2 4 4 3" xfId="28268" xr:uid="{179E6095-B83E-4CBB-A43C-9646DE63D371}"/>
    <cellStyle name="40% - Accent5 2 2 4 5" xfId="37567" xr:uid="{0E6A6C82-3582-420F-B2F5-907D8C4B12B6}"/>
    <cellStyle name="40% - Accent5 2 2 4 6" xfId="18969" xr:uid="{3CAFB97B-E99C-4DF5-86EB-B1DCC8B12A4C}"/>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17297" xr:uid="{14386BB5-7EDE-4FBF-8FA1-C27F8320DB5C}"/>
    <cellStyle name="40% - Accent5 2 2 5 2 2 2 2" xfId="53639" xr:uid="{D92493FA-BE3D-4E4B-B189-D250DB6449AF}"/>
    <cellStyle name="40% - Accent5 2 2 5 2 2 2 3" xfId="35043" xr:uid="{B4BC4F98-101E-4391-B0DF-79CDB72D79EB}"/>
    <cellStyle name="40% - Accent5 2 2 5 2 2 3" xfId="44342" xr:uid="{9C1907DA-A113-4622-B8C0-CDA87864BA27}"/>
    <cellStyle name="40% - Accent5 2 2 5 2 2 4" xfId="25744" xr:uid="{4D1CE4EF-AD03-4068-AAF5-BE923B4DF7A8}"/>
    <cellStyle name="40% - Accent5 2 2 5 2 3" xfId="13080" xr:uid="{27ACA604-051A-49E4-A014-4D3F13BBBC25}"/>
    <cellStyle name="40% - Accent5 2 2 5 2 3 2" xfId="49422" xr:uid="{D4417E20-7572-43D7-8404-1AB83FFBDA52}"/>
    <cellStyle name="40% - Accent5 2 2 5 2 3 3" xfId="30826" xr:uid="{BF033E4F-5A44-4698-B199-31E135A680DE}"/>
    <cellStyle name="40% - Accent5 2 2 5 2 4" xfId="40125" xr:uid="{F77CBFE7-78A3-4EC4-B772-F056BF084A2B}"/>
    <cellStyle name="40% - Accent5 2 2 5 2 5" xfId="21527" xr:uid="{AAC9ECBD-EBA2-49E4-AD08-5F49D5095422}"/>
    <cellStyle name="40% - Accent5 2 2 5 3" xfId="5826" xr:uid="{00000000-0005-0000-0000-000063060000}"/>
    <cellStyle name="40% - Accent5 2 2 5 3 2" xfId="15152" xr:uid="{E9194CCC-9D10-4052-8AE8-368CF9BCA40D}"/>
    <cellStyle name="40% - Accent5 2 2 5 3 2 2" xfId="51494" xr:uid="{814664D6-382C-4A0A-9F8E-723F2ADE25FF}"/>
    <cellStyle name="40% - Accent5 2 2 5 3 2 3" xfId="32898" xr:uid="{8A25B1F9-8A10-45AD-9E8F-08AE8424FE24}"/>
    <cellStyle name="40% - Accent5 2 2 5 3 3" xfId="42197" xr:uid="{CA8D724F-E3D1-4C6E-9036-10FD2D6F4DD6}"/>
    <cellStyle name="40% - Accent5 2 2 5 3 4" xfId="23599" xr:uid="{78B72AAD-2877-4E50-9039-BA7D6F9DDF48}"/>
    <cellStyle name="40% - Accent5 2 2 5 4" xfId="10935" xr:uid="{C594894D-338B-4AE7-B199-6D396D49D659}"/>
    <cellStyle name="40% - Accent5 2 2 5 4 2" xfId="47277" xr:uid="{D662266B-B874-42EC-84B3-A58D84EEB930}"/>
    <cellStyle name="40% - Accent5 2 2 5 4 3" xfId="28681" xr:uid="{3305B257-278D-4BB6-9820-D78CA4C7157F}"/>
    <cellStyle name="40% - Accent5 2 2 5 5" xfId="37980" xr:uid="{E0DD8803-D792-4248-818F-4855370A76AF}"/>
    <cellStyle name="40% - Accent5 2 2 5 6" xfId="19382" xr:uid="{1FFAEC5B-A6CC-43E3-9F3F-5A47122A330B}"/>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17710" xr:uid="{6788DF55-9274-4F21-9F32-A692C8FB7F98}"/>
    <cellStyle name="40% - Accent5 2 2 6 2 2 2 2" xfId="54052" xr:uid="{355225D9-724A-45D6-9926-FF758484C0BC}"/>
    <cellStyle name="40% - Accent5 2 2 6 2 2 2 3" xfId="35456" xr:uid="{E8C4219F-DE26-4F22-B8E6-026527A67427}"/>
    <cellStyle name="40% - Accent5 2 2 6 2 2 3" xfId="44755" xr:uid="{52288ABF-3AA3-4D76-A4DF-26739F8B3A8C}"/>
    <cellStyle name="40% - Accent5 2 2 6 2 2 4" xfId="26157" xr:uid="{E1FD51C9-5F12-401C-BC0A-0401C4294A97}"/>
    <cellStyle name="40% - Accent5 2 2 6 2 3" xfId="13493" xr:uid="{3EF63E9F-E0F3-46CE-B0FE-01F21EE15F5C}"/>
    <cellStyle name="40% - Accent5 2 2 6 2 3 2" xfId="49835" xr:uid="{896BF23B-2E3D-45E7-9F77-409D914224A9}"/>
    <cellStyle name="40% - Accent5 2 2 6 2 3 3" xfId="31239" xr:uid="{43E55E67-C1F5-4C7A-8D33-EB660426BA35}"/>
    <cellStyle name="40% - Accent5 2 2 6 2 4" xfId="40538" xr:uid="{CF95487A-249D-4297-A530-F92F9653EE8F}"/>
    <cellStyle name="40% - Accent5 2 2 6 2 5" xfId="21940" xr:uid="{D7EBDDBD-DC37-40AF-AD97-2A53A1D03CCB}"/>
    <cellStyle name="40% - Accent5 2 2 6 3" xfId="6239" xr:uid="{00000000-0005-0000-0000-000067060000}"/>
    <cellStyle name="40% - Accent5 2 2 6 3 2" xfId="15565" xr:uid="{C8C57083-358A-481E-B13D-6292F113E3F8}"/>
    <cellStyle name="40% - Accent5 2 2 6 3 2 2" xfId="51907" xr:uid="{D286402F-B0E3-4FC2-8CDA-4D4E2E74C42A}"/>
    <cellStyle name="40% - Accent5 2 2 6 3 2 3" xfId="33311" xr:uid="{056F762F-670D-49EC-A7FA-516E7216F986}"/>
    <cellStyle name="40% - Accent5 2 2 6 3 3" xfId="42610" xr:uid="{66A391B9-30A7-4CA4-ACEC-C914B2244FBC}"/>
    <cellStyle name="40% - Accent5 2 2 6 3 4" xfId="24012" xr:uid="{FDF0D6A4-0EBE-413F-9B6B-F3D2157B4BC8}"/>
    <cellStyle name="40% - Accent5 2 2 6 4" xfId="11348" xr:uid="{96064098-AFF3-47AE-B804-D826C9489D39}"/>
    <cellStyle name="40% - Accent5 2 2 6 4 2" xfId="47690" xr:uid="{AB3512DB-4338-4A92-8E5C-5417167B78A0}"/>
    <cellStyle name="40% - Accent5 2 2 6 4 3" xfId="29094" xr:uid="{B4127CE6-A0BF-4F77-852F-718B9CD6D466}"/>
    <cellStyle name="40% - Accent5 2 2 6 5" xfId="38393" xr:uid="{A95DAAAC-B5F7-4396-B8A8-0285C1F15C7B}"/>
    <cellStyle name="40% - Accent5 2 2 6 6" xfId="19795" xr:uid="{A00E39E0-5C02-48FF-B8D1-F9AD7A3316BA}"/>
    <cellStyle name="40% - Accent5 2 2 7" xfId="2346" xr:uid="{00000000-0005-0000-0000-000068060000}"/>
    <cellStyle name="40% - Accent5 2 2 7 2" xfId="6652" xr:uid="{00000000-0005-0000-0000-000069060000}"/>
    <cellStyle name="40% - Accent5 2 2 7 2 2" xfId="15978" xr:uid="{7FAE1181-67F9-43C5-9114-4AB929664961}"/>
    <cellStyle name="40% - Accent5 2 2 7 2 2 2" xfId="52320" xr:uid="{15E21D2C-1B92-4D67-B678-8E06D2A8E4D6}"/>
    <cellStyle name="40% - Accent5 2 2 7 2 2 3" xfId="33724" xr:uid="{FC835BBC-0CE2-4D49-AD6E-2EA47EF68B60}"/>
    <cellStyle name="40% - Accent5 2 2 7 2 3" xfId="43023" xr:uid="{845A15A0-C888-4FD3-929D-4F8D1090B5C9}"/>
    <cellStyle name="40% - Accent5 2 2 7 2 4" xfId="24425" xr:uid="{497C237F-DF1C-479E-B8C1-F3CE245812BE}"/>
    <cellStyle name="40% - Accent5 2 2 7 3" xfId="11761" xr:uid="{8C78D668-1B85-4D72-8A76-2474615D37E2}"/>
    <cellStyle name="40% - Accent5 2 2 7 3 2" xfId="48103" xr:uid="{1439D0B8-E86A-4711-89A2-31602CAB16D4}"/>
    <cellStyle name="40% - Accent5 2 2 7 3 3" xfId="29507" xr:uid="{21CB9E35-EDE6-4510-92E7-730E975D6C4E}"/>
    <cellStyle name="40% - Accent5 2 2 7 4" xfId="38806" xr:uid="{313A1021-D965-4271-AD13-4B49F80EAC32}"/>
    <cellStyle name="40% - Accent5 2 2 7 5" xfId="20208" xr:uid="{6947AE63-213C-4C07-AACA-8F6EA65E9D96}"/>
    <cellStyle name="40% - Accent5 2 2 8" xfId="4586" xr:uid="{00000000-0005-0000-0000-00006A060000}"/>
    <cellStyle name="40% - Accent5 2 2 8 2" xfId="13912" xr:uid="{93CDCDC2-C44A-441E-9207-1D911E0C77F9}"/>
    <cellStyle name="40% - Accent5 2 2 8 2 2" xfId="50254" xr:uid="{2DAC6206-38E7-4852-BD25-29E8E2120E1B}"/>
    <cellStyle name="40% - Accent5 2 2 8 2 3" xfId="31658" xr:uid="{B40C8FE9-FC1D-4997-91B5-1468770F6432}"/>
    <cellStyle name="40% - Accent5 2 2 8 3" xfId="40957" xr:uid="{64C51F31-CBE3-4728-B58C-73503DDF0A15}"/>
    <cellStyle name="40% - Accent5 2 2 8 4" xfId="22359" xr:uid="{A9F1DD48-0878-4716-9534-6896D6E609B1}"/>
    <cellStyle name="40% - Accent5 2 2 9" xfId="8905" xr:uid="{3B48B2AE-2C2B-47FB-A8F4-43FECCDBCFEF}"/>
    <cellStyle name="40% - Accent5 2 2 9 2" xfId="35975" xr:uid="{DD1A1C9E-B266-4D52-B01A-40F408A615E3}"/>
    <cellStyle name="40% - Accent5 2 2 9 2 2" xfId="54570" xr:uid="{C684253D-EA29-4E43-8150-1F248CD612AD}"/>
    <cellStyle name="40% - Accent5 2 2 9 3" xfId="45273" xr:uid="{8A8F6AA7-36A0-4CB7-B5C7-32CBAED9CAFE}"/>
    <cellStyle name="40% - Accent5 2 2 9 4" xfId="26676" xr:uid="{1F3847DA-B1D5-4A82-A97C-15F8497BE5AF}"/>
    <cellStyle name="40% - Accent5 2 3" xfId="85" xr:uid="{00000000-0005-0000-0000-00006B060000}"/>
    <cellStyle name="40% - Accent5 2 3 10" xfId="36742" xr:uid="{E0D25BBE-AB69-4C7B-89AA-A0B956F1B55B}"/>
    <cellStyle name="40% - Accent5 2 3 11" xfId="18144" xr:uid="{F19AED2E-0013-4D7A-A3C7-B9604DD1A0C2}"/>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16473" xr:uid="{541FB169-F324-41BB-A397-16B321544924}"/>
    <cellStyle name="40% - Accent5 2 3 2 2 2 2 2" xfId="52815" xr:uid="{322D03C0-B1FD-4243-AB4E-1B6534C0642C}"/>
    <cellStyle name="40% - Accent5 2 3 2 2 2 2 3" xfId="34219" xr:uid="{B695AF46-E425-4B82-81CB-85DCE3E73171}"/>
    <cellStyle name="40% - Accent5 2 3 2 2 2 3" xfId="43518" xr:uid="{3973F6A8-9C3E-40DE-976F-00520332F18B}"/>
    <cellStyle name="40% - Accent5 2 3 2 2 2 4" xfId="24920" xr:uid="{02075092-9584-49C9-ABBA-D485B490BC54}"/>
    <cellStyle name="40% - Accent5 2 3 2 2 3" xfId="12256" xr:uid="{920BCBC6-1D9E-48E0-81CC-E1256600EEAA}"/>
    <cellStyle name="40% - Accent5 2 3 2 2 3 2" xfId="48598" xr:uid="{2A06BD42-A0D9-4CF8-8DBC-4B3F79F51C46}"/>
    <cellStyle name="40% - Accent5 2 3 2 2 3 3" xfId="30002" xr:uid="{D069FBA7-E031-4033-AC85-D829DC968992}"/>
    <cellStyle name="40% - Accent5 2 3 2 2 4" xfId="39301" xr:uid="{B9824A07-06E6-4CA4-BCCE-225479403554}"/>
    <cellStyle name="40% - Accent5 2 3 2 2 5" xfId="20703" xr:uid="{7EA508F4-0795-4EA3-8B69-2925C25A21F5}"/>
    <cellStyle name="40% - Accent5 2 3 2 3" xfId="5002" xr:uid="{00000000-0005-0000-0000-00006F060000}"/>
    <cellStyle name="40% - Accent5 2 3 2 3 2" xfId="14328" xr:uid="{82314C5E-38DC-44DB-9A0A-ABD25E3845E8}"/>
    <cellStyle name="40% - Accent5 2 3 2 3 2 2" xfId="50670" xr:uid="{4F97A440-2C7B-491A-8F30-578DE2784276}"/>
    <cellStyle name="40% - Accent5 2 3 2 3 2 3" xfId="32074" xr:uid="{1744F885-A012-4A8D-A076-4FA5E0279376}"/>
    <cellStyle name="40% - Accent5 2 3 2 3 3" xfId="41373" xr:uid="{A6AA9676-AD22-43A4-9F13-E61B3468C049}"/>
    <cellStyle name="40% - Accent5 2 3 2 3 4" xfId="22775" xr:uid="{F55F3D90-6F1D-4307-9E54-BAAE34E47200}"/>
    <cellStyle name="40% - Accent5 2 3 2 4" xfId="9434" xr:uid="{512EAA64-F150-4B15-8534-EB34D6D41408}"/>
    <cellStyle name="40% - Accent5 2 3 2 4 2" xfId="36495" xr:uid="{AEDF3978-19E7-4C2F-8680-1FF648BD2D56}"/>
    <cellStyle name="40% - Accent5 2 3 2 4 2 2" xfId="55089" xr:uid="{040C5305-B739-4F9A-98F6-BFE371F39825}"/>
    <cellStyle name="40% - Accent5 2 3 2 4 3" xfId="45792" xr:uid="{AC5F65E3-4956-41D8-82B7-75D6CB942AAB}"/>
    <cellStyle name="40% - Accent5 2 3 2 4 4" xfId="27196" xr:uid="{78470813-4EC2-442E-9B2D-486D4DB85032}"/>
    <cellStyle name="40% - Accent5 2 3 2 5" xfId="10111" xr:uid="{42B0CCD0-EA5E-425B-B3FB-8B5A23A565F6}"/>
    <cellStyle name="40% - Accent5 2 3 2 5 2" xfId="46453" xr:uid="{75D6D471-6E06-4B6F-B935-3BB18DE10B8A}"/>
    <cellStyle name="40% - Accent5 2 3 2 5 3" xfId="27857" xr:uid="{CC579DDA-F973-40CA-9462-0B42E53B1EF6}"/>
    <cellStyle name="40% - Accent5 2 3 2 6" xfId="37156" xr:uid="{351F5BD0-7346-43ED-A7A4-FB8460DDAA78}"/>
    <cellStyle name="40% - Accent5 2 3 2 7" xfId="18558" xr:uid="{C12C6569-7022-4AEB-A359-12D189868D7F}"/>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16886" xr:uid="{7457F70A-8702-40B6-8DDF-C6F40F42A3BC}"/>
    <cellStyle name="40% - Accent5 2 3 3 2 2 2 2" xfId="53228" xr:uid="{F272A6A8-3127-4DB1-B138-E9D3686EFFE8}"/>
    <cellStyle name="40% - Accent5 2 3 3 2 2 2 3" xfId="34632" xr:uid="{F873EA06-784A-45D5-8304-A8EF123E49D7}"/>
    <cellStyle name="40% - Accent5 2 3 3 2 2 3" xfId="43931" xr:uid="{A853E38D-D60B-4857-A610-FED7729682D1}"/>
    <cellStyle name="40% - Accent5 2 3 3 2 2 4" xfId="25333" xr:uid="{2C5CC335-DDB9-4E89-BA9E-D6A13024A404}"/>
    <cellStyle name="40% - Accent5 2 3 3 2 3" xfId="12669" xr:uid="{8BC2C0E2-4FB5-40B7-BB7A-6A35B50E5DEA}"/>
    <cellStyle name="40% - Accent5 2 3 3 2 3 2" xfId="49011" xr:uid="{15F02BD7-A502-4654-9624-773BF5E937F2}"/>
    <cellStyle name="40% - Accent5 2 3 3 2 3 3" xfId="30415" xr:uid="{D6F1DE13-E66C-46BE-9471-4C0D4C7AFD29}"/>
    <cellStyle name="40% - Accent5 2 3 3 2 4" xfId="39714" xr:uid="{C9B6208F-AA0F-42FF-9636-CBFBCBCA8F41}"/>
    <cellStyle name="40% - Accent5 2 3 3 2 5" xfId="21116" xr:uid="{80DDCF05-D544-4552-8207-17F729C27896}"/>
    <cellStyle name="40% - Accent5 2 3 3 3" xfId="5415" xr:uid="{00000000-0005-0000-0000-000073060000}"/>
    <cellStyle name="40% - Accent5 2 3 3 3 2" xfId="14741" xr:uid="{FA34DCEE-061A-4E0F-92E4-F76962202C8E}"/>
    <cellStyle name="40% - Accent5 2 3 3 3 2 2" xfId="51083" xr:uid="{3DFC572B-5D32-4A08-8093-B4D9000858F5}"/>
    <cellStyle name="40% - Accent5 2 3 3 3 2 3" xfId="32487" xr:uid="{0307BC93-CE63-4CE5-947E-2C476483D820}"/>
    <cellStyle name="40% - Accent5 2 3 3 3 3" xfId="41786" xr:uid="{837E80E6-BBD4-4FE5-A8AA-70262C5CB7FC}"/>
    <cellStyle name="40% - Accent5 2 3 3 3 4" xfId="23188" xr:uid="{BB33CEBD-34D2-4169-BB68-5488143082D4}"/>
    <cellStyle name="40% - Accent5 2 3 3 4" xfId="10524" xr:uid="{2B9E971D-7DD0-45B9-B868-51887A4A367B}"/>
    <cellStyle name="40% - Accent5 2 3 3 4 2" xfId="46866" xr:uid="{302004CB-2517-477A-B17C-54B3BF5870DC}"/>
    <cellStyle name="40% - Accent5 2 3 3 4 3" xfId="28270" xr:uid="{E939369F-BFB1-42CA-B4F0-0D839A7277A8}"/>
    <cellStyle name="40% - Accent5 2 3 3 5" xfId="37569" xr:uid="{EA7CAAD5-9138-401E-96BD-E73C722585AA}"/>
    <cellStyle name="40% - Accent5 2 3 3 6" xfId="18971" xr:uid="{DBBA476C-9A5F-401E-851C-CD8C65A9F36A}"/>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17299" xr:uid="{3311336E-93F6-4320-8670-9CF0CECD4F43}"/>
    <cellStyle name="40% - Accent5 2 3 4 2 2 2 2" xfId="53641" xr:uid="{7E50C848-791D-4572-A2A6-EF4403D2224B}"/>
    <cellStyle name="40% - Accent5 2 3 4 2 2 2 3" xfId="35045" xr:uid="{B6EA943C-FC89-4AD9-BF94-08FB7257946B}"/>
    <cellStyle name="40% - Accent5 2 3 4 2 2 3" xfId="44344" xr:uid="{A34F01E5-D731-4961-A591-BF6FE71AA88C}"/>
    <cellStyle name="40% - Accent5 2 3 4 2 2 4" xfId="25746" xr:uid="{C68872AB-8989-44A1-8233-33F69A0727EE}"/>
    <cellStyle name="40% - Accent5 2 3 4 2 3" xfId="13082" xr:uid="{A9F8E156-461D-4D89-B94A-EDB1E73335A6}"/>
    <cellStyle name="40% - Accent5 2 3 4 2 3 2" xfId="49424" xr:uid="{F6F55EAA-3C9D-473B-A78D-0E0ABFC62CD2}"/>
    <cellStyle name="40% - Accent5 2 3 4 2 3 3" xfId="30828" xr:uid="{00B69A3D-229F-4882-8CE4-B6776708CD50}"/>
    <cellStyle name="40% - Accent5 2 3 4 2 4" xfId="40127" xr:uid="{B84A5920-6999-499E-99AA-38A298332EF4}"/>
    <cellStyle name="40% - Accent5 2 3 4 2 5" xfId="21529" xr:uid="{9B08402C-92E8-490D-9D57-DD5BBCDF9504}"/>
    <cellStyle name="40% - Accent5 2 3 4 3" xfId="5828" xr:uid="{00000000-0005-0000-0000-000077060000}"/>
    <cellStyle name="40% - Accent5 2 3 4 3 2" xfId="15154" xr:uid="{F9836DFA-2155-4726-849D-DB9A4404CE20}"/>
    <cellStyle name="40% - Accent5 2 3 4 3 2 2" xfId="51496" xr:uid="{38A37787-A567-4DD0-A5BC-B9E435FA9AA2}"/>
    <cellStyle name="40% - Accent5 2 3 4 3 2 3" xfId="32900" xr:uid="{385227FB-5AC6-457A-8236-5F39E456F688}"/>
    <cellStyle name="40% - Accent5 2 3 4 3 3" xfId="42199" xr:uid="{B22773FC-B560-4D18-A73E-285ED6B40103}"/>
    <cellStyle name="40% - Accent5 2 3 4 3 4" xfId="23601" xr:uid="{22486119-7805-4BEE-A7B2-1349B9B3B67E}"/>
    <cellStyle name="40% - Accent5 2 3 4 4" xfId="10937" xr:uid="{D20FB464-79BF-49DC-9B10-73F14E8A23A9}"/>
    <cellStyle name="40% - Accent5 2 3 4 4 2" xfId="47279" xr:uid="{42D8ACD4-FF5A-4F32-8092-3EC3C5946643}"/>
    <cellStyle name="40% - Accent5 2 3 4 4 3" xfId="28683" xr:uid="{4E88C9B4-C70F-4541-B517-38D304806784}"/>
    <cellStyle name="40% - Accent5 2 3 4 5" xfId="37982" xr:uid="{666BAD11-D804-428F-8659-200DA19B8A8F}"/>
    <cellStyle name="40% - Accent5 2 3 4 6" xfId="19384" xr:uid="{8C54119B-9E70-4064-B039-736FCFE3D5B8}"/>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17712" xr:uid="{67A33F27-5ECE-462C-A6D3-74A5CD15B219}"/>
    <cellStyle name="40% - Accent5 2 3 5 2 2 2 2" xfId="54054" xr:uid="{6F2CEBA3-C09D-423F-B824-D4EFD91AA2BE}"/>
    <cellStyle name="40% - Accent5 2 3 5 2 2 2 3" xfId="35458" xr:uid="{0EFE4672-9B4C-4E30-8DFA-1A7548286CF0}"/>
    <cellStyle name="40% - Accent5 2 3 5 2 2 3" xfId="44757" xr:uid="{3D1B9AF9-67DA-4452-8450-2B5D5353B92E}"/>
    <cellStyle name="40% - Accent5 2 3 5 2 2 4" xfId="26159" xr:uid="{F327D859-B5B0-46A1-8617-203844709E29}"/>
    <cellStyle name="40% - Accent5 2 3 5 2 3" xfId="13495" xr:uid="{D5312DC0-139C-45B8-94B3-D28FADB59976}"/>
    <cellStyle name="40% - Accent5 2 3 5 2 3 2" xfId="49837" xr:uid="{CCB8780D-44F7-433E-83F9-095FE2B0D842}"/>
    <cellStyle name="40% - Accent5 2 3 5 2 3 3" xfId="31241" xr:uid="{7F1B7EAA-BC71-462B-B8CC-08E7E88A70C5}"/>
    <cellStyle name="40% - Accent5 2 3 5 2 4" xfId="40540" xr:uid="{DBBDC465-3B42-4DFA-B331-8254FF3F2179}"/>
    <cellStyle name="40% - Accent5 2 3 5 2 5" xfId="21942" xr:uid="{FFA693ED-8C9C-4B5E-954F-773ED6D2DAEE}"/>
    <cellStyle name="40% - Accent5 2 3 5 3" xfId="6241" xr:uid="{00000000-0005-0000-0000-00007B060000}"/>
    <cellStyle name="40% - Accent5 2 3 5 3 2" xfId="15567" xr:uid="{8776AD4E-FC6B-48FA-A592-6D279D971091}"/>
    <cellStyle name="40% - Accent5 2 3 5 3 2 2" xfId="51909" xr:uid="{D87A8220-310D-4548-AC3D-481D91A717A2}"/>
    <cellStyle name="40% - Accent5 2 3 5 3 2 3" xfId="33313" xr:uid="{F98B98A0-7ACD-4DDA-A0F6-FA6CD2AA13FE}"/>
    <cellStyle name="40% - Accent5 2 3 5 3 3" xfId="42612" xr:uid="{14BD799F-5544-4642-AFD9-4EF3C20A2424}"/>
    <cellStyle name="40% - Accent5 2 3 5 3 4" xfId="24014" xr:uid="{BFEC1C13-BB6E-4E7A-B6CA-BA6928616AE9}"/>
    <cellStyle name="40% - Accent5 2 3 5 4" xfId="11350" xr:uid="{8C6906C2-5AC4-430A-A1B1-EE01065703E4}"/>
    <cellStyle name="40% - Accent5 2 3 5 4 2" xfId="47692" xr:uid="{25F206D3-0072-414E-AA83-F0571F76AE3A}"/>
    <cellStyle name="40% - Accent5 2 3 5 4 3" xfId="29096" xr:uid="{BD900919-089B-4236-99AA-9C29E15CDB55}"/>
    <cellStyle name="40% - Accent5 2 3 5 5" xfId="38395" xr:uid="{245AFC83-0CB2-4EDE-A2A9-04BAE9942F63}"/>
    <cellStyle name="40% - Accent5 2 3 5 6" xfId="19797" xr:uid="{7E29EB82-0997-43DA-89AB-8CBDC7D37AFD}"/>
    <cellStyle name="40% - Accent5 2 3 6" xfId="2348" xr:uid="{00000000-0005-0000-0000-00007C060000}"/>
    <cellStyle name="40% - Accent5 2 3 6 2" xfId="6654" xr:uid="{00000000-0005-0000-0000-00007D060000}"/>
    <cellStyle name="40% - Accent5 2 3 6 2 2" xfId="15980" xr:uid="{D7D66FD0-8CA6-4A8D-AEC5-FF439A904EB9}"/>
    <cellStyle name="40% - Accent5 2 3 6 2 2 2" xfId="52322" xr:uid="{9ED1CC38-D5D5-4770-A658-082669080B17}"/>
    <cellStyle name="40% - Accent5 2 3 6 2 2 3" xfId="33726" xr:uid="{B03303F8-25EC-4B7F-A384-41F688B63FFB}"/>
    <cellStyle name="40% - Accent5 2 3 6 2 3" xfId="43025" xr:uid="{7B732FFA-669C-4E13-993F-19ED4864761B}"/>
    <cellStyle name="40% - Accent5 2 3 6 2 4" xfId="24427" xr:uid="{F03DA023-83B9-437C-878F-565DD630630C}"/>
    <cellStyle name="40% - Accent5 2 3 6 3" xfId="11763" xr:uid="{7239CBE7-7A50-463A-A258-EE75BC36D9E7}"/>
    <cellStyle name="40% - Accent5 2 3 6 3 2" xfId="48105" xr:uid="{3C930FA1-8351-4D76-A206-EB93895F6D9F}"/>
    <cellStyle name="40% - Accent5 2 3 6 3 3" xfId="29509" xr:uid="{E3148E08-336D-4797-993E-8FE8008310AB}"/>
    <cellStyle name="40% - Accent5 2 3 6 4" xfId="38808" xr:uid="{2F68A43A-62D3-4A2B-8B37-EF79BD966F82}"/>
    <cellStyle name="40% - Accent5 2 3 6 5" xfId="20210" xr:uid="{1005D734-B654-4C76-A354-72CDF99BDEB2}"/>
    <cellStyle name="40% - Accent5 2 3 7" xfId="4588" xr:uid="{00000000-0005-0000-0000-00007E060000}"/>
    <cellStyle name="40% - Accent5 2 3 7 2" xfId="13914" xr:uid="{56961A72-D6DB-4187-AD41-5816DA596A1B}"/>
    <cellStyle name="40% - Accent5 2 3 7 2 2" xfId="50256" xr:uid="{0AE9F5CF-6805-47BD-8E36-A520C65C171E}"/>
    <cellStyle name="40% - Accent5 2 3 7 2 3" xfId="31660" xr:uid="{F94D5C75-CDA5-4121-84C7-529BC886CA60}"/>
    <cellStyle name="40% - Accent5 2 3 7 3" xfId="40959" xr:uid="{E950645D-2BDA-4D79-BFC7-85CDC65D7B07}"/>
    <cellStyle name="40% - Accent5 2 3 7 4" xfId="22361" xr:uid="{B58AEE78-88EA-48DF-BE91-76032EA171F0}"/>
    <cellStyle name="40% - Accent5 2 3 8" xfId="9009" xr:uid="{DE8B6E41-761F-4ED0-BA8A-00A6A898A2FC}"/>
    <cellStyle name="40% - Accent5 2 3 8 2" xfId="36079" xr:uid="{54E1A557-48D1-436D-A4A1-E5A505C5B1F4}"/>
    <cellStyle name="40% - Accent5 2 3 8 2 2" xfId="54674" xr:uid="{766F3634-8361-4335-B0E5-2EE7C89AA851}"/>
    <cellStyle name="40% - Accent5 2 3 8 3" xfId="45377" xr:uid="{145C863B-0B7F-47C5-956F-227389D4E2F8}"/>
    <cellStyle name="40% - Accent5 2 3 8 4" xfId="26780" xr:uid="{E40090DF-C79D-4F69-AF42-F3E8F074DB9F}"/>
    <cellStyle name="40% - Accent5 2 3 9" xfId="9697" xr:uid="{F64225FE-58ED-4F04-B995-83C4265A06A5}"/>
    <cellStyle name="40% - Accent5 2 3 9 2" xfId="46039" xr:uid="{18D4AA41-123C-4869-99F7-07A12BB7E0ED}"/>
    <cellStyle name="40% - Accent5 2 3 9 3" xfId="27443" xr:uid="{C7EF72B7-8A7C-4380-875D-2252AED77BF3}"/>
    <cellStyle name="40% - Accent5 2 4" xfId="651" xr:uid="{00000000-0005-0000-0000-00007F060000}"/>
    <cellStyle name="40% - Accent5 2 4 2" xfId="2922" xr:uid="{00000000-0005-0000-0000-000080060000}"/>
    <cellStyle name="40% - Accent5 2 4 2 2" xfId="7144" xr:uid="{00000000-0005-0000-0000-000081060000}"/>
    <cellStyle name="40% - Accent5 2 4 2 2 2" xfId="16470" xr:uid="{B2067B53-F9C4-43A7-AB02-F3F8E3E371C1}"/>
    <cellStyle name="40% - Accent5 2 4 2 2 2 2" xfId="52812" xr:uid="{74458F6E-6A64-4AA5-B4AD-EFC911ADBE83}"/>
    <cellStyle name="40% - Accent5 2 4 2 2 2 3" xfId="34216" xr:uid="{B3402D97-7B2B-4643-BE4B-C1E8D6551A57}"/>
    <cellStyle name="40% - Accent5 2 4 2 2 3" xfId="43515" xr:uid="{B087CBE1-8BB8-45A4-A2E1-52B7B8F796EB}"/>
    <cellStyle name="40% - Accent5 2 4 2 2 4" xfId="24917" xr:uid="{6499F9E7-9DFF-454E-ABF8-8C07994CBE21}"/>
    <cellStyle name="40% - Accent5 2 4 2 3" xfId="12253" xr:uid="{6F8EDC42-D899-42C7-BE3D-7D0F49B26C74}"/>
    <cellStyle name="40% - Accent5 2 4 2 3 2" xfId="48595" xr:uid="{7C15898D-F2B6-41A9-8A7C-62DE18A86E02}"/>
    <cellStyle name="40% - Accent5 2 4 2 3 3" xfId="29999" xr:uid="{70159C0F-E465-4466-BBCB-10EBBF13D2A0}"/>
    <cellStyle name="40% - Accent5 2 4 2 4" xfId="39298" xr:uid="{4C608EC7-0D06-4A13-A5DB-E73904707128}"/>
    <cellStyle name="40% - Accent5 2 4 2 5" xfId="20700" xr:uid="{2CB5DD66-8457-4623-880C-EDA757945CD9}"/>
    <cellStyle name="40% - Accent5 2 4 3" xfId="4999" xr:uid="{00000000-0005-0000-0000-000082060000}"/>
    <cellStyle name="40% - Accent5 2 4 3 2" xfId="14325" xr:uid="{77D7BA6C-9E42-4955-9D43-70D0A5A2FA9E}"/>
    <cellStyle name="40% - Accent5 2 4 3 2 2" xfId="50667" xr:uid="{E67ECDDE-9BF2-4FD7-94ED-D1818D6C509D}"/>
    <cellStyle name="40% - Accent5 2 4 3 2 3" xfId="32071" xr:uid="{07A784A5-64B2-4E94-AF79-C89C34CF76A3}"/>
    <cellStyle name="40% - Accent5 2 4 3 3" xfId="41370" xr:uid="{B14A2952-5F98-46B9-9065-6AF503D1EAE6}"/>
    <cellStyle name="40% - Accent5 2 4 3 4" xfId="22772" xr:uid="{4F7B3534-3B55-4419-BA72-8E4F16BE552A}"/>
    <cellStyle name="40% - Accent5 2 4 4" xfId="9226" xr:uid="{6A688709-D29B-458C-973B-231279FAFEF5}"/>
    <cellStyle name="40% - Accent5 2 4 4 2" xfId="36288" xr:uid="{8E527F96-2F7E-4D27-94DF-2CE7B5D23854}"/>
    <cellStyle name="40% - Accent5 2 4 4 2 2" xfId="54882" xr:uid="{EBB8B78D-14FC-44D7-A60C-4746E09593AA}"/>
    <cellStyle name="40% - Accent5 2 4 4 3" xfId="45585" xr:uid="{6474A2E1-B358-4D83-9BDC-11C8BA8A5C14}"/>
    <cellStyle name="40% - Accent5 2 4 4 4" xfId="26989" xr:uid="{E0BA9068-4082-4596-B240-2FEAF0BA9D63}"/>
    <cellStyle name="40% - Accent5 2 4 5" xfId="10108" xr:uid="{192BD8C7-279C-4783-94DF-27D85199F881}"/>
    <cellStyle name="40% - Accent5 2 4 5 2" xfId="46450" xr:uid="{C663AD32-2E04-42A1-98BB-55F9B65BA24A}"/>
    <cellStyle name="40% - Accent5 2 4 5 3" xfId="27854" xr:uid="{C0EA7B4E-413C-41E8-84BD-2F11E918AA95}"/>
    <cellStyle name="40% - Accent5 2 4 6" xfId="37153" xr:uid="{A18A3809-E743-41C7-80E4-9F9DF27F860C}"/>
    <cellStyle name="40% - Accent5 2 4 7" xfId="18555" xr:uid="{CF837F94-52FB-446D-A89E-6A78879200F1}"/>
    <cellStyle name="40% - Accent5 2 5" xfId="1104" xr:uid="{00000000-0005-0000-0000-000083060000}"/>
    <cellStyle name="40% - Accent5 2 5 2" xfId="3335" xr:uid="{00000000-0005-0000-0000-000084060000}"/>
    <cellStyle name="40% - Accent5 2 5 2 2" xfId="7557" xr:uid="{00000000-0005-0000-0000-000085060000}"/>
    <cellStyle name="40% - Accent5 2 5 2 2 2" xfId="16883" xr:uid="{5E2200BB-5A14-43D4-AE2F-846B8CD0E6F5}"/>
    <cellStyle name="40% - Accent5 2 5 2 2 2 2" xfId="53225" xr:uid="{72E39CBB-1F9A-4670-B55B-D5E17CFF8338}"/>
    <cellStyle name="40% - Accent5 2 5 2 2 2 3" xfId="34629" xr:uid="{F023D788-8775-444E-89B2-B8746EA17CC1}"/>
    <cellStyle name="40% - Accent5 2 5 2 2 3" xfId="43928" xr:uid="{0D4010E3-1DBC-4A7A-B3A8-520A9ECC5C8E}"/>
    <cellStyle name="40% - Accent5 2 5 2 2 4" xfId="25330" xr:uid="{E28CC746-65CA-400C-A502-0FB39620A924}"/>
    <cellStyle name="40% - Accent5 2 5 2 3" xfId="12666" xr:uid="{84575027-EC37-492D-A231-9980C669CCB4}"/>
    <cellStyle name="40% - Accent5 2 5 2 3 2" xfId="49008" xr:uid="{156A65DE-7AE4-43E8-AAF9-01B557BDD0CD}"/>
    <cellStyle name="40% - Accent5 2 5 2 3 3" xfId="30412" xr:uid="{642D9E3C-FD12-467B-9435-6F15929DC690}"/>
    <cellStyle name="40% - Accent5 2 5 2 4" xfId="39711" xr:uid="{6BE39E8D-697D-4AED-93E8-7366006A5CC9}"/>
    <cellStyle name="40% - Accent5 2 5 2 5" xfId="21113" xr:uid="{06F98338-86FB-4C0F-AFD5-D9D4D14E4DC0}"/>
    <cellStyle name="40% - Accent5 2 5 3" xfId="5412" xr:uid="{00000000-0005-0000-0000-000086060000}"/>
    <cellStyle name="40% - Accent5 2 5 3 2" xfId="14738" xr:uid="{CF34FE74-99EC-4DE9-A8CD-660DF4253FCE}"/>
    <cellStyle name="40% - Accent5 2 5 3 2 2" xfId="51080" xr:uid="{BD8334C9-2F6E-4B6C-AB33-44D416706E4D}"/>
    <cellStyle name="40% - Accent5 2 5 3 2 3" xfId="32484" xr:uid="{9E7864D9-CD90-49FD-89E3-EE9845B9F5F0}"/>
    <cellStyle name="40% - Accent5 2 5 3 3" xfId="41783" xr:uid="{A928DFBB-D513-4A0D-97A0-ED0D5D6C0988}"/>
    <cellStyle name="40% - Accent5 2 5 3 4" xfId="23185" xr:uid="{3AD6D9E8-D8F3-4936-886B-2F9BB8E4C56A}"/>
    <cellStyle name="40% - Accent5 2 5 4" xfId="10521" xr:uid="{A511D2F6-9163-4F23-B8B2-27E3803CE27C}"/>
    <cellStyle name="40% - Accent5 2 5 4 2" xfId="46863" xr:uid="{105CD697-2B51-4660-A5EC-403A0D4C8EB2}"/>
    <cellStyle name="40% - Accent5 2 5 4 3" xfId="28267" xr:uid="{452CE774-D05F-4E49-9E06-1F7FE60C1993}"/>
    <cellStyle name="40% - Accent5 2 5 5" xfId="37566" xr:uid="{F9E62942-58BD-495C-A4AC-5CC24EC39F87}"/>
    <cellStyle name="40% - Accent5 2 5 6" xfId="18968" xr:uid="{782C48C2-FD07-436C-928A-1F1B8734DE60}"/>
    <cellStyle name="40% - Accent5 2 6" xfId="1518" xr:uid="{00000000-0005-0000-0000-000087060000}"/>
    <cellStyle name="40% - Accent5 2 6 2" xfId="3748" xr:uid="{00000000-0005-0000-0000-000088060000}"/>
    <cellStyle name="40% - Accent5 2 6 2 2" xfId="7970" xr:uid="{00000000-0005-0000-0000-000089060000}"/>
    <cellStyle name="40% - Accent5 2 6 2 2 2" xfId="17296" xr:uid="{03B2F667-CAB3-4BF4-8D44-8B1D2CF4648A}"/>
    <cellStyle name="40% - Accent5 2 6 2 2 2 2" xfId="53638" xr:uid="{745A8BD3-7756-4384-9AC6-C01508958349}"/>
    <cellStyle name="40% - Accent5 2 6 2 2 2 3" xfId="35042" xr:uid="{969649BE-26BB-4D18-A2E0-8B4E4A969130}"/>
    <cellStyle name="40% - Accent5 2 6 2 2 3" xfId="44341" xr:uid="{D7E972A9-B9F3-4B2B-8AF2-38194E3361A9}"/>
    <cellStyle name="40% - Accent5 2 6 2 2 4" xfId="25743" xr:uid="{DEF043A3-14BC-41CD-9B71-0F82CE6A12B1}"/>
    <cellStyle name="40% - Accent5 2 6 2 3" xfId="13079" xr:uid="{B032F097-B34D-4B63-954F-4A4D3A85C0DE}"/>
    <cellStyle name="40% - Accent5 2 6 2 3 2" xfId="49421" xr:uid="{50CCD5A8-AB75-40B8-A3F2-3C7A793FA299}"/>
    <cellStyle name="40% - Accent5 2 6 2 3 3" xfId="30825" xr:uid="{DD0E9521-BBBD-49DC-872C-B4147AB5C5E9}"/>
    <cellStyle name="40% - Accent5 2 6 2 4" xfId="40124" xr:uid="{058A3E94-A9DE-4D35-8B5E-31CD5F4A7F35}"/>
    <cellStyle name="40% - Accent5 2 6 2 5" xfId="21526" xr:uid="{9AD691F1-8BD3-4373-9800-1AD064F91734}"/>
    <cellStyle name="40% - Accent5 2 6 3" xfId="5825" xr:uid="{00000000-0005-0000-0000-00008A060000}"/>
    <cellStyle name="40% - Accent5 2 6 3 2" xfId="15151" xr:uid="{2730AFC8-07A6-48BF-B4DC-DCA3651F0298}"/>
    <cellStyle name="40% - Accent5 2 6 3 2 2" xfId="51493" xr:uid="{1213CFDF-D1DB-4A11-84DA-E650A1E72497}"/>
    <cellStyle name="40% - Accent5 2 6 3 2 3" xfId="32897" xr:uid="{383C57DB-4CBF-4CF2-9362-F7A162CBD229}"/>
    <cellStyle name="40% - Accent5 2 6 3 3" xfId="42196" xr:uid="{EDC26889-4882-4087-B3BA-BDBD0628AD0C}"/>
    <cellStyle name="40% - Accent5 2 6 3 4" xfId="23598" xr:uid="{C276D30E-EE61-4D13-944F-DE031363F66C}"/>
    <cellStyle name="40% - Accent5 2 6 4" xfId="10934" xr:uid="{D8FDDCA3-D763-4A05-BE49-D45FD2208144}"/>
    <cellStyle name="40% - Accent5 2 6 4 2" xfId="47276" xr:uid="{2D9ABF9A-B344-4D0A-A0A1-23BD6AF972F5}"/>
    <cellStyle name="40% - Accent5 2 6 4 3" xfId="28680" xr:uid="{A64556FD-68CC-4B3E-A341-14229CDAB008}"/>
    <cellStyle name="40% - Accent5 2 6 5" xfId="37979" xr:uid="{9645285E-6AE6-45CE-89CA-82AC2C6F2A61}"/>
    <cellStyle name="40% - Accent5 2 6 6" xfId="19381" xr:uid="{DEAD57A2-24DC-4F50-9CA9-06B9DDCBA709}"/>
    <cellStyle name="40% - Accent5 2 7" xfId="1932" xr:uid="{00000000-0005-0000-0000-00008B060000}"/>
    <cellStyle name="40% - Accent5 2 7 2" xfId="4161" xr:uid="{00000000-0005-0000-0000-00008C060000}"/>
    <cellStyle name="40% - Accent5 2 7 2 2" xfId="8383" xr:uid="{00000000-0005-0000-0000-00008D060000}"/>
    <cellStyle name="40% - Accent5 2 7 2 2 2" xfId="17709" xr:uid="{F621939A-D75E-4D3E-AD41-D77384E6FEEF}"/>
    <cellStyle name="40% - Accent5 2 7 2 2 2 2" xfId="54051" xr:uid="{740C1E81-0473-49D1-ACB5-F76617E9EAE3}"/>
    <cellStyle name="40% - Accent5 2 7 2 2 2 3" xfId="35455" xr:uid="{5C236B49-24B3-41CF-BA62-00272BC25EF9}"/>
    <cellStyle name="40% - Accent5 2 7 2 2 3" xfId="44754" xr:uid="{45A27044-B1D0-4565-B061-7C43B8B635D2}"/>
    <cellStyle name="40% - Accent5 2 7 2 2 4" xfId="26156" xr:uid="{64801CD9-DB21-4D9B-93AD-7E6C7088CA2F}"/>
    <cellStyle name="40% - Accent5 2 7 2 3" xfId="13492" xr:uid="{E2305652-09EB-41A9-B314-49F3CD250884}"/>
    <cellStyle name="40% - Accent5 2 7 2 3 2" xfId="49834" xr:uid="{F3E537BA-9592-4EA3-AB46-E715D59D0F71}"/>
    <cellStyle name="40% - Accent5 2 7 2 3 3" xfId="31238" xr:uid="{D16DCF71-73DF-47FE-909C-FF085D498457}"/>
    <cellStyle name="40% - Accent5 2 7 2 4" xfId="40537" xr:uid="{166084F0-011A-4D5C-8AA2-50A2F38727D8}"/>
    <cellStyle name="40% - Accent5 2 7 2 5" xfId="21939" xr:uid="{64497EF1-A9F2-4433-A56A-010EA82B6C7C}"/>
    <cellStyle name="40% - Accent5 2 7 3" xfId="6238" xr:uid="{00000000-0005-0000-0000-00008E060000}"/>
    <cellStyle name="40% - Accent5 2 7 3 2" xfId="15564" xr:uid="{576A9587-AB61-44BD-8D97-FB769BADD0C6}"/>
    <cellStyle name="40% - Accent5 2 7 3 2 2" xfId="51906" xr:uid="{04B7AD1E-E434-416F-846C-F51DCFF76667}"/>
    <cellStyle name="40% - Accent5 2 7 3 2 3" xfId="33310" xr:uid="{3B09FD89-B276-4573-A4E0-CE7DE331AAAB}"/>
    <cellStyle name="40% - Accent5 2 7 3 3" xfId="42609" xr:uid="{5DD959FA-8D77-4E7B-8994-A8362AB5B868}"/>
    <cellStyle name="40% - Accent5 2 7 3 4" xfId="24011" xr:uid="{B5975CE3-1F2D-4500-A659-AC76748D478F}"/>
    <cellStyle name="40% - Accent5 2 7 4" xfId="11347" xr:uid="{01316549-A47B-4CD7-8107-40C63C8957D5}"/>
    <cellStyle name="40% - Accent5 2 7 4 2" xfId="47689" xr:uid="{9920D461-EEBA-4773-8FE0-0E453F672128}"/>
    <cellStyle name="40% - Accent5 2 7 4 3" xfId="29093" xr:uid="{6660A84A-E735-4DDD-8D28-727CE84C5106}"/>
    <cellStyle name="40% - Accent5 2 7 5" xfId="38392" xr:uid="{84E4BA7A-0B95-4790-86CA-E85239DA56C7}"/>
    <cellStyle name="40% - Accent5 2 7 6" xfId="19794" xr:uid="{0E736255-5741-4E7A-81BF-044BF21888DF}"/>
    <cellStyle name="40% - Accent5 2 8" xfId="2345" xr:uid="{00000000-0005-0000-0000-00008F060000}"/>
    <cellStyle name="40% - Accent5 2 8 2" xfId="6651" xr:uid="{00000000-0005-0000-0000-000090060000}"/>
    <cellStyle name="40% - Accent5 2 8 2 2" xfId="15977" xr:uid="{178D3C6F-A432-42E3-9235-612E1BC67EA4}"/>
    <cellStyle name="40% - Accent5 2 8 2 2 2" xfId="52319" xr:uid="{EF846975-033C-438E-A372-38D49705425C}"/>
    <cellStyle name="40% - Accent5 2 8 2 2 3" xfId="33723" xr:uid="{250DACDE-5608-46D1-B1BB-86C6A689BA12}"/>
    <cellStyle name="40% - Accent5 2 8 2 3" xfId="43022" xr:uid="{1113EF51-1ED7-45D4-B050-D7487433FE79}"/>
    <cellStyle name="40% - Accent5 2 8 2 4" xfId="24424" xr:uid="{0ACF673A-495B-41A2-929E-D5DAE79A053B}"/>
    <cellStyle name="40% - Accent5 2 8 3" xfId="11760" xr:uid="{33A46D9E-94E2-4658-8A05-B7B084107F67}"/>
    <cellStyle name="40% - Accent5 2 8 3 2" xfId="48102" xr:uid="{6D501F6D-2641-4988-99E8-3AAFBC3448D1}"/>
    <cellStyle name="40% - Accent5 2 8 3 3" xfId="29506" xr:uid="{C304D7F0-7B9C-4635-A0BC-EC8F65C8613C}"/>
    <cellStyle name="40% - Accent5 2 8 4" xfId="38805" xr:uid="{78572041-2AFF-4284-B8C7-E2F2C3EF9FFE}"/>
    <cellStyle name="40% - Accent5 2 8 5" xfId="20207" xr:uid="{F2805FF1-0FE7-4476-9575-1F5C2C9437A2}"/>
    <cellStyle name="40% - Accent5 2 9" xfId="4585" xr:uid="{00000000-0005-0000-0000-000091060000}"/>
    <cellStyle name="40% - Accent5 2 9 2" xfId="13911" xr:uid="{3D8099FD-7EF8-4E3E-8D45-5BC578845C85}"/>
    <cellStyle name="40% - Accent5 2 9 2 2" xfId="50253" xr:uid="{2B226E2D-6B36-410F-B9D4-2D0D0F07DFC1}"/>
    <cellStyle name="40% - Accent5 2 9 2 3" xfId="31657" xr:uid="{C079D2BA-791E-4C20-91C2-2E1928EA3BA4}"/>
    <cellStyle name="40% - Accent5 2 9 3" xfId="40956" xr:uid="{0025C190-7B60-48FF-88D4-78D6A759D532}"/>
    <cellStyle name="40% - Accent5 2 9 4" xfId="22358" xr:uid="{D0EFF8E5-DD82-41DF-9C48-9548B6F78376}"/>
    <cellStyle name="40% - Accent5 3" xfId="86" xr:uid="{00000000-0005-0000-0000-000092060000}"/>
    <cellStyle name="40% - Accent5 3 10" xfId="9698" xr:uid="{2BEB2F0A-A612-4064-B497-0802C831F90C}"/>
    <cellStyle name="40% - Accent5 3 10 2" xfId="46040" xr:uid="{480A41AE-00C7-4D90-B8DE-269E8F4FC1A3}"/>
    <cellStyle name="40% - Accent5 3 10 3" xfId="27444" xr:uid="{15CB7D0B-3D93-43AF-90AB-A72FF87AA59A}"/>
    <cellStyle name="40% - Accent5 3 11" xfId="36743" xr:uid="{A7FC850C-4342-4EDB-9A68-E7A20AE30FE8}"/>
    <cellStyle name="40% - Accent5 3 12" xfId="18145" xr:uid="{DC31101D-8D87-4BCD-BFDA-C90618D6AA42}"/>
    <cellStyle name="40% - Accent5 3 2" xfId="87" xr:uid="{00000000-0005-0000-0000-000093060000}"/>
    <cellStyle name="40% - Accent5 3 2 10" xfId="36744" xr:uid="{23EA7E92-4CFA-4C2C-9960-E02F5D5560AB}"/>
    <cellStyle name="40% - Accent5 3 2 11" xfId="18146" xr:uid="{06765708-B035-4AC5-8D83-1F5611AFBC4D}"/>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16475" xr:uid="{6E34B5FB-0CCB-4D11-B93C-6DD0B7C053C7}"/>
    <cellStyle name="40% - Accent5 3 2 2 2 2 2 2" xfId="52817" xr:uid="{E27796DB-DFAE-4268-B3AF-C045784AE681}"/>
    <cellStyle name="40% - Accent5 3 2 2 2 2 2 3" xfId="34221" xr:uid="{B868FAC9-7CDC-46CA-8A86-99FFF712B069}"/>
    <cellStyle name="40% - Accent5 3 2 2 2 2 3" xfId="43520" xr:uid="{0DDAE935-D700-4917-80CD-A091A27DCFF3}"/>
    <cellStyle name="40% - Accent5 3 2 2 2 2 4" xfId="24922" xr:uid="{28617943-B423-4DF8-82E0-26821B86AA4F}"/>
    <cellStyle name="40% - Accent5 3 2 2 2 3" xfId="12258" xr:uid="{F07D67AD-0655-4553-AB1A-D0CB1ACBCE24}"/>
    <cellStyle name="40% - Accent5 3 2 2 2 3 2" xfId="48600" xr:uid="{5B208CC8-8E40-4398-80A5-66CDBA22494B}"/>
    <cellStyle name="40% - Accent5 3 2 2 2 3 3" xfId="30004" xr:uid="{4D9C2100-0F64-463A-8087-DAFB971FBF55}"/>
    <cellStyle name="40% - Accent5 3 2 2 2 4" xfId="39303" xr:uid="{1F2C37FE-AB78-45AB-A05A-E2307036C39F}"/>
    <cellStyle name="40% - Accent5 3 2 2 2 5" xfId="20705" xr:uid="{7686F66E-F032-4ABC-9227-47DD1DE4F32D}"/>
    <cellStyle name="40% - Accent5 3 2 2 3" xfId="5004" xr:uid="{00000000-0005-0000-0000-000097060000}"/>
    <cellStyle name="40% - Accent5 3 2 2 3 2" xfId="14330" xr:uid="{A6521CED-CCF8-40F9-A5CD-7A4470506DBD}"/>
    <cellStyle name="40% - Accent5 3 2 2 3 2 2" xfId="50672" xr:uid="{63EFD00B-EBC1-4472-9F37-54F0E4DFAF45}"/>
    <cellStyle name="40% - Accent5 3 2 2 3 2 3" xfId="32076" xr:uid="{C333D8A1-B8D8-46AE-8AA8-8B2783729EE8}"/>
    <cellStyle name="40% - Accent5 3 2 2 3 3" xfId="41375" xr:uid="{B88F6DF0-5794-4AFE-99A0-65E074CFCE1D}"/>
    <cellStyle name="40% - Accent5 3 2 2 3 4" xfId="22777" xr:uid="{B05BC962-327C-4E44-89E2-DEA6816B1F44}"/>
    <cellStyle name="40% - Accent5 3 2 2 4" xfId="9502" xr:uid="{96903B0D-DCFE-4149-8088-461BCB03A73B}"/>
    <cellStyle name="40% - Accent5 3 2 2 4 2" xfId="36563" xr:uid="{B5202AD0-561B-4C24-B7D1-3EAB041DD076}"/>
    <cellStyle name="40% - Accent5 3 2 2 4 2 2" xfId="55157" xr:uid="{183BDF67-4F83-4A33-B4D0-7B7E8498E85D}"/>
    <cellStyle name="40% - Accent5 3 2 2 4 3" xfId="45860" xr:uid="{D83420D7-B9CC-4BCA-A4F0-C4994F16B814}"/>
    <cellStyle name="40% - Accent5 3 2 2 4 4" xfId="27264" xr:uid="{9EA3DD1B-7C9E-4340-AE1D-4539893F5691}"/>
    <cellStyle name="40% - Accent5 3 2 2 5" xfId="10113" xr:uid="{4ABC38D7-A97D-4EF2-9ECE-B26D7EF46A05}"/>
    <cellStyle name="40% - Accent5 3 2 2 5 2" xfId="46455" xr:uid="{FD63AC77-1E93-4FB6-95A7-750855311237}"/>
    <cellStyle name="40% - Accent5 3 2 2 5 3" xfId="27859" xr:uid="{D04D0738-A502-4D7E-AEFC-331FD8621B2F}"/>
    <cellStyle name="40% - Accent5 3 2 2 6" xfId="37158" xr:uid="{7F39BFA4-81E8-484F-B0C3-181386379C1C}"/>
    <cellStyle name="40% - Accent5 3 2 2 7" xfId="18560" xr:uid="{0D65CD22-354F-4949-A668-24618117F932}"/>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16888" xr:uid="{568D6137-971E-41EE-A9B1-4939046283C4}"/>
    <cellStyle name="40% - Accent5 3 2 3 2 2 2 2" xfId="53230" xr:uid="{E7B6A72F-52F6-4656-9C71-600F9947CB64}"/>
    <cellStyle name="40% - Accent5 3 2 3 2 2 2 3" xfId="34634" xr:uid="{099B4A8E-4C82-430E-A7CE-99F9BD6AD2A4}"/>
    <cellStyle name="40% - Accent5 3 2 3 2 2 3" xfId="43933" xr:uid="{348A1CE9-F4F2-4AF8-9796-CDD364C7E769}"/>
    <cellStyle name="40% - Accent5 3 2 3 2 2 4" xfId="25335" xr:uid="{38593B33-0A3D-4FE0-80DC-90A9FBCD14FF}"/>
    <cellStyle name="40% - Accent5 3 2 3 2 3" xfId="12671" xr:uid="{00700859-D1B7-47B4-885F-4958235281C5}"/>
    <cellStyle name="40% - Accent5 3 2 3 2 3 2" xfId="49013" xr:uid="{C2504C2C-1982-4637-85B3-8EB10E1F6221}"/>
    <cellStyle name="40% - Accent5 3 2 3 2 3 3" xfId="30417" xr:uid="{8C60E4B8-CBE8-497E-8644-5C8C7DBCF1A2}"/>
    <cellStyle name="40% - Accent5 3 2 3 2 4" xfId="39716" xr:uid="{1AB1D84A-396E-472E-8419-9F7BF2B90177}"/>
    <cellStyle name="40% - Accent5 3 2 3 2 5" xfId="21118" xr:uid="{4246C551-01E6-4A82-946C-267709AB622C}"/>
    <cellStyle name="40% - Accent5 3 2 3 3" xfId="5417" xr:uid="{00000000-0005-0000-0000-00009B060000}"/>
    <cellStyle name="40% - Accent5 3 2 3 3 2" xfId="14743" xr:uid="{329E0BE3-E7F6-4F75-AE24-512D5BC0F57C}"/>
    <cellStyle name="40% - Accent5 3 2 3 3 2 2" xfId="51085" xr:uid="{74309FCB-6697-432A-B585-A926E8233B1D}"/>
    <cellStyle name="40% - Accent5 3 2 3 3 2 3" xfId="32489" xr:uid="{FD5F42FB-4F8E-4F00-9D44-3F009A9E34A8}"/>
    <cellStyle name="40% - Accent5 3 2 3 3 3" xfId="41788" xr:uid="{645EE75F-68F5-40BE-B922-035BC1022B0C}"/>
    <cellStyle name="40% - Accent5 3 2 3 3 4" xfId="23190" xr:uid="{96F5DB02-6125-4196-9F28-79F9CCA9A6E2}"/>
    <cellStyle name="40% - Accent5 3 2 3 4" xfId="10526" xr:uid="{B84CCA19-DD32-4582-B0FB-BE644CDB775D}"/>
    <cellStyle name="40% - Accent5 3 2 3 4 2" xfId="46868" xr:uid="{F001BC0E-3978-4D80-B945-74D51889F671}"/>
    <cellStyle name="40% - Accent5 3 2 3 4 3" xfId="28272" xr:uid="{969F822B-DA4F-4D19-A28C-9F5378330C71}"/>
    <cellStyle name="40% - Accent5 3 2 3 5" xfId="37571" xr:uid="{22686B80-31BE-4B30-B577-755013935736}"/>
    <cellStyle name="40% - Accent5 3 2 3 6" xfId="18973" xr:uid="{0E9763FD-326C-45E4-93A0-E199E8C5A13C}"/>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17301" xr:uid="{D79BC1B5-1D38-42A0-8F52-93F209A1F0FE}"/>
    <cellStyle name="40% - Accent5 3 2 4 2 2 2 2" xfId="53643" xr:uid="{A34F2B4F-DDCE-4B45-B075-B8C46F69793E}"/>
    <cellStyle name="40% - Accent5 3 2 4 2 2 2 3" xfId="35047" xr:uid="{958F91B0-ED76-4649-A07C-A77FE3AA70C1}"/>
    <cellStyle name="40% - Accent5 3 2 4 2 2 3" xfId="44346" xr:uid="{8C8FC6B6-A1F1-45CE-9D44-D4F12D2E0BF1}"/>
    <cellStyle name="40% - Accent5 3 2 4 2 2 4" xfId="25748" xr:uid="{242992E1-DE19-48DE-8F5C-8C4BC4DB19E2}"/>
    <cellStyle name="40% - Accent5 3 2 4 2 3" xfId="13084" xr:uid="{DD7A1031-7326-4080-8995-7A7177345DF9}"/>
    <cellStyle name="40% - Accent5 3 2 4 2 3 2" xfId="49426" xr:uid="{F463EE39-1C0E-47B6-85C8-1723DE245A6F}"/>
    <cellStyle name="40% - Accent5 3 2 4 2 3 3" xfId="30830" xr:uid="{E649DC0A-CA0F-4912-95B6-436B251C7082}"/>
    <cellStyle name="40% - Accent5 3 2 4 2 4" xfId="40129" xr:uid="{A717873A-B4ED-46A5-9FDD-EF6BA5F55616}"/>
    <cellStyle name="40% - Accent5 3 2 4 2 5" xfId="21531" xr:uid="{C422AA1A-DA14-48D2-BDCA-F8186A6934EF}"/>
    <cellStyle name="40% - Accent5 3 2 4 3" xfId="5830" xr:uid="{00000000-0005-0000-0000-00009F060000}"/>
    <cellStyle name="40% - Accent5 3 2 4 3 2" xfId="15156" xr:uid="{19407AFE-B366-466A-ACD4-076C68FD940D}"/>
    <cellStyle name="40% - Accent5 3 2 4 3 2 2" xfId="51498" xr:uid="{A8A352D4-8E45-4F8F-A349-8610153C97E2}"/>
    <cellStyle name="40% - Accent5 3 2 4 3 2 3" xfId="32902" xr:uid="{24030774-4D34-45A4-8EFF-A072C270CAB1}"/>
    <cellStyle name="40% - Accent5 3 2 4 3 3" xfId="42201" xr:uid="{AEB5E51A-F6E8-4D4A-A726-2D473001C320}"/>
    <cellStyle name="40% - Accent5 3 2 4 3 4" xfId="23603" xr:uid="{7966E7D6-E05B-43FC-B579-3AC1DF96B0C8}"/>
    <cellStyle name="40% - Accent5 3 2 4 4" xfId="10939" xr:uid="{EFF7F03D-4CBA-4E87-B864-D44C3875D591}"/>
    <cellStyle name="40% - Accent5 3 2 4 4 2" xfId="47281" xr:uid="{AE9463CB-4ADC-4B3F-B2F0-6D3899F90D10}"/>
    <cellStyle name="40% - Accent5 3 2 4 4 3" xfId="28685" xr:uid="{0EA3A9C0-C76D-421C-AF37-8D4E50BD8A95}"/>
    <cellStyle name="40% - Accent5 3 2 4 5" xfId="37984" xr:uid="{0FB6761F-09E9-4270-B0FE-0088026B78F6}"/>
    <cellStyle name="40% - Accent5 3 2 4 6" xfId="19386" xr:uid="{6283CD53-7DE7-4EDB-A4DB-64266B093573}"/>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17714" xr:uid="{DC8983F5-3C3A-4BFF-93F7-AFA4EC03FA44}"/>
    <cellStyle name="40% - Accent5 3 2 5 2 2 2 2" xfId="54056" xr:uid="{5D52CFA2-8517-4698-99D9-F67AAB95CD33}"/>
    <cellStyle name="40% - Accent5 3 2 5 2 2 2 3" xfId="35460" xr:uid="{07AF2807-C3DA-49D6-8857-B70F7EDFD9E3}"/>
    <cellStyle name="40% - Accent5 3 2 5 2 2 3" xfId="44759" xr:uid="{22BF53DE-3E08-4E22-B1C9-5D707E2B3E24}"/>
    <cellStyle name="40% - Accent5 3 2 5 2 2 4" xfId="26161" xr:uid="{A295EAF5-7C42-4F4E-80F7-715A72DDB594}"/>
    <cellStyle name="40% - Accent5 3 2 5 2 3" xfId="13497" xr:uid="{F02F1BFC-F39E-4556-8A8E-F2F51BD6A0FD}"/>
    <cellStyle name="40% - Accent5 3 2 5 2 3 2" xfId="49839" xr:uid="{20DADB40-235C-4919-A34B-80CA4BB551B6}"/>
    <cellStyle name="40% - Accent5 3 2 5 2 3 3" xfId="31243" xr:uid="{8A32D0C4-353A-4F09-A9D6-0E261F6D28B7}"/>
    <cellStyle name="40% - Accent5 3 2 5 2 4" xfId="40542" xr:uid="{8506D4BB-6B31-4C5A-A79C-C4B8596BD725}"/>
    <cellStyle name="40% - Accent5 3 2 5 2 5" xfId="21944" xr:uid="{F6708E43-FA31-4EB7-92BC-BCB276F0F368}"/>
    <cellStyle name="40% - Accent5 3 2 5 3" xfId="6243" xr:uid="{00000000-0005-0000-0000-0000A3060000}"/>
    <cellStyle name="40% - Accent5 3 2 5 3 2" xfId="15569" xr:uid="{158AEA6E-B643-4407-874C-797BD9309A37}"/>
    <cellStyle name="40% - Accent5 3 2 5 3 2 2" xfId="51911" xr:uid="{3B13DAC7-3914-4549-B176-2A01596D72A2}"/>
    <cellStyle name="40% - Accent5 3 2 5 3 2 3" xfId="33315" xr:uid="{5F9C7335-1213-4EF6-B64C-0C9A30AE8070}"/>
    <cellStyle name="40% - Accent5 3 2 5 3 3" xfId="42614" xr:uid="{FDC7E6AA-D624-4A00-98D5-332F6D2E1E26}"/>
    <cellStyle name="40% - Accent5 3 2 5 3 4" xfId="24016" xr:uid="{4B724BC6-3C81-48EF-8012-A7D181A2B5FE}"/>
    <cellStyle name="40% - Accent5 3 2 5 4" xfId="11352" xr:uid="{D9801A74-8C70-48C6-A256-1980CB110F7E}"/>
    <cellStyle name="40% - Accent5 3 2 5 4 2" xfId="47694" xr:uid="{743E1ECD-A010-4F5D-9406-B6FB54AB519F}"/>
    <cellStyle name="40% - Accent5 3 2 5 4 3" xfId="29098" xr:uid="{35C34431-6ADA-4C15-8515-7001DD96DC1A}"/>
    <cellStyle name="40% - Accent5 3 2 5 5" xfId="38397" xr:uid="{A6375E70-9AE6-4926-B1A5-0AA4D6F03584}"/>
    <cellStyle name="40% - Accent5 3 2 5 6" xfId="19799" xr:uid="{2160EDBD-A21D-4CFE-83BF-E81FCFFC029E}"/>
    <cellStyle name="40% - Accent5 3 2 6" xfId="2350" xr:uid="{00000000-0005-0000-0000-0000A4060000}"/>
    <cellStyle name="40% - Accent5 3 2 6 2" xfId="6656" xr:uid="{00000000-0005-0000-0000-0000A5060000}"/>
    <cellStyle name="40% - Accent5 3 2 6 2 2" xfId="15982" xr:uid="{1F02371C-4F31-4588-B9FA-AA788D37CE4D}"/>
    <cellStyle name="40% - Accent5 3 2 6 2 2 2" xfId="52324" xr:uid="{AC40E00E-EB38-4AB7-ADF7-2EF7CA6DA321}"/>
    <cellStyle name="40% - Accent5 3 2 6 2 2 3" xfId="33728" xr:uid="{5BDDA73D-F5D2-4120-A785-BB39011DC443}"/>
    <cellStyle name="40% - Accent5 3 2 6 2 3" xfId="43027" xr:uid="{E9417BA8-874C-43E1-89B8-55A7B6AF1A58}"/>
    <cellStyle name="40% - Accent5 3 2 6 2 4" xfId="24429" xr:uid="{37C9182D-8A32-4D82-9100-915C3CC75FC2}"/>
    <cellStyle name="40% - Accent5 3 2 6 3" xfId="11765" xr:uid="{AACF9A71-2793-402C-BB38-A3819BA0F7FA}"/>
    <cellStyle name="40% - Accent5 3 2 6 3 2" xfId="48107" xr:uid="{4F283D2B-718F-4B42-8A19-B76B3DB0334B}"/>
    <cellStyle name="40% - Accent5 3 2 6 3 3" xfId="29511" xr:uid="{4B3C6E7A-2A7E-47F6-B658-AE81ACED9303}"/>
    <cellStyle name="40% - Accent5 3 2 6 4" xfId="38810" xr:uid="{780AAE4A-B09A-4463-A23F-CF8535A6022E}"/>
    <cellStyle name="40% - Accent5 3 2 6 5" xfId="20212" xr:uid="{3805BAE5-7DC1-41E1-BE35-86E01B7112AD}"/>
    <cellStyle name="40% - Accent5 3 2 7" xfId="4590" xr:uid="{00000000-0005-0000-0000-0000A6060000}"/>
    <cellStyle name="40% - Accent5 3 2 7 2" xfId="13916" xr:uid="{1474F3BB-B57C-4C26-A6C5-D19FBB8AC85E}"/>
    <cellStyle name="40% - Accent5 3 2 7 2 2" xfId="50258" xr:uid="{83E1FC23-DEB3-4497-8CC0-546EEBC003CB}"/>
    <cellStyle name="40% - Accent5 3 2 7 2 3" xfId="31662" xr:uid="{42A3C8C4-08E3-4DD0-87EB-A6C019A5332C}"/>
    <cellStyle name="40% - Accent5 3 2 7 3" xfId="40961" xr:uid="{7A23E656-1E3D-44FD-ACD8-EE49EEE26CE7}"/>
    <cellStyle name="40% - Accent5 3 2 7 4" xfId="22363" xr:uid="{CBDC23DB-BFAA-4239-9FBE-D096AB4A5D89}"/>
    <cellStyle name="40% - Accent5 3 2 8" xfId="9077" xr:uid="{8842DD15-54E4-487D-B492-3A505722387C}"/>
    <cellStyle name="40% - Accent5 3 2 8 2" xfId="36147" xr:uid="{118C51A5-CB75-43EC-B5EC-C88812882B96}"/>
    <cellStyle name="40% - Accent5 3 2 8 2 2" xfId="54742" xr:uid="{C04E2440-9D14-489E-A466-1A802E39A161}"/>
    <cellStyle name="40% - Accent5 3 2 8 3" xfId="45445" xr:uid="{2B2D3535-6429-405D-965E-D274FDC493B4}"/>
    <cellStyle name="40% - Accent5 3 2 8 4" xfId="26848" xr:uid="{D20899B8-7B05-4ADF-ABF9-5B4E2ECDBDCF}"/>
    <cellStyle name="40% - Accent5 3 2 9" xfId="9699" xr:uid="{00D218FC-8218-48DE-8CE0-A2A235EAC57A}"/>
    <cellStyle name="40% - Accent5 3 2 9 2" xfId="46041" xr:uid="{BE815D9C-7636-4811-83FF-EB34685D3245}"/>
    <cellStyle name="40% - Accent5 3 2 9 3" xfId="27445" xr:uid="{E5911C7E-2B04-4329-A280-DD61D6E4D19F}"/>
    <cellStyle name="40% - Accent5 3 3" xfId="655" xr:uid="{00000000-0005-0000-0000-0000A7060000}"/>
    <cellStyle name="40% - Accent5 3 3 2" xfId="2926" xr:uid="{00000000-0005-0000-0000-0000A8060000}"/>
    <cellStyle name="40% - Accent5 3 3 2 2" xfId="7148" xr:uid="{00000000-0005-0000-0000-0000A9060000}"/>
    <cellStyle name="40% - Accent5 3 3 2 2 2" xfId="16474" xr:uid="{E9E1FB57-75C0-45A6-951F-FF34183E432B}"/>
    <cellStyle name="40% - Accent5 3 3 2 2 2 2" xfId="52816" xr:uid="{A1F886B7-B9C5-4D0D-87C1-8C70D56D1C0E}"/>
    <cellStyle name="40% - Accent5 3 3 2 2 2 3" xfId="34220" xr:uid="{974B97A0-AE22-4E70-A0E1-CFD9F976CA44}"/>
    <cellStyle name="40% - Accent5 3 3 2 2 3" xfId="43519" xr:uid="{41AC8C98-C345-46BE-A3F7-A49330C98EAF}"/>
    <cellStyle name="40% - Accent5 3 3 2 2 4" xfId="24921" xr:uid="{F3F9F2F8-65A5-4BDA-A206-AEF87F29ACF7}"/>
    <cellStyle name="40% - Accent5 3 3 2 3" xfId="12257" xr:uid="{8CEEE1CF-46BC-4015-8982-16B9F63ABF24}"/>
    <cellStyle name="40% - Accent5 3 3 2 3 2" xfId="48599" xr:uid="{9A172F38-C642-4AC7-95CC-EEBE7EC0EF8C}"/>
    <cellStyle name="40% - Accent5 3 3 2 3 3" xfId="30003" xr:uid="{974EDCF5-EA70-489F-BFC1-71316F029BFC}"/>
    <cellStyle name="40% - Accent5 3 3 2 4" xfId="39302" xr:uid="{62E4650A-AE82-4E75-8523-F3CAB1DE0671}"/>
    <cellStyle name="40% - Accent5 3 3 2 5" xfId="20704" xr:uid="{64A43645-769B-4F0A-AE60-687AD9134468}"/>
    <cellStyle name="40% - Accent5 3 3 3" xfId="5003" xr:uid="{00000000-0005-0000-0000-0000AA060000}"/>
    <cellStyle name="40% - Accent5 3 3 3 2" xfId="14329" xr:uid="{9A5A5FD6-BEC6-450C-BA2E-0DAFC4F43068}"/>
    <cellStyle name="40% - Accent5 3 3 3 2 2" xfId="50671" xr:uid="{FC0A8CEF-903A-4A66-B959-28B1683400C2}"/>
    <cellStyle name="40% - Accent5 3 3 3 2 3" xfId="32075" xr:uid="{EBDBD953-1844-4659-A7D4-C11122B94650}"/>
    <cellStyle name="40% - Accent5 3 3 3 3" xfId="41374" xr:uid="{79F101E7-226E-4FBC-B8AA-C0150E6EC115}"/>
    <cellStyle name="40% - Accent5 3 3 3 4" xfId="22776" xr:uid="{F6C5E963-A831-4443-9C56-CDFF0215502C}"/>
    <cellStyle name="40% - Accent5 3 3 4" xfId="9295" xr:uid="{0D42C89E-252E-426A-8E1F-7D3AD6B9FE55}"/>
    <cellStyle name="40% - Accent5 3 3 4 2" xfId="36356" xr:uid="{C70DF018-3F88-4C8C-B2EE-729348F9B9F9}"/>
    <cellStyle name="40% - Accent5 3 3 4 2 2" xfId="54950" xr:uid="{56F03576-A64F-4BDE-A609-3BC474543461}"/>
    <cellStyle name="40% - Accent5 3 3 4 3" xfId="45653" xr:uid="{4AEA0F3E-36D5-49C7-AF4E-053E4A33A571}"/>
    <cellStyle name="40% - Accent5 3 3 4 4" xfId="27057" xr:uid="{809CCE5C-30B6-42F3-8584-0D068E136FA6}"/>
    <cellStyle name="40% - Accent5 3 3 5" xfId="10112" xr:uid="{F1FA4F82-3EE1-49BD-9ABA-42A42E8ED1CB}"/>
    <cellStyle name="40% - Accent5 3 3 5 2" xfId="46454" xr:uid="{9C8B6BAA-2F1E-43D2-8A44-6F5894B4CF90}"/>
    <cellStyle name="40% - Accent5 3 3 5 3" xfId="27858" xr:uid="{E0A6E71B-7396-4191-A184-AB3D5023187E}"/>
    <cellStyle name="40% - Accent5 3 3 6" xfId="37157" xr:uid="{62A39678-2A2D-42F0-9BCA-D657231416F7}"/>
    <cellStyle name="40% - Accent5 3 3 7" xfId="18559" xr:uid="{E3DF3A9B-A6D8-41C3-8969-1AE6EF383497}"/>
    <cellStyle name="40% - Accent5 3 4" xfId="1108" xr:uid="{00000000-0005-0000-0000-0000AB060000}"/>
    <cellStyle name="40% - Accent5 3 4 2" xfId="3339" xr:uid="{00000000-0005-0000-0000-0000AC060000}"/>
    <cellStyle name="40% - Accent5 3 4 2 2" xfId="7561" xr:uid="{00000000-0005-0000-0000-0000AD060000}"/>
    <cellStyle name="40% - Accent5 3 4 2 2 2" xfId="16887" xr:uid="{D0970B55-5B6D-4AAE-87B4-A2B66E8E43E6}"/>
    <cellStyle name="40% - Accent5 3 4 2 2 2 2" xfId="53229" xr:uid="{8C47108F-D1B5-4168-9B4A-62E687337341}"/>
    <cellStyle name="40% - Accent5 3 4 2 2 2 3" xfId="34633" xr:uid="{438DF42E-776C-4AE9-8D68-371E271EFF73}"/>
    <cellStyle name="40% - Accent5 3 4 2 2 3" xfId="43932" xr:uid="{220479B3-36D6-4E80-A61F-1538C6924A52}"/>
    <cellStyle name="40% - Accent5 3 4 2 2 4" xfId="25334" xr:uid="{64AF186F-F328-4982-8EA6-2233A9666B55}"/>
    <cellStyle name="40% - Accent5 3 4 2 3" xfId="12670" xr:uid="{F961B9BC-361D-4EF1-B06C-98B0AF9A02BF}"/>
    <cellStyle name="40% - Accent5 3 4 2 3 2" xfId="49012" xr:uid="{42FD3103-EDD8-4264-BF5C-9B03A3A69749}"/>
    <cellStyle name="40% - Accent5 3 4 2 3 3" xfId="30416" xr:uid="{C719E704-B9AC-427A-9A9E-E73075167574}"/>
    <cellStyle name="40% - Accent5 3 4 2 4" xfId="39715" xr:uid="{736F3011-F20D-4B10-A2D9-553947576901}"/>
    <cellStyle name="40% - Accent5 3 4 2 5" xfId="21117" xr:uid="{C85FFB5E-BD45-4493-91B4-BBC45E812A9E}"/>
    <cellStyle name="40% - Accent5 3 4 3" xfId="5416" xr:uid="{00000000-0005-0000-0000-0000AE060000}"/>
    <cellStyle name="40% - Accent5 3 4 3 2" xfId="14742" xr:uid="{751548EB-BDDA-4141-BB19-FCB31F345962}"/>
    <cellStyle name="40% - Accent5 3 4 3 2 2" xfId="51084" xr:uid="{4AA74F10-872F-4A16-9079-3550EC85C60C}"/>
    <cellStyle name="40% - Accent5 3 4 3 2 3" xfId="32488" xr:uid="{1DC3D494-1F39-43E2-A9C1-7843C9EACAFD}"/>
    <cellStyle name="40% - Accent5 3 4 3 3" xfId="41787" xr:uid="{065AF35B-B076-41DF-9DE6-1EFBBF7638AF}"/>
    <cellStyle name="40% - Accent5 3 4 3 4" xfId="23189" xr:uid="{661B7184-8C4D-4801-A89E-321F996E7846}"/>
    <cellStyle name="40% - Accent5 3 4 4" xfId="10525" xr:uid="{6EF0DA39-75D2-4E8B-8167-825D82339D82}"/>
    <cellStyle name="40% - Accent5 3 4 4 2" xfId="46867" xr:uid="{999E661A-0AB5-41F5-B0C2-C4AE311C3BAC}"/>
    <cellStyle name="40% - Accent5 3 4 4 3" xfId="28271" xr:uid="{9E11320C-71BF-457A-A88F-0CC341DB6AF8}"/>
    <cellStyle name="40% - Accent5 3 4 5" xfId="37570" xr:uid="{95B58319-CFEE-4AC3-9393-D3EE307E67B6}"/>
    <cellStyle name="40% - Accent5 3 4 6" xfId="18972" xr:uid="{8797A5CE-79F7-4B99-8A45-B258CA5B9E08}"/>
    <cellStyle name="40% - Accent5 3 5" xfId="1522" xr:uid="{00000000-0005-0000-0000-0000AF060000}"/>
    <cellStyle name="40% - Accent5 3 5 2" xfId="3752" xr:uid="{00000000-0005-0000-0000-0000B0060000}"/>
    <cellStyle name="40% - Accent5 3 5 2 2" xfId="7974" xr:uid="{00000000-0005-0000-0000-0000B1060000}"/>
    <cellStyle name="40% - Accent5 3 5 2 2 2" xfId="17300" xr:uid="{E156ED2B-F6AC-46B7-B749-C9C506C0A20A}"/>
    <cellStyle name="40% - Accent5 3 5 2 2 2 2" xfId="53642" xr:uid="{6F13BE9A-DCB2-4E94-B4C4-B07B8C1E5D7A}"/>
    <cellStyle name="40% - Accent5 3 5 2 2 2 3" xfId="35046" xr:uid="{17132E5B-9057-4755-9A4E-F49553415CA0}"/>
    <cellStyle name="40% - Accent5 3 5 2 2 3" xfId="44345" xr:uid="{F73413B8-E338-437B-9014-03934D73E171}"/>
    <cellStyle name="40% - Accent5 3 5 2 2 4" xfId="25747" xr:uid="{F8528A49-930F-429D-BEE9-4212C1E882E8}"/>
    <cellStyle name="40% - Accent5 3 5 2 3" xfId="13083" xr:uid="{9BD9C496-394A-4D92-A2C7-344705C2678B}"/>
    <cellStyle name="40% - Accent5 3 5 2 3 2" xfId="49425" xr:uid="{6D42A342-0248-4C4E-8953-C40B5570C3E4}"/>
    <cellStyle name="40% - Accent5 3 5 2 3 3" xfId="30829" xr:uid="{970DF1B6-EC72-4CE9-8FE0-E67897BEEA46}"/>
    <cellStyle name="40% - Accent5 3 5 2 4" xfId="40128" xr:uid="{82B3EA96-82D8-4D71-824F-8E0EC1B81361}"/>
    <cellStyle name="40% - Accent5 3 5 2 5" xfId="21530" xr:uid="{79CA0481-3053-4928-A923-1D98C07FE4F8}"/>
    <cellStyle name="40% - Accent5 3 5 3" xfId="5829" xr:uid="{00000000-0005-0000-0000-0000B2060000}"/>
    <cellStyle name="40% - Accent5 3 5 3 2" xfId="15155" xr:uid="{6CD58642-3522-4C20-8402-6037A9F6F9C4}"/>
    <cellStyle name="40% - Accent5 3 5 3 2 2" xfId="51497" xr:uid="{AB81A646-B23B-45DE-ABC6-5E585B82055C}"/>
    <cellStyle name="40% - Accent5 3 5 3 2 3" xfId="32901" xr:uid="{B6AE9173-AA77-4E43-851B-16AE155410C2}"/>
    <cellStyle name="40% - Accent5 3 5 3 3" xfId="42200" xr:uid="{91CFFBA4-C512-4C24-855F-126071F16561}"/>
    <cellStyle name="40% - Accent5 3 5 3 4" xfId="23602" xr:uid="{8C143BB5-244E-4748-96FD-428D3C693016}"/>
    <cellStyle name="40% - Accent5 3 5 4" xfId="10938" xr:uid="{24BE40CD-1435-465F-BFCC-0D6991B93D1D}"/>
    <cellStyle name="40% - Accent5 3 5 4 2" xfId="47280" xr:uid="{88032005-3EDF-4659-B5EE-50429C776D88}"/>
    <cellStyle name="40% - Accent5 3 5 4 3" xfId="28684" xr:uid="{18400FCF-81CD-41DB-8BE9-C973B28CC732}"/>
    <cellStyle name="40% - Accent5 3 5 5" xfId="37983" xr:uid="{126FF08D-EE68-488A-91BB-8791817018CD}"/>
    <cellStyle name="40% - Accent5 3 5 6" xfId="19385" xr:uid="{D68E45C6-9615-451A-B6FC-CE6FE51F0448}"/>
    <cellStyle name="40% - Accent5 3 6" xfId="1936" xr:uid="{00000000-0005-0000-0000-0000B3060000}"/>
    <cellStyle name="40% - Accent5 3 6 2" xfId="4165" xr:uid="{00000000-0005-0000-0000-0000B4060000}"/>
    <cellStyle name="40% - Accent5 3 6 2 2" xfId="8387" xr:uid="{00000000-0005-0000-0000-0000B5060000}"/>
    <cellStyle name="40% - Accent5 3 6 2 2 2" xfId="17713" xr:uid="{0735A98C-FFA6-40B0-86E0-1F1C4EEAFD27}"/>
    <cellStyle name="40% - Accent5 3 6 2 2 2 2" xfId="54055" xr:uid="{0FA3F3A0-6B4A-4F33-A91D-04C2095D73FD}"/>
    <cellStyle name="40% - Accent5 3 6 2 2 2 3" xfId="35459" xr:uid="{B1B3ECBC-FBAB-4355-9C7B-49B7D1E2E494}"/>
    <cellStyle name="40% - Accent5 3 6 2 2 3" xfId="44758" xr:uid="{03DA3BA3-89B9-461F-A1A8-CC2F6AF386A5}"/>
    <cellStyle name="40% - Accent5 3 6 2 2 4" xfId="26160" xr:uid="{0D1CB7B4-DB83-492B-B8E5-20FA5C3F6B26}"/>
    <cellStyle name="40% - Accent5 3 6 2 3" xfId="13496" xr:uid="{BCA703E3-6039-46D5-B7AD-D459E2D3A259}"/>
    <cellStyle name="40% - Accent5 3 6 2 3 2" xfId="49838" xr:uid="{366DCAAB-FAAF-44B9-BBAB-57D9DAFA076B}"/>
    <cellStyle name="40% - Accent5 3 6 2 3 3" xfId="31242" xr:uid="{EEAEBAC0-0D2A-469B-977D-B8FE59F12F94}"/>
    <cellStyle name="40% - Accent5 3 6 2 4" xfId="40541" xr:uid="{7C982FAD-A194-434D-A026-2411CD2B5CA3}"/>
    <cellStyle name="40% - Accent5 3 6 2 5" xfId="21943" xr:uid="{5DA462B5-4F3A-4A9D-87CC-9BBFFA794298}"/>
    <cellStyle name="40% - Accent5 3 6 3" xfId="6242" xr:uid="{00000000-0005-0000-0000-0000B6060000}"/>
    <cellStyle name="40% - Accent5 3 6 3 2" xfId="15568" xr:uid="{C9B3F334-7CAF-4F13-8647-0A4B65A9BE0A}"/>
    <cellStyle name="40% - Accent5 3 6 3 2 2" xfId="51910" xr:uid="{59E3CF54-6B15-41DC-B90D-89D60495C350}"/>
    <cellStyle name="40% - Accent5 3 6 3 2 3" xfId="33314" xr:uid="{C269D9FB-5607-4EA4-8BEA-33616264014B}"/>
    <cellStyle name="40% - Accent5 3 6 3 3" xfId="42613" xr:uid="{67DA6F6C-8244-4FE6-AA47-A9922C0699D9}"/>
    <cellStyle name="40% - Accent5 3 6 3 4" xfId="24015" xr:uid="{B043B059-7680-4365-8B10-EBE43DB6E79E}"/>
    <cellStyle name="40% - Accent5 3 6 4" xfId="11351" xr:uid="{8A8E3F85-3ADE-4694-BC3B-3858D68DD6FA}"/>
    <cellStyle name="40% - Accent5 3 6 4 2" xfId="47693" xr:uid="{21EB7682-7044-4753-B4D7-5F04AC17A115}"/>
    <cellStyle name="40% - Accent5 3 6 4 3" xfId="29097" xr:uid="{9F728E53-6955-4215-9489-CB98FFDE16D6}"/>
    <cellStyle name="40% - Accent5 3 6 5" xfId="38396" xr:uid="{DFD6C14F-3C2F-4116-857D-1CF64ACB5A9E}"/>
    <cellStyle name="40% - Accent5 3 6 6" xfId="19798" xr:uid="{2B8254B0-C415-4D32-90A9-8836B6F09D6B}"/>
    <cellStyle name="40% - Accent5 3 7" xfId="2349" xr:uid="{00000000-0005-0000-0000-0000B7060000}"/>
    <cellStyle name="40% - Accent5 3 7 2" xfId="6655" xr:uid="{00000000-0005-0000-0000-0000B8060000}"/>
    <cellStyle name="40% - Accent5 3 7 2 2" xfId="15981" xr:uid="{1DB5BEBA-CAE6-4ADB-9643-BA3CDD1D2400}"/>
    <cellStyle name="40% - Accent5 3 7 2 2 2" xfId="52323" xr:uid="{8DF8A86C-C81D-447B-8739-12296C2E236A}"/>
    <cellStyle name="40% - Accent5 3 7 2 2 3" xfId="33727" xr:uid="{BA2C6A76-F1A7-4F2F-9FBA-28103A50BF8F}"/>
    <cellStyle name="40% - Accent5 3 7 2 3" xfId="43026" xr:uid="{F41D6935-5D9F-49FA-BB0F-D8FED7EE5E15}"/>
    <cellStyle name="40% - Accent5 3 7 2 4" xfId="24428" xr:uid="{0BF2F416-5A32-4B0B-8DD7-2D438C632A7C}"/>
    <cellStyle name="40% - Accent5 3 7 3" xfId="11764" xr:uid="{43F40151-3BD5-46AC-B56D-F75B24D8BE54}"/>
    <cellStyle name="40% - Accent5 3 7 3 2" xfId="48106" xr:uid="{B404479D-A715-4B26-8E32-A0D2551B46B0}"/>
    <cellStyle name="40% - Accent5 3 7 3 3" xfId="29510" xr:uid="{71F2EB81-1249-4243-822E-F737FDBC2893}"/>
    <cellStyle name="40% - Accent5 3 7 4" xfId="38809" xr:uid="{00861AE6-CDBF-4305-9B28-EA8DA820AF7E}"/>
    <cellStyle name="40% - Accent5 3 7 5" xfId="20211" xr:uid="{4B56FF4E-94B0-4C0D-9EDE-FF28B3B7ACAD}"/>
    <cellStyle name="40% - Accent5 3 8" xfId="4589" xr:uid="{00000000-0005-0000-0000-0000B9060000}"/>
    <cellStyle name="40% - Accent5 3 8 2" xfId="13915" xr:uid="{E5CCDD20-06AD-4C9C-AD2F-3D5885953477}"/>
    <cellStyle name="40% - Accent5 3 8 2 2" xfId="50257" xr:uid="{A1D37AD9-D0BE-4689-948E-AE0B284159B5}"/>
    <cellStyle name="40% - Accent5 3 8 2 3" xfId="31661" xr:uid="{8BF76E80-EDD1-4D33-809C-4F5B7169CB67}"/>
    <cellStyle name="40% - Accent5 3 8 3" xfId="40960" xr:uid="{DA89DE91-8DE4-4B65-8ADD-64D184D7AE13}"/>
    <cellStyle name="40% - Accent5 3 8 4" xfId="22362" xr:uid="{740EC6B8-9268-4536-92B9-F73C3B25DF51}"/>
    <cellStyle name="40% - Accent5 3 9" xfId="8870" xr:uid="{F7DB5D96-1272-4D48-B3B6-48053CFCBA44}"/>
    <cellStyle name="40% - Accent5 3 9 2" xfId="35940" xr:uid="{FB289BCE-5AF3-4C18-A9C9-30BCF76715F9}"/>
    <cellStyle name="40% - Accent5 3 9 2 2" xfId="54535" xr:uid="{5EAE86D4-1422-43AB-B1AC-9CF373964D71}"/>
    <cellStyle name="40% - Accent5 3 9 3" xfId="45238" xr:uid="{B1101FCD-2669-4707-A702-D0D673E80730}"/>
    <cellStyle name="40% - Accent5 3 9 4" xfId="26641" xr:uid="{B25D913D-7B1D-4652-A3E2-166F8500B2EE}"/>
    <cellStyle name="40% - Accent5 4" xfId="88" xr:uid="{00000000-0005-0000-0000-0000BA060000}"/>
    <cellStyle name="40% - Accent5 4 10" xfId="36745" xr:uid="{5F8074C1-9C37-41C5-A1EF-0D627AC151D7}"/>
    <cellStyle name="40% - Accent5 4 11" xfId="18147" xr:uid="{916067D0-F57B-481F-8317-A80A0CE6794C}"/>
    <cellStyle name="40% - Accent5 4 2" xfId="657" xr:uid="{00000000-0005-0000-0000-0000BB060000}"/>
    <cellStyle name="40% - Accent5 4 2 2" xfId="2928" xr:uid="{00000000-0005-0000-0000-0000BC060000}"/>
    <cellStyle name="40% - Accent5 4 2 2 2" xfId="7150" xr:uid="{00000000-0005-0000-0000-0000BD060000}"/>
    <cellStyle name="40% - Accent5 4 2 2 2 2" xfId="16476" xr:uid="{EADA78CC-EAB6-4A3F-A591-8988FC82938E}"/>
    <cellStyle name="40% - Accent5 4 2 2 2 2 2" xfId="52818" xr:uid="{33D728A8-7AE8-4543-93A4-8DF5129BD26C}"/>
    <cellStyle name="40% - Accent5 4 2 2 2 2 3" xfId="34222" xr:uid="{FD2624A3-3FB1-482E-849D-25C9EAA838C2}"/>
    <cellStyle name="40% - Accent5 4 2 2 2 3" xfId="43521" xr:uid="{09A694E5-26A8-44BB-8D3C-61B9FC5F5C85}"/>
    <cellStyle name="40% - Accent5 4 2 2 2 4" xfId="24923" xr:uid="{44EF9D79-CFED-41EA-A1D7-035283E6AC54}"/>
    <cellStyle name="40% - Accent5 4 2 2 3" xfId="12259" xr:uid="{2E7DA6A9-904F-40EC-BB2C-A995E2FFC1ED}"/>
    <cellStyle name="40% - Accent5 4 2 2 3 2" xfId="48601" xr:uid="{4DE11054-8664-404F-B24C-07052FAA2B23}"/>
    <cellStyle name="40% - Accent5 4 2 2 3 3" xfId="30005" xr:uid="{2A9F50FA-EB89-42AC-A127-252ABCD88734}"/>
    <cellStyle name="40% - Accent5 4 2 2 4" xfId="39304" xr:uid="{D0E54686-9AA1-42C0-9FBC-9EA5D069930E}"/>
    <cellStyle name="40% - Accent5 4 2 2 5" xfId="20706" xr:uid="{54C8E5CC-93D2-4111-BCDD-6D0802540AC0}"/>
    <cellStyle name="40% - Accent5 4 2 3" xfId="5005" xr:uid="{00000000-0005-0000-0000-0000BE060000}"/>
    <cellStyle name="40% - Accent5 4 2 3 2" xfId="14331" xr:uid="{E1CB2F1F-A44E-492F-BD91-4AFA4CDA2D35}"/>
    <cellStyle name="40% - Accent5 4 2 3 2 2" xfId="50673" xr:uid="{C7293C9A-C960-4B9B-A47B-74EAF1D0EAD1}"/>
    <cellStyle name="40% - Accent5 4 2 3 2 3" xfId="32077" xr:uid="{36047948-2C89-4D58-AF9F-F0C407163E61}"/>
    <cellStyle name="40% - Accent5 4 2 3 3" xfId="41376" xr:uid="{E87A84E9-E14D-4B46-9AD7-875D31236651}"/>
    <cellStyle name="40% - Accent5 4 2 3 4" xfId="22778" xr:uid="{5D477A4C-0471-464B-962D-2126902F224C}"/>
    <cellStyle name="40% - Accent5 4 2 4" xfId="9381" xr:uid="{6D86932C-AFC4-4FF0-967D-0F56E90E02E1}"/>
    <cellStyle name="40% - Accent5 4 2 4 2" xfId="36442" xr:uid="{4320C3A1-E712-4B47-AF06-C24C8AD085C3}"/>
    <cellStyle name="40% - Accent5 4 2 4 2 2" xfId="55036" xr:uid="{8CD4B8FF-5E9A-468E-AB55-5605ECCC63A9}"/>
    <cellStyle name="40% - Accent5 4 2 4 3" xfId="45739" xr:uid="{A6FDDDD6-E430-4527-B1DC-AE1CE2876014}"/>
    <cellStyle name="40% - Accent5 4 2 4 4" xfId="27143" xr:uid="{091ACF13-F935-44CA-9318-C19B83AB0A3E}"/>
    <cellStyle name="40% - Accent5 4 2 5" xfId="10114" xr:uid="{7EBB281E-09E9-4727-B2A1-C7D2FBEEAF6A}"/>
    <cellStyle name="40% - Accent5 4 2 5 2" xfId="46456" xr:uid="{A3816DC9-8131-4A4D-B5E9-4163DF86FC9D}"/>
    <cellStyle name="40% - Accent5 4 2 5 3" xfId="27860" xr:uid="{618777F0-E3FC-4FF7-BC56-60B4C4002AC1}"/>
    <cellStyle name="40% - Accent5 4 2 6" xfId="37159" xr:uid="{80567D78-F366-432B-BA97-CC712E690C2B}"/>
    <cellStyle name="40% - Accent5 4 2 7" xfId="18561" xr:uid="{4FBAC088-F299-4600-9816-DA80C40D3D37}"/>
    <cellStyle name="40% - Accent5 4 3" xfId="1110" xr:uid="{00000000-0005-0000-0000-0000BF060000}"/>
    <cellStyle name="40% - Accent5 4 3 2" xfId="3341" xr:uid="{00000000-0005-0000-0000-0000C0060000}"/>
    <cellStyle name="40% - Accent5 4 3 2 2" xfId="7563" xr:uid="{00000000-0005-0000-0000-0000C1060000}"/>
    <cellStyle name="40% - Accent5 4 3 2 2 2" xfId="16889" xr:uid="{B5F3E8F8-918A-4F01-862A-B0C0F6E6FFC9}"/>
    <cellStyle name="40% - Accent5 4 3 2 2 2 2" xfId="53231" xr:uid="{DF8F2D4F-EF9B-4588-B939-6472DECA5E56}"/>
    <cellStyle name="40% - Accent5 4 3 2 2 2 3" xfId="34635" xr:uid="{E60460D2-A00E-4A73-B93D-0DFA68B0B441}"/>
    <cellStyle name="40% - Accent5 4 3 2 2 3" xfId="43934" xr:uid="{C0AAD9B5-10DE-410E-85FF-C0EA91DA74B5}"/>
    <cellStyle name="40% - Accent5 4 3 2 2 4" xfId="25336" xr:uid="{4AE94337-12B8-4454-AE79-DEF0FC767F55}"/>
    <cellStyle name="40% - Accent5 4 3 2 3" xfId="12672" xr:uid="{4D1FC959-0B1B-4580-85F4-1A234E09258E}"/>
    <cellStyle name="40% - Accent5 4 3 2 3 2" xfId="49014" xr:uid="{E6B56776-9F22-4E6F-88D7-45CE0D545E1E}"/>
    <cellStyle name="40% - Accent5 4 3 2 3 3" xfId="30418" xr:uid="{2954D430-B4B1-4EB9-84E6-AA20B776CF0F}"/>
    <cellStyle name="40% - Accent5 4 3 2 4" xfId="39717" xr:uid="{1637660E-CA5C-4835-8D26-14F41800F8FF}"/>
    <cellStyle name="40% - Accent5 4 3 2 5" xfId="21119" xr:uid="{E6A35553-CA02-474F-836E-2259FF144DBE}"/>
    <cellStyle name="40% - Accent5 4 3 3" xfId="5418" xr:uid="{00000000-0005-0000-0000-0000C2060000}"/>
    <cellStyle name="40% - Accent5 4 3 3 2" xfId="14744" xr:uid="{A0B135B7-3682-4D92-8B38-3D69DD5F68FE}"/>
    <cellStyle name="40% - Accent5 4 3 3 2 2" xfId="51086" xr:uid="{47B49409-E014-41C8-8F88-1A506227E5BA}"/>
    <cellStyle name="40% - Accent5 4 3 3 2 3" xfId="32490" xr:uid="{D60DD833-CD7A-488A-A319-00ABA04BCA4E}"/>
    <cellStyle name="40% - Accent5 4 3 3 3" xfId="41789" xr:uid="{88D7D073-8F09-4AF5-98B2-73809DE1C7B4}"/>
    <cellStyle name="40% - Accent5 4 3 3 4" xfId="23191" xr:uid="{A5C24AA6-D30E-4422-9384-E56C2F31ADC0}"/>
    <cellStyle name="40% - Accent5 4 3 4" xfId="10527" xr:uid="{F6C277C9-E54B-491C-8138-0F6BFE34215E}"/>
    <cellStyle name="40% - Accent5 4 3 4 2" xfId="46869" xr:uid="{51F9C858-A346-4D04-97F8-F49F52C31293}"/>
    <cellStyle name="40% - Accent5 4 3 4 3" xfId="28273" xr:uid="{7938E3AE-BA6C-4131-9D14-AA70BDC69BE4}"/>
    <cellStyle name="40% - Accent5 4 3 5" xfId="37572" xr:uid="{59FA8990-B144-4A13-AA04-9293597C9DDC}"/>
    <cellStyle name="40% - Accent5 4 3 6" xfId="18974" xr:uid="{90CC4847-D51A-456E-B28D-8C4DFAF77828}"/>
    <cellStyle name="40% - Accent5 4 4" xfId="1524" xr:uid="{00000000-0005-0000-0000-0000C3060000}"/>
    <cellStyle name="40% - Accent5 4 4 2" xfId="3754" xr:uid="{00000000-0005-0000-0000-0000C4060000}"/>
    <cellStyle name="40% - Accent5 4 4 2 2" xfId="7976" xr:uid="{00000000-0005-0000-0000-0000C5060000}"/>
    <cellStyle name="40% - Accent5 4 4 2 2 2" xfId="17302" xr:uid="{EB478552-814C-46B7-BA80-57E25A135013}"/>
    <cellStyle name="40% - Accent5 4 4 2 2 2 2" xfId="53644" xr:uid="{7CDCB0F1-37BD-41DC-8601-D607874DD93A}"/>
    <cellStyle name="40% - Accent5 4 4 2 2 2 3" xfId="35048" xr:uid="{2320734D-2139-4140-86DB-A12E851CC56C}"/>
    <cellStyle name="40% - Accent5 4 4 2 2 3" xfId="44347" xr:uid="{58523266-EF53-46D2-8B7F-AA8EA8E0400E}"/>
    <cellStyle name="40% - Accent5 4 4 2 2 4" xfId="25749" xr:uid="{B876AB2D-DC5E-4F72-B6F2-888671AB3719}"/>
    <cellStyle name="40% - Accent5 4 4 2 3" xfId="13085" xr:uid="{E2356E58-D16A-4995-809D-B1918E04625F}"/>
    <cellStyle name="40% - Accent5 4 4 2 3 2" xfId="49427" xr:uid="{EA7733F6-FC53-4013-A62B-E059C03953AA}"/>
    <cellStyle name="40% - Accent5 4 4 2 3 3" xfId="30831" xr:uid="{4CEA8D8E-B42E-4764-944A-0B8C2F19E502}"/>
    <cellStyle name="40% - Accent5 4 4 2 4" xfId="40130" xr:uid="{5A7FCFFA-5B47-47A0-98A8-DEA78F569423}"/>
    <cellStyle name="40% - Accent5 4 4 2 5" xfId="21532" xr:uid="{A785B685-1EA4-4CF3-995E-3EB56C6739CA}"/>
    <cellStyle name="40% - Accent5 4 4 3" xfId="5831" xr:uid="{00000000-0005-0000-0000-0000C6060000}"/>
    <cellStyle name="40% - Accent5 4 4 3 2" xfId="15157" xr:uid="{0408DF0C-53B3-476C-8473-57EAEB9DE52C}"/>
    <cellStyle name="40% - Accent5 4 4 3 2 2" xfId="51499" xr:uid="{E892D356-325B-43F2-B35E-9F9D724686BC}"/>
    <cellStyle name="40% - Accent5 4 4 3 2 3" xfId="32903" xr:uid="{EDB9C523-C7E3-4ACA-920B-3CD77C3AE9D1}"/>
    <cellStyle name="40% - Accent5 4 4 3 3" xfId="42202" xr:uid="{94F4C9D2-1D14-4E35-9252-719318B01C01}"/>
    <cellStyle name="40% - Accent5 4 4 3 4" xfId="23604" xr:uid="{D91479F4-C7A1-4124-A3FC-36285A9BBB58}"/>
    <cellStyle name="40% - Accent5 4 4 4" xfId="10940" xr:uid="{8CEEE70F-DCF6-4A1E-B765-42E47598A6E2}"/>
    <cellStyle name="40% - Accent5 4 4 4 2" xfId="47282" xr:uid="{6CE26B03-4519-4614-A20C-EC50DBE7424F}"/>
    <cellStyle name="40% - Accent5 4 4 4 3" xfId="28686" xr:uid="{FC70F0B0-FE44-4E1C-B418-1F5B107B3257}"/>
    <cellStyle name="40% - Accent5 4 4 5" xfId="37985" xr:uid="{0C7C741E-6218-4968-825A-55F7A5066D1A}"/>
    <cellStyle name="40% - Accent5 4 4 6" xfId="19387" xr:uid="{1323F693-FBE6-4D8D-BAED-C9A595E874B9}"/>
    <cellStyle name="40% - Accent5 4 5" xfId="1938" xr:uid="{00000000-0005-0000-0000-0000C7060000}"/>
    <cellStyle name="40% - Accent5 4 5 2" xfId="4167" xr:uid="{00000000-0005-0000-0000-0000C8060000}"/>
    <cellStyle name="40% - Accent5 4 5 2 2" xfId="8389" xr:uid="{00000000-0005-0000-0000-0000C9060000}"/>
    <cellStyle name="40% - Accent5 4 5 2 2 2" xfId="17715" xr:uid="{630D6E03-CACF-4916-B8CF-17A63E9798AA}"/>
    <cellStyle name="40% - Accent5 4 5 2 2 2 2" xfId="54057" xr:uid="{C87BA364-174D-43CE-BC1D-086085BAF18E}"/>
    <cellStyle name="40% - Accent5 4 5 2 2 2 3" xfId="35461" xr:uid="{4497377C-2684-498D-BE7D-21C654E6B37C}"/>
    <cellStyle name="40% - Accent5 4 5 2 2 3" xfId="44760" xr:uid="{CE94198B-01FF-4507-A5BF-E7D760BC5C72}"/>
    <cellStyle name="40% - Accent5 4 5 2 2 4" xfId="26162" xr:uid="{F27914B1-0E99-4B9B-BF2B-5E0CB1208F38}"/>
    <cellStyle name="40% - Accent5 4 5 2 3" xfId="13498" xr:uid="{F1ED8C05-1E62-4C09-8DFC-F05EC37A5807}"/>
    <cellStyle name="40% - Accent5 4 5 2 3 2" xfId="49840" xr:uid="{3B1F2ED7-5D22-4A1C-AD62-EBCA90F86430}"/>
    <cellStyle name="40% - Accent5 4 5 2 3 3" xfId="31244" xr:uid="{D5FDC3B2-FE4F-4D98-9B89-D795F4EC5B57}"/>
    <cellStyle name="40% - Accent5 4 5 2 4" xfId="40543" xr:uid="{A6A3AFC1-B3BC-427D-A904-8560B0BF797E}"/>
    <cellStyle name="40% - Accent5 4 5 2 5" xfId="21945" xr:uid="{D072A524-D3DA-4B88-87C8-7915F1CD5F61}"/>
    <cellStyle name="40% - Accent5 4 5 3" xfId="6244" xr:uid="{00000000-0005-0000-0000-0000CA060000}"/>
    <cellStyle name="40% - Accent5 4 5 3 2" xfId="15570" xr:uid="{B5B505F4-59D7-43BC-9919-5CF2A6FAA135}"/>
    <cellStyle name="40% - Accent5 4 5 3 2 2" xfId="51912" xr:uid="{0D69ED65-553B-4C0F-B8C8-6AC39BAC21E2}"/>
    <cellStyle name="40% - Accent5 4 5 3 2 3" xfId="33316" xr:uid="{7AA2ABDB-E7B5-402A-849D-03D686D16BEF}"/>
    <cellStyle name="40% - Accent5 4 5 3 3" xfId="42615" xr:uid="{F4CD1C46-2983-40FE-A117-1FCDFFECA332}"/>
    <cellStyle name="40% - Accent5 4 5 3 4" xfId="24017" xr:uid="{824C31D9-FF32-4B91-9741-CF18CC43F3B9}"/>
    <cellStyle name="40% - Accent5 4 5 4" xfId="11353" xr:uid="{2151D2D2-680F-4A97-A264-DCE02D9321CC}"/>
    <cellStyle name="40% - Accent5 4 5 4 2" xfId="47695" xr:uid="{00EB621D-5F1D-4B70-B7BA-184E9E1CFE5F}"/>
    <cellStyle name="40% - Accent5 4 5 4 3" xfId="29099" xr:uid="{C809F09B-BABA-4086-A4A2-407500B3C5D4}"/>
    <cellStyle name="40% - Accent5 4 5 5" xfId="38398" xr:uid="{51862534-1D43-41C9-86CD-FB5F8AD63662}"/>
    <cellStyle name="40% - Accent5 4 5 6" xfId="19800" xr:uid="{CD61DF2B-13F3-4D18-A3AA-9C40C91CFDF8}"/>
    <cellStyle name="40% - Accent5 4 6" xfId="2351" xr:uid="{00000000-0005-0000-0000-0000CB060000}"/>
    <cellStyle name="40% - Accent5 4 6 2" xfId="6657" xr:uid="{00000000-0005-0000-0000-0000CC060000}"/>
    <cellStyle name="40% - Accent5 4 6 2 2" xfId="15983" xr:uid="{404ECAE0-34F1-4BB6-9269-AD7E5F369F12}"/>
    <cellStyle name="40% - Accent5 4 6 2 2 2" xfId="52325" xr:uid="{C3818776-A43D-4B23-8574-C9044B8EDD18}"/>
    <cellStyle name="40% - Accent5 4 6 2 2 3" xfId="33729" xr:uid="{9007D6A2-B222-4170-BDA1-9EF0BFECABA2}"/>
    <cellStyle name="40% - Accent5 4 6 2 3" xfId="43028" xr:uid="{1CB03C2F-4F0B-4F31-BB9A-5C4B9A9F05C3}"/>
    <cellStyle name="40% - Accent5 4 6 2 4" xfId="24430" xr:uid="{A3005ED7-6D79-413E-9763-F9BC83F0C09A}"/>
    <cellStyle name="40% - Accent5 4 6 3" xfId="11766" xr:uid="{E431E205-C0FC-4F7C-A47F-F3F38638BAFB}"/>
    <cellStyle name="40% - Accent5 4 6 3 2" xfId="48108" xr:uid="{D035845E-55B1-4D62-9C2A-28417C85202B}"/>
    <cellStyle name="40% - Accent5 4 6 3 3" xfId="29512" xr:uid="{50531618-38AC-4177-A989-121460A4D814}"/>
    <cellStyle name="40% - Accent5 4 6 4" xfId="38811" xr:uid="{E2B9F141-DDD7-417E-882F-4098183CBDBE}"/>
    <cellStyle name="40% - Accent5 4 6 5" xfId="20213" xr:uid="{5EA84CF3-B37C-4B76-8C8B-5752CB29B207}"/>
    <cellStyle name="40% - Accent5 4 7" xfId="4591" xr:uid="{00000000-0005-0000-0000-0000CD060000}"/>
    <cellStyle name="40% - Accent5 4 7 2" xfId="13917" xr:uid="{47800840-CB3B-49C9-985E-B7EB455318F9}"/>
    <cellStyle name="40% - Accent5 4 7 2 2" xfId="50259" xr:uid="{85C9B5F1-6EC2-4F8F-AC23-0E4F10487D3D}"/>
    <cellStyle name="40% - Accent5 4 7 2 3" xfId="31663" xr:uid="{E0B2DA41-139F-436C-B296-3A620E6B9BF0}"/>
    <cellStyle name="40% - Accent5 4 7 3" xfId="40962" xr:uid="{AA101999-6FA6-4375-B88F-8A50D52C49AF}"/>
    <cellStyle name="40% - Accent5 4 7 4" xfId="22364" xr:uid="{85CC55B0-362C-4DB7-B4B8-7975C7D6B5D4}"/>
    <cellStyle name="40% - Accent5 4 8" xfId="8956" xr:uid="{20EBAEFE-DF5E-4B38-878B-CDA5BD3DABC1}"/>
    <cellStyle name="40% - Accent5 4 8 2" xfId="36026" xr:uid="{51939893-EF23-466B-BAEF-55C852025580}"/>
    <cellStyle name="40% - Accent5 4 8 2 2" xfId="54621" xr:uid="{B5A56FB0-A82A-4372-A5A5-461FE9AFD384}"/>
    <cellStyle name="40% - Accent5 4 8 3" xfId="45324" xr:uid="{FE92A1CD-DC09-45F9-A70E-C2AA45A5D757}"/>
    <cellStyle name="40% - Accent5 4 8 4" xfId="26727" xr:uid="{68892D6E-C8E4-43E9-8225-04B1D6FC7B4F}"/>
    <cellStyle name="40% - Accent5 4 9" xfId="9700" xr:uid="{154589FC-D0E7-438E-9C0B-576DF3AA2E53}"/>
    <cellStyle name="40% - Accent5 4 9 2" xfId="46042" xr:uid="{05809FFA-0369-4FD7-9341-365A2AA70ED2}"/>
    <cellStyle name="40% - Accent5 4 9 3" xfId="27446" xr:uid="{7D6B5010-2E3A-4BE4-A54C-5EED6E3E5580}"/>
    <cellStyle name="40% - Accent5 5" xfId="650" xr:uid="{00000000-0005-0000-0000-0000CE060000}"/>
    <cellStyle name="40% - Accent5 5 2" xfId="2921" xr:uid="{00000000-0005-0000-0000-0000CF060000}"/>
    <cellStyle name="40% - Accent5 5 2 2" xfId="7143" xr:uid="{00000000-0005-0000-0000-0000D0060000}"/>
    <cellStyle name="40% - Accent5 5 2 2 2" xfId="16469" xr:uid="{BA92B7DB-1754-4603-B2FC-4905D273E957}"/>
    <cellStyle name="40% - Accent5 5 2 2 2 2" xfId="52811" xr:uid="{966240E7-495A-4DAB-9F64-4FD7D2F1E5B0}"/>
    <cellStyle name="40% - Accent5 5 2 2 2 3" xfId="34215" xr:uid="{813997BE-7D11-40C7-9B20-9F433E5C9B61}"/>
    <cellStyle name="40% - Accent5 5 2 2 3" xfId="43514" xr:uid="{988CD6AC-80AB-439B-BF82-49A03614A827}"/>
    <cellStyle name="40% - Accent5 5 2 2 4" xfId="24916" xr:uid="{D3AD1CC6-2650-4AC4-8BB3-50A22CB995CA}"/>
    <cellStyle name="40% - Accent5 5 2 3" xfId="12252" xr:uid="{6EB133B9-9500-456C-941C-2BDB1F2F286A}"/>
    <cellStyle name="40% - Accent5 5 2 3 2" xfId="48594" xr:uid="{D2EF1598-4E80-4308-906F-1B170FEAF235}"/>
    <cellStyle name="40% - Accent5 5 2 3 3" xfId="29998" xr:uid="{55E349DC-00C9-4476-BFB5-A35B2E163879}"/>
    <cellStyle name="40% - Accent5 5 2 4" xfId="39297" xr:uid="{57A10674-C00E-4F2D-9174-517CFE701E1C}"/>
    <cellStyle name="40% - Accent5 5 2 5" xfId="20699" xr:uid="{781D392B-A067-41E3-9151-698BCE2DEE35}"/>
    <cellStyle name="40% - Accent5 5 3" xfId="4998" xr:uid="{00000000-0005-0000-0000-0000D1060000}"/>
    <cellStyle name="40% - Accent5 5 3 2" xfId="14324" xr:uid="{913CA897-A8E4-4205-B202-79D67B5E85CD}"/>
    <cellStyle name="40% - Accent5 5 3 2 2" xfId="50666" xr:uid="{89E781D0-1F75-41D9-8BDE-5129115AA574}"/>
    <cellStyle name="40% - Accent5 5 3 2 3" xfId="32070" xr:uid="{D1169033-E1CB-45F7-AC7A-849301CE63B6}"/>
    <cellStyle name="40% - Accent5 5 3 3" xfId="41369" xr:uid="{A301867B-27E8-4809-B421-37A6D8833429}"/>
    <cellStyle name="40% - Accent5 5 3 4" xfId="22771" xr:uid="{3BB56FAB-AB7B-47DF-A232-91AAA5FDD693}"/>
    <cellStyle name="40% - Accent5 5 4" xfId="9189" xr:uid="{AE9A155E-B06B-4FF1-8984-8F7810581B15}"/>
    <cellStyle name="40% - Accent5 5 4 2" xfId="36253" xr:uid="{FEB99496-3347-4CA5-BD94-8168A276A56E}"/>
    <cellStyle name="40% - Accent5 5 4 2 2" xfId="54847" xr:uid="{844B8D4A-CCA7-4AEC-953D-0AF96D5DDE53}"/>
    <cellStyle name="40% - Accent5 5 4 3" xfId="45550" xr:uid="{BDA1E355-C517-479D-9E96-C78BAF598D8C}"/>
    <cellStyle name="40% - Accent5 5 4 4" xfId="26954" xr:uid="{FFCD7194-4E2F-4B2C-8E53-CD85B78F2B25}"/>
    <cellStyle name="40% - Accent5 5 5" xfId="10107" xr:uid="{B8368E29-B149-448F-93C9-4C9EFC2CD8BB}"/>
    <cellStyle name="40% - Accent5 5 5 2" xfId="46449" xr:uid="{A790AAB1-82FF-474B-A2AF-94D4681ECEC4}"/>
    <cellStyle name="40% - Accent5 5 5 3" xfId="27853" xr:uid="{471F344A-4FBD-429C-8DF6-9D9252D1C6D3}"/>
    <cellStyle name="40% - Accent5 5 6" xfId="37152" xr:uid="{93578FDD-70BE-4E4B-BE55-8110A53C1605}"/>
    <cellStyle name="40% - Accent5 5 7" xfId="18554" xr:uid="{49492B31-2E50-4038-8CAA-9DBC28A4947E}"/>
    <cellStyle name="40% - Accent5 6" xfId="1103" xr:uid="{00000000-0005-0000-0000-0000D2060000}"/>
    <cellStyle name="40% - Accent5 6 2" xfId="3334" xr:uid="{00000000-0005-0000-0000-0000D3060000}"/>
    <cellStyle name="40% - Accent5 6 2 2" xfId="7556" xr:uid="{00000000-0005-0000-0000-0000D4060000}"/>
    <cellStyle name="40% - Accent5 6 2 2 2" xfId="16882" xr:uid="{6EF3DF12-D7C7-4F8E-B19B-B2AF1CF03FCA}"/>
    <cellStyle name="40% - Accent5 6 2 2 2 2" xfId="53224" xr:uid="{89D8FC66-DBC6-41FD-9B00-24B09F34715F}"/>
    <cellStyle name="40% - Accent5 6 2 2 2 3" xfId="34628" xr:uid="{5E2D66BD-A4F8-415C-B469-BBDE8170C660}"/>
    <cellStyle name="40% - Accent5 6 2 2 3" xfId="43927" xr:uid="{7FA682A4-1C08-4E4D-A22A-6A0977EF1C05}"/>
    <cellStyle name="40% - Accent5 6 2 2 4" xfId="25329" xr:uid="{A8A796CE-25D6-42E8-B053-F1780347F978}"/>
    <cellStyle name="40% - Accent5 6 2 3" xfId="12665" xr:uid="{2D3D6A19-C237-4C50-A7F0-735DE00C8E2E}"/>
    <cellStyle name="40% - Accent5 6 2 3 2" xfId="49007" xr:uid="{5506BC99-DB15-4345-83CA-441177217C74}"/>
    <cellStyle name="40% - Accent5 6 2 3 3" xfId="30411" xr:uid="{09430CA3-896C-4B51-A60C-014F83FCBE27}"/>
    <cellStyle name="40% - Accent5 6 2 4" xfId="39710" xr:uid="{554ABFD9-CD6C-425F-9207-52C0069C6A49}"/>
    <cellStyle name="40% - Accent5 6 2 5" xfId="21112" xr:uid="{820FC430-DF22-4632-989B-9EDA2C598545}"/>
    <cellStyle name="40% - Accent5 6 3" xfId="5411" xr:uid="{00000000-0005-0000-0000-0000D5060000}"/>
    <cellStyle name="40% - Accent5 6 3 2" xfId="14737" xr:uid="{86DB1327-36CF-4A18-9173-87173A0135C2}"/>
    <cellStyle name="40% - Accent5 6 3 2 2" xfId="51079" xr:uid="{0B9E78A5-9E13-4423-978A-951C3D5AC265}"/>
    <cellStyle name="40% - Accent5 6 3 2 3" xfId="32483" xr:uid="{F788AE85-BCB6-4EC7-B866-3FC7DCD2C2C4}"/>
    <cellStyle name="40% - Accent5 6 3 3" xfId="41782" xr:uid="{DFE0899D-BEE4-4DAC-B06F-E561BA8165F1}"/>
    <cellStyle name="40% - Accent5 6 3 4" xfId="23184" xr:uid="{20A12120-8266-46F8-A806-742064EB61C4}"/>
    <cellStyle name="40% - Accent5 6 4" xfId="10520" xr:uid="{20D0374E-A562-4BE4-9D6F-B02BEE0626E3}"/>
    <cellStyle name="40% - Accent5 6 4 2" xfId="46862" xr:uid="{8C20686A-382A-4E93-9A33-CBAAAACEBDE6}"/>
    <cellStyle name="40% - Accent5 6 4 3" xfId="28266" xr:uid="{6E62BA56-F134-48B2-A391-CE75BDE8BA66}"/>
    <cellStyle name="40% - Accent5 6 5" xfId="37565" xr:uid="{25D99CBA-8F2C-4744-B1E3-CA93AA0EC7BF}"/>
    <cellStyle name="40% - Accent5 6 6" xfId="18967" xr:uid="{B1B1853C-A5F8-4730-BDA9-B1E91230DBD9}"/>
    <cellStyle name="40% - Accent5 7" xfId="1517" xr:uid="{00000000-0005-0000-0000-0000D6060000}"/>
    <cellStyle name="40% - Accent5 7 2" xfId="3747" xr:uid="{00000000-0005-0000-0000-0000D7060000}"/>
    <cellStyle name="40% - Accent5 7 2 2" xfId="7969" xr:uid="{00000000-0005-0000-0000-0000D8060000}"/>
    <cellStyle name="40% - Accent5 7 2 2 2" xfId="17295" xr:uid="{C3277AC5-6BDF-426E-905B-8C798713E3C5}"/>
    <cellStyle name="40% - Accent5 7 2 2 2 2" xfId="53637" xr:uid="{A2EF85BC-1D68-4045-ABDB-5591CEDC662D}"/>
    <cellStyle name="40% - Accent5 7 2 2 2 3" xfId="35041" xr:uid="{323FCEFD-1014-4D3C-B575-5951A0F84695}"/>
    <cellStyle name="40% - Accent5 7 2 2 3" xfId="44340" xr:uid="{8B6F3EAB-48B3-48B3-AF7D-3E8476AD07F1}"/>
    <cellStyle name="40% - Accent5 7 2 2 4" xfId="25742" xr:uid="{E20D0C81-085A-4500-9773-C5D32825742A}"/>
    <cellStyle name="40% - Accent5 7 2 3" xfId="13078" xr:uid="{CA2BD2D0-8A0F-4542-B9D3-4A075DFA4CB1}"/>
    <cellStyle name="40% - Accent5 7 2 3 2" xfId="49420" xr:uid="{B34D0F58-5E23-4921-8CCF-43A78E1063F6}"/>
    <cellStyle name="40% - Accent5 7 2 3 3" xfId="30824" xr:uid="{D56306C6-514D-4663-8F5E-EF78E9742259}"/>
    <cellStyle name="40% - Accent5 7 2 4" xfId="40123" xr:uid="{89CD50BB-F7FE-4C92-9613-827D825D229B}"/>
    <cellStyle name="40% - Accent5 7 2 5" xfId="21525" xr:uid="{88A99E0E-82F5-40E3-A460-56AAB8B092BC}"/>
    <cellStyle name="40% - Accent5 7 3" xfId="5824" xr:uid="{00000000-0005-0000-0000-0000D9060000}"/>
    <cellStyle name="40% - Accent5 7 3 2" xfId="15150" xr:uid="{F8DE94BD-ECD8-43DE-A41C-82CF2042891E}"/>
    <cellStyle name="40% - Accent5 7 3 2 2" xfId="51492" xr:uid="{FEE2420D-4E7B-47CA-8626-0191A7638F30}"/>
    <cellStyle name="40% - Accent5 7 3 2 3" xfId="32896" xr:uid="{9613915D-83DC-4621-9B8D-DAAFAAF2F62A}"/>
    <cellStyle name="40% - Accent5 7 3 3" xfId="42195" xr:uid="{186F1395-119D-4328-85C7-B58796FCF790}"/>
    <cellStyle name="40% - Accent5 7 3 4" xfId="23597" xr:uid="{A809F8B7-D630-49F7-99B2-3346FAFCFFCF}"/>
    <cellStyle name="40% - Accent5 7 4" xfId="10933" xr:uid="{37230C7E-EECF-43C5-A7E8-FDF22917E937}"/>
    <cellStyle name="40% - Accent5 7 4 2" xfId="47275" xr:uid="{52F5F38A-9778-4C45-BE22-1439A544D571}"/>
    <cellStyle name="40% - Accent5 7 4 3" xfId="28679" xr:uid="{95BF4E6A-DFBF-4D7D-98EE-531354B156F1}"/>
    <cellStyle name="40% - Accent5 7 5" xfId="37978" xr:uid="{2FB511A9-DB38-4873-B074-7E13DB9DF680}"/>
    <cellStyle name="40% - Accent5 7 6" xfId="19380" xr:uid="{C05094C2-994E-4FD3-B50A-2814D381329F}"/>
    <cellStyle name="40% - Accent5 8" xfId="1931" xr:uid="{00000000-0005-0000-0000-0000DA060000}"/>
    <cellStyle name="40% - Accent5 8 2" xfId="4160" xr:uid="{00000000-0005-0000-0000-0000DB060000}"/>
    <cellStyle name="40% - Accent5 8 2 2" xfId="8382" xr:uid="{00000000-0005-0000-0000-0000DC060000}"/>
    <cellStyle name="40% - Accent5 8 2 2 2" xfId="17708" xr:uid="{A3D6EE6A-225C-460B-9276-ABFAED1EE37B}"/>
    <cellStyle name="40% - Accent5 8 2 2 2 2" xfId="54050" xr:uid="{855A0BE6-179D-4559-846E-554F9172BC91}"/>
    <cellStyle name="40% - Accent5 8 2 2 2 3" xfId="35454" xr:uid="{8E2D082D-7F7F-46BA-B1D7-A9DB3FD6421E}"/>
    <cellStyle name="40% - Accent5 8 2 2 3" xfId="44753" xr:uid="{69E0AD15-DCF0-4D68-B563-6F5A0AB2009C}"/>
    <cellStyle name="40% - Accent5 8 2 2 4" xfId="26155" xr:uid="{71E29032-823B-4002-A9BB-3D7DF5160D0D}"/>
    <cellStyle name="40% - Accent5 8 2 3" xfId="13491" xr:uid="{E645EFF1-BF03-448E-8068-E1C68F27892A}"/>
    <cellStyle name="40% - Accent5 8 2 3 2" xfId="49833" xr:uid="{3043EECC-03FF-4813-8FBB-5B93755D2DC8}"/>
    <cellStyle name="40% - Accent5 8 2 3 3" xfId="31237" xr:uid="{EB9B5570-6C6A-4996-B5A6-6CA9DB6931EF}"/>
    <cellStyle name="40% - Accent5 8 2 4" xfId="40536" xr:uid="{4DA68A35-63AD-4FA3-BCF7-88BE558177C2}"/>
    <cellStyle name="40% - Accent5 8 2 5" xfId="21938" xr:uid="{B8228A57-B93A-46D9-88E2-147A2762774A}"/>
    <cellStyle name="40% - Accent5 8 3" xfId="6237" xr:uid="{00000000-0005-0000-0000-0000DD060000}"/>
    <cellStyle name="40% - Accent5 8 3 2" xfId="15563" xr:uid="{D356A4BA-4245-452B-B355-1824EB037F7D}"/>
    <cellStyle name="40% - Accent5 8 3 2 2" xfId="51905" xr:uid="{7229B949-EF99-40A4-B6D3-0E2949FBF517}"/>
    <cellStyle name="40% - Accent5 8 3 2 3" xfId="33309" xr:uid="{676CEC4E-A6B0-4A1F-9A20-3C3A5CA9FC0E}"/>
    <cellStyle name="40% - Accent5 8 3 3" xfId="42608" xr:uid="{176A9546-F7EE-4A41-9C1C-045CEB7B0785}"/>
    <cellStyle name="40% - Accent5 8 3 4" xfId="24010" xr:uid="{9409839B-74C6-44E9-A554-620BC7690235}"/>
    <cellStyle name="40% - Accent5 8 4" xfId="11346" xr:uid="{810037B0-9BCB-4572-A89D-D57479037A93}"/>
    <cellStyle name="40% - Accent5 8 4 2" xfId="47688" xr:uid="{37599740-ACB3-4FAB-BD55-30E11C5C8792}"/>
    <cellStyle name="40% - Accent5 8 4 3" xfId="29092" xr:uid="{4065AECA-BB28-4340-AD58-D254D91745E4}"/>
    <cellStyle name="40% - Accent5 8 5" xfId="38391" xr:uid="{9FE015DB-AD37-4CF6-85C3-05652962A7D4}"/>
    <cellStyle name="40% - Accent5 8 6" xfId="19793" xr:uid="{42DA27ED-8FD0-4F26-A9A2-21A8FBD86F9C}"/>
    <cellStyle name="40% - Accent5 9" xfId="2344" xr:uid="{00000000-0005-0000-0000-0000DE060000}"/>
    <cellStyle name="40% - Accent5 9 2" xfId="6650" xr:uid="{00000000-0005-0000-0000-0000DF060000}"/>
    <cellStyle name="40% - Accent5 9 2 2" xfId="15976" xr:uid="{E7A8D8DB-2CF5-47DB-9272-1CADFC4CE065}"/>
    <cellStyle name="40% - Accent5 9 2 2 2" xfId="52318" xr:uid="{52476F0A-A5BF-433B-9BF0-2B7A99F1344D}"/>
    <cellStyle name="40% - Accent5 9 2 2 3" xfId="33722" xr:uid="{A6CB7EA4-9F42-421D-B02C-3B940BBAAA35}"/>
    <cellStyle name="40% - Accent5 9 2 3" xfId="43021" xr:uid="{375C5C56-691A-429F-8383-87D41AE9506A}"/>
    <cellStyle name="40% - Accent5 9 2 4" xfId="24423" xr:uid="{489534C1-0EA5-4D2A-B4A9-4FA7B1EEC23B}"/>
    <cellStyle name="40% - Accent5 9 3" xfId="11759" xr:uid="{992A6C09-7152-4FD0-B635-055230B36B56}"/>
    <cellStyle name="40% - Accent5 9 3 2" xfId="48101" xr:uid="{9DAB2C21-91EB-41E0-9E40-D6066FE2945A}"/>
    <cellStyle name="40% - Accent5 9 3 3" xfId="29505" xr:uid="{FA7E3657-2BEF-42B0-8907-2FDA4C0A0C58}"/>
    <cellStyle name="40% - Accent5 9 4" xfId="38804" xr:uid="{BAF3B946-E45B-4259-A956-D6FF4E600C61}"/>
    <cellStyle name="40% - Accent5 9 5" xfId="20206" xr:uid="{32E4CAA3-1B37-4F62-A2D6-48CC3DFDC978}"/>
    <cellStyle name="40% - Accent6" xfId="89" builtinId="51" customBuiltin="1"/>
    <cellStyle name="40% - Accent6 10" xfId="4592" xr:uid="{00000000-0005-0000-0000-0000E1060000}"/>
    <cellStyle name="40% - Accent6 10 2" xfId="13918" xr:uid="{88F0308F-0CB4-47E8-817D-B5354F895D3D}"/>
    <cellStyle name="40% - Accent6 10 2 2" xfId="50260" xr:uid="{42B74773-41C7-42B6-9FD8-A33A61CBD33D}"/>
    <cellStyle name="40% - Accent6 10 2 3" xfId="31664" xr:uid="{8EAA75ED-5421-4EB3-91E5-1C828DCADBA6}"/>
    <cellStyle name="40% - Accent6 10 3" xfId="40963" xr:uid="{C9F661AC-4302-4041-9151-C9A67BF9B787}"/>
    <cellStyle name="40% - Accent6 10 4" xfId="22365" xr:uid="{F1CF8299-7C14-4B7C-AE7A-B9AB9D224BCC}"/>
    <cellStyle name="40% - Accent6 11" xfId="8769" xr:uid="{8369FE49-3815-490F-BF3A-3BEB88E35DFA}"/>
    <cellStyle name="40% - Accent6 11 2" xfId="35839" xr:uid="{E1E3BD1D-39C8-4D7A-84F1-77F620F0F606}"/>
    <cellStyle name="40% - Accent6 11 2 2" xfId="54434" xr:uid="{9259541A-C16B-44C0-884F-728999FE0AC0}"/>
    <cellStyle name="40% - Accent6 11 3" xfId="45137" xr:uid="{9F92C743-40CF-4F81-91FC-566471DCD76A}"/>
    <cellStyle name="40% - Accent6 11 4" xfId="26540" xr:uid="{61DA85D4-EADC-4A2C-9532-9B6F14E9B799}"/>
    <cellStyle name="40% - Accent6 12" xfId="9701" xr:uid="{2ABE9916-2CD8-49A2-BA11-BCD122F7C282}"/>
    <cellStyle name="40% - Accent6 12 2" xfId="46043" xr:uid="{ED26D0FB-6BDE-408D-A036-86B8A314E3EF}"/>
    <cellStyle name="40% - Accent6 12 3" xfId="27447" xr:uid="{2DAE95EF-8CCF-477E-8B82-3738F9C1BF51}"/>
    <cellStyle name="40% - Accent6 13" xfId="36746" xr:uid="{6F2249E4-07B3-4EAA-AE63-58A8D4C35FF3}"/>
    <cellStyle name="40% - Accent6 14" xfId="18148" xr:uid="{17FEDC3E-0A5E-4073-AC2E-E29C56481058}"/>
    <cellStyle name="40% - Accent6 2" xfId="90" xr:uid="{00000000-0005-0000-0000-0000E2060000}"/>
    <cellStyle name="40% - Accent6 2 10" xfId="8803" xr:uid="{3530B69D-EB1D-41EA-A6FB-440FE4FE29AB}"/>
    <cellStyle name="40% - Accent6 2 10 2" xfId="35873" xr:uid="{AABD92A7-D64A-499E-8205-7D9AE46D7650}"/>
    <cellStyle name="40% - Accent6 2 10 2 2" xfId="54468" xr:uid="{5B17E52F-D856-4AB0-9370-B0C1AFEB6CE2}"/>
    <cellStyle name="40% - Accent6 2 10 3" xfId="45171" xr:uid="{34D8388C-8153-4FDF-BA2D-3E5AE56D320A}"/>
    <cellStyle name="40% - Accent6 2 10 4" xfId="26574" xr:uid="{11F16866-3519-42E5-B49F-C7C08FB24420}"/>
    <cellStyle name="40% - Accent6 2 11" xfId="9702" xr:uid="{8D7EF84B-F670-45C1-9FE8-7AFC5E858ECD}"/>
    <cellStyle name="40% - Accent6 2 11 2" xfId="46044" xr:uid="{A815B9C6-55B1-479C-BB05-4D713B2B251C}"/>
    <cellStyle name="40% - Accent6 2 11 3" xfId="27448" xr:uid="{8C5AB1E8-6C6B-4D64-A7FF-482BE98B84FD}"/>
    <cellStyle name="40% - Accent6 2 12" xfId="36747" xr:uid="{A19BD32F-AED0-43D7-A0A1-B8385BB3C3FB}"/>
    <cellStyle name="40% - Accent6 2 13" xfId="18149" xr:uid="{427B95BD-28E7-4DC4-B182-8511D925C9B9}"/>
    <cellStyle name="40% - Accent6 2 2" xfId="91" xr:uid="{00000000-0005-0000-0000-0000E3060000}"/>
    <cellStyle name="40% - Accent6 2 2 10" xfId="9703" xr:uid="{2E7C2860-014F-401C-AFAC-B2B3F053F3EB}"/>
    <cellStyle name="40% - Accent6 2 2 10 2" xfId="46045" xr:uid="{1660BB36-F851-4537-B014-72922F7A3FDF}"/>
    <cellStyle name="40% - Accent6 2 2 10 3" xfId="27449" xr:uid="{0F7B8966-E1CB-45D6-AA19-BB7C70E6C4D1}"/>
    <cellStyle name="40% - Accent6 2 2 11" xfId="36748" xr:uid="{221569D2-1C31-4290-BE56-A4A59B79FF0D}"/>
    <cellStyle name="40% - Accent6 2 2 12" xfId="18150" xr:uid="{3B34C1CD-378C-4440-9B7F-7B48EDE8A11A}"/>
    <cellStyle name="40% - Accent6 2 2 2" xfId="92" xr:uid="{00000000-0005-0000-0000-0000E4060000}"/>
    <cellStyle name="40% - Accent6 2 2 2 10" xfId="36749" xr:uid="{C7F4A747-70B0-4617-8248-A39C47E84B67}"/>
    <cellStyle name="40% - Accent6 2 2 2 11" xfId="18151" xr:uid="{39B82C77-D843-4020-8349-C5DF09A6A899}"/>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16480" xr:uid="{ED5E98FA-FEF7-4986-A7BE-F2E3CD1992CF}"/>
    <cellStyle name="40% - Accent6 2 2 2 2 2 2 2 2" xfId="52822" xr:uid="{2AC0662E-90E3-4691-8AF5-F8C4C86F4178}"/>
    <cellStyle name="40% - Accent6 2 2 2 2 2 2 2 3" xfId="34226" xr:uid="{F32D8EF0-D39C-4169-A98B-C5837F0E2F30}"/>
    <cellStyle name="40% - Accent6 2 2 2 2 2 2 3" xfId="43525" xr:uid="{7A95BE65-96BF-45B3-9F34-FAD50E3243C7}"/>
    <cellStyle name="40% - Accent6 2 2 2 2 2 2 4" xfId="24927" xr:uid="{DCA48F2A-4EE8-4C2C-A3C2-6275B73BA3E9}"/>
    <cellStyle name="40% - Accent6 2 2 2 2 2 3" xfId="12263" xr:uid="{D7F2A7AD-996F-4F76-88D9-06BAA486864D}"/>
    <cellStyle name="40% - Accent6 2 2 2 2 2 3 2" xfId="48605" xr:uid="{B73A14FC-7EC9-4734-B992-0E0A0B3D5692}"/>
    <cellStyle name="40% - Accent6 2 2 2 2 2 3 3" xfId="30009" xr:uid="{580B1CCA-4987-4B59-A5FC-A44154E4238D}"/>
    <cellStyle name="40% - Accent6 2 2 2 2 2 4" xfId="39308" xr:uid="{B8CE8F40-1123-438F-A41B-D417A95842C1}"/>
    <cellStyle name="40% - Accent6 2 2 2 2 2 5" xfId="20710" xr:uid="{715617A8-9366-4F3A-B7F5-AB60224848D9}"/>
    <cellStyle name="40% - Accent6 2 2 2 2 3" xfId="5009" xr:uid="{00000000-0005-0000-0000-0000E8060000}"/>
    <cellStyle name="40% - Accent6 2 2 2 2 3 2" xfId="14335" xr:uid="{90701C1A-994F-45F1-BCE6-43017759E1F8}"/>
    <cellStyle name="40% - Accent6 2 2 2 2 3 2 2" xfId="50677" xr:uid="{6D18CC40-4CCA-4E3B-96E7-C834C98A42CF}"/>
    <cellStyle name="40% - Accent6 2 2 2 2 3 2 3" xfId="32081" xr:uid="{5E537502-D9DA-46EE-924B-5FC16F9FAFD5}"/>
    <cellStyle name="40% - Accent6 2 2 2 2 3 3" xfId="41380" xr:uid="{18461E3C-E04E-4983-A531-73AF2B32DB28}"/>
    <cellStyle name="40% - Accent6 2 2 2 2 3 4" xfId="22782" xr:uid="{3075CAB7-B969-43A1-9C4B-AC9B5C3B5082}"/>
    <cellStyle name="40% - Accent6 2 2 2 2 4" xfId="9538" xr:uid="{D1801D0B-FDF1-4C59-8DE2-DEC53081BC5D}"/>
    <cellStyle name="40% - Accent6 2 2 2 2 4 2" xfId="36599" xr:uid="{59F959A0-56EE-4E0C-8FDB-4BCDFFC13AC4}"/>
    <cellStyle name="40% - Accent6 2 2 2 2 4 2 2" xfId="55193" xr:uid="{8FE23535-629E-43E3-9ABD-8645031B5A35}"/>
    <cellStyle name="40% - Accent6 2 2 2 2 4 3" xfId="45896" xr:uid="{199B44C0-5B48-429B-908D-FA524EDBA95E}"/>
    <cellStyle name="40% - Accent6 2 2 2 2 4 4" xfId="27300" xr:uid="{9737BB6C-C856-4682-95FA-7AB9FA836C79}"/>
    <cellStyle name="40% - Accent6 2 2 2 2 5" xfId="10118" xr:uid="{5485B5F0-D620-43AF-978B-14A34E1B033E}"/>
    <cellStyle name="40% - Accent6 2 2 2 2 5 2" xfId="46460" xr:uid="{C33984EC-1F6F-410A-B585-9D285C9380D0}"/>
    <cellStyle name="40% - Accent6 2 2 2 2 5 3" xfId="27864" xr:uid="{75AC2558-4871-4D07-8577-0D0776CE9B4F}"/>
    <cellStyle name="40% - Accent6 2 2 2 2 6" xfId="37163" xr:uid="{A056D745-1364-45FD-A184-AA5D255395E0}"/>
    <cellStyle name="40% - Accent6 2 2 2 2 7" xfId="18565" xr:uid="{5988F7D3-BEFC-4454-8041-9AD0E295B0D6}"/>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16893" xr:uid="{DBB0D31E-3FFA-47F8-B76E-98FEDAFEA9D9}"/>
    <cellStyle name="40% - Accent6 2 2 2 3 2 2 2 2" xfId="53235" xr:uid="{4552FFCC-833B-478C-948A-09FCFBCCA94C}"/>
    <cellStyle name="40% - Accent6 2 2 2 3 2 2 2 3" xfId="34639" xr:uid="{7ABD25B6-D93D-454A-9B3C-96A75DA1BF56}"/>
    <cellStyle name="40% - Accent6 2 2 2 3 2 2 3" xfId="43938" xr:uid="{787203C6-3C80-4F98-A64B-65418E6DC27F}"/>
    <cellStyle name="40% - Accent6 2 2 2 3 2 2 4" xfId="25340" xr:uid="{3014BDDF-1FEA-4358-A144-37FB082B1F18}"/>
    <cellStyle name="40% - Accent6 2 2 2 3 2 3" xfId="12676" xr:uid="{DF35949C-0613-4EC9-AB59-81BCCD693FD4}"/>
    <cellStyle name="40% - Accent6 2 2 2 3 2 3 2" xfId="49018" xr:uid="{CAD602E9-04A7-4360-85A7-3753C62171D0}"/>
    <cellStyle name="40% - Accent6 2 2 2 3 2 3 3" xfId="30422" xr:uid="{5C172B41-2C76-4200-AEBD-BF2EF5BEB301}"/>
    <cellStyle name="40% - Accent6 2 2 2 3 2 4" xfId="39721" xr:uid="{2A08F0EA-EE2B-48AD-B0AC-C117AA15304E}"/>
    <cellStyle name="40% - Accent6 2 2 2 3 2 5" xfId="21123" xr:uid="{F97299FA-9F8E-4BB4-AACE-1A31AD99C897}"/>
    <cellStyle name="40% - Accent6 2 2 2 3 3" xfId="5422" xr:uid="{00000000-0005-0000-0000-0000EC060000}"/>
    <cellStyle name="40% - Accent6 2 2 2 3 3 2" xfId="14748" xr:uid="{0E03EEF3-BD51-47B1-B68F-73E3382707A2}"/>
    <cellStyle name="40% - Accent6 2 2 2 3 3 2 2" xfId="51090" xr:uid="{66BCE4F4-0118-4FB4-A8A1-3A2A34D55C09}"/>
    <cellStyle name="40% - Accent6 2 2 2 3 3 2 3" xfId="32494" xr:uid="{B1FF992C-1A70-45D8-A78E-10D1A0F5EE3C}"/>
    <cellStyle name="40% - Accent6 2 2 2 3 3 3" xfId="41793" xr:uid="{442CE653-4C28-456F-998D-8334F7962B33}"/>
    <cellStyle name="40% - Accent6 2 2 2 3 3 4" xfId="23195" xr:uid="{AD6F3505-40E3-49B7-96EB-675011848975}"/>
    <cellStyle name="40% - Accent6 2 2 2 3 4" xfId="10531" xr:uid="{765D3CE0-92B8-4A72-ABCD-A8DDD9061CF6}"/>
    <cellStyle name="40% - Accent6 2 2 2 3 4 2" xfId="46873" xr:uid="{99CCEA8E-EC40-4CCF-AB65-A25BC432C877}"/>
    <cellStyle name="40% - Accent6 2 2 2 3 4 3" xfId="28277" xr:uid="{6DAAB4D4-FF87-48FF-A6C7-3735965CB965}"/>
    <cellStyle name="40% - Accent6 2 2 2 3 5" xfId="37576" xr:uid="{1F27A498-5E42-413F-A118-F112E8266D9F}"/>
    <cellStyle name="40% - Accent6 2 2 2 3 6" xfId="18978" xr:uid="{6DFC3EB3-1BEE-4C7F-83DA-662B880137EF}"/>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17306" xr:uid="{EEE3E3A7-6F43-4393-BC52-178049384BB4}"/>
    <cellStyle name="40% - Accent6 2 2 2 4 2 2 2 2" xfId="53648" xr:uid="{7F2D75DB-B5F3-411B-8C03-30678314CBF8}"/>
    <cellStyle name="40% - Accent6 2 2 2 4 2 2 2 3" xfId="35052" xr:uid="{C7136439-870C-4106-9521-62562BD4648C}"/>
    <cellStyle name="40% - Accent6 2 2 2 4 2 2 3" xfId="44351" xr:uid="{396763B2-BA6E-403A-9FDB-11EAAE5E5DEC}"/>
    <cellStyle name="40% - Accent6 2 2 2 4 2 2 4" xfId="25753" xr:uid="{6893B734-DB57-457E-8421-AAA1B0533A64}"/>
    <cellStyle name="40% - Accent6 2 2 2 4 2 3" xfId="13089" xr:uid="{B9D632F4-494A-4446-923F-E491AC32734B}"/>
    <cellStyle name="40% - Accent6 2 2 2 4 2 3 2" xfId="49431" xr:uid="{3F9D398F-B17D-48FC-85AE-CF1A9E750D71}"/>
    <cellStyle name="40% - Accent6 2 2 2 4 2 3 3" xfId="30835" xr:uid="{8CE78978-D2CB-4C62-AE6B-5DECCFC195E6}"/>
    <cellStyle name="40% - Accent6 2 2 2 4 2 4" xfId="40134" xr:uid="{3F34D495-79C4-4F9B-A9D6-0510565E0BD7}"/>
    <cellStyle name="40% - Accent6 2 2 2 4 2 5" xfId="21536" xr:uid="{774CE9F8-3691-4622-BF88-B06B26B44B50}"/>
    <cellStyle name="40% - Accent6 2 2 2 4 3" xfId="5835" xr:uid="{00000000-0005-0000-0000-0000F0060000}"/>
    <cellStyle name="40% - Accent6 2 2 2 4 3 2" xfId="15161" xr:uid="{39F14C44-924E-43F7-BBC4-38EA1294FFFE}"/>
    <cellStyle name="40% - Accent6 2 2 2 4 3 2 2" xfId="51503" xr:uid="{15BF5833-0FDF-46CC-84E6-35A9634F0557}"/>
    <cellStyle name="40% - Accent6 2 2 2 4 3 2 3" xfId="32907" xr:uid="{8B65ADDF-B0FD-4B31-B093-7FFEE2889701}"/>
    <cellStyle name="40% - Accent6 2 2 2 4 3 3" xfId="42206" xr:uid="{9C9D5EA4-E4F6-4D01-8335-CA7BDE1FA6C0}"/>
    <cellStyle name="40% - Accent6 2 2 2 4 3 4" xfId="23608" xr:uid="{92D28477-53C3-4A8A-8729-60E9115DA23C}"/>
    <cellStyle name="40% - Accent6 2 2 2 4 4" xfId="10944" xr:uid="{BD91AEF0-709A-42CC-B2AC-3616AAF6EA6A}"/>
    <cellStyle name="40% - Accent6 2 2 2 4 4 2" xfId="47286" xr:uid="{57D0C61C-B49D-4BCF-83E6-21140F5E8CF2}"/>
    <cellStyle name="40% - Accent6 2 2 2 4 4 3" xfId="28690" xr:uid="{759F3F28-378F-48ED-B933-00B5375F5576}"/>
    <cellStyle name="40% - Accent6 2 2 2 4 5" xfId="37989" xr:uid="{384CC0E5-E86F-46C5-8B57-4144E905D5EB}"/>
    <cellStyle name="40% - Accent6 2 2 2 4 6" xfId="19391" xr:uid="{BFDED98F-CDE6-4101-9B87-8FB9EAFD4EDD}"/>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17719" xr:uid="{7A8BE7DB-472E-4EDF-9AAC-27844C547749}"/>
    <cellStyle name="40% - Accent6 2 2 2 5 2 2 2 2" xfId="54061" xr:uid="{D08B637A-9060-488C-8255-DDDF563B67FA}"/>
    <cellStyle name="40% - Accent6 2 2 2 5 2 2 2 3" xfId="35465" xr:uid="{ECA8ED51-46BE-4C71-B0E6-E3DFAC0738B9}"/>
    <cellStyle name="40% - Accent6 2 2 2 5 2 2 3" xfId="44764" xr:uid="{8828E2ED-0A95-4D1A-94BA-EB78E99C1ABD}"/>
    <cellStyle name="40% - Accent6 2 2 2 5 2 2 4" xfId="26166" xr:uid="{E914D00F-A088-4001-8005-49CAE54A530C}"/>
    <cellStyle name="40% - Accent6 2 2 2 5 2 3" xfId="13502" xr:uid="{3A652D54-3C21-46E7-8889-F547BE389828}"/>
    <cellStyle name="40% - Accent6 2 2 2 5 2 3 2" xfId="49844" xr:uid="{FCED0F51-81ED-4765-9F6E-0CB4DBF4F95E}"/>
    <cellStyle name="40% - Accent6 2 2 2 5 2 3 3" xfId="31248" xr:uid="{26735AA7-BDB3-47F8-AB95-B66AC27BB1B1}"/>
    <cellStyle name="40% - Accent6 2 2 2 5 2 4" xfId="40547" xr:uid="{63DEAF2D-E713-4D66-A030-16879AEFA3A0}"/>
    <cellStyle name="40% - Accent6 2 2 2 5 2 5" xfId="21949" xr:uid="{13B317D8-8713-4C44-93B9-3CEEF246AD74}"/>
    <cellStyle name="40% - Accent6 2 2 2 5 3" xfId="6248" xr:uid="{00000000-0005-0000-0000-0000F4060000}"/>
    <cellStyle name="40% - Accent6 2 2 2 5 3 2" xfId="15574" xr:uid="{98EF6B7C-9D9C-4752-AE81-93884509F8E0}"/>
    <cellStyle name="40% - Accent6 2 2 2 5 3 2 2" xfId="51916" xr:uid="{6C6BD050-9274-41CF-BAC2-C9479E2B73D6}"/>
    <cellStyle name="40% - Accent6 2 2 2 5 3 2 3" xfId="33320" xr:uid="{54FEB559-57E4-464F-A990-3B93765E3712}"/>
    <cellStyle name="40% - Accent6 2 2 2 5 3 3" xfId="42619" xr:uid="{B2F0C3CE-6047-4962-A778-7C75024AA55E}"/>
    <cellStyle name="40% - Accent6 2 2 2 5 3 4" xfId="24021" xr:uid="{44231E25-005E-4562-964E-1486E861401E}"/>
    <cellStyle name="40% - Accent6 2 2 2 5 4" xfId="11357" xr:uid="{02945BFD-0451-4C50-AD68-83AB8A7820BA}"/>
    <cellStyle name="40% - Accent6 2 2 2 5 4 2" xfId="47699" xr:uid="{96E7E874-B0A9-4A2E-A48D-2BB055D2E10B}"/>
    <cellStyle name="40% - Accent6 2 2 2 5 4 3" xfId="29103" xr:uid="{B6C96BF3-05E4-4EFA-9BCF-98365D2AC731}"/>
    <cellStyle name="40% - Accent6 2 2 2 5 5" xfId="38402" xr:uid="{736AB775-DC03-4E2F-B99F-0C8D5776F5A4}"/>
    <cellStyle name="40% - Accent6 2 2 2 5 6" xfId="19804" xr:uid="{18EBE015-6437-45BB-B2C7-ECBB0C76BFAB}"/>
    <cellStyle name="40% - Accent6 2 2 2 6" xfId="2355" xr:uid="{00000000-0005-0000-0000-0000F5060000}"/>
    <cellStyle name="40% - Accent6 2 2 2 6 2" xfId="6661" xr:uid="{00000000-0005-0000-0000-0000F6060000}"/>
    <cellStyle name="40% - Accent6 2 2 2 6 2 2" xfId="15987" xr:uid="{65D44F63-60DE-4656-BF5E-FAEF0F44E6C2}"/>
    <cellStyle name="40% - Accent6 2 2 2 6 2 2 2" xfId="52329" xr:uid="{C6025476-B194-4EFA-82A0-35B504F33DE5}"/>
    <cellStyle name="40% - Accent6 2 2 2 6 2 2 3" xfId="33733" xr:uid="{D9D330E1-F224-44D9-BBB9-1AD12D38A301}"/>
    <cellStyle name="40% - Accent6 2 2 2 6 2 3" xfId="43032" xr:uid="{B939F0DD-E9B9-4A2E-93F3-E0C4EFD916A4}"/>
    <cellStyle name="40% - Accent6 2 2 2 6 2 4" xfId="24434" xr:uid="{CFE7A67F-ACB7-4296-87C2-310A5CFA5DF9}"/>
    <cellStyle name="40% - Accent6 2 2 2 6 3" xfId="11770" xr:uid="{19EB51AD-4C3B-4B2A-8576-5075E6ED530D}"/>
    <cellStyle name="40% - Accent6 2 2 2 6 3 2" xfId="48112" xr:uid="{05C051BA-4A97-4FB7-96EC-4923D700D001}"/>
    <cellStyle name="40% - Accent6 2 2 2 6 3 3" xfId="29516" xr:uid="{2D7D0CAC-4641-4173-8546-8A7025E79EF1}"/>
    <cellStyle name="40% - Accent6 2 2 2 6 4" xfId="38815" xr:uid="{2585288C-2A1C-485A-8D43-63148CA0823D}"/>
    <cellStyle name="40% - Accent6 2 2 2 6 5" xfId="20217" xr:uid="{13A10397-EA44-4205-8F18-582244496ECB}"/>
    <cellStyle name="40% - Accent6 2 2 2 7" xfId="4595" xr:uid="{00000000-0005-0000-0000-0000F7060000}"/>
    <cellStyle name="40% - Accent6 2 2 2 7 2" xfId="13921" xr:uid="{009ED4B1-2F10-42D5-8043-12B012151F2B}"/>
    <cellStyle name="40% - Accent6 2 2 2 7 2 2" xfId="50263" xr:uid="{A5409944-7B66-4551-B821-0FF29C56C76D}"/>
    <cellStyle name="40% - Accent6 2 2 2 7 2 3" xfId="31667" xr:uid="{3903D927-1233-4BF4-9091-555A05ED2336}"/>
    <cellStyle name="40% - Accent6 2 2 2 7 3" xfId="40966" xr:uid="{FB95964E-1CFB-4CC4-8A94-D72A9DFB8A37}"/>
    <cellStyle name="40% - Accent6 2 2 2 7 4" xfId="22368" xr:uid="{0756DAE4-B526-42E5-B424-A86F0C261F22}"/>
    <cellStyle name="40% - Accent6 2 2 2 8" xfId="9113" xr:uid="{D9373B4A-E1DA-437A-874A-FCE4D00708EB}"/>
    <cellStyle name="40% - Accent6 2 2 2 8 2" xfId="36183" xr:uid="{DB18C0A0-CC94-4D97-80E3-78EC7E41B201}"/>
    <cellStyle name="40% - Accent6 2 2 2 8 2 2" xfId="54778" xr:uid="{1B495F38-101A-459C-B0CE-80539FE06A7C}"/>
    <cellStyle name="40% - Accent6 2 2 2 8 3" xfId="45481" xr:uid="{A44F3E42-954B-47B8-B762-623F79D7B855}"/>
    <cellStyle name="40% - Accent6 2 2 2 8 4" xfId="26884" xr:uid="{0B67A06C-59D2-47E2-B0FF-9EE840A76A56}"/>
    <cellStyle name="40% - Accent6 2 2 2 9" xfId="9704" xr:uid="{32C301A2-1192-4AE4-B661-E358FDDD42A6}"/>
    <cellStyle name="40% - Accent6 2 2 2 9 2" xfId="46046" xr:uid="{2F87659D-5C0E-4C95-8457-28B395A32FD7}"/>
    <cellStyle name="40% - Accent6 2 2 2 9 3" xfId="27450" xr:uid="{1EDB9128-98F3-4D7F-BB69-D36C530AC37F}"/>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16479" xr:uid="{63D25F98-FA59-4404-8541-B43CA75F0444}"/>
    <cellStyle name="40% - Accent6 2 2 3 2 2 2 2" xfId="52821" xr:uid="{BEDB491D-6318-44F0-AF26-A6BECDDB8114}"/>
    <cellStyle name="40% - Accent6 2 2 3 2 2 2 3" xfId="34225" xr:uid="{51CB186F-7AC8-4493-A791-230DFBCF9B83}"/>
    <cellStyle name="40% - Accent6 2 2 3 2 2 3" xfId="43524" xr:uid="{B2781DC6-8919-425E-8DC0-00C29D897D17}"/>
    <cellStyle name="40% - Accent6 2 2 3 2 2 4" xfId="24926" xr:uid="{8F5CFBF6-1DFF-4A84-A221-55A748B70BEE}"/>
    <cellStyle name="40% - Accent6 2 2 3 2 3" xfId="12262" xr:uid="{D0D1D36D-EB4B-4984-89D7-704330F33E47}"/>
    <cellStyle name="40% - Accent6 2 2 3 2 3 2" xfId="48604" xr:uid="{A4AD630C-7F8F-4601-A497-59F62093BD69}"/>
    <cellStyle name="40% - Accent6 2 2 3 2 3 3" xfId="30008" xr:uid="{007A89EE-17CC-4A09-BD26-34B85A88B6B7}"/>
    <cellStyle name="40% - Accent6 2 2 3 2 4" xfId="39307" xr:uid="{29293AEA-4401-4593-8F73-3C498FA73D4B}"/>
    <cellStyle name="40% - Accent6 2 2 3 2 5" xfId="20709" xr:uid="{7AE67904-A0A9-437A-81F8-BE1AE791C32D}"/>
    <cellStyle name="40% - Accent6 2 2 3 3" xfId="5008" xr:uid="{00000000-0005-0000-0000-0000FB060000}"/>
    <cellStyle name="40% - Accent6 2 2 3 3 2" xfId="14334" xr:uid="{14BC0FA0-945A-4814-A4D9-5402B758E266}"/>
    <cellStyle name="40% - Accent6 2 2 3 3 2 2" xfId="50676" xr:uid="{23380FB4-A362-420E-A6E2-CE020C9C867A}"/>
    <cellStyle name="40% - Accent6 2 2 3 3 2 3" xfId="32080" xr:uid="{D9E77CB4-7861-4F6D-BD0F-5926700C613B}"/>
    <cellStyle name="40% - Accent6 2 2 3 3 3" xfId="41379" xr:uid="{37F4A969-C50B-4C90-B98C-ADC5616FB096}"/>
    <cellStyle name="40% - Accent6 2 2 3 3 4" xfId="22781" xr:uid="{B1D133DA-B7BE-4D42-B5C0-8E35DA7C53AB}"/>
    <cellStyle name="40% - Accent6 2 2 3 4" xfId="9331" xr:uid="{223B62DA-AA8A-4703-B6D5-D6AA8918B034}"/>
    <cellStyle name="40% - Accent6 2 2 3 4 2" xfId="36392" xr:uid="{0B25A563-01FB-4135-AF02-886806ECC140}"/>
    <cellStyle name="40% - Accent6 2 2 3 4 2 2" xfId="54986" xr:uid="{6539516A-FE8E-4B8E-8E37-0B041FE04351}"/>
    <cellStyle name="40% - Accent6 2 2 3 4 3" xfId="45689" xr:uid="{07FB9D50-2F80-4484-87DE-85692A260F5E}"/>
    <cellStyle name="40% - Accent6 2 2 3 4 4" xfId="27093" xr:uid="{C98953ED-9F31-489B-935C-1D48523321CB}"/>
    <cellStyle name="40% - Accent6 2 2 3 5" xfId="10117" xr:uid="{7CC31A12-621F-443F-A9DD-F6BE8406C9B6}"/>
    <cellStyle name="40% - Accent6 2 2 3 5 2" xfId="46459" xr:uid="{6E29DBA2-FCD6-4A4F-985B-F6F2180F1A86}"/>
    <cellStyle name="40% - Accent6 2 2 3 5 3" xfId="27863" xr:uid="{A2EAD8CB-CE72-4BFA-A78C-010DAF5468B6}"/>
    <cellStyle name="40% - Accent6 2 2 3 6" xfId="37162" xr:uid="{AE6D7E63-0E1B-49EA-8C36-08F977B3CC42}"/>
    <cellStyle name="40% - Accent6 2 2 3 7" xfId="18564" xr:uid="{0EDC71DF-56F6-47D3-B087-10195151CA20}"/>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16892" xr:uid="{E818F226-2017-47C5-9AF8-FB52CE25C5B5}"/>
    <cellStyle name="40% - Accent6 2 2 4 2 2 2 2" xfId="53234" xr:uid="{B29636AE-E003-4722-B969-39414D5EEC36}"/>
    <cellStyle name="40% - Accent6 2 2 4 2 2 2 3" xfId="34638" xr:uid="{89C8DD40-799E-463E-947D-787E64F03D3A}"/>
    <cellStyle name="40% - Accent6 2 2 4 2 2 3" xfId="43937" xr:uid="{0388D31C-A674-4F55-BBC3-E50A4A0ECABF}"/>
    <cellStyle name="40% - Accent6 2 2 4 2 2 4" xfId="25339" xr:uid="{0322BB04-A896-4E69-96CB-361D93F7BBBD}"/>
    <cellStyle name="40% - Accent6 2 2 4 2 3" xfId="12675" xr:uid="{A27BB08D-4453-422C-B820-E54B0E77D5E6}"/>
    <cellStyle name="40% - Accent6 2 2 4 2 3 2" xfId="49017" xr:uid="{DC46E122-10BB-4457-9967-8751164C8AC5}"/>
    <cellStyle name="40% - Accent6 2 2 4 2 3 3" xfId="30421" xr:uid="{DB8F7814-B238-44CB-A474-AA93D8925F1A}"/>
    <cellStyle name="40% - Accent6 2 2 4 2 4" xfId="39720" xr:uid="{988AF935-6EF9-4FBD-8470-700221F6CFD2}"/>
    <cellStyle name="40% - Accent6 2 2 4 2 5" xfId="21122" xr:uid="{7C390502-ADF5-45BE-A9FA-BADACB1DA4DB}"/>
    <cellStyle name="40% - Accent6 2 2 4 3" xfId="5421" xr:uid="{00000000-0005-0000-0000-0000FF060000}"/>
    <cellStyle name="40% - Accent6 2 2 4 3 2" xfId="14747" xr:uid="{4913FD8E-610F-46C4-AD40-1461DFA03ACD}"/>
    <cellStyle name="40% - Accent6 2 2 4 3 2 2" xfId="51089" xr:uid="{5122DD41-1E60-4931-A3FD-DD4E679ACBD5}"/>
    <cellStyle name="40% - Accent6 2 2 4 3 2 3" xfId="32493" xr:uid="{CF7F9855-4C6C-454E-9354-C2D70BEEC87D}"/>
    <cellStyle name="40% - Accent6 2 2 4 3 3" xfId="41792" xr:uid="{EFBE71F0-5D19-467C-87C5-5CCD7EA1F7F0}"/>
    <cellStyle name="40% - Accent6 2 2 4 3 4" xfId="23194" xr:uid="{EA530EB5-C489-4CF0-8055-D79A5F2768F9}"/>
    <cellStyle name="40% - Accent6 2 2 4 4" xfId="10530" xr:uid="{EC0CAC8B-4E57-47A5-89C6-6017868A0FCA}"/>
    <cellStyle name="40% - Accent6 2 2 4 4 2" xfId="46872" xr:uid="{047AB0E8-6F48-4AB0-91C0-B5CF94B48E14}"/>
    <cellStyle name="40% - Accent6 2 2 4 4 3" xfId="28276" xr:uid="{65295623-D549-44D2-92DC-7C10EEB8C48B}"/>
    <cellStyle name="40% - Accent6 2 2 4 5" xfId="37575" xr:uid="{9629A124-E6A5-47BD-AC39-CEC1AFDB3E54}"/>
    <cellStyle name="40% - Accent6 2 2 4 6" xfId="18977" xr:uid="{73821BB0-2DCB-4154-980D-BC738F4CC257}"/>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17305" xr:uid="{E9C27934-6EB9-4FB6-A1C7-A89E180BE9DF}"/>
    <cellStyle name="40% - Accent6 2 2 5 2 2 2 2" xfId="53647" xr:uid="{8EAE1727-9936-4250-B07F-52E8681D8720}"/>
    <cellStyle name="40% - Accent6 2 2 5 2 2 2 3" xfId="35051" xr:uid="{C3AD29AB-04DE-4CBB-9C0B-218B0DDDB183}"/>
    <cellStyle name="40% - Accent6 2 2 5 2 2 3" xfId="44350" xr:uid="{FCA7EB35-4F9C-479D-A635-57A1FB3911E0}"/>
    <cellStyle name="40% - Accent6 2 2 5 2 2 4" xfId="25752" xr:uid="{91C158FC-6DC0-46F9-B008-6507ECB5EB7E}"/>
    <cellStyle name="40% - Accent6 2 2 5 2 3" xfId="13088" xr:uid="{8DA8C181-6DFC-473B-A87D-C934A42AB250}"/>
    <cellStyle name="40% - Accent6 2 2 5 2 3 2" xfId="49430" xr:uid="{3542BCB2-3E98-45A0-8728-9149F430E765}"/>
    <cellStyle name="40% - Accent6 2 2 5 2 3 3" xfId="30834" xr:uid="{F0211EA8-FDA2-4991-9D2F-0F71E8E7F467}"/>
    <cellStyle name="40% - Accent6 2 2 5 2 4" xfId="40133" xr:uid="{7A9A1177-20F0-411B-96ED-CA48B18DDA4C}"/>
    <cellStyle name="40% - Accent6 2 2 5 2 5" xfId="21535" xr:uid="{18019419-8985-4B0E-BB95-35E39B22A98D}"/>
    <cellStyle name="40% - Accent6 2 2 5 3" xfId="5834" xr:uid="{00000000-0005-0000-0000-000003070000}"/>
    <cellStyle name="40% - Accent6 2 2 5 3 2" xfId="15160" xr:uid="{CED32C5A-ED04-4CE6-B860-482E358ABB6C}"/>
    <cellStyle name="40% - Accent6 2 2 5 3 2 2" xfId="51502" xr:uid="{3997027A-C16C-4C46-B899-34EE46BB27AB}"/>
    <cellStyle name="40% - Accent6 2 2 5 3 2 3" xfId="32906" xr:uid="{53213BE3-ED99-41F8-964B-47DD2B540DCA}"/>
    <cellStyle name="40% - Accent6 2 2 5 3 3" xfId="42205" xr:uid="{1F0A6156-CCAA-4A75-9040-BF3D2E831349}"/>
    <cellStyle name="40% - Accent6 2 2 5 3 4" xfId="23607" xr:uid="{F960248A-6E89-41B8-91D6-0DB3AA51E1E0}"/>
    <cellStyle name="40% - Accent6 2 2 5 4" xfId="10943" xr:uid="{40B57E64-E413-49D3-B760-DC205AF9B8A4}"/>
    <cellStyle name="40% - Accent6 2 2 5 4 2" xfId="47285" xr:uid="{9915A432-7863-47E3-A148-55634D394C36}"/>
    <cellStyle name="40% - Accent6 2 2 5 4 3" xfId="28689" xr:uid="{73A7C0B7-78A0-43C7-8771-3BAE95436231}"/>
    <cellStyle name="40% - Accent6 2 2 5 5" xfId="37988" xr:uid="{29D89483-14B0-4078-9B47-5F9C1E39557C}"/>
    <cellStyle name="40% - Accent6 2 2 5 6" xfId="19390" xr:uid="{AC5073C0-D548-4FC6-85C5-703AA3AF3D37}"/>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17718" xr:uid="{E9F9E867-5EA3-434C-B6D1-C6E33ADC51CA}"/>
    <cellStyle name="40% - Accent6 2 2 6 2 2 2 2" xfId="54060" xr:uid="{9BBEE77B-A8F5-4C13-9F4A-0D7B6D2874A7}"/>
    <cellStyle name="40% - Accent6 2 2 6 2 2 2 3" xfId="35464" xr:uid="{5115CE59-15B3-4943-83DB-74F11603AF25}"/>
    <cellStyle name="40% - Accent6 2 2 6 2 2 3" xfId="44763" xr:uid="{CD85224E-7C4F-4819-9A5B-C057518092A4}"/>
    <cellStyle name="40% - Accent6 2 2 6 2 2 4" xfId="26165" xr:uid="{95510D8D-8914-40E6-BEBA-01B8978DE13E}"/>
    <cellStyle name="40% - Accent6 2 2 6 2 3" xfId="13501" xr:uid="{58421DFC-4B6F-4FAD-B886-DC49BA8904E4}"/>
    <cellStyle name="40% - Accent6 2 2 6 2 3 2" xfId="49843" xr:uid="{363E572F-6623-4043-8BFC-68AFF98E5070}"/>
    <cellStyle name="40% - Accent6 2 2 6 2 3 3" xfId="31247" xr:uid="{4E608219-2CF1-4065-A4C5-32C4CB6CF259}"/>
    <cellStyle name="40% - Accent6 2 2 6 2 4" xfId="40546" xr:uid="{AFA3D87B-9760-427F-8D21-B8BEA941B891}"/>
    <cellStyle name="40% - Accent6 2 2 6 2 5" xfId="21948" xr:uid="{D399BF9E-5541-4FD9-B351-76BCA2DBEC6B}"/>
    <cellStyle name="40% - Accent6 2 2 6 3" xfId="6247" xr:uid="{00000000-0005-0000-0000-000007070000}"/>
    <cellStyle name="40% - Accent6 2 2 6 3 2" xfId="15573" xr:uid="{733CA4B9-A16D-474B-969C-86A8C30480B1}"/>
    <cellStyle name="40% - Accent6 2 2 6 3 2 2" xfId="51915" xr:uid="{1A1B31EC-FBB0-48C8-BC3C-8274120098F3}"/>
    <cellStyle name="40% - Accent6 2 2 6 3 2 3" xfId="33319" xr:uid="{5C429F90-3A29-438C-8964-3142EA663AA9}"/>
    <cellStyle name="40% - Accent6 2 2 6 3 3" xfId="42618" xr:uid="{E6AD3170-C36C-411A-A74A-7E333CC2C36C}"/>
    <cellStyle name="40% - Accent6 2 2 6 3 4" xfId="24020" xr:uid="{7D979C8B-4E07-4811-959B-3C0A0CA6402D}"/>
    <cellStyle name="40% - Accent6 2 2 6 4" xfId="11356" xr:uid="{524598F0-E8F7-44C0-AA17-99F017725DDB}"/>
    <cellStyle name="40% - Accent6 2 2 6 4 2" xfId="47698" xr:uid="{B6570DD5-E726-4E88-A221-FFA190A7DEE6}"/>
    <cellStyle name="40% - Accent6 2 2 6 4 3" xfId="29102" xr:uid="{0C5EEF34-A4DE-4718-A565-10DFD67A9F88}"/>
    <cellStyle name="40% - Accent6 2 2 6 5" xfId="38401" xr:uid="{131B2321-84B8-4AB6-A0C0-0EE80CBF43C3}"/>
    <cellStyle name="40% - Accent6 2 2 6 6" xfId="19803" xr:uid="{CE491796-20EC-4A91-89F3-43C6156826B2}"/>
    <cellStyle name="40% - Accent6 2 2 7" xfId="2354" xr:uid="{00000000-0005-0000-0000-000008070000}"/>
    <cellStyle name="40% - Accent6 2 2 7 2" xfId="6660" xr:uid="{00000000-0005-0000-0000-000009070000}"/>
    <cellStyle name="40% - Accent6 2 2 7 2 2" xfId="15986" xr:uid="{C0C3C526-9F53-4A6D-9671-9029821F8756}"/>
    <cellStyle name="40% - Accent6 2 2 7 2 2 2" xfId="52328" xr:uid="{4C9133A1-27D8-4B58-BB5D-9057038CC15C}"/>
    <cellStyle name="40% - Accent6 2 2 7 2 2 3" xfId="33732" xr:uid="{1B32E6CA-84E3-47B9-900D-1315F6DFBB4C}"/>
    <cellStyle name="40% - Accent6 2 2 7 2 3" xfId="43031" xr:uid="{B6643D3F-A582-4AC0-8DA6-65C1DD23A1F6}"/>
    <cellStyle name="40% - Accent6 2 2 7 2 4" xfId="24433" xr:uid="{FABAC63F-4184-44DE-A10D-722DF011ECFE}"/>
    <cellStyle name="40% - Accent6 2 2 7 3" xfId="11769" xr:uid="{597CE323-359D-4CF9-934B-63CDFFD99CB1}"/>
    <cellStyle name="40% - Accent6 2 2 7 3 2" xfId="48111" xr:uid="{63F7CCFB-BC3C-4175-B8B5-8BE54CA5F6C2}"/>
    <cellStyle name="40% - Accent6 2 2 7 3 3" xfId="29515" xr:uid="{C0A067CE-2EFD-4F7A-9D65-2D06A5B5B8DF}"/>
    <cellStyle name="40% - Accent6 2 2 7 4" xfId="38814" xr:uid="{398183FB-E368-4DBA-A7E0-A9CD74C6138C}"/>
    <cellStyle name="40% - Accent6 2 2 7 5" xfId="20216" xr:uid="{840F965A-C824-4189-9796-24448BCA7448}"/>
    <cellStyle name="40% - Accent6 2 2 8" xfId="4594" xr:uid="{00000000-0005-0000-0000-00000A070000}"/>
    <cellStyle name="40% - Accent6 2 2 8 2" xfId="13920" xr:uid="{498C2899-1598-4FC9-84DF-33FF67B90CCF}"/>
    <cellStyle name="40% - Accent6 2 2 8 2 2" xfId="50262" xr:uid="{39D2469A-00B2-4910-B464-24131D884EBB}"/>
    <cellStyle name="40% - Accent6 2 2 8 2 3" xfId="31666" xr:uid="{39883003-2D93-4CBD-A250-13313C596B1D}"/>
    <cellStyle name="40% - Accent6 2 2 8 3" xfId="40965" xr:uid="{1CBF0ACC-8E73-48F3-9F38-64A682B53109}"/>
    <cellStyle name="40% - Accent6 2 2 8 4" xfId="22367" xr:uid="{E99DA153-4523-4064-94D4-E52CE5900C18}"/>
    <cellStyle name="40% - Accent6 2 2 9" xfId="8906" xr:uid="{C30FCA09-BA1A-4F54-9397-4FC676425C46}"/>
    <cellStyle name="40% - Accent6 2 2 9 2" xfId="35976" xr:uid="{CEFFA4FC-EE53-4D21-9D7C-DDFE2B52A761}"/>
    <cellStyle name="40% - Accent6 2 2 9 2 2" xfId="54571" xr:uid="{679C2CB0-4D74-477E-9FE9-EC9F418D3E48}"/>
    <cellStyle name="40% - Accent6 2 2 9 3" xfId="45274" xr:uid="{158CC5B8-7C4D-4F0F-B174-292E2B9AC0F4}"/>
    <cellStyle name="40% - Accent6 2 2 9 4" xfId="26677" xr:uid="{68B5EA66-63EB-414F-BB5C-72E8A092D01A}"/>
    <cellStyle name="40% - Accent6 2 3" xfId="93" xr:uid="{00000000-0005-0000-0000-00000B070000}"/>
    <cellStyle name="40% - Accent6 2 3 10" xfId="36750" xr:uid="{606D9BD7-7F16-43ED-9B8E-C7F2D75A7B66}"/>
    <cellStyle name="40% - Accent6 2 3 11" xfId="18152" xr:uid="{A05A3554-1623-4E07-BF66-F4EA2758F49B}"/>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16481" xr:uid="{A78F13F1-DC34-4127-9FF0-C45B66898B53}"/>
    <cellStyle name="40% - Accent6 2 3 2 2 2 2 2" xfId="52823" xr:uid="{91F14CE0-9CF6-42FE-9457-C0C7222F6F64}"/>
    <cellStyle name="40% - Accent6 2 3 2 2 2 2 3" xfId="34227" xr:uid="{2D656289-EB53-492D-979E-5F06E4065962}"/>
    <cellStyle name="40% - Accent6 2 3 2 2 2 3" xfId="43526" xr:uid="{595AC531-FD57-437F-B3F7-3DBBF9FEBA89}"/>
    <cellStyle name="40% - Accent6 2 3 2 2 2 4" xfId="24928" xr:uid="{250CE2B9-F1BE-4F2F-A112-FCDFBB81DEE2}"/>
    <cellStyle name="40% - Accent6 2 3 2 2 3" xfId="12264" xr:uid="{451BCAEF-9D17-4CC1-A4BD-91D859CC244B}"/>
    <cellStyle name="40% - Accent6 2 3 2 2 3 2" xfId="48606" xr:uid="{073B7302-358A-4D6D-95F5-57712F122229}"/>
    <cellStyle name="40% - Accent6 2 3 2 2 3 3" xfId="30010" xr:uid="{D18BD5F3-8ACF-4B30-A5A7-2541ED934E9B}"/>
    <cellStyle name="40% - Accent6 2 3 2 2 4" xfId="39309" xr:uid="{E8D7429C-1146-4782-B87F-D8C88CFE82F4}"/>
    <cellStyle name="40% - Accent6 2 3 2 2 5" xfId="20711" xr:uid="{F35DBDB1-55A3-4EB0-986A-860007F87483}"/>
    <cellStyle name="40% - Accent6 2 3 2 3" xfId="5010" xr:uid="{00000000-0005-0000-0000-00000F070000}"/>
    <cellStyle name="40% - Accent6 2 3 2 3 2" xfId="14336" xr:uid="{F33D826B-D188-4EBA-B7A2-D6ACA6E6E914}"/>
    <cellStyle name="40% - Accent6 2 3 2 3 2 2" xfId="50678" xr:uid="{E9C11F73-DCC3-4E8F-B469-7F5F4629AD45}"/>
    <cellStyle name="40% - Accent6 2 3 2 3 2 3" xfId="32082" xr:uid="{73B8E286-B9F1-4346-9250-4321FA3E0F58}"/>
    <cellStyle name="40% - Accent6 2 3 2 3 3" xfId="41381" xr:uid="{7C88D1A1-4C56-46AB-83B2-37ADBE611B81}"/>
    <cellStyle name="40% - Accent6 2 3 2 3 4" xfId="22783" xr:uid="{4D446E53-47A5-4D6B-9185-FCA6836A713C}"/>
    <cellStyle name="40% - Accent6 2 3 2 4" xfId="9435" xr:uid="{36535681-1736-4584-8CB6-F8F38C9E0E5B}"/>
    <cellStyle name="40% - Accent6 2 3 2 4 2" xfId="36496" xr:uid="{95D61E05-5D43-412C-83D4-32216E4638B5}"/>
    <cellStyle name="40% - Accent6 2 3 2 4 2 2" xfId="55090" xr:uid="{7F5AF09F-CAF3-4A08-BA51-8B9E84A92089}"/>
    <cellStyle name="40% - Accent6 2 3 2 4 3" xfId="45793" xr:uid="{6FAA62BA-F4F7-4B0A-A156-FFB360337214}"/>
    <cellStyle name="40% - Accent6 2 3 2 4 4" xfId="27197" xr:uid="{C89670DB-6A36-4278-8D6A-C187A016DD7C}"/>
    <cellStyle name="40% - Accent6 2 3 2 5" xfId="10119" xr:uid="{CD0D90A1-7BCE-4459-AD8F-BBAC00B25D54}"/>
    <cellStyle name="40% - Accent6 2 3 2 5 2" xfId="46461" xr:uid="{19AF3F7E-04DE-4569-BDE1-7DC9DA70A084}"/>
    <cellStyle name="40% - Accent6 2 3 2 5 3" xfId="27865" xr:uid="{0E74E670-8947-4671-A680-AA0B6BD8A681}"/>
    <cellStyle name="40% - Accent6 2 3 2 6" xfId="37164" xr:uid="{78A853F7-05F7-4FBE-9E2C-069964ABC276}"/>
    <cellStyle name="40% - Accent6 2 3 2 7" xfId="18566" xr:uid="{FD3FF20E-02BE-4D86-8098-F393A1302EBB}"/>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16894" xr:uid="{0205035C-9D41-4285-A92D-A59E73C75DBB}"/>
    <cellStyle name="40% - Accent6 2 3 3 2 2 2 2" xfId="53236" xr:uid="{C084A296-2D04-4FE0-8E06-5E5EEB4301B3}"/>
    <cellStyle name="40% - Accent6 2 3 3 2 2 2 3" xfId="34640" xr:uid="{55C2A1AB-2F88-4939-9173-CB610083C89C}"/>
    <cellStyle name="40% - Accent6 2 3 3 2 2 3" xfId="43939" xr:uid="{FF569392-FAC7-4A49-8B03-23A4236DF0CC}"/>
    <cellStyle name="40% - Accent6 2 3 3 2 2 4" xfId="25341" xr:uid="{C54F38B3-B42A-4E54-9A6C-CA84DC949A22}"/>
    <cellStyle name="40% - Accent6 2 3 3 2 3" xfId="12677" xr:uid="{9F5FF282-F9BE-40F0-A7E9-5E1C798B4699}"/>
    <cellStyle name="40% - Accent6 2 3 3 2 3 2" xfId="49019" xr:uid="{FE83747A-EAC0-4CBF-A42E-C94F396DA1A0}"/>
    <cellStyle name="40% - Accent6 2 3 3 2 3 3" xfId="30423" xr:uid="{A6FC4ABD-9E2D-4826-8C21-EA61FBBB0CA0}"/>
    <cellStyle name="40% - Accent6 2 3 3 2 4" xfId="39722" xr:uid="{A72DFB08-8089-42E7-BC58-44CE5F01070C}"/>
    <cellStyle name="40% - Accent6 2 3 3 2 5" xfId="21124" xr:uid="{193B1FAF-1330-488C-9E34-BA6ED3069EDD}"/>
    <cellStyle name="40% - Accent6 2 3 3 3" xfId="5423" xr:uid="{00000000-0005-0000-0000-000013070000}"/>
    <cellStyle name="40% - Accent6 2 3 3 3 2" xfId="14749" xr:uid="{0D5B0862-1CF0-41FA-9558-A2589CCBC110}"/>
    <cellStyle name="40% - Accent6 2 3 3 3 2 2" xfId="51091" xr:uid="{8B38FFCD-33ED-4C86-A91A-C982C598A183}"/>
    <cellStyle name="40% - Accent6 2 3 3 3 2 3" xfId="32495" xr:uid="{FAC59875-A3A7-4ACE-96B7-B32F22044671}"/>
    <cellStyle name="40% - Accent6 2 3 3 3 3" xfId="41794" xr:uid="{1E254067-7CC1-4A7F-89DD-A45455CFCAD1}"/>
    <cellStyle name="40% - Accent6 2 3 3 3 4" xfId="23196" xr:uid="{681B121B-4AB3-486C-8815-518BE589C43D}"/>
    <cellStyle name="40% - Accent6 2 3 3 4" xfId="10532" xr:uid="{365851EE-D1E1-49A0-80FB-9454397E99CC}"/>
    <cellStyle name="40% - Accent6 2 3 3 4 2" xfId="46874" xr:uid="{5AA1F0B8-3D47-4E46-8CB5-CEA6071D7758}"/>
    <cellStyle name="40% - Accent6 2 3 3 4 3" xfId="28278" xr:uid="{4B858E14-2AFF-41B3-B70C-123C0733FBC6}"/>
    <cellStyle name="40% - Accent6 2 3 3 5" xfId="37577" xr:uid="{8C6E28B4-AFB1-4835-9BE8-EBC4C8965026}"/>
    <cellStyle name="40% - Accent6 2 3 3 6" xfId="18979" xr:uid="{DB3D8A34-E528-4EA5-ABC0-75457A30997B}"/>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17307" xr:uid="{A480AEE0-EB6B-4746-9248-2826F896A4A1}"/>
    <cellStyle name="40% - Accent6 2 3 4 2 2 2 2" xfId="53649" xr:uid="{210BFC52-4928-45E2-8C89-1298D9307B3A}"/>
    <cellStyle name="40% - Accent6 2 3 4 2 2 2 3" xfId="35053" xr:uid="{91B6A037-ECB1-40AC-9118-9E4C9393B6C9}"/>
    <cellStyle name="40% - Accent6 2 3 4 2 2 3" xfId="44352" xr:uid="{0421F7B4-3F93-42F7-9392-928A6DC6F847}"/>
    <cellStyle name="40% - Accent6 2 3 4 2 2 4" xfId="25754" xr:uid="{D4F345D6-CA4F-4B9D-A425-F988887AF28D}"/>
    <cellStyle name="40% - Accent6 2 3 4 2 3" xfId="13090" xr:uid="{692DB637-3E19-41C8-A800-FECDB834EB94}"/>
    <cellStyle name="40% - Accent6 2 3 4 2 3 2" xfId="49432" xr:uid="{C6D7FA5A-3CD5-4A58-9682-955A6BEE0DDB}"/>
    <cellStyle name="40% - Accent6 2 3 4 2 3 3" xfId="30836" xr:uid="{4E6769E0-09EF-45E4-8774-38881D194FC2}"/>
    <cellStyle name="40% - Accent6 2 3 4 2 4" xfId="40135" xr:uid="{065467F0-5136-4FB1-9CE5-01E9C8C5B061}"/>
    <cellStyle name="40% - Accent6 2 3 4 2 5" xfId="21537" xr:uid="{CA0FFF76-C24D-4AC9-AD55-EAFAC2315C85}"/>
    <cellStyle name="40% - Accent6 2 3 4 3" xfId="5836" xr:uid="{00000000-0005-0000-0000-000017070000}"/>
    <cellStyle name="40% - Accent6 2 3 4 3 2" xfId="15162" xr:uid="{31CF8219-6C29-4E63-B3C7-67EEB2F8EB64}"/>
    <cellStyle name="40% - Accent6 2 3 4 3 2 2" xfId="51504" xr:uid="{9AD106A3-24FE-4E2C-90D6-2968DDF151C7}"/>
    <cellStyle name="40% - Accent6 2 3 4 3 2 3" xfId="32908" xr:uid="{CDFE4C70-3504-4455-9CF1-2E1E8A7F10FB}"/>
    <cellStyle name="40% - Accent6 2 3 4 3 3" xfId="42207" xr:uid="{7B4D1038-E961-400C-810B-C9CAEA7CA03F}"/>
    <cellStyle name="40% - Accent6 2 3 4 3 4" xfId="23609" xr:uid="{B3108D80-9A8D-4432-8C46-54237FA76949}"/>
    <cellStyle name="40% - Accent6 2 3 4 4" xfId="10945" xr:uid="{28149B25-C1BE-4870-B324-BB5735C1D550}"/>
    <cellStyle name="40% - Accent6 2 3 4 4 2" xfId="47287" xr:uid="{E0D55D5B-622C-4AE0-B9FE-7E10D44DA637}"/>
    <cellStyle name="40% - Accent6 2 3 4 4 3" xfId="28691" xr:uid="{3986B7B7-BA44-4F1C-82FE-3B625D9091A7}"/>
    <cellStyle name="40% - Accent6 2 3 4 5" xfId="37990" xr:uid="{EF131968-C241-48E8-8149-75E72BBB2EDF}"/>
    <cellStyle name="40% - Accent6 2 3 4 6" xfId="19392" xr:uid="{10914387-FA19-4B67-9071-8F892F1F5923}"/>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17720" xr:uid="{5D1C14D5-BD68-46E4-8675-32DEC017DA4B}"/>
    <cellStyle name="40% - Accent6 2 3 5 2 2 2 2" xfId="54062" xr:uid="{5A3F444A-24E8-4395-8383-AE32AD3B2D83}"/>
    <cellStyle name="40% - Accent6 2 3 5 2 2 2 3" xfId="35466" xr:uid="{CB7E2EA5-6B8E-415D-9AD5-156CE9EBBE2E}"/>
    <cellStyle name="40% - Accent6 2 3 5 2 2 3" xfId="44765" xr:uid="{C0CF7EE5-09B6-4DAC-ABCF-A177C78B17E3}"/>
    <cellStyle name="40% - Accent6 2 3 5 2 2 4" xfId="26167" xr:uid="{AB87552F-10FF-4230-84B8-D3FE70129F9C}"/>
    <cellStyle name="40% - Accent6 2 3 5 2 3" xfId="13503" xr:uid="{76ED2927-4314-4DD8-BFF0-C2B608CADAAA}"/>
    <cellStyle name="40% - Accent6 2 3 5 2 3 2" xfId="49845" xr:uid="{215B9AF8-B617-4B54-B32E-E9294306613C}"/>
    <cellStyle name="40% - Accent6 2 3 5 2 3 3" xfId="31249" xr:uid="{F3CF25D0-2CE5-493D-B3A1-1F533C1EECB0}"/>
    <cellStyle name="40% - Accent6 2 3 5 2 4" xfId="40548" xr:uid="{6719F5C8-2B64-43C0-9FF6-ACE570269879}"/>
    <cellStyle name="40% - Accent6 2 3 5 2 5" xfId="21950" xr:uid="{F38FB029-5546-4B3D-9FFF-6B3EF9BD92FE}"/>
    <cellStyle name="40% - Accent6 2 3 5 3" xfId="6249" xr:uid="{00000000-0005-0000-0000-00001B070000}"/>
    <cellStyle name="40% - Accent6 2 3 5 3 2" xfId="15575" xr:uid="{5F8C629B-7679-44AC-A980-AD785C2D6B65}"/>
    <cellStyle name="40% - Accent6 2 3 5 3 2 2" xfId="51917" xr:uid="{713993CD-D775-423C-AF04-EA52BE798FF2}"/>
    <cellStyle name="40% - Accent6 2 3 5 3 2 3" xfId="33321" xr:uid="{2D9FF3DE-AB3A-4AA3-84B3-DF9233BBAD63}"/>
    <cellStyle name="40% - Accent6 2 3 5 3 3" xfId="42620" xr:uid="{037C3BC6-A48D-4765-938C-F72734656269}"/>
    <cellStyle name="40% - Accent6 2 3 5 3 4" xfId="24022" xr:uid="{657142A4-65A0-4192-B673-5992E3D8EF62}"/>
    <cellStyle name="40% - Accent6 2 3 5 4" xfId="11358" xr:uid="{AC97023F-2500-4829-A3B0-5385D50D4868}"/>
    <cellStyle name="40% - Accent6 2 3 5 4 2" xfId="47700" xr:uid="{57CAA5E1-B0DD-4DD2-9BE2-F27015985FFF}"/>
    <cellStyle name="40% - Accent6 2 3 5 4 3" xfId="29104" xr:uid="{BD74B56F-24C1-4291-B36D-250BA334CF00}"/>
    <cellStyle name="40% - Accent6 2 3 5 5" xfId="38403" xr:uid="{F49B12AE-074B-458E-B160-5FE5F111FEE9}"/>
    <cellStyle name="40% - Accent6 2 3 5 6" xfId="19805" xr:uid="{689104FD-D10E-474C-AAA1-09774107D672}"/>
    <cellStyle name="40% - Accent6 2 3 6" xfId="2356" xr:uid="{00000000-0005-0000-0000-00001C070000}"/>
    <cellStyle name="40% - Accent6 2 3 6 2" xfId="6662" xr:uid="{00000000-0005-0000-0000-00001D070000}"/>
    <cellStyle name="40% - Accent6 2 3 6 2 2" xfId="15988" xr:uid="{3597F5A4-5266-4C02-B3B1-108F3E97F297}"/>
    <cellStyle name="40% - Accent6 2 3 6 2 2 2" xfId="52330" xr:uid="{F1507666-74E7-455C-9BB2-E68CEF944F69}"/>
    <cellStyle name="40% - Accent6 2 3 6 2 2 3" xfId="33734" xr:uid="{A3EDF956-A306-40CA-8B0D-5AB621C8B38B}"/>
    <cellStyle name="40% - Accent6 2 3 6 2 3" xfId="43033" xr:uid="{19C36964-E40E-4AA8-9D4F-DAEB84630B78}"/>
    <cellStyle name="40% - Accent6 2 3 6 2 4" xfId="24435" xr:uid="{47864A11-CA2E-43AC-8266-DD1010E87A15}"/>
    <cellStyle name="40% - Accent6 2 3 6 3" xfId="11771" xr:uid="{FFB3C44C-35F9-4A38-9C65-3CB5472C6B7B}"/>
    <cellStyle name="40% - Accent6 2 3 6 3 2" xfId="48113" xr:uid="{2A616F97-A36F-4ABF-953B-B6F4DCE792B1}"/>
    <cellStyle name="40% - Accent6 2 3 6 3 3" xfId="29517" xr:uid="{88A2B16C-A1CE-4781-BEFC-3986856199C5}"/>
    <cellStyle name="40% - Accent6 2 3 6 4" xfId="38816" xr:uid="{423024EA-DC23-4BF0-AD68-4B39F9738687}"/>
    <cellStyle name="40% - Accent6 2 3 6 5" xfId="20218" xr:uid="{AA60363E-409E-4C48-ACE0-C1B6A182E927}"/>
    <cellStyle name="40% - Accent6 2 3 7" xfId="4596" xr:uid="{00000000-0005-0000-0000-00001E070000}"/>
    <cellStyle name="40% - Accent6 2 3 7 2" xfId="13922" xr:uid="{EBA4858E-A2DC-49C0-8941-1C1DE21CF317}"/>
    <cellStyle name="40% - Accent6 2 3 7 2 2" xfId="50264" xr:uid="{DA74C5E6-9643-4DE5-99CA-3904289CC5C5}"/>
    <cellStyle name="40% - Accent6 2 3 7 2 3" xfId="31668" xr:uid="{A063A6A8-33E2-4843-8EA8-C1EB41C17935}"/>
    <cellStyle name="40% - Accent6 2 3 7 3" xfId="40967" xr:uid="{937CBA18-CED2-429F-BF81-E79F280BB1C9}"/>
    <cellStyle name="40% - Accent6 2 3 7 4" xfId="22369" xr:uid="{12BA9DE6-C424-4930-B117-BB0F6EF3B8F4}"/>
    <cellStyle name="40% - Accent6 2 3 8" xfId="9010" xr:uid="{63E1B5F8-FE5F-441F-B768-94B1D98CB2B1}"/>
    <cellStyle name="40% - Accent6 2 3 8 2" xfId="36080" xr:uid="{7F00C9E4-DB5C-454B-9888-6862AA5E5045}"/>
    <cellStyle name="40% - Accent6 2 3 8 2 2" xfId="54675" xr:uid="{BCADB1B8-56E2-40FF-9A01-760B88FF14FB}"/>
    <cellStyle name="40% - Accent6 2 3 8 3" xfId="45378" xr:uid="{FDAA5BF8-15BB-4130-9532-FCC8F7B35B98}"/>
    <cellStyle name="40% - Accent6 2 3 8 4" xfId="26781" xr:uid="{9ABA9AE4-E6D8-4E15-8D0A-652E2052C5AC}"/>
    <cellStyle name="40% - Accent6 2 3 9" xfId="9705" xr:uid="{48E8D5B5-28F3-47EB-A78B-BA9550B8C7C2}"/>
    <cellStyle name="40% - Accent6 2 3 9 2" xfId="46047" xr:uid="{F223B8C0-E97C-4F3E-A48C-1DF7F6D7BE80}"/>
    <cellStyle name="40% - Accent6 2 3 9 3" xfId="27451" xr:uid="{B399D943-B355-48B8-B3FE-72E4A1DE1271}"/>
    <cellStyle name="40% - Accent6 2 4" xfId="659" xr:uid="{00000000-0005-0000-0000-00001F070000}"/>
    <cellStyle name="40% - Accent6 2 4 2" xfId="2930" xr:uid="{00000000-0005-0000-0000-000020070000}"/>
    <cellStyle name="40% - Accent6 2 4 2 2" xfId="7152" xr:uid="{00000000-0005-0000-0000-000021070000}"/>
    <cellStyle name="40% - Accent6 2 4 2 2 2" xfId="16478" xr:uid="{EBF2C53C-82BA-4D1C-B7F7-D9C9A47126E5}"/>
    <cellStyle name="40% - Accent6 2 4 2 2 2 2" xfId="52820" xr:uid="{4237C01B-BBED-4547-B7AE-B4EA0D640759}"/>
    <cellStyle name="40% - Accent6 2 4 2 2 2 3" xfId="34224" xr:uid="{3EA927E8-7C4E-4718-B9B8-14D0FC8FCC5D}"/>
    <cellStyle name="40% - Accent6 2 4 2 2 3" xfId="43523" xr:uid="{41766B6E-F3E7-4A5F-B6A3-C5FE6787BFCC}"/>
    <cellStyle name="40% - Accent6 2 4 2 2 4" xfId="24925" xr:uid="{D80CE9F2-6828-4185-A74A-09F85CFE5CC1}"/>
    <cellStyle name="40% - Accent6 2 4 2 3" xfId="12261" xr:uid="{2D713D0D-E5E4-4415-878C-D52D7E4D97D8}"/>
    <cellStyle name="40% - Accent6 2 4 2 3 2" xfId="48603" xr:uid="{0E77D415-A174-4591-8BFE-5A944B7FEC3E}"/>
    <cellStyle name="40% - Accent6 2 4 2 3 3" xfId="30007" xr:uid="{5524CAB7-2242-4B86-AD2F-4ACDBA6595F3}"/>
    <cellStyle name="40% - Accent6 2 4 2 4" xfId="39306" xr:uid="{D06314B4-2A05-4FAB-A55D-E70BD77D1C35}"/>
    <cellStyle name="40% - Accent6 2 4 2 5" xfId="20708" xr:uid="{011D44DB-E9D3-49B2-B992-543C88E3536E}"/>
    <cellStyle name="40% - Accent6 2 4 3" xfId="5007" xr:uid="{00000000-0005-0000-0000-000022070000}"/>
    <cellStyle name="40% - Accent6 2 4 3 2" xfId="14333" xr:uid="{D75D2DAF-9A72-44DA-93B9-C28808F93B6E}"/>
    <cellStyle name="40% - Accent6 2 4 3 2 2" xfId="50675" xr:uid="{741A1C2A-D4E1-404D-B8F5-FB016FA0FEA1}"/>
    <cellStyle name="40% - Accent6 2 4 3 2 3" xfId="32079" xr:uid="{101C78B1-533C-463B-8B2C-580CF988C2CA}"/>
    <cellStyle name="40% - Accent6 2 4 3 3" xfId="41378" xr:uid="{1833B848-BDEB-4E95-ABE3-2FB2EEA23E2D}"/>
    <cellStyle name="40% - Accent6 2 4 3 4" xfId="22780" xr:uid="{4A8F31A5-21F4-4DC7-929D-3A7A1F99D09B}"/>
    <cellStyle name="40% - Accent6 2 4 4" xfId="9227" xr:uid="{61BC3AC1-FAE9-47DF-8143-7EECE05FF8D3}"/>
    <cellStyle name="40% - Accent6 2 4 4 2" xfId="36289" xr:uid="{4F2B909E-24C2-4F9D-BFD9-3C7B7DA83C9C}"/>
    <cellStyle name="40% - Accent6 2 4 4 2 2" xfId="54883" xr:uid="{F79BB5E9-C399-4D4C-B174-CB5C9D25A349}"/>
    <cellStyle name="40% - Accent6 2 4 4 3" xfId="45586" xr:uid="{8B1D44C5-324F-4EEC-A2CD-682EDBF75057}"/>
    <cellStyle name="40% - Accent6 2 4 4 4" xfId="26990" xr:uid="{A44D465B-3650-4445-B2F0-9E059CE1FDBE}"/>
    <cellStyle name="40% - Accent6 2 4 5" xfId="10116" xr:uid="{75C1F329-D360-4C14-A3ED-F2D06ACFA4F5}"/>
    <cellStyle name="40% - Accent6 2 4 5 2" xfId="46458" xr:uid="{7F0B77C8-C925-4C84-BC22-EC517BA3A4E8}"/>
    <cellStyle name="40% - Accent6 2 4 5 3" xfId="27862" xr:uid="{61F75172-C48E-49A4-9372-9F558F340E82}"/>
    <cellStyle name="40% - Accent6 2 4 6" xfId="37161" xr:uid="{EFEE5FBC-5F79-49B5-9554-A7B3F52E171E}"/>
    <cellStyle name="40% - Accent6 2 4 7" xfId="18563" xr:uid="{C22809AC-9AD9-4BCA-A936-634D3F27BEBF}"/>
    <cellStyle name="40% - Accent6 2 5" xfId="1112" xr:uid="{00000000-0005-0000-0000-000023070000}"/>
    <cellStyle name="40% - Accent6 2 5 2" xfId="3343" xr:uid="{00000000-0005-0000-0000-000024070000}"/>
    <cellStyle name="40% - Accent6 2 5 2 2" xfId="7565" xr:uid="{00000000-0005-0000-0000-000025070000}"/>
    <cellStyle name="40% - Accent6 2 5 2 2 2" xfId="16891" xr:uid="{0CCD0D5E-9DDF-4A62-ADD0-FC974C52EF7E}"/>
    <cellStyle name="40% - Accent6 2 5 2 2 2 2" xfId="53233" xr:uid="{A75B4251-C7E5-4586-B601-9FEBF1D47493}"/>
    <cellStyle name="40% - Accent6 2 5 2 2 2 3" xfId="34637" xr:uid="{E956F4D7-7ABB-4080-8FC2-C4B775DFFD7A}"/>
    <cellStyle name="40% - Accent6 2 5 2 2 3" xfId="43936" xr:uid="{75B422D7-01EE-423E-8BDB-72D9E70DEB96}"/>
    <cellStyle name="40% - Accent6 2 5 2 2 4" xfId="25338" xr:uid="{15BECFB9-C52A-4A15-BB3E-84430822480B}"/>
    <cellStyle name="40% - Accent6 2 5 2 3" xfId="12674" xr:uid="{B6A5C80B-E4DD-4238-9EC8-49E0523F7E87}"/>
    <cellStyle name="40% - Accent6 2 5 2 3 2" xfId="49016" xr:uid="{7A0829E9-8960-47A3-9BEC-EF775914D19A}"/>
    <cellStyle name="40% - Accent6 2 5 2 3 3" xfId="30420" xr:uid="{1D62040F-48AC-4BEA-8C43-98937D9CADD1}"/>
    <cellStyle name="40% - Accent6 2 5 2 4" xfId="39719" xr:uid="{8E084A46-551D-4A73-935F-EFCE3D82E05F}"/>
    <cellStyle name="40% - Accent6 2 5 2 5" xfId="21121" xr:uid="{62506F26-1A94-46C3-91D4-ABD3CF8114FB}"/>
    <cellStyle name="40% - Accent6 2 5 3" xfId="5420" xr:uid="{00000000-0005-0000-0000-000026070000}"/>
    <cellStyle name="40% - Accent6 2 5 3 2" xfId="14746" xr:uid="{EA31FFED-04FD-4904-ACEF-C784AEB67ACF}"/>
    <cellStyle name="40% - Accent6 2 5 3 2 2" xfId="51088" xr:uid="{ECD72604-65D8-4D4D-AA4B-CF056096A940}"/>
    <cellStyle name="40% - Accent6 2 5 3 2 3" xfId="32492" xr:uid="{707CA2DB-D77C-4449-B6A5-D638F8D60A50}"/>
    <cellStyle name="40% - Accent6 2 5 3 3" xfId="41791" xr:uid="{C05B1477-9C10-4C97-BB20-BE9816F9D244}"/>
    <cellStyle name="40% - Accent6 2 5 3 4" xfId="23193" xr:uid="{87A98220-F48B-4BFC-BD10-1BAA63549424}"/>
    <cellStyle name="40% - Accent6 2 5 4" xfId="10529" xr:uid="{75C661EA-EDE0-4C9B-A0E1-EC01D5651B9E}"/>
    <cellStyle name="40% - Accent6 2 5 4 2" xfId="46871" xr:uid="{E0F86DD5-22C8-4FB1-9B34-8F9622B3B0F4}"/>
    <cellStyle name="40% - Accent6 2 5 4 3" xfId="28275" xr:uid="{C6654443-2EBF-4FAF-8579-0EF4C0AE001A}"/>
    <cellStyle name="40% - Accent6 2 5 5" xfId="37574" xr:uid="{E68A4786-7179-40DF-8DF4-0DFA3475386E}"/>
    <cellStyle name="40% - Accent6 2 5 6" xfId="18976" xr:uid="{37F44C2F-A9E4-4F2D-934F-6EAFC1AB2A5F}"/>
    <cellStyle name="40% - Accent6 2 6" xfId="1526" xr:uid="{00000000-0005-0000-0000-000027070000}"/>
    <cellStyle name="40% - Accent6 2 6 2" xfId="3756" xr:uid="{00000000-0005-0000-0000-000028070000}"/>
    <cellStyle name="40% - Accent6 2 6 2 2" xfId="7978" xr:uid="{00000000-0005-0000-0000-000029070000}"/>
    <cellStyle name="40% - Accent6 2 6 2 2 2" xfId="17304" xr:uid="{6D9B686E-2F32-4F31-9D3E-490F8CEA3965}"/>
    <cellStyle name="40% - Accent6 2 6 2 2 2 2" xfId="53646" xr:uid="{C6E8D150-7D69-417C-A66D-EE688DB08898}"/>
    <cellStyle name="40% - Accent6 2 6 2 2 2 3" xfId="35050" xr:uid="{3114A31E-1105-468E-BE84-D44006B19213}"/>
    <cellStyle name="40% - Accent6 2 6 2 2 3" xfId="44349" xr:uid="{ABD598AD-3627-453F-A152-003FD0795BA5}"/>
    <cellStyle name="40% - Accent6 2 6 2 2 4" xfId="25751" xr:uid="{09324977-08AA-49DF-B8A5-4DBB8CB02909}"/>
    <cellStyle name="40% - Accent6 2 6 2 3" xfId="13087" xr:uid="{38431C60-68C0-4605-8091-66A3BAA5F1B0}"/>
    <cellStyle name="40% - Accent6 2 6 2 3 2" xfId="49429" xr:uid="{1D5EF3CD-BA82-4D5C-9722-255191728A57}"/>
    <cellStyle name="40% - Accent6 2 6 2 3 3" xfId="30833" xr:uid="{AB79A3FC-12E7-41C2-91A2-1D7E5451CCE7}"/>
    <cellStyle name="40% - Accent6 2 6 2 4" xfId="40132" xr:uid="{C76405F8-BA65-4457-A34C-39A3F88804AD}"/>
    <cellStyle name="40% - Accent6 2 6 2 5" xfId="21534" xr:uid="{D4983325-9F80-471E-BEEC-815749CF3F01}"/>
    <cellStyle name="40% - Accent6 2 6 3" xfId="5833" xr:uid="{00000000-0005-0000-0000-00002A070000}"/>
    <cellStyle name="40% - Accent6 2 6 3 2" xfId="15159" xr:uid="{81FD5CB9-A427-4461-BEA9-9E1FCDD56924}"/>
    <cellStyle name="40% - Accent6 2 6 3 2 2" xfId="51501" xr:uid="{F5856F8D-5E5C-47F6-9275-571F2CD238DA}"/>
    <cellStyle name="40% - Accent6 2 6 3 2 3" xfId="32905" xr:uid="{0C2BE1B1-388E-4C80-8839-19512C231DD7}"/>
    <cellStyle name="40% - Accent6 2 6 3 3" xfId="42204" xr:uid="{0E80C15B-CBAB-41FD-8898-DB5513B668D8}"/>
    <cellStyle name="40% - Accent6 2 6 3 4" xfId="23606" xr:uid="{7F66312E-8E4E-42B7-BC57-DF455D27768C}"/>
    <cellStyle name="40% - Accent6 2 6 4" xfId="10942" xr:uid="{8B6BA54B-FA2C-48E3-9211-5FB81183B8A9}"/>
    <cellStyle name="40% - Accent6 2 6 4 2" xfId="47284" xr:uid="{D8ED1C03-9A66-4E2A-A44E-4F5D12879917}"/>
    <cellStyle name="40% - Accent6 2 6 4 3" xfId="28688" xr:uid="{470474E8-4686-4650-8745-44E7A254A43E}"/>
    <cellStyle name="40% - Accent6 2 6 5" xfId="37987" xr:uid="{C036A790-FF8D-4857-AE24-6770C95885D7}"/>
    <cellStyle name="40% - Accent6 2 6 6" xfId="19389" xr:uid="{BAF580D4-3F52-40D4-8E4C-E5D0F04565A8}"/>
    <cellStyle name="40% - Accent6 2 7" xfId="1940" xr:uid="{00000000-0005-0000-0000-00002B070000}"/>
    <cellStyle name="40% - Accent6 2 7 2" xfId="4169" xr:uid="{00000000-0005-0000-0000-00002C070000}"/>
    <cellStyle name="40% - Accent6 2 7 2 2" xfId="8391" xr:uid="{00000000-0005-0000-0000-00002D070000}"/>
    <cellStyle name="40% - Accent6 2 7 2 2 2" xfId="17717" xr:uid="{DBABCE54-24BB-4393-822F-F07168692C77}"/>
    <cellStyle name="40% - Accent6 2 7 2 2 2 2" xfId="54059" xr:uid="{AB6BF37E-E40D-4C42-BFF1-8205C2CA978D}"/>
    <cellStyle name="40% - Accent6 2 7 2 2 2 3" xfId="35463" xr:uid="{22705F0B-0D0A-4972-AD54-C4E6C7AE0BF0}"/>
    <cellStyle name="40% - Accent6 2 7 2 2 3" xfId="44762" xr:uid="{6B608206-5819-48C3-B592-0391207B1D81}"/>
    <cellStyle name="40% - Accent6 2 7 2 2 4" xfId="26164" xr:uid="{4C9D56B0-C5F2-4B0C-BBF1-AEF47A8412B4}"/>
    <cellStyle name="40% - Accent6 2 7 2 3" xfId="13500" xr:uid="{369C4FB0-6FAB-4AEA-9237-3EEE49EB93CC}"/>
    <cellStyle name="40% - Accent6 2 7 2 3 2" xfId="49842" xr:uid="{2EBC6507-EF6C-4DFE-A75A-0EC2BC6519CC}"/>
    <cellStyle name="40% - Accent6 2 7 2 3 3" xfId="31246" xr:uid="{BA351B5B-0D02-4AF1-9665-5B9D0617F246}"/>
    <cellStyle name="40% - Accent6 2 7 2 4" xfId="40545" xr:uid="{8A4DF250-188E-4359-9C00-0D68008ADE71}"/>
    <cellStyle name="40% - Accent6 2 7 2 5" xfId="21947" xr:uid="{5BECE17F-4A3C-43D0-A160-D939CE8BE004}"/>
    <cellStyle name="40% - Accent6 2 7 3" xfId="6246" xr:uid="{00000000-0005-0000-0000-00002E070000}"/>
    <cellStyle name="40% - Accent6 2 7 3 2" xfId="15572" xr:uid="{F53C0705-B00E-47E6-B235-439D79DFCAA4}"/>
    <cellStyle name="40% - Accent6 2 7 3 2 2" xfId="51914" xr:uid="{0D696071-62B4-4785-AB6F-BA0E96F1F547}"/>
    <cellStyle name="40% - Accent6 2 7 3 2 3" xfId="33318" xr:uid="{94C69F39-C63E-460F-BF5F-ECE6EB66D8C4}"/>
    <cellStyle name="40% - Accent6 2 7 3 3" xfId="42617" xr:uid="{7DC91B70-0982-4CD2-AF83-8A036C6381C5}"/>
    <cellStyle name="40% - Accent6 2 7 3 4" xfId="24019" xr:uid="{4D6E36E5-376E-4E02-93E4-319507A1C674}"/>
    <cellStyle name="40% - Accent6 2 7 4" xfId="11355" xr:uid="{DFBC5D19-0D21-4134-B118-A6C78C04EFE3}"/>
    <cellStyle name="40% - Accent6 2 7 4 2" xfId="47697" xr:uid="{DF28632A-457B-493C-A383-73282B3A069C}"/>
    <cellStyle name="40% - Accent6 2 7 4 3" xfId="29101" xr:uid="{53B9EECD-A86C-4642-92C9-A698E87A03FD}"/>
    <cellStyle name="40% - Accent6 2 7 5" xfId="38400" xr:uid="{AF2544C6-89A0-416E-8120-CF086F55BA6D}"/>
    <cellStyle name="40% - Accent6 2 7 6" xfId="19802" xr:uid="{D11B90DF-9E99-4354-AB56-4722065FAF0F}"/>
    <cellStyle name="40% - Accent6 2 8" xfId="2353" xr:uid="{00000000-0005-0000-0000-00002F070000}"/>
    <cellStyle name="40% - Accent6 2 8 2" xfId="6659" xr:uid="{00000000-0005-0000-0000-000030070000}"/>
    <cellStyle name="40% - Accent6 2 8 2 2" xfId="15985" xr:uid="{B0F1FCDC-CA26-40CE-8457-94E8506598CB}"/>
    <cellStyle name="40% - Accent6 2 8 2 2 2" xfId="52327" xr:uid="{51DA7823-2B56-45E6-8A23-C00BA26EF2BE}"/>
    <cellStyle name="40% - Accent6 2 8 2 2 3" xfId="33731" xr:uid="{58C02A95-9EBF-4807-A55E-08140B616CA1}"/>
    <cellStyle name="40% - Accent6 2 8 2 3" xfId="43030" xr:uid="{D9D1838E-6C06-4B69-8F35-EF24C9441592}"/>
    <cellStyle name="40% - Accent6 2 8 2 4" xfId="24432" xr:uid="{FE5424F7-5CE2-4234-96A3-D25CF628FA64}"/>
    <cellStyle name="40% - Accent6 2 8 3" xfId="11768" xr:uid="{CBCBB017-9840-492C-8082-01450F16B5A4}"/>
    <cellStyle name="40% - Accent6 2 8 3 2" xfId="48110" xr:uid="{9D37B344-11DA-491C-BD1E-9CA142EDCF31}"/>
    <cellStyle name="40% - Accent6 2 8 3 3" xfId="29514" xr:uid="{B3999F3A-6F89-41D3-927B-15D9CBDBE910}"/>
    <cellStyle name="40% - Accent6 2 8 4" xfId="38813" xr:uid="{95C6FFD1-3F08-4EE2-AB4B-A63E752E1352}"/>
    <cellStyle name="40% - Accent6 2 8 5" xfId="20215" xr:uid="{CD74C702-F369-4E52-B45E-04FBA935030E}"/>
    <cellStyle name="40% - Accent6 2 9" xfId="4593" xr:uid="{00000000-0005-0000-0000-000031070000}"/>
    <cellStyle name="40% - Accent6 2 9 2" xfId="13919" xr:uid="{A654A222-C797-4FA3-9095-B6F0BB2FB802}"/>
    <cellStyle name="40% - Accent6 2 9 2 2" xfId="50261" xr:uid="{5E303FFF-34DE-4425-86A7-3359EB28329B}"/>
    <cellStyle name="40% - Accent6 2 9 2 3" xfId="31665" xr:uid="{1AF672AC-44E4-4D70-9520-0CAB1BB05C27}"/>
    <cellStyle name="40% - Accent6 2 9 3" xfId="40964" xr:uid="{ACB95BE2-28AF-4159-B008-9B8EB4184C3C}"/>
    <cellStyle name="40% - Accent6 2 9 4" xfId="22366" xr:uid="{5B247456-D01B-48D7-A16F-243683488B34}"/>
    <cellStyle name="40% - Accent6 3" xfId="94" xr:uid="{00000000-0005-0000-0000-000032070000}"/>
    <cellStyle name="40% - Accent6 3 10" xfId="9706" xr:uid="{E38CDFAF-EAD7-4920-A2EC-55FE72B50743}"/>
    <cellStyle name="40% - Accent6 3 10 2" xfId="46048" xr:uid="{B45FEBC5-7329-425F-A2D1-9CD29E030FE4}"/>
    <cellStyle name="40% - Accent6 3 10 3" xfId="27452" xr:uid="{FAD95D2A-160F-4656-842F-08A353F20783}"/>
    <cellStyle name="40% - Accent6 3 11" xfId="36751" xr:uid="{C6ED334E-D230-44C2-AFEA-BC448304044A}"/>
    <cellStyle name="40% - Accent6 3 12" xfId="18153" xr:uid="{02E44A77-4FAB-4734-98A4-A020A0DF11D6}"/>
    <cellStyle name="40% - Accent6 3 2" xfId="95" xr:uid="{00000000-0005-0000-0000-000033070000}"/>
    <cellStyle name="40% - Accent6 3 2 10" xfId="36752" xr:uid="{3ABFAB27-C48B-4EF1-9485-8626BE93F14B}"/>
    <cellStyle name="40% - Accent6 3 2 11" xfId="18154" xr:uid="{16CB33CB-CE78-4A59-A71E-55344E2E5069}"/>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16483" xr:uid="{5B1CE20B-C598-4BDC-A01F-CC1C1AEA750D}"/>
    <cellStyle name="40% - Accent6 3 2 2 2 2 2 2" xfId="52825" xr:uid="{65E437A2-2688-4AAB-A4FA-69925AD5E5E0}"/>
    <cellStyle name="40% - Accent6 3 2 2 2 2 2 3" xfId="34229" xr:uid="{66EBB9FE-6E9E-4BEB-9FB4-8BE630ADB783}"/>
    <cellStyle name="40% - Accent6 3 2 2 2 2 3" xfId="43528" xr:uid="{FF25D522-5212-4AB9-9DE3-C8D004A5A0B7}"/>
    <cellStyle name="40% - Accent6 3 2 2 2 2 4" xfId="24930" xr:uid="{D9A79297-581C-43D7-BA28-9DEE54BC7901}"/>
    <cellStyle name="40% - Accent6 3 2 2 2 3" xfId="12266" xr:uid="{27EC03E1-7F36-4BE5-A794-52246CC32509}"/>
    <cellStyle name="40% - Accent6 3 2 2 2 3 2" xfId="48608" xr:uid="{92A7FADB-D67B-43D1-BDA6-83F0029EC5AD}"/>
    <cellStyle name="40% - Accent6 3 2 2 2 3 3" xfId="30012" xr:uid="{428A2AB3-40B5-4860-866B-2F5B924127DA}"/>
    <cellStyle name="40% - Accent6 3 2 2 2 4" xfId="39311" xr:uid="{3B7B07D0-B07A-48EC-AD77-36969FAEB42B}"/>
    <cellStyle name="40% - Accent6 3 2 2 2 5" xfId="20713" xr:uid="{64F99A6D-848F-4FB1-BD9B-0CF855269083}"/>
    <cellStyle name="40% - Accent6 3 2 2 3" xfId="5012" xr:uid="{00000000-0005-0000-0000-000037070000}"/>
    <cellStyle name="40% - Accent6 3 2 2 3 2" xfId="14338" xr:uid="{809FD9DB-AAD7-4D05-8B64-8739AC0DE0CF}"/>
    <cellStyle name="40% - Accent6 3 2 2 3 2 2" xfId="50680" xr:uid="{482C6C76-839B-4B06-80AA-9B0FED3F7E14}"/>
    <cellStyle name="40% - Accent6 3 2 2 3 2 3" xfId="32084" xr:uid="{BFAE3C6E-EB3F-4F6F-8174-7E661D0FD5B8}"/>
    <cellStyle name="40% - Accent6 3 2 2 3 3" xfId="41383" xr:uid="{5850F213-9274-4E3E-A14D-5D065FEAA61A}"/>
    <cellStyle name="40% - Accent6 3 2 2 3 4" xfId="22785" xr:uid="{B001E197-B3BE-43B6-8D8C-37B0A736BCBF}"/>
    <cellStyle name="40% - Accent6 3 2 2 4" xfId="9504" xr:uid="{23E46585-FD8F-4BA3-8B65-284D6884E4FD}"/>
    <cellStyle name="40% - Accent6 3 2 2 4 2" xfId="36565" xr:uid="{06D3B75E-8A81-4739-9A44-C9C8B920AD5E}"/>
    <cellStyle name="40% - Accent6 3 2 2 4 2 2" xfId="55159" xr:uid="{43A7B321-1668-4058-B4F6-E1780E2E3DCB}"/>
    <cellStyle name="40% - Accent6 3 2 2 4 3" xfId="45862" xr:uid="{C421F313-2744-4135-BC6D-3401FD131C6A}"/>
    <cellStyle name="40% - Accent6 3 2 2 4 4" xfId="27266" xr:uid="{0B13690A-6BE2-40BD-90C7-F9228A158B53}"/>
    <cellStyle name="40% - Accent6 3 2 2 5" xfId="10121" xr:uid="{1CEBAC49-6BEF-4988-8D4D-34E8648A109D}"/>
    <cellStyle name="40% - Accent6 3 2 2 5 2" xfId="46463" xr:uid="{405C6A06-A5C3-45F4-B40E-63E112FF1B3A}"/>
    <cellStyle name="40% - Accent6 3 2 2 5 3" xfId="27867" xr:uid="{F5A17DAB-2239-443F-9BA2-46E6B28955F4}"/>
    <cellStyle name="40% - Accent6 3 2 2 6" xfId="37166" xr:uid="{971A59A9-CD7A-4E7E-8BD0-63F1A5B7FC9B}"/>
    <cellStyle name="40% - Accent6 3 2 2 7" xfId="18568" xr:uid="{BE55DA1E-9F2A-492B-8C7A-E652B84A2C4C}"/>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16896" xr:uid="{82E680AE-1D97-46D0-ACC8-9620936F2659}"/>
    <cellStyle name="40% - Accent6 3 2 3 2 2 2 2" xfId="53238" xr:uid="{35AF580A-5A04-49E6-A23D-75D7751B1911}"/>
    <cellStyle name="40% - Accent6 3 2 3 2 2 2 3" xfId="34642" xr:uid="{DBC443DF-4811-4730-9A88-6CF9A0F13E98}"/>
    <cellStyle name="40% - Accent6 3 2 3 2 2 3" xfId="43941" xr:uid="{8CC25F8A-423C-4E48-ABBB-CE35354E4DFA}"/>
    <cellStyle name="40% - Accent6 3 2 3 2 2 4" xfId="25343" xr:uid="{5EB69273-9E31-4BBA-897C-59719E6B29E9}"/>
    <cellStyle name="40% - Accent6 3 2 3 2 3" xfId="12679" xr:uid="{469650A6-B1E9-41AA-BFF4-45B4829DC7FF}"/>
    <cellStyle name="40% - Accent6 3 2 3 2 3 2" xfId="49021" xr:uid="{15791F52-FB8E-48EE-A625-16FC7F1603CD}"/>
    <cellStyle name="40% - Accent6 3 2 3 2 3 3" xfId="30425" xr:uid="{77C62627-F117-45A1-81ED-BD6591BAAB65}"/>
    <cellStyle name="40% - Accent6 3 2 3 2 4" xfId="39724" xr:uid="{066F0B3A-64F2-4722-893E-D518ED77471D}"/>
    <cellStyle name="40% - Accent6 3 2 3 2 5" xfId="21126" xr:uid="{BEF10065-DB45-4608-847E-82D36820078D}"/>
    <cellStyle name="40% - Accent6 3 2 3 3" xfId="5425" xr:uid="{00000000-0005-0000-0000-00003B070000}"/>
    <cellStyle name="40% - Accent6 3 2 3 3 2" xfId="14751" xr:uid="{17AA3E82-D911-4407-A4F5-BCA4B4446A2F}"/>
    <cellStyle name="40% - Accent6 3 2 3 3 2 2" xfId="51093" xr:uid="{3D6CB089-41E5-4B2F-9626-A88633F071BD}"/>
    <cellStyle name="40% - Accent6 3 2 3 3 2 3" xfId="32497" xr:uid="{F8C27473-74A5-44BF-AB5B-997CC424C587}"/>
    <cellStyle name="40% - Accent6 3 2 3 3 3" xfId="41796" xr:uid="{A47DA2A8-1FD8-4E97-8FC1-4538A1255151}"/>
    <cellStyle name="40% - Accent6 3 2 3 3 4" xfId="23198" xr:uid="{EC7DE810-6E87-463D-8849-43454E1C304F}"/>
    <cellStyle name="40% - Accent6 3 2 3 4" xfId="10534" xr:uid="{0D5471F3-05B8-49D9-999F-67FA1965AB79}"/>
    <cellStyle name="40% - Accent6 3 2 3 4 2" xfId="46876" xr:uid="{882D677F-9A19-4AAB-BCD6-1CCACA70E1B9}"/>
    <cellStyle name="40% - Accent6 3 2 3 4 3" xfId="28280" xr:uid="{29F3041B-EB96-452C-A9D8-CDE1A40B1EFC}"/>
    <cellStyle name="40% - Accent6 3 2 3 5" xfId="37579" xr:uid="{F89A19A0-9483-4DFF-8B3E-5A013125A6E3}"/>
    <cellStyle name="40% - Accent6 3 2 3 6" xfId="18981" xr:uid="{D28601A9-3330-471A-8A9C-96CE1878BE7D}"/>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17309" xr:uid="{9419B024-324E-484F-8A26-E5EDCAB7087A}"/>
    <cellStyle name="40% - Accent6 3 2 4 2 2 2 2" xfId="53651" xr:uid="{311A3A2E-6BF8-4117-8587-E14BE189241E}"/>
    <cellStyle name="40% - Accent6 3 2 4 2 2 2 3" xfId="35055" xr:uid="{7474BE8F-C1DC-4A6C-B541-E3F8AD1AFFD1}"/>
    <cellStyle name="40% - Accent6 3 2 4 2 2 3" xfId="44354" xr:uid="{971E2ECE-B1CB-432C-B421-61C7D14CD309}"/>
    <cellStyle name="40% - Accent6 3 2 4 2 2 4" xfId="25756" xr:uid="{0DDE2AE9-9EF3-49A0-82E4-DC25FD8B541C}"/>
    <cellStyle name="40% - Accent6 3 2 4 2 3" xfId="13092" xr:uid="{2447FED7-C1AD-4158-A565-8FC7748E2168}"/>
    <cellStyle name="40% - Accent6 3 2 4 2 3 2" xfId="49434" xr:uid="{75E4A378-9B6B-43BB-A0C6-29E6378563A4}"/>
    <cellStyle name="40% - Accent6 3 2 4 2 3 3" xfId="30838" xr:uid="{E1FFDCEF-22B6-405B-BC38-0EE76E961663}"/>
    <cellStyle name="40% - Accent6 3 2 4 2 4" xfId="40137" xr:uid="{E474B853-A099-44B0-915B-AC2B39C96B65}"/>
    <cellStyle name="40% - Accent6 3 2 4 2 5" xfId="21539" xr:uid="{983474A7-E3B5-4CF3-83B4-125C33483AF4}"/>
    <cellStyle name="40% - Accent6 3 2 4 3" xfId="5838" xr:uid="{00000000-0005-0000-0000-00003F070000}"/>
    <cellStyle name="40% - Accent6 3 2 4 3 2" xfId="15164" xr:uid="{F7E65572-84F6-4FEA-AEEA-FF70671D7230}"/>
    <cellStyle name="40% - Accent6 3 2 4 3 2 2" xfId="51506" xr:uid="{AA3B51C9-A5E5-4B90-A1B0-F24B71F547B6}"/>
    <cellStyle name="40% - Accent6 3 2 4 3 2 3" xfId="32910" xr:uid="{DA4DC6DB-77C4-4A95-B7AC-06A106404EE4}"/>
    <cellStyle name="40% - Accent6 3 2 4 3 3" xfId="42209" xr:uid="{D35AC773-97A6-4B06-827C-90F283AC73B2}"/>
    <cellStyle name="40% - Accent6 3 2 4 3 4" xfId="23611" xr:uid="{50E3B813-4CCB-4AEA-B79F-4DD41D43B997}"/>
    <cellStyle name="40% - Accent6 3 2 4 4" xfId="10947" xr:uid="{8690A219-2EA3-47D2-ABCC-4771A6C2E8F2}"/>
    <cellStyle name="40% - Accent6 3 2 4 4 2" xfId="47289" xr:uid="{76353EA0-1631-4679-9957-3EFF7B5E370A}"/>
    <cellStyle name="40% - Accent6 3 2 4 4 3" xfId="28693" xr:uid="{FA0457A2-B906-4B70-8093-E5358A22B6E4}"/>
    <cellStyle name="40% - Accent6 3 2 4 5" xfId="37992" xr:uid="{FBFA68CF-476D-434B-8818-7EBBE677E148}"/>
    <cellStyle name="40% - Accent6 3 2 4 6" xfId="19394" xr:uid="{D4B03F6F-BAC7-4247-8744-24B66D9FC151}"/>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17722" xr:uid="{674DE257-7515-4261-8E4B-F70FB61D10AE}"/>
    <cellStyle name="40% - Accent6 3 2 5 2 2 2 2" xfId="54064" xr:uid="{FA78D8A8-6813-456C-8481-4AFAF73F9FD5}"/>
    <cellStyle name="40% - Accent6 3 2 5 2 2 2 3" xfId="35468" xr:uid="{18D99750-8881-43F9-9390-0323E2D8B062}"/>
    <cellStyle name="40% - Accent6 3 2 5 2 2 3" xfId="44767" xr:uid="{CF3DB193-AC5B-47AA-8643-524432447101}"/>
    <cellStyle name="40% - Accent6 3 2 5 2 2 4" xfId="26169" xr:uid="{F08CCFA2-9074-4FC4-8591-37F5DA4FF4C7}"/>
    <cellStyle name="40% - Accent6 3 2 5 2 3" xfId="13505" xr:uid="{DAE04E83-19C2-4855-BBF5-A603A1C1CDDB}"/>
    <cellStyle name="40% - Accent6 3 2 5 2 3 2" xfId="49847" xr:uid="{5DEF52C2-9BCD-4412-B83D-DB32B3E62611}"/>
    <cellStyle name="40% - Accent6 3 2 5 2 3 3" xfId="31251" xr:uid="{43743D8F-0168-4500-B54E-F70BB267F284}"/>
    <cellStyle name="40% - Accent6 3 2 5 2 4" xfId="40550" xr:uid="{68CB5880-3FCA-4757-B8CD-8396DBB14511}"/>
    <cellStyle name="40% - Accent6 3 2 5 2 5" xfId="21952" xr:uid="{07EEA75E-C018-49BA-AABC-792D10355F16}"/>
    <cellStyle name="40% - Accent6 3 2 5 3" xfId="6251" xr:uid="{00000000-0005-0000-0000-000043070000}"/>
    <cellStyle name="40% - Accent6 3 2 5 3 2" xfId="15577" xr:uid="{AAEA957B-BE0E-4212-8DEC-D76175DE7838}"/>
    <cellStyle name="40% - Accent6 3 2 5 3 2 2" xfId="51919" xr:uid="{C4DC676E-7411-4856-B9B1-2C2AB38D3735}"/>
    <cellStyle name="40% - Accent6 3 2 5 3 2 3" xfId="33323" xr:uid="{6E637716-DDC2-48AE-BB27-B5F0ED3F4B73}"/>
    <cellStyle name="40% - Accent6 3 2 5 3 3" xfId="42622" xr:uid="{CD8DB1B4-473B-425D-9739-46E82958D37B}"/>
    <cellStyle name="40% - Accent6 3 2 5 3 4" xfId="24024" xr:uid="{35549E74-13B1-48CF-9CA7-7CF1D6D8ACE9}"/>
    <cellStyle name="40% - Accent6 3 2 5 4" xfId="11360" xr:uid="{8CFA5A0A-8CC6-4E44-9604-C219E1925FCF}"/>
    <cellStyle name="40% - Accent6 3 2 5 4 2" xfId="47702" xr:uid="{23B9C93B-82E8-4956-B1EE-2B6DDAF72908}"/>
    <cellStyle name="40% - Accent6 3 2 5 4 3" xfId="29106" xr:uid="{D15A7559-E2B0-43F0-A3DF-E8AAB12C13AE}"/>
    <cellStyle name="40% - Accent6 3 2 5 5" xfId="38405" xr:uid="{8E70065B-7965-4E37-9417-ABF45BBCE2ED}"/>
    <cellStyle name="40% - Accent6 3 2 5 6" xfId="19807" xr:uid="{E684D129-31F0-4D74-BC41-F4EAE5CB23DB}"/>
    <cellStyle name="40% - Accent6 3 2 6" xfId="2358" xr:uid="{00000000-0005-0000-0000-000044070000}"/>
    <cellStyle name="40% - Accent6 3 2 6 2" xfId="6664" xr:uid="{00000000-0005-0000-0000-000045070000}"/>
    <cellStyle name="40% - Accent6 3 2 6 2 2" xfId="15990" xr:uid="{300FE398-0F45-40A3-9F2C-B37F8AD6E60E}"/>
    <cellStyle name="40% - Accent6 3 2 6 2 2 2" xfId="52332" xr:uid="{11F8BD62-F446-43CD-BA6A-254B29FD97EE}"/>
    <cellStyle name="40% - Accent6 3 2 6 2 2 3" xfId="33736" xr:uid="{9BD01C5F-9B54-40D3-A602-AA464DB056A3}"/>
    <cellStyle name="40% - Accent6 3 2 6 2 3" xfId="43035" xr:uid="{2923AD78-4E52-4D90-892B-4BE5FCFABEB2}"/>
    <cellStyle name="40% - Accent6 3 2 6 2 4" xfId="24437" xr:uid="{47878C9A-3783-4385-B762-3EC5C27BE208}"/>
    <cellStyle name="40% - Accent6 3 2 6 3" xfId="11773" xr:uid="{526881E8-83E0-4F38-8A4D-90FDDC30BA17}"/>
    <cellStyle name="40% - Accent6 3 2 6 3 2" xfId="48115" xr:uid="{AC7F566B-783D-4E2C-BE88-1957A7BA8C05}"/>
    <cellStyle name="40% - Accent6 3 2 6 3 3" xfId="29519" xr:uid="{FF2F32D3-FFF1-45D2-B4A2-13360B38AC70}"/>
    <cellStyle name="40% - Accent6 3 2 6 4" xfId="38818" xr:uid="{A3D55ED6-BCAD-4742-B53C-79E342555BA8}"/>
    <cellStyle name="40% - Accent6 3 2 6 5" xfId="20220" xr:uid="{6B6B6851-918E-42B5-BC2B-E51125635323}"/>
    <cellStyle name="40% - Accent6 3 2 7" xfId="4598" xr:uid="{00000000-0005-0000-0000-000046070000}"/>
    <cellStyle name="40% - Accent6 3 2 7 2" xfId="13924" xr:uid="{58060EEE-EEB8-44ED-B769-08A0FE4281AD}"/>
    <cellStyle name="40% - Accent6 3 2 7 2 2" xfId="50266" xr:uid="{3AAD1CC0-E5C5-44B0-9BC9-F9F9C3406136}"/>
    <cellStyle name="40% - Accent6 3 2 7 2 3" xfId="31670" xr:uid="{453B270F-0400-4107-BEF2-152E95716E62}"/>
    <cellStyle name="40% - Accent6 3 2 7 3" xfId="40969" xr:uid="{5301DC3B-EA96-4C4D-B461-49541A62BF26}"/>
    <cellStyle name="40% - Accent6 3 2 7 4" xfId="22371" xr:uid="{A54EDEE0-5762-4471-8AD7-F85E4B2DFCB5}"/>
    <cellStyle name="40% - Accent6 3 2 8" xfId="9079" xr:uid="{7FA93E2E-699F-4676-8533-A3CC5F80D807}"/>
    <cellStyle name="40% - Accent6 3 2 8 2" xfId="36149" xr:uid="{946FDBBD-67CB-4861-BAE9-3D00A18D2406}"/>
    <cellStyle name="40% - Accent6 3 2 8 2 2" xfId="54744" xr:uid="{5FA41A59-27B6-4412-821A-840B4A11EABD}"/>
    <cellStyle name="40% - Accent6 3 2 8 3" xfId="45447" xr:uid="{70008AB4-2893-4039-AA3F-4F62C63E4524}"/>
    <cellStyle name="40% - Accent6 3 2 8 4" xfId="26850" xr:uid="{F7249DA1-5846-4D47-98BE-F3C243477564}"/>
    <cellStyle name="40% - Accent6 3 2 9" xfId="9707" xr:uid="{0CC87FC0-47B0-49DE-86FF-E63D0E62E938}"/>
    <cellStyle name="40% - Accent6 3 2 9 2" xfId="46049" xr:uid="{C28CF565-DC6A-4F39-9FB6-E4B89B800EE8}"/>
    <cellStyle name="40% - Accent6 3 2 9 3" xfId="27453" xr:uid="{3E058A38-AFD7-410D-B338-35ACC0333BF8}"/>
    <cellStyle name="40% - Accent6 3 3" xfId="663" xr:uid="{00000000-0005-0000-0000-000047070000}"/>
    <cellStyle name="40% - Accent6 3 3 2" xfId="2934" xr:uid="{00000000-0005-0000-0000-000048070000}"/>
    <cellStyle name="40% - Accent6 3 3 2 2" xfId="7156" xr:uid="{00000000-0005-0000-0000-000049070000}"/>
    <cellStyle name="40% - Accent6 3 3 2 2 2" xfId="16482" xr:uid="{A3AFD0A4-517B-4A11-B07C-7F1A1B1AF385}"/>
    <cellStyle name="40% - Accent6 3 3 2 2 2 2" xfId="52824" xr:uid="{5A90D43C-FC47-484B-AFEC-0D6DD457DC57}"/>
    <cellStyle name="40% - Accent6 3 3 2 2 2 3" xfId="34228" xr:uid="{3F5DD7C1-51C3-4ECB-A52F-0BC7DA9723D5}"/>
    <cellStyle name="40% - Accent6 3 3 2 2 3" xfId="43527" xr:uid="{BB9AFA8B-D0EF-47F5-AB66-416CC0BAC465}"/>
    <cellStyle name="40% - Accent6 3 3 2 2 4" xfId="24929" xr:uid="{4CEB3B42-383B-40B0-99C7-02C5B7ACFEBA}"/>
    <cellStyle name="40% - Accent6 3 3 2 3" xfId="12265" xr:uid="{AE3A1F1B-231C-4120-B3FD-FBB8665EFFB6}"/>
    <cellStyle name="40% - Accent6 3 3 2 3 2" xfId="48607" xr:uid="{555832B7-9DA5-449D-83D8-B2CADFECCE07}"/>
    <cellStyle name="40% - Accent6 3 3 2 3 3" xfId="30011" xr:uid="{E0603982-65A6-4E65-A58B-AA53BACD4724}"/>
    <cellStyle name="40% - Accent6 3 3 2 4" xfId="39310" xr:uid="{B212AA8D-AE2F-43CB-ADCA-E9AD10E75F09}"/>
    <cellStyle name="40% - Accent6 3 3 2 5" xfId="20712" xr:uid="{64E13229-9553-4FAC-871D-4E6A513FA5C2}"/>
    <cellStyle name="40% - Accent6 3 3 3" xfId="5011" xr:uid="{00000000-0005-0000-0000-00004A070000}"/>
    <cellStyle name="40% - Accent6 3 3 3 2" xfId="14337" xr:uid="{7DECBEBD-1F69-461D-9352-F2C223A7B8A2}"/>
    <cellStyle name="40% - Accent6 3 3 3 2 2" xfId="50679" xr:uid="{3746F0DE-755E-4B2B-8CA5-FECC56E94F3B}"/>
    <cellStyle name="40% - Accent6 3 3 3 2 3" xfId="32083" xr:uid="{917C7ECE-B946-4538-B2A7-0708747B63A1}"/>
    <cellStyle name="40% - Accent6 3 3 3 3" xfId="41382" xr:uid="{22017B88-15EB-49B6-BC44-8FE44BEC7D69}"/>
    <cellStyle name="40% - Accent6 3 3 3 4" xfId="22784" xr:uid="{2EF12570-E5E7-4AF7-A49A-0977BB142438}"/>
    <cellStyle name="40% - Accent6 3 3 4" xfId="9297" xr:uid="{1226E28F-09E7-4580-8D19-7F14AC1CB4B3}"/>
    <cellStyle name="40% - Accent6 3 3 4 2" xfId="36358" xr:uid="{35484E3C-CD87-4F7F-BF3A-579CB0AA7D32}"/>
    <cellStyle name="40% - Accent6 3 3 4 2 2" xfId="54952" xr:uid="{04B92F4C-D8BA-4101-8E16-B1891DC02601}"/>
    <cellStyle name="40% - Accent6 3 3 4 3" xfId="45655" xr:uid="{069A8845-E3D6-493B-AEB8-3E68C8E7A513}"/>
    <cellStyle name="40% - Accent6 3 3 4 4" xfId="27059" xr:uid="{E8908BA9-16C6-4487-BE6C-A43EE2E9FC4C}"/>
    <cellStyle name="40% - Accent6 3 3 5" xfId="10120" xr:uid="{E2B08698-69B0-460F-ACFD-B3BA1E9E662B}"/>
    <cellStyle name="40% - Accent6 3 3 5 2" xfId="46462" xr:uid="{2A640494-5E7D-4277-8B2D-380D83DF93FF}"/>
    <cellStyle name="40% - Accent6 3 3 5 3" xfId="27866" xr:uid="{0AF04C54-B46E-4080-9905-872F1F50A099}"/>
    <cellStyle name="40% - Accent6 3 3 6" xfId="37165" xr:uid="{9D58BE55-88B7-45D4-9B6B-5A10E65550E0}"/>
    <cellStyle name="40% - Accent6 3 3 7" xfId="18567" xr:uid="{0530EDC9-5247-44EE-9088-02764E002CC2}"/>
    <cellStyle name="40% - Accent6 3 4" xfId="1116" xr:uid="{00000000-0005-0000-0000-00004B070000}"/>
    <cellStyle name="40% - Accent6 3 4 2" xfId="3347" xr:uid="{00000000-0005-0000-0000-00004C070000}"/>
    <cellStyle name="40% - Accent6 3 4 2 2" xfId="7569" xr:uid="{00000000-0005-0000-0000-00004D070000}"/>
    <cellStyle name="40% - Accent6 3 4 2 2 2" xfId="16895" xr:uid="{15700D32-C481-45EE-B290-0F013FEEE613}"/>
    <cellStyle name="40% - Accent6 3 4 2 2 2 2" xfId="53237" xr:uid="{89DFE7B2-3908-4FCE-A269-206CDC74F3DC}"/>
    <cellStyle name="40% - Accent6 3 4 2 2 2 3" xfId="34641" xr:uid="{47DA1210-8CF6-48AA-B954-68504C4A1A57}"/>
    <cellStyle name="40% - Accent6 3 4 2 2 3" xfId="43940" xr:uid="{95F639DF-73D6-44D3-AB1F-4B1E1E1DFF07}"/>
    <cellStyle name="40% - Accent6 3 4 2 2 4" xfId="25342" xr:uid="{7CE29E94-04BC-42E6-BC09-8B38DC0AA377}"/>
    <cellStyle name="40% - Accent6 3 4 2 3" xfId="12678" xr:uid="{DA5404B1-8DE6-41F7-82E2-0618A380F311}"/>
    <cellStyle name="40% - Accent6 3 4 2 3 2" xfId="49020" xr:uid="{F62DFE99-1E10-4F11-91FF-0B46AC1C4A21}"/>
    <cellStyle name="40% - Accent6 3 4 2 3 3" xfId="30424" xr:uid="{596DDF83-F2A7-4698-BDC7-4F2C8211CE20}"/>
    <cellStyle name="40% - Accent6 3 4 2 4" xfId="39723" xr:uid="{31E610D7-4957-4BDB-B487-01B497EDCF68}"/>
    <cellStyle name="40% - Accent6 3 4 2 5" xfId="21125" xr:uid="{180EA1BF-AF5C-4B32-98F5-B7FB81BB53B5}"/>
    <cellStyle name="40% - Accent6 3 4 3" xfId="5424" xr:uid="{00000000-0005-0000-0000-00004E070000}"/>
    <cellStyle name="40% - Accent6 3 4 3 2" xfId="14750" xr:uid="{459B4E1A-000D-412D-AA41-242E53302BC1}"/>
    <cellStyle name="40% - Accent6 3 4 3 2 2" xfId="51092" xr:uid="{53A6FCDF-2DD0-4C81-944B-1FCD3EA19921}"/>
    <cellStyle name="40% - Accent6 3 4 3 2 3" xfId="32496" xr:uid="{C2FEEB85-0D48-45AC-9E4C-A9F3DA070F85}"/>
    <cellStyle name="40% - Accent6 3 4 3 3" xfId="41795" xr:uid="{AAA9EB37-9B1A-44A1-9DF0-0532F6B8F3A6}"/>
    <cellStyle name="40% - Accent6 3 4 3 4" xfId="23197" xr:uid="{9A57EE4F-74AF-4105-A7C8-18D64B5BDE7B}"/>
    <cellStyle name="40% - Accent6 3 4 4" xfId="10533" xr:uid="{C5CF7203-CDA3-4A9B-9DCC-5D0AC031DBE6}"/>
    <cellStyle name="40% - Accent6 3 4 4 2" xfId="46875" xr:uid="{3A5B41D0-79B5-48F0-A6EA-1BC100A71F10}"/>
    <cellStyle name="40% - Accent6 3 4 4 3" xfId="28279" xr:uid="{94A61CEE-25D3-4A27-B440-FE196A5170D6}"/>
    <cellStyle name="40% - Accent6 3 4 5" xfId="37578" xr:uid="{FC263A11-20F8-4327-96F5-F504494F0956}"/>
    <cellStyle name="40% - Accent6 3 4 6" xfId="18980" xr:uid="{D83CEC6E-6A65-437F-B5CE-060E60122080}"/>
    <cellStyle name="40% - Accent6 3 5" xfId="1530" xr:uid="{00000000-0005-0000-0000-00004F070000}"/>
    <cellStyle name="40% - Accent6 3 5 2" xfId="3760" xr:uid="{00000000-0005-0000-0000-000050070000}"/>
    <cellStyle name="40% - Accent6 3 5 2 2" xfId="7982" xr:uid="{00000000-0005-0000-0000-000051070000}"/>
    <cellStyle name="40% - Accent6 3 5 2 2 2" xfId="17308" xr:uid="{E92861FC-9815-4B5E-B51B-55E1F05E0833}"/>
    <cellStyle name="40% - Accent6 3 5 2 2 2 2" xfId="53650" xr:uid="{C8375871-2652-4E70-90B4-8E50C036CE65}"/>
    <cellStyle name="40% - Accent6 3 5 2 2 2 3" xfId="35054" xr:uid="{C5ABED91-0C57-4394-B5C8-00F83EB073F0}"/>
    <cellStyle name="40% - Accent6 3 5 2 2 3" xfId="44353" xr:uid="{D28E32F9-C398-4D80-BEC1-5F8896B34DD9}"/>
    <cellStyle name="40% - Accent6 3 5 2 2 4" xfId="25755" xr:uid="{759732FC-67C3-475E-A38A-26E7F834CC31}"/>
    <cellStyle name="40% - Accent6 3 5 2 3" xfId="13091" xr:uid="{D402AE86-6C2B-4905-BBF3-77B693083FBA}"/>
    <cellStyle name="40% - Accent6 3 5 2 3 2" xfId="49433" xr:uid="{0BCF75D4-E076-4FD0-9050-254B15D1DB20}"/>
    <cellStyle name="40% - Accent6 3 5 2 3 3" xfId="30837" xr:uid="{2E91B6DE-C7C5-4CDA-B9D4-8CBBD34A879E}"/>
    <cellStyle name="40% - Accent6 3 5 2 4" xfId="40136" xr:uid="{481A639C-357F-4B28-B15B-04112788BFED}"/>
    <cellStyle name="40% - Accent6 3 5 2 5" xfId="21538" xr:uid="{1AAA6563-88F4-4C0A-98D1-31E4746205C7}"/>
    <cellStyle name="40% - Accent6 3 5 3" xfId="5837" xr:uid="{00000000-0005-0000-0000-000052070000}"/>
    <cellStyle name="40% - Accent6 3 5 3 2" xfId="15163" xr:uid="{38DE7133-2BAA-4A09-A8CC-B327F0B59C78}"/>
    <cellStyle name="40% - Accent6 3 5 3 2 2" xfId="51505" xr:uid="{FB377530-1CF2-4FBE-8B23-4F5BE8060657}"/>
    <cellStyle name="40% - Accent6 3 5 3 2 3" xfId="32909" xr:uid="{50523830-1178-4153-8EE1-5A844D5AA291}"/>
    <cellStyle name="40% - Accent6 3 5 3 3" xfId="42208" xr:uid="{5ACF05B2-6AD5-41C2-8370-477D592A3948}"/>
    <cellStyle name="40% - Accent6 3 5 3 4" xfId="23610" xr:uid="{8A0286F7-BD3C-4EC1-9353-24DFEA2942AC}"/>
    <cellStyle name="40% - Accent6 3 5 4" xfId="10946" xr:uid="{1CED24F6-76F5-4FBF-9511-DA83577B03D0}"/>
    <cellStyle name="40% - Accent6 3 5 4 2" xfId="47288" xr:uid="{1C663494-3857-4766-B86F-123F2F0166DF}"/>
    <cellStyle name="40% - Accent6 3 5 4 3" xfId="28692" xr:uid="{4D6352A0-8F0B-42AE-803D-DBA7AF21BA88}"/>
    <cellStyle name="40% - Accent6 3 5 5" xfId="37991" xr:uid="{F8179026-AF6D-46DE-9018-84CA96395747}"/>
    <cellStyle name="40% - Accent6 3 5 6" xfId="19393" xr:uid="{5520590E-D061-4C46-81B2-1D87ED57E09D}"/>
    <cellStyle name="40% - Accent6 3 6" xfId="1944" xr:uid="{00000000-0005-0000-0000-000053070000}"/>
    <cellStyle name="40% - Accent6 3 6 2" xfId="4173" xr:uid="{00000000-0005-0000-0000-000054070000}"/>
    <cellStyle name="40% - Accent6 3 6 2 2" xfId="8395" xr:uid="{00000000-0005-0000-0000-000055070000}"/>
    <cellStyle name="40% - Accent6 3 6 2 2 2" xfId="17721" xr:uid="{DF6A85BC-54BF-4134-BEFA-4BC1FC6E31DC}"/>
    <cellStyle name="40% - Accent6 3 6 2 2 2 2" xfId="54063" xr:uid="{C609EE72-C0A6-47A0-9A02-4BFC91FD1405}"/>
    <cellStyle name="40% - Accent6 3 6 2 2 2 3" xfId="35467" xr:uid="{9DC4E1B8-478F-4F96-BCB8-B2448CED172F}"/>
    <cellStyle name="40% - Accent6 3 6 2 2 3" xfId="44766" xr:uid="{8653459C-EB15-4ECE-B786-60E9F2900930}"/>
    <cellStyle name="40% - Accent6 3 6 2 2 4" xfId="26168" xr:uid="{840DB255-3496-4199-8A80-305670779210}"/>
    <cellStyle name="40% - Accent6 3 6 2 3" xfId="13504" xr:uid="{4DF3480A-BBAD-488C-9888-1670008844B5}"/>
    <cellStyle name="40% - Accent6 3 6 2 3 2" xfId="49846" xr:uid="{912A4E87-C000-47F4-9944-3B94D3F9F903}"/>
    <cellStyle name="40% - Accent6 3 6 2 3 3" xfId="31250" xr:uid="{74D8EB8A-9740-4337-A6B0-58BD4D6FDCAF}"/>
    <cellStyle name="40% - Accent6 3 6 2 4" xfId="40549" xr:uid="{B8BDFB20-7A51-463C-9EC5-C26AC8DD0C1C}"/>
    <cellStyle name="40% - Accent6 3 6 2 5" xfId="21951" xr:uid="{4FB83118-1106-41DD-8D0B-6B1C9900737F}"/>
    <cellStyle name="40% - Accent6 3 6 3" xfId="6250" xr:uid="{00000000-0005-0000-0000-000056070000}"/>
    <cellStyle name="40% - Accent6 3 6 3 2" xfId="15576" xr:uid="{BF4D1C67-6FDE-446C-9D44-3EF5FF4B9603}"/>
    <cellStyle name="40% - Accent6 3 6 3 2 2" xfId="51918" xr:uid="{453AE32A-9D37-4DA0-BABC-3A428DF374E4}"/>
    <cellStyle name="40% - Accent6 3 6 3 2 3" xfId="33322" xr:uid="{709340B3-9535-4FEC-B50B-07206606E7E9}"/>
    <cellStyle name="40% - Accent6 3 6 3 3" xfId="42621" xr:uid="{C119141C-4271-4015-B173-8382B57973FF}"/>
    <cellStyle name="40% - Accent6 3 6 3 4" xfId="24023" xr:uid="{8B1A587E-E422-4449-9AD8-2C48D667E332}"/>
    <cellStyle name="40% - Accent6 3 6 4" xfId="11359" xr:uid="{B35E9A5B-C204-4B29-A93C-F2704EFC4B32}"/>
    <cellStyle name="40% - Accent6 3 6 4 2" xfId="47701" xr:uid="{A46F8685-799C-4726-9D36-36B7CB04F97F}"/>
    <cellStyle name="40% - Accent6 3 6 4 3" xfId="29105" xr:uid="{32533847-C7F9-4A69-8745-7E36E6BDE754}"/>
    <cellStyle name="40% - Accent6 3 6 5" xfId="38404" xr:uid="{85B359CE-EF55-4F66-8E4C-9442D235C493}"/>
    <cellStyle name="40% - Accent6 3 6 6" xfId="19806" xr:uid="{D62071F6-EB99-4172-B87B-5B6BC013F0C5}"/>
    <cellStyle name="40% - Accent6 3 7" xfId="2357" xr:uid="{00000000-0005-0000-0000-000057070000}"/>
    <cellStyle name="40% - Accent6 3 7 2" xfId="6663" xr:uid="{00000000-0005-0000-0000-000058070000}"/>
    <cellStyle name="40% - Accent6 3 7 2 2" xfId="15989" xr:uid="{FF2ABE41-5D82-47F9-B40D-0F1BB62C5168}"/>
    <cellStyle name="40% - Accent6 3 7 2 2 2" xfId="52331" xr:uid="{C545880B-FFFA-4715-89DB-F07708AC77B6}"/>
    <cellStyle name="40% - Accent6 3 7 2 2 3" xfId="33735" xr:uid="{E419FA4D-06CC-4F06-A4E7-1159A1827D54}"/>
    <cellStyle name="40% - Accent6 3 7 2 3" xfId="43034" xr:uid="{A6BB6AFF-9F63-48E0-AC12-C0163F64A8A2}"/>
    <cellStyle name="40% - Accent6 3 7 2 4" xfId="24436" xr:uid="{A783B170-EC0E-462A-9532-4DC90DFF4A7F}"/>
    <cellStyle name="40% - Accent6 3 7 3" xfId="11772" xr:uid="{71E4DEDE-5132-43A5-9023-EF86536BFC40}"/>
    <cellStyle name="40% - Accent6 3 7 3 2" xfId="48114" xr:uid="{B8F901AD-90A5-42DF-AAD4-313245BB9EC6}"/>
    <cellStyle name="40% - Accent6 3 7 3 3" xfId="29518" xr:uid="{8AD6EECE-20AB-4BD7-9EE9-11DEB195947F}"/>
    <cellStyle name="40% - Accent6 3 7 4" xfId="38817" xr:uid="{D439C9D5-06E0-42BA-A223-5B02A3C6B382}"/>
    <cellStyle name="40% - Accent6 3 7 5" xfId="20219" xr:uid="{3ACFF95A-2F9D-44E5-8B1B-2F385A757C3E}"/>
    <cellStyle name="40% - Accent6 3 8" xfId="4597" xr:uid="{00000000-0005-0000-0000-000059070000}"/>
    <cellStyle name="40% - Accent6 3 8 2" xfId="13923" xr:uid="{47CC4EAE-BAD0-4431-B98C-6919BDC08F6D}"/>
    <cellStyle name="40% - Accent6 3 8 2 2" xfId="50265" xr:uid="{052FF912-5352-449F-AE5E-C377872733C6}"/>
    <cellStyle name="40% - Accent6 3 8 2 3" xfId="31669" xr:uid="{20605867-8802-4FA3-9B2F-05783A7A2514}"/>
    <cellStyle name="40% - Accent6 3 8 3" xfId="40968" xr:uid="{8671DCA3-9FC0-4DCE-8B0B-C12D99A18749}"/>
    <cellStyle name="40% - Accent6 3 8 4" xfId="22370" xr:uid="{EA1A9114-C66C-42E7-922A-EC6201C3F360}"/>
    <cellStyle name="40% - Accent6 3 9" xfId="8872" xr:uid="{E018AF0F-504E-4DED-BF70-CC97997D74E9}"/>
    <cellStyle name="40% - Accent6 3 9 2" xfId="35942" xr:uid="{483ACD77-AC72-42A7-B35F-075CC94C8094}"/>
    <cellStyle name="40% - Accent6 3 9 2 2" xfId="54537" xr:uid="{72EED05E-A7DD-40AB-8927-008F6736E877}"/>
    <cellStyle name="40% - Accent6 3 9 3" xfId="45240" xr:uid="{273185CC-FE5C-40B3-BD22-B54EEA009133}"/>
    <cellStyle name="40% - Accent6 3 9 4" xfId="26643" xr:uid="{D00C9830-AAD4-4E54-B290-012071CCC852}"/>
    <cellStyle name="40% - Accent6 4" xfId="96" xr:uid="{00000000-0005-0000-0000-00005A070000}"/>
    <cellStyle name="40% - Accent6 4 10" xfId="36753" xr:uid="{F5E13CF4-0985-4636-9E76-0D4781272EC9}"/>
    <cellStyle name="40% - Accent6 4 11" xfId="18155" xr:uid="{B902123B-34CC-44AF-B949-9B0A7F89974D}"/>
    <cellStyle name="40% - Accent6 4 2" xfId="665" xr:uid="{00000000-0005-0000-0000-00005B070000}"/>
    <cellStyle name="40% - Accent6 4 2 2" xfId="2936" xr:uid="{00000000-0005-0000-0000-00005C070000}"/>
    <cellStyle name="40% - Accent6 4 2 2 2" xfId="7158" xr:uid="{00000000-0005-0000-0000-00005D070000}"/>
    <cellStyle name="40% - Accent6 4 2 2 2 2" xfId="16484" xr:uid="{53B68F16-9431-44C2-8D11-D15CCEA761F0}"/>
    <cellStyle name="40% - Accent6 4 2 2 2 2 2" xfId="52826" xr:uid="{7FC1D08B-72B8-4427-9DE3-537CB4D00B54}"/>
    <cellStyle name="40% - Accent6 4 2 2 2 2 3" xfId="34230" xr:uid="{5F33315B-A910-4A4F-945F-000949C6BAD3}"/>
    <cellStyle name="40% - Accent6 4 2 2 2 3" xfId="43529" xr:uid="{184849EA-8642-4FF6-A051-7969B8950A40}"/>
    <cellStyle name="40% - Accent6 4 2 2 2 4" xfId="24931" xr:uid="{17177931-D73A-42B2-B2B3-1FCEAFFFDBC3}"/>
    <cellStyle name="40% - Accent6 4 2 2 3" xfId="12267" xr:uid="{37F34974-9C98-45DF-AEBF-6396905E63A0}"/>
    <cellStyle name="40% - Accent6 4 2 2 3 2" xfId="48609" xr:uid="{E4E79637-FBDE-458A-818D-31C94BB42FDA}"/>
    <cellStyle name="40% - Accent6 4 2 2 3 3" xfId="30013" xr:uid="{100F08C7-CD9E-40FB-BF73-D32D2E80880C}"/>
    <cellStyle name="40% - Accent6 4 2 2 4" xfId="39312" xr:uid="{6525577B-3B24-4CB6-9750-5658281114E1}"/>
    <cellStyle name="40% - Accent6 4 2 2 5" xfId="20714" xr:uid="{E036B1B0-BF4D-47C1-9AE9-9D1B8B1A9DDB}"/>
    <cellStyle name="40% - Accent6 4 2 3" xfId="5013" xr:uid="{00000000-0005-0000-0000-00005E070000}"/>
    <cellStyle name="40% - Accent6 4 2 3 2" xfId="14339" xr:uid="{4F577C9A-70DB-4C77-B3CB-D7166912E986}"/>
    <cellStyle name="40% - Accent6 4 2 3 2 2" xfId="50681" xr:uid="{1B94CAAB-25BC-4F86-A140-4FA0748AF4E9}"/>
    <cellStyle name="40% - Accent6 4 2 3 2 3" xfId="32085" xr:uid="{32586CCB-059C-49A7-B0A7-0BCFB4760DF1}"/>
    <cellStyle name="40% - Accent6 4 2 3 3" xfId="41384" xr:uid="{639E71FC-2B6D-4CC0-ACE4-00BA98B3AEA2}"/>
    <cellStyle name="40% - Accent6 4 2 3 4" xfId="22786" xr:uid="{EA6B81FB-4A3E-4FBA-BD20-A7109A68A267}"/>
    <cellStyle name="40% - Accent6 4 2 4" xfId="9383" xr:uid="{07C7426F-B517-4815-A0BF-2BAE02B26B53}"/>
    <cellStyle name="40% - Accent6 4 2 4 2" xfId="36444" xr:uid="{A80D72A1-FFA6-4A58-A33B-3DEAA8FB88F2}"/>
    <cellStyle name="40% - Accent6 4 2 4 2 2" xfId="55038" xr:uid="{49F30E64-5263-46F8-B513-EE342FBE570E}"/>
    <cellStyle name="40% - Accent6 4 2 4 3" xfId="45741" xr:uid="{E30DC49C-54AD-4CFD-B479-ED7F355C5B4F}"/>
    <cellStyle name="40% - Accent6 4 2 4 4" xfId="27145" xr:uid="{A475BF11-F039-4FDD-9734-524C89A0F43D}"/>
    <cellStyle name="40% - Accent6 4 2 5" xfId="10122" xr:uid="{B1246E10-26F6-4150-8F5F-4660770A17EA}"/>
    <cellStyle name="40% - Accent6 4 2 5 2" xfId="46464" xr:uid="{850B8539-FC44-429F-9371-934829B2DFEC}"/>
    <cellStyle name="40% - Accent6 4 2 5 3" xfId="27868" xr:uid="{9EEEDEA9-8F16-4477-A563-9CA6410A2D63}"/>
    <cellStyle name="40% - Accent6 4 2 6" xfId="37167" xr:uid="{0B8614D5-BF5B-452A-917E-8886B7F4AAE5}"/>
    <cellStyle name="40% - Accent6 4 2 7" xfId="18569" xr:uid="{D92586AD-2AA5-45A2-A213-E672AEF01D33}"/>
    <cellStyle name="40% - Accent6 4 3" xfId="1118" xr:uid="{00000000-0005-0000-0000-00005F070000}"/>
    <cellStyle name="40% - Accent6 4 3 2" xfId="3349" xr:uid="{00000000-0005-0000-0000-000060070000}"/>
    <cellStyle name="40% - Accent6 4 3 2 2" xfId="7571" xr:uid="{00000000-0005-0000-0000-000061070000}"/>
    <cellStyle name="40% - Accent6 4 3 2 2 2" xfId="16897" xr:uid="{F10A143C-751A-45CE-A971-09CFE74A8470}"/>
    <cellStyle name="40% - Accent6 4 3 2 2 2 2" xfId="53239" xr:uid="{3A87B81F-A97F-49D1-A4DA-C03FE79B2C87}"/>
    <cellStyle name="40% - Accent6 4 3 2 2 2 3" xfId="34643" xr:uid="{964C06D0-DABD-495C-B763-89636497F302}"/>
    <cellStyle name="40% - Accent6 4 3 2 2 3" xfId="43942" xr:uid="{7D772BEC-4886-4138-AFEB-851721AD5DDA}"/>
    <cellStyle name="40% - Accent6 4 3 2 2 4" xfId="25344" xr:uid="{BD6A333B-4902-4DC2-B33F-90E3A12A4159}"/>
    <cellStyle name="40% - Accent6 4 3 2 3" xfId="12680" xr:uid="{8DC26A17-A727-49C8-8708-902404C49578}"/>
    <cellStyle name="40% - Accent6 4 3 2 3 2" xfId="49022" xr:uid="{194CD4D9-AF60-4A72-A63C-E3B3452C7D12}"/>
    <cellStyle name="40% - Accent6 4 3 2 3 3" xfId="30426" xr:uid="{EA5129E7-2C83-451A-A1A6-DB0C21FAF1DC}"/>
    <cellStyle name="40% - Accent6 4 3 2 4" xfId="39725" xr:uid="{EE5C93D5-29FD-4B3F-968E-DE9F114635DC}"/>
    <cellStyle name="40% - Accent6 4 3 2 5" xfId="21127" xr:uid="{4CBDF5D1-C265-4CB3-9229-D635B8940E93}"/>
    <cellStyle name="40% - Accent6 4 3 3" xfId="5426" xr:uid="{00000000-0005-0000-0000-000062070000}"/>
    <cellStyle name="40% - Accent6 4 3 3 2" xfId="14752" xr:uid="{897F4159-B9A8-4753-A9A6-12119F988492}"/>
    <cellStyle name="40% - Accent6 4 3 3 2 2" xfId="51094" xr:uid="{E5CC628F-EC88-4D59-BCFE-4AFC44DA0A48}"/>
    <cellStyle name="40% - Accent6 4 3 3 2 3" xfId="32498" xr:uid="{F3D040F9-E634-4C63-A823-DE4F868DB07E}"/>
    <cellStyle name="40% - Accent6 4 3 3 3" xfId="41797" xr:uid="{8ACA73D0-970B-43A9-B5BA-DF5018FE9895}"/>
    <cellStyle name="40% - Accent6 4 3 3 4" xfId="23199" xr:uid="{61C8EFAA-CC9A-4627-8CCB-FC5E1F7EF3D2}"/>
    <cellStyle name="40% - Accent6 4 3 4" xfId="10535" xr:uid="{B6174234-0CDC-418C-AD24-7832F3FE9E2E}"/>
    <cellStyle name="40% - Accent6 4 3 4 2" xfId="46877" xr:uid="{74EC23DD-4534-4588-8F64-FA10EC5D0391}"/>
    <cellStyle name="40% - Accent6 4 3 4 3" xfId="28281" xr:uid="{4BF75AB6-09FA-438D-87CE-3195852AECF8}"/>
    <cellStyle name="40% - Accent6 4 3 5" xfId="37580" xr:uid="{65698BF7-A2A8-4F56-864C-397F5046F172}"/>
    <cellStyle name="40% - Accent6 4 3 6" xfId="18982" xr:uid="{65715918-A2BB-4917-B8AD-C21B50045A1C}"/>
    <cellStyle name="40% - Accent6 4 4" xfId="1532" xr:uid="{00000000-0005-0000-0000-000063070000}"/>
    <cellStyle name="40% - Accent6 4 4 2" xfId="3762" xr:uid="{00000000-0005-0000-0000-000064070000}"/>
    <cellStyle name="40% - Accent6 4 4 2 2" xfId="7984" xr:uid="{00000000-0005-0000-0000-000065070000}"/>
    <cellStyle name="40% - Accent6 4 4 2 2 2" xfId="17310" xr:uid="{BD541080-E218-4DEC-87A8-F4933BE0D866}"/>
    <cellStyle name="40% - Accent6 4 4 2 2 2 2" xfId="53652" xr:uid="{28A579ED-3B4D-49BB-816D-91ED124B6806}"/>
    <cellStyle name="40% - Accent6 4 4 2 2 2 3" xfId="35056" xr:uid="{7987BEFC-E4C8-4E27-8646-BDCEF957DCAB}"/>
    <cellStyle name="40% - Accent6 4 4 2 2 3" xfId="44355" xr:uid="{7AC0CD8F-537C-4FD2-8D58-0653E5A44435}"/>
    <cellStyle name="40% - Accent6 4 4 2 2 4" xfId="25757" xr:uid="{6F572A77-2DA0-41F5-86DA-47589DDAA5AB}"/>
    <cellStyle name="40% - Accent6 4 4 2 3" xfId="13093" xr:uid="{E5944C8C-4242-4059-9BFF-3A250F97886E}"/>
    <cellStyle name="40% - Accent6 4 4 2 3 2" xfId="49435" xr:uid="{6E45E34D-BDAB-4963-B058-CCF84F7AE80A}"/>
    <cellStyle name="40% - Accent6 4 4 2 3 3" xfId="30839" xr:uid="{A22AC80F-EA7D-46AF-918B-3F30253EE503}"/>
    <cellStyle name="40% - Accent6 4 4 2 4" xfId="40138" xr:uid="{F2A234AF-51A2-4FC4-953A-3E2AC1DC3F5A}"/>
    <cellStyle name="40% - Accent6 4 4 2 5" xfId="21540" xr:uid="{380B1B0B-9B21-4023-9F2F-E0BFD19D68E1}"/>
    <cellStyle name="40% - Accent6 4 4 3" xfId="5839" xr:uid="{00000000-0005-0000-0000-000066070000}"/>
    <cellStyle name="40% - Accent6 4 4 3 2" xfId="15165" xr:uid="{3517548E-85EE-40F4-A592-E2C6A96A391B}"/>
    <cellStyle name="40% - Accent6 4 4 3 2 2" xfId="51507" xr:uid="{75E2FC6D-54A1-4E39-8F7F-8C12295C2667}"/>
    <cellStyle name="40% - Accent6 4 4 3 2 3" xfId="32911" xr:uid="{42179F3D-F6DE-4E3E-A366-71CAB17F8F7A}"/>
    <cellStyle name="40% - Accent6 4 4 3 3" xfId="42210" xr:uid="{AF773C17-C5F7-43C8-9185-F511CBA17282}"/>
    <cellStyle name="40% - Accent6 4 4 3 4" xfId="23612" xr:uid="{54DD5BB5-DB52-459D-9277-22B6E24F83BF}"/>
    <cellStyle name="40% - Accent6 4 4 4" xfId="10948" xr:uid="{F49B8667-AF8A-4D92-9698-A6C006A921BE}"/>
    <cellStyle name="40% - Accent6 4 4 4 2" xfId="47290" xr:uid="{8E7B57D3-8FC4-4E78-B972-219F8A4EB454}"/>
    <cellStyle name="40% - Accent6 4 4 4 3" xfId="28694" xr:uid="{C9AA6CAE-AD38-4708-B170-12D65F679648}"/>
    <cellStyle name="40% - Accent6 4 4 5" xfId="37993" xr:uid="{2D711681-63D9-4790-9168-14670CAD9360}"/>
    <cellStyle name="40% - Accent6 4 4 6" xfId="19395" xr:uid="{EC3C5020-B642-4BA0-964A-6C3174833361}"/>
    <cellStyle name="40% - Accent6 4 5" xfId="1946" xr:uid="{00000000-0005-0000-0000-000067070000}"/>
    <cellStyle name="40% - Accent6 4 5 2" xfId="4175" xr:uid="{00000000-0005-0000-0000-000068070000}"/>
    <cellStyle name="40% - Accent6 4 5 2 2" xfId="8397" xr:uid="{00000000-0005-0000-0000-000069070000}"/>
    <cellStyle name="40% - Accent6 4 5 2 2 2" xfId="17723" xr:uid="{765D3415-2E51-416B-907E-5C9834A9FD52}"/>
    <cellStyle name="40% - Accent6 4 5 2 2 2 2" xfId="54065" xr:uid="{D4635634-5273-4547-BD1D-DCA47BED73E6}"/>
    <cellStyle name="40% - Accent6 4 5 2 2 2 3" xfId="35469" xr:uid="{DA7A19DC-1596-4A45-9050-1F59F8927433}"/>
    <cellStyle name="40% - Accent6 4 5 2 2 3" xfId="44768" xr:uid="{7330DF33-01A4-44C1-9348-43A20962F5AC}"/>
    <cellStyle name="40% - Accent6 4 5 2 2 4" xfId="26170" xr:uid="{55E40993-D703-4707-BA79-4BDB83A426CE}"/>
    <cellStyle name="40% - Accent6 4 5 2 3" xfId="13506" xr:uid="{07C4B2A5-2863-4B84-8BA2-D083579C5CA4}"/>
    <cellStyle name="40% - Accent6 4 5 2 3 2" xfId="49848" xr:uid="{61086FF0-B679-47BE-96D3-1FF04ECC9AED}"/>
    <cellStyle name="40% - Accent6 4 5 2 3 3" xfId="31252" xr:uid="{0AF4D716-46F5-4396-8261-5BC6069B0FD9}"/>
    <cellStyle name="40% - Accent6 4 5 2 4" xfId="40551" xr:uid="{5F69439F-AD2C-4C2C-B606-63F51EEC5D91}"/>
    <cellStyle name="40% - Accent6 4 5 2 5" xfId="21953" xr:uid="{1C3CC3B2-F7FC-4E9C-A9C2-4B47690BFF06}"/>
    <cellStyle name="40% - Accent6 4 5 3" xfId="6252" xr:uid="{00000000-0005-0000-0000-00006A070000}"/>
    <cellStyle name="40% - Accent6 4 5 3 2" xfId="15578" xr:uid="{880F401E-E229-45FA-9B51-1BDA48639895}"/>
    <cellStyle name="40% - Accent6 4 5 3 2 2" xfId="51920" xr:uid="{601D4460-2B80-4859-9AD4-AB6DDD3917EB}"/>
    <cellStyle name="40% - Accent6 4 5 3 2 3" xfId="33324" xr:uid="{B0A223AE-C9F3-4EB5-A0A1-7E4F84E98407}"/>
    <cellStyle name="40% - Accent6 4 5 3 3" xfId="42623" xr:uid="{8D7D3195-3A35-485E-B0A2-E2004C1D5207}"/>
    <cellStyle name="40% - Accent6 4 5 3 4" xfId="24025" xr:uid="{2FA147EF-1F6B-4B00-A84E-65A965131028}"/>
    <cellStyle name="40% - Accent6 4 5 4" xfId="11361" xr:uid="{9B283E1E-93FC-49BD-9FD7-65610E471D11}"/>
    <cellStyle name="40% - Accent6 4 5 4 2" xfId="47703" xr:uid="{FC3FAEE1-51A4-4C6D-838B-5CF64FE8D69D}"/>
    <cellStyle name="40% - Accent6 4 5 4 3" xfId="29107" xr:uid="{4F52ABCE-5221-4992-A635-B0CFA0143779}"/>
    <cellStyle name="40% - Accent6 4 5 5" xfId="38406" xr:uid="{F52848FF-D5D9-4BBD-A0A2-BCC88FB7F555}"/>
    <cellStyle name="40% - Accent6 4 5 6" xfId="19808" xr:uid="{705E54FE-1D31-4BB6-8FCB-5B1C5596C41E}"/>
    <cellStyle name="40% - Accent6 4 6" xfId="2359" xr:uid="{00000000-0005-0000-0000-00006B070000}"/>
    <cellStyle name="40% - Accent6 4 6 2" xfId="6665" xr:uid="{00000000-0005-0000-0000-00006C070000}"/>
    <cellStyle name="40% - Accent6 4 6 2 2" xfId="15991" xr:uid="{6CAFE21A-B5B6-4AE4-B41C-84AFB9DBFACB}"/>
    <cellStyle name="40% - Accent6 4 6 2 2 2" xfId="52333" xr:uid="{D450B985-CF94-4006-9263-E887BC3D75C4}"/>
    <cellStyle name="40% - Accent6 4 6 2 2 3" xfId="33737" xr:uid="{0BDAC202-C295-420D-83F4-A50DB0BD39F1}"/>
    <cellStyle name="40% - Accent6 4 6 2 3" xfId="43036" xr:uid="{14201CF6-5557-49F9-9053-49F9C097BE7D}"/>
    <cellStyle name="40% - Accent6 4 6 2 4" xfId="24438" xr:uid="{EAC0F126-0B14-4B5B-837D-625EAE1707C4}"/>
    <cellStyle name="40% - Accent6 4 6 3" xfId="11774" xr:uid="{EE8DA2C9-DA6E-40C0-862E-8C37E8403335}"/>
    <cellStyle name="40% - Accent6 4 6 3 2" xfId="48116" xr:uid="{0C9F8D99-E305-455F-8B53-D0815AF7729A}"/>
    <cellStyle name="40% - Accent6 4 6 3 3" xfId="29520" xr:uid="{6C174B53-A75D-4AFA-A9F6-6C2354257E64}"/>
    <cellStyle name="40% - Accent6 4 6 4" xfId="38819" xr:uid="{35818E6D-8C75-480C-9E32-2B22A6A7E533}"/>
    <cellStyle name="40% - Accent6 4 6 5" xfId="20221" xr:uid="{C834D9CF-CCEF-4867-9762-21A6FD7C815A}"/>
    <cellStyle name="40% - Accent6 4 7" xfId="4599" xr:uid="{00000000-0005-0000-0000-00006D070000}"/>
    <cellStyle name="40% - Accent6 4 7 2" xfId="13925" xr:uid="{85018034-4A85-4E45-B789-50D46C21E0EF}"/>
    <cellStyle name="40% - Accent6 4 7 2 2" xfId="50267" xr:uid="{65DE8713-D89F-4A64-854D-9208C851FA28}"/>
    <cellStyle name="40% - Accent6 4 7 2 3" xfId="31671" xr:uid="{0236980D-3B87-4941-9DAE-09850BCE106F}"/>
    <cellStyle name="40% - Accent6 4 7 3" xfId="40970" xr:uid="{FDE403B9-E4BC-47C1-9C33-CFE2D11569AD}"/>
    <cellStyle name="40% - Accent6 4 7 4" xfId="22372" xr:uid="{5B60F45D-B40F-4F42-9799-AAC65A34EB6D}"/>
    <cellStyle name="40% - Accent6 4 8" xfId="8958" xr:uid="{058203D5-6D6D-4106-8D68-93F66B236239}"/>
    <cellStyle name="40% - Accent6 4 8 2" xfId="36028" xr:uid="{A233385E-4CAA-4548-88BE-4292D1C4CBD5}"/>
    <cellStyle name="40% - Accent6 4 8 2 2" xfId="54623" xr:uid="{13584F21-65C1-4BD7-A1A3-23AD79202C6C}"/>
    <cellStyle name="40% - Accent6 4 8 3" xfId="45326" xr:uid="{0DA3A473-76CE-46D2-A10C-93A42BB691EC}"/>
    <cellStyle name="40% - Accent6 4 8 4" xfId="26729" xr:uid="{1C42D1DF-6D68-4830-8F44-2C14ED7D8088}"/>
    <cellStyle name="40% - Accent6 4 9" xfId="9708" xr:uid="{95FC8CCA-E33F-4F73-9F1D-A23080B5A709}"/>
    <cellStyle name="40% - Accent6 4 9 2" xfId="46050" xr:uid="{1144E3D5-60C4-4AFB-A8FF-BFCFCAADF433}"/>
    <cellStyle name="40% - Accent6 4 9 3" xfId="27454" xr:uid="{94AFBE7A-4381-4B4A-9BAC-7DA8BF83668F}"/>
    <cellStyle name="40% - Accent6 5" xfId="658" xr:uid="{00000000-0005-0000-0000-00006E070000}"/>
    <cellStyle name="40% - Accent6 5 2" xfId="2929" xr:uid="{00000000-0005-0000-0000-00006F070000}"/>
    <cellStyle name="40% - Accent6 5 2 2" xfId="7151" xr:uid="{00000000-0005-0000-0000-000070070000}"/>
    <cellStyle name="40% - Accent6 5 2 2 2" xfId="16477" xr:uid="{0D69C6E4-09E7-4053-8F9A-11A50C70C279}"/>
    <cellStyle name="40% - Accent6 5 2 2 2 2" xfId="52819" xr:uid="{FE77480B-1EF1-4406-973B-A293EBF202F5}"/>
    <cellStyle name="40% - Accent6 5 2 2 2 3" xfId="34223" xr:uid="{4E66F485-B031-47D6-95A4-0E57AC49128B}"/>
    <cellStyle name="40% - Accent6 5 2 2 3" xfId="43522" xr:uid="{DE5A2532-FC1F-465C-ADF8-A69D3550BF60}"/>
    <cellStyle name="40% - Accent6 5 2 2 4" xfId="24924" xr:uid="{123F1164-32F7-426D-A5E3-E2C408E7F79C}"/>
    <cellStyle name="40% - Accent6 5 2 3" xfId="12260" xr:uid="{9605095A-2F38-4FFB-A6C0-26E6E43F4F85}"/>
    <cellStyle name="40% - Accent6 5 2 3 2" xfId="48602" xr:uid="{FD145906-CE09-4BC3-84C4-985EC7F8413F}"/>
    <cellStyle name="40% - Accent6 5 2 3 3" xfId="30006" xr:uid="{1F65433B-FF71-4FD3-B12E-97813CE43432}"/>
    <cellStyle name="40% - Accent6 5 2 4" xfId="39305" xr:uid="{A5FE0AAD-9AD1-4300-9B4A-D5EEE193DE32}"/>
    <cellStyle name="40% - Accent6 5 2 5" xfId="20707" xr:uid="{190019A5-E5B4-4795-AF05-19246FE1DC11}"/>
    <cellStyle name="40% - Accent6 5 3" xfId="5006" xr:uid="{00000000-0005-0000-0000-000071070000}"/>
    <cellStyle name="40% - Accent6 5 3 2" xfId="14332" xr:uid="{492E96D0-7C3B-4D1C-8993-ADAE21312BF6}"/>
    <cellStyle name="40% - Accent6 5 3 2 2" xfId="50674" xr:uid="{EB3071BE-5E9B-4D96-A9AA-7438EF9ABE45}"/>
    <cellStyle name="40% - Accent6 5 3 2 3" xfId="32078" xr:uid="{85201B7E-7D1E-4B74-A01B-526958EFA350}"/>
    <cellStyle name="40% - Accent6 5 3 3" xfId="41377" xr:uid="{4DD5D6B1-6D9C-4142-8C07-673F7C0E63C9}"/>
    <cellStyle name="40% - Accent6 5 3 4" xfId="22779" xr:uid="{66675BBD-6A56-4401-8FEC-DCF62C8FD9FA}"/>
    <cellStyle name="40% - Accent6 5 4" xfId="9192" xr:uid="{19661A88-B46A-4EF9-A9F3-4BCF8E242108}"/>
    <cellStyle name="40% - Accent6 5 4 2" xfId="36255" xr:uid="{3F4BD67B-3DC0-4B86-9628-13C5368FC805}"/>
    <cellStyle name="40% - Accent6 5 4 2 2" xfId="54849" xr:uid="{038D81A2-D229-4823-9D6F-E9B5B145B6F4}"/>
    <cellStyle name="40% - Accent6 5 4 3" xfId="45552" xr:uid="{D5252C3D-8A94-42D7-B952-0FB8B983B8EE}"/>
    <cellStyle name="40% - Accent6 5 4 4" xfId="26956" xr:uid="{5E96637D-AD4D-4A43-A6CF-452062B6E7CD}"/>
    <cellStyle name="40% - Accent6 5 5" xfId="10115" xr:uid="{DAC976BF-D3CA-43E8-876B-A94ADC945F12}"/>
    <cellStyle name="40% - Accent6 5 5 2" xfId="46457" xr:uid="{26479720-CFD3-42FA-A5D1-2F4C5BD269E6}"/>
    <cellStyle name="40% - Accent6 5 5 3" xfId="27861" xr:uid="{D1A0EF5B-42B3-46F7-964B-6552344BAC4A}"/>
    <cellStyle name="40% - Accent6 5 6" xfId="37160" xr:uid="{E08C079E-E629-4240-9CB5-E016532E92B6}"/>
    <cellStyle name="40% - Accent6 5 7" xfId="18562" xr:uid="{F786A674-274F-497C-BE9B-9414EBE6CCFC}"/>
    <cellStyle name="40% - Accent6 6" xfId="1111" xr:uid="{00000000-0005-0000-0000-000072070000}"/>
    <cellStyle name="40% - Accent6 6 2" xfId="3342" xr:uid="{00000000-0005-0000-0000-000073070000}"/>
    <cellStyle name="40% - Accent6 6 2 2" xfId="7564" xr:uid="{00000000-0005-0000-0000-000074070000}"/>
    <cellStyle name="40% - Accent6 6 2 2 2" xfId="16890" xr:uid="{DA78E651-AC80-4CE4-9503-7728E67C78F5}"/>
    <cellStyle name="40% - Accent6 6 2 2 2 2" xfId="53232" xr:uid="{CD42A8B2-F98F-4EEA-B501-764D54E4D4C8}"/>
    <cellStyle name="40% - Accent6 6 2 2 2 3" xfId="34636" xr:uid="{D22C9700-37D7-4A4F-B7B8-3B98A7F6BD9A}"/>
    <cellStyle name="40% - Accent6 6 2 2 3" xfId="43935" xr:uid="{3ABD5523-E6F8-419B-9001-0C3116F1098F}"/>
    <cellStyle name="40% - Accent6 6 2 2 4" xfId="25337" xr:uid="{A8516E95-269C-4411-A5AC-83C078114EA8}"/>
    <cellStyle name="40% - Accent6 6 2 3" xfId="12673" xr:uid="{E007AC85-C8EB-4225-BFC1-C4911AF55DA7}"/>
    <cellStyle name="40% - Accent6 6 2 3 2" xfId="49015" xr:uid="{FF82CAD8-36F8-4820-947D-AAE1748B634A}"/>
    <cellStyle name="40% - Accent6 6 2 3 3" xfId="30419" xr:uid="{9956A06C-4D82-44FE-8035-81EC253DA6F7}"/>
    <cellStyle name="40% - Accent6 6 2 4" xfId="39718" xr:uid="{4FC13240-9D2D-42CD-8ED2-7D498D91945C}"/>
    <cellStyle name="40% - Accent6 6 2 5" xfId="21120" xr:uid="{AE067B79-EE27-4AF4-AB09-937981AF4C96}"/>
    <cellStyle name="40% - Accent6 6 3" xfId="5419" xr:uid="{00000000-0005-0000-0000-000075070000}"/>
    <cellStyle name="40% - Accent6 6 3 2" xfId="14745" xr:uid="{C059C52A-3485-40B6-BE78-43467BC1E3C8}"/>
    <cellStyle name="40% - Accent6 6 3 2 2" xfId="51087" xr:uid="{9089A0A2-1E83-4114-950C-ABD406A4FC41}"/>
    <cellStyle name="40% - Accent6 6 3 2 3" xfId="32491" xr:uid="{C033898F-EA35-4E74-B88F-5F1DAC956816}"/>
    <cellStyle name="40% - Accent6 6 3 3" xfId="41790" xr:uid="{A1757C89-F9F3-4810-BFD1-A6C657128E59}"/>
    <cellStyle name="40% - Accent6 6 3 4" xfId="23192" xr:uid="{3D8D9838-DB04-4C91-8D76-BF4534CE8849}"/>
    <cellStyle name="40% - Accent6 6 4" xfId="10528" xr:uid="{E2A37401-86E8-4EE3-BF9A-490BF7262A8F}"/>
    <cellStyle name="40% - Accent6 6 4 2" xfId="46870" xr:uid="{97C07989-49B8-4AE1-B7C8-746585E1C181}"/>
    <cellStyle name="40% - Accent6 6 4 3" xfId="28274" xr:uid="{FA11C961-B070-4A07-BDB6-581ECA385D13}"/>
    <cellStyle name="40% - Accent6 6 5" xfId="37573" xr:uid="{DE06321C-D9ED-468F-B429-BD0233967026}"/>
    <cellStyle name="40% - Accent6 6 6" xfId="18975" xr:uid="{18363C10-5635-42CB-BBFF-9D07C8560E90}"/>
    <cellStyle name="40% - Accent6 7" xfId="1525" xr:uid="{00000000-0005-0000-0000-000076070000}"/>
    <cellStyle name="40% - Accent6 7 2" xfId="3755" xr:uid="{00000000-0005-0000-0000-000077070000}"/>
    <cellStyle name="40% - Accent6 7 2 2" xfId="7977" xr:uid="{00000000-0005-0000-0000-000078070000}"/>
    <cellStyle name="40% - Accent6 7 2 2 2" xfId="17303" xr:uid="{41AF3AE7-6092-4303-892E-93AED03A38A7}"/>
    <cellStyle name="40% - Accent6 7 2 2 2 2" xfId="53645" xr:uid="{E4CB8C6A-E785-4AF5-8AD7-4692F506F914}"/>
    <cellStyle name="40% - Accent6 7 2 2 2 3" xfId="35049" xr:uid="{43DA0CE9-0ADE-4955-874D-4DAF8DD3812C}"/>
    <cellStyle name="40% - Accent6 7 2 2 3" xfId="44348" xr:uid="{5556650F-3104-4403-8C0C-CA3FA086290F}"/>
    <cellStyle name="40% - Accent6 7 2 2 4" xfId="25750" xr:uid="{FF3C745A-F297-4244-861B-A963E1337E27}"/>
    <cellStyle name="40% - Accent6 7 2 3" xfId="13086" xr:uid="{0475E921-3398-416C-83EB-24E7667DF8AC}"/>
    <cellStyle name="40% - Accent6 7 2 3 2" xfId="49428" xr:uid="{ABA6CD97-2069-474B-80E9-23BC5D938401}"/>
    <cellStyle name="40% - Accent6 7 2 3 3" xfId="30832" xr:uid="{2587E92A-ACBB-4CCA-90F3-C27D5C771063}"/>
    <cellStyle name="40% - Accent6 7 2 4" xfId="40131" xr:uid="{AAAA9C6D-2270-492C-9A40-E836072344AD}"/>
    <cellStyle name="40% - Accent6 7 2 5" xfId="21533" xr:uid="{A938ED29-F5B1-48B9-8204-360459231C52}"/>
    <cellStyle name="40% - Accent6 7 3" xfId="5832" xr:uid="{00000000-0005-0000-0000-000079070000}"/>
    <cellStyle name="40% - Accent6 7 3 2" xfId="15158" xr:uid="{BDCBBF3D-9A8C-4BA5-A0A1-92B6D54201C6}"/>
    <cellStyle name="40% - Accent6 7 3 2 2" xfId="51500" xr:uid="{90EF3548-7F38-42BF-A546-B1613833C338}"/>
    <cellStyle name="40% - Accent6 7 3 2 3" xfId="32904" xr:uid="{02788CEF-09F0-459D-B026-97DE5FA28DDE}"/>
    <cellStyle name="40% - Accent6 7 3 3" xfId="42203" xr:uid="{A89B0981-7C98-4DD6-9F16-FC8DBDD4CAE5}"/>
    <cellStyle name="40% - Accent6 7 3 4" xfId="23605" xr:uid="{9F29E25A-3F36-445A-8E72-B5F10D4AD81C}"/>
    <cellStyle name="40% - Accent6 7 4" xfId="10941" xr:uid="{DDD3D623-A66A-46AB-96F9-73D5BABB4107}"/>
    <cellStyle name="40% - Accent6 7 4 2" xfId="47283" xr:uid="{6565D38E-3D8F-4CEF-91DA-7450B076E25E}"/>
    <cellStyle name="40% - Accent6 7 4 3" xfId="28687" xr:uid="{38FF1844-9482-4B6C-9EF1-DAF119EEE4EC}"/>
    <cellStyle name="40% - Accent6 7 5" xfId="37986" xr:uid="{01AB4F6D-D11B-415C-9D8D-29422785B487}"/>
    <cellStyle name="40% - Accent6 7 6" xfId="19388" xr:uid="{67204B3B-3776-4EE4-8B0B-DD56BEA7D13C}"/>
    <cellStyle name="40% - Accent6 8" xfId="1939" xr:uid="{00000000-0005-0000-0000-00007A070000}"/>
    <cellStyle name="40% - Accent6 8 2" xfId="4168" xr:uid="{00000000-0005-0000-0000-00007B070000}"/>
    <cellStyle name="40% - Accent6 8 2 2" xfId="8390" xr:uid="{00000000-0005-0000-0000-00007C070000}"/>
    <cellStyle name="40% - Accent6 8 2 2 2" xfId="17716" xr:uid="{C4F8A284-34A3-4EDF-A836-014C60674236}"/>
    <cellStyle name="40% - Accent6 8 2 2 2 2" xfId="54058" xr:uid="{920A26F1-06F9-4C6B-9ACF-0FAB9DDEEA73}"/>
    <cellStyle name="40% - Accent6 8 2 2 2 3" xfId="35462" xr:uid="{2DC462E5-BFA5-4432-8456-D698D476B88C}"/>
    <cellStyle name="40% - Accent6 8 2 2 3" xfId="44761" xr:uid="{17CEE80E-5B16-4001-AFCB-A217F76E6F09}"/>
    <cellStyle name="40% - Accent6 8 2 2 4" xfId="26163" xr:uid="{495C49F1-F735-4458-AD35-4034612EF9C4}"/>
    <cellStyle name="40% - Accent6 8 2 3" xfId="13499" xr:uid="{3BD5928F-99C4-4AA6-8151-FA6C34363AC7}"/>
    <cellStyle name="40% - Accent6 8 2 3 2" xfId="49841" xr:uid="{87833E8A-48ED-4915-9316-449CF0AF8F32}"/>
    <cellStyle name="40% - Accent6 8 2 3 3" xfId="31245" xr:uid="{F4D6B391-7F27-45C3-83BD-03ED3121D747}"/>
    <cellStyle name="40% - Accent6 8 2 4" xfId="40544" xr:uid="{E68C3572-934C-4088-824C-7D1DDFFFAAE3}"/>
    <cellStyle name="40% - Accent6 8 2 5" xfId="21946" xr:uid="{A5D63797-9F17-4C25-B2A3-EE6D83464CED}"/>
    <cellStyle name="40% - Accent6 8 3" xfId="6245" xr:uid="{00000000-0005-0000-0000-00007D070000}"/>
    <cellStyle name="40% - Accent6 8 3 2" xfId="15571" xr:uid="{C8222680-9535-44D0-B87B-580CA5CEE3EB}"/>
    <cellStyle name="40% - Accent6 8 3 2 2" xfId="51913" xr:uid="{C62E1CFC-3156-4EC1-83E1-87E3B193A13B}"/>
    <cellStyle name="40% - Accent6 8 3 2 3" xfId="33317" xr:uid="{838E6DEE-C571-4B72-A4FD-DF3337578449}"/>
    <cellStyle name="40% - Accent6 8 3 3" xfId="42616" xr:uid="{334C757C-1F57-41EC-8D5E-610E49B4335B}"/>
    <cellStyle name="40% - Accent6 8 3 4" xfId="24018" xr:uid="{FD8C067A-6620-4354-A34C-C235A6C32D64}"/>
    <cellStyle name="40% - Accent6 8 4" xfId="11354" xr:uid="{B24AE046-F96F-4A57-A894-6CCB1A5C3463}"/>
    <cellStyle name="40% - Accent6 8 4 2" xfId="47696" xr:uid="{4A84A483-DBCB-4404-8972-B22A283D2365}"/>
    <cellStyle name="40% - Accent6 8 4 3" xfId="29100" xr:uid="{DAE81AE0-3D72-49C2-B059-642ABFF537E6}"/>
    <cellStyle name="40% - Accent6 8 5" xfId="38399" xr:uid="{4278746E-B697-45ED-8810-E45A17563530}"/>
    <cellStyle name="40% - Accent6 8 6" xfId="19801" xr:uid="{64CE74B6-FB26-4D96-A5DD-A4A2DD54BFD3}"/>
    <cellStyle name="40% - Accent6 9" xfId="2352" xr:uid="{00000000-0005-0000-0000-00007E070000}"/>
    <cellStyle name="40% - Accent6 9 2" xfId="6658" xr:uid="{00000000-0005-0000-0000-00007F070000}"/>
    <cellStyle name="40% - Accent6 9 2 2" xfId="15984" xr:uid="{26727569-758B-4D67-8F94-DD7A677EEE73}"/>
    <cellStyle name="40% - Accent6 9 2 2 2" xfId="52326" xr:uid="{5A86272F-2243-41EF-BBA6-0FFBB999C21D}"/>
    <cellStyle name="40% - Accent6 9 2 2 3" xfId="33730" xr:uid="{F27A6480-B997-4A13-8F83-BA33B6505060}"/>
    <cellStyle name="40% - Accent6 9 2 3" xfId="43029" xr:uid="{0F61F8BD-D9CD-4E2B-B181-0A19487D80D2}"/>
    <cellStyle name="40% - Accent6 9 2 4" xfId="24431" xr:uid="{1515288E-E4E7-4310-9F82-7980AF4E7E07}"/>
    <cellStyle name="40% - Accent6 9 3" xfId="11767" xr:uid="{AC57FCAE-3CFD-4C6E-A615-82BB035CC027}"/>
    <cellStyle name="40% - Accent6 9 3 2" xfId="48109" xr:uid="{31F7CEA8-2A2D-4639-ACDA-3624220FF1E0}"/>
    <cellStyle name="40% - Accent6 9 3 3" xfId="29513" xr:uid="{BEABAA27-9BA7-4860-8E1F-C5BEA34CF502}"/>
    <cellStyle name="40% - Accent6 9 4" xfId="38812" xr:uid="{749BB9E3-96D1-4F6F-AB80-C83BE600FF73}"/>
    <cellStyle name="40% - Accent6 9 5" xfId="20214" xr:uid="{D60C92B0-5A6F-49AB-B6FF-9BA97432C3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16309" xr:uid="{0CC4D32D-C0A2-4651-BA65-DC20082C42A1}"/>
    <cellStyle name="Comma 4 2 2 2 10 2 2 2" xfId="52651" xr:uid="{A999977D-C492-4788-9BEF-AD9CF36D225F}"/>
    <cellStyle name="Comma 4 2 2 2 10 2 2 3" xfId="34055" xr:uid="{421D8F0A-6C1A-4F4D-9CBF-0C7001AECD98}"/>
    <cellStyle name="Comma 4 2 2 2 10 2 3" xfId="43354" xr:uid="{B1C7809A-5FD7-410B-B47E-04DD3BA6F6F0}"/>
    <cellStyle name="Comma 4 2 2 2 10 2 4" xfId="24756" xr:uid="{F69842D0-DC76-44A9-B742-2E8B3FFDEA04}"/>
    <cellStyle name="Comma 4 2 2 2 10 3" xfId="12092" xr:uid="{E4D9400D-2A76-40DE-969C-A3CE098EC032}"/>
    <cellStyle name="Comma 4 2 2 2 10 3 2" xfId="48434" xr:uid="{631F49FD-28F4-45F6-992B-69353AA06E8E}"/>
    <cellStyle name="Comma 4 2 2 2 10 3 3" xfId="29838" xr:uid="{AEA18449-430F-47C7-91CC-DE35E3A489D1}"/>
    <cellStyle name="Comma 4 2 2 2 10 4" xfId="39137" xr:uid="{5C1D65EC-E98C-40E8-8010-19BC91F643BA}"/>
    <cellStyle name="Comma 4 2 2 2 10 5" xfId="20539" xr:uid="{48B69DC0-8D33-4707-80ED-6ED3DB8BC80D}"/>
    <cellStyle name="Comma 4 2 2 2 11" xfId="4600" xr:uid="{00000000-0005-0000-0000-0000A3070000}"/>
    <cellStyle name="Comma 4 2 2 2 11 2" xfId="13926" xr:uid="{9178B74C-B16C-4E58-BE5D-6756A9CC6A84}"/>
    <cellStyle name="Comma 4 2 2 2 11 2 2" xfId="50268" xr:uid="{115681F5-4916-4B93-ACBF-0474A231A22D}"/>
    <cellStyle name="Comma 4 2 2 2 11 2 3" xfId="31672" xr:uid="{DE53BAF0-F86A-4249-BD2F-E8804CD08E32}"/>
    <cellStyle name="Comma 4 2 2 2 11 3" xfId="40971" xr:uid="{B0BE9CEE-307B-4099-906C-CC454CF7FBE9}"/>
    <cellStyle name="Comma 4 2 2 2 11 4" xfId="22373" xr:uid="{BA54B659-F99A-46C1-9447-0E62C4A636FB}"/>
    <cellStyle name="Comma 4 2 2 2 12" xfId="8806" xr:uid="{6C773D0B-D2E3-4A8C-B041-8DA2843B9E25}"/>
    <cellStyle name="Comma 4 2 2 2 12 2" xfId="35876" xr:uid="{7442C07F-7507-4BD0-918A-701F09F9403D}"/>
    <cellStyle name="Comma 4 2 2 2 12 2 2" xfId="54471" xr:uid="{481A7A1C-4CF0-4942-B27C-D199A8C2A9A1}"/>
    <cellStyle name="Comma 4 2 2 2 12 3" xfId="45174" xr:uid="{F29F1607-5FF1-4F17-8795-FFB3C5C420DC}"/>
    <cellStyle name="Comma 4 2 2 2 12 4" xfId="26577" xr:uid="{298542C7-BE32-495C-A47B-AC413BC6908B}"/>
    <cellStyle name="Comma 4 2 2 2 13" xfId="9709" xr:uid="{78C4EB63-8F42-456D-9397-769655063016}"/>
    <cellStyle name="Comma 4 2 2 2 13 2" xfId="46051" xr:uid="{4D21CC14-6728-47E6-AB32-722E95EB2534}"/>
    <cellStyle name="Comma 4 2 2 2 13 3" xfId="27455" xr:uid="{D7B4C22A-66EA-423C-8B10-5062D9139032}"/>
    <cellStyle name="Comma 4 2 2 2 14" xfId="36754" xr:uid="{4E685AA1-E34A-49CD-9562-3A9A49047B3C}"/>
    <cellStyle name="Comma 4 2 2 2 15" xfId="18156" xr:uid="{F40E4B84-7858-4233-8413-0D902E536CE0}"/>
    <cellStyle name="Comma 4 2 2 2 2" xfId="129" xr:uid="{00000000-0005-0000-0000-0000A4070000}"/>
    <cellStyle name="Comma 4 2 2 2 2 10" xfId="4601" xr:uid="{00000000-0005-0000-0000-0000A5070000}"/>
    <cellStyle name="Comma 4 2 2 2 2 10 2" xfId="13927" xr:uid="{06AE6C94-6755-4BAD-B34B-CE5F2F1E232C}"/>
    <cellStyle name="Comma 4 2 2 2 2 10 2 2" xfId="50269" xr:uid="{6E257A44-A47C-4886-90D0-96226F829DF8}"/>
    <cellStyle name="Comma 4 2 2 2 2 10 2 3" xfId="31673" xr:uid="{7D539E58-C1D1-413B-A093-73F02C10E566}"/>
    <cellStyle name="Comma 4 2 2 2 2 10 3" xfId="40972" xr:uid="{57E6A488-7049-40FE-BDEE-31B5443CE253}"/>
    <cellStyle name="Comma 4 2 2 2 2 10 4" xfId="22374" xr:uid="{1107BCB7-577C-4FF4-8556-408634162C22}"/>
    <cellStyle name="Comma 4 2 2 2 2 11" xfId="8909" xr:uid="{477FCE05-1F49-4658-A03C-A8A5E7983C47}"/>
    <cellStyle name="Comma 4 2 2 2 2 11 2" xfId="35979" xr:uid="{19D51CB6-B530-4997-B3C2-1D1D67DCEA41}"/>
    <cellStyle name="Comma 4 2 2 2 2 11 2 2" xfId="54574" xr:uid="{47354814-E126-426E-BCB2-6C03BF1E52A6}"/>
    <cellStyle name="Comma 4 2 2 2 2 11 3" xfId="45277" xr:uid="{BCF421D8-8422-483F-AD29-D8ACD0148A43}"/>
    <cellStyle name="Comma 4 2 2 2 2 11 4" xfId="26680" xr:uid="{F592A625-8200-4DF8-BF4D-13F0DC98BD8F}"/>
    <cellStyle name="Comma 4 2 2 2 2 12" xfId="9710" xr:uid="{F6727A58-50BE-4619-8500-692F6147657D}"/>
    <cellStyle name="Comma 4 2 2 2 2 12 2" xfId="46052" xr:uid="{57CF71E8-8951-4F8D-8259-CF3CF5BA9A24}"/>
    <cellStyle name="Comma 4 2 2 2 2 12 3" xfId="27456" xr:uid="{731F1B76-FC34-4CAE-8892-A9CA73B15D42}"/>
    <cellStyle name="Comma 4 2 2 2 2 13" xfId="36755" xr:uid="{810F0BDE-42A2-4694-B659-FBEE6CABAF46}"/>
    <cellStyle name="Comma 4 2 2 2 2 14" xfId="18157" xr:uid="{848CD029-2B86-4B31-B531-2AF7324E7A69}"/>
    <cellStyle name="Comma 4 2 2 2 2 2" xfId="130" xr:uid="{00000000-0005-0000-0000-0000A6070000}"/>
    <cellStyle name="Comma 4 2 2 2 2 2 10" xfId="9116" xr:uid="{7A07505D-6B4C-4086-90B5-B5D345FB7611}"/>
    <cellStyle name="Comma 4 2 2 2 2 2 10 2" xfId="36186" xr:uid="{90BB6B0B-E41C-48A8-B487-8541FF7A16A8}"/>
    <cellStyle name="Comma 4 2 2 2 2 2 10 2 2" xfId="54781" xr:uid="{F0389F64-7181-48E8-8D47-6E74251F5CE3}"/>
    <cellStyle name="Comma 4 2 2 2 2 2 10 3" xfId="45484" xr:uid="{8DF351BD-8947-445F-ADBC-1683ABAF1B49}"/>
    <cellStyle name="Comma 4 2 2 2 2 2 10 4" xfId="26887" xr:uid="{E4ABBE71-0D8E-423A-B6E0-36A38812B1D7}"/>
    <cellStyle name="Comma 4 2 2 2 2 2 11" xfId="9711" xr:uid="{A7E65C48-1C8E-44FC-B4B9-4E9ACFD2E621}"/>
    <cellStyle name="Comma 4 2 2 2 2 2 11 2" xfId="46053" xr:uid="{300DC94A-79E1-4E39-9275-77B1B76F9E06}"/>
    <cellStyle name="Comma 4 2 2 2 2 2 11 3" xfId="27457" xr:uid="{E84B1369-3046-4085-8B80-8D4F953F766A}"/>
    <cellStyle name="Comma 4 2 2 2 2 2 12" xfId="36756" xr:uid="{F9AA77F0-053F-4258-BB16-ED493574FD4F}"/>
    <cellStyle name="Comma 4 2 2 2 2 2 13" xfId="18158" xr:uid="{0AE2B5CD-E5C8-4F26-8334-C6079AB6B16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16487" xr:uid="{8ECED27E-C7F3-4120-B9F9-F6D9B3610CA6}"/>
    <cellStyle name="Comma 4 2 2 2 2 2 2 2 2 2 2" xfId="52829" xr:uid="{3F14FB3B-3D6B-43F7-AE31-FD430621008C}"/>
    <cellStyle name="Comma 4 2 2 2 2 2 2 2 2 2 3" xfId="34233" xr:uid="{945044D4-EC43-4075-9D77-73247CCAA41E}"/>
    <cellStyle name="Comma 4 2 2 2 2 2 2 2 2 3" xfId="43532" xr:uid="{5EB88F8E-5642-4BC2-856D-D6D85277152F}"/>
    <cellStyle name="Comma 4 2 2 2 2 2 2 2 2 4" xfId="24934" xr:uid="{1CA20A24-585B-4DE0-8216-985AB904EE37}"/>
    <cellStyle name="Comma 4 2 2 2 2 2 2 2 3" xfId="12270" xr:uid="{13D33E2B-1E10-46B6-8631-E82FF9BFC2D7}"/>
    <cellStyle name="Comma 4 2 2 2 2 2 2 2 3 2" xfId="48612" xr:uid="{EE6AC600-0F67-4E28-94D3-AABE9B9D0EF3}"/>
    <cellStyle name="Comma 4 2 2 2 2 2 2 2 3 3" xfId="30016" xr:uid="{7319807C-735F-4FC8-B47F-D8F3D3470064}"/>
    <cellStyle name="Comma 4 2 2 2 2 2 2 2 4" xfId="39315" xr:uid="{826955E7-AFAA-4D85-BEEF-34DC67012E0D}"/>
    <cellStyle name="Comma 4 2 2 2 2 2 2 2 5" xfId="20717" xr:uid="{9B3E6EC4-8D68-4026-8FB4-BE841B0D1522}"/>
    <cellStyle name="Comma 4 2 2 2 2 2 2 3" xfId="5016" xr:uid="{00000000-0005-0000-0000-0000AA070000}"/>
    <cellStyle name="Comma 4 2 2 2 2 2 2 3 2" xfId="14342" xr:uid="{F5887E5E-BC7A-4634-B837-53ED08B893A4}"/>
    <cellStyle name="Comma 4 2 2 2 2 2 2 3 2 2" xfId="50684" xr:uid="{808F7CB9-06AB-41C1-B096-6BF371FEE176}"/>
    <cellStyle name="Comma 4 2 2 2 2 2 2 3 2 3" xfId="32088" xr:uid="{3CBE5CF7-AE7A-4632-8399-7512B2A76BC4}"/>
    <cellStyle name="Comma 4 2 2 2 2 2 2 3 3" xfId="41387" xr:uid="{971A4A70-B030-4F97-8F59-6CB73829FA9C}"/>
    <cellStyle name="Comma 4 2 2 2 2 2 2 3 4" xfId="22789" xr:uid="{2697C673-DFA7-4730-9691-4912A06EBF39}"/>
    <cellStyle name="Comma 4 2 2 2 2 2 2 4" xfId="9541" xr:uid="{21DC771E-83A2-48BA-BE40-3E9E8454DE28}"/>
    <cellStyle name="Comma 4 2 2 2 2 2 2 4 2" xfId="36602" xr:uid="{124FAB0B-52F5-4253-ACA3-D162C450B853}"/>
    <cellStyle name="Comma 4 2 2 2 2 2 2 4 2 2" xfId="55196" xr:uid="{6BF1CF30-C810-40B1-8471-6FB3EF1C7683}"/>
    <cellStyle name="Comma 4 2 2 2 2 2 2 4 3" xfId="45899" xr:uid="{074B2C86-A4E5-412F-A155-9CDEF5454DF8}"/>
    <cellStyle name="Comma 4 2 2 2 2 2 2 4 4" xfId="27303" xr:uid="{060A31E1-AFAA-4DE4-97F7-0446446339A5}"/>
    <cellStyle name="Comma 4 2 2 2 2 2 2 5" xfId="10125" xr:uid="{844CCE67-9B3C-4F19-9FDB-DFBFDB75BED0}"/>
    <cellStyle name="Comma 4 2 2 2 2 2 2 5 2" xfId="46467" xr:uid="{2209CA51-4C0E-483D-ABA2-E2691C25408F}"/>
    <cellStyle name="Comma 4 2 2 2 2 2 2 5 3" xfId="27871" xr:uid="{34A1529A-CB66-4471-A982-035227101491}"/>
    <cellStyle name="Comma 4 2 2 2 2 2 2 6" xfId="37170" xr:uid="{B776A314-1E53-4879-8B51-AC93437EEE92}"/>
    <cellStyle name="Comma 4 2 2 2 2 2 2 7" xfId="18572" xr:uid="{E0B111AE-A6C0-4878-8841-165FD5D93C6A}"/>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16900" xr:uid="{332BCFC2-6BFC-4B17-96B2-E187FC6629F3}"/>
    <cellStyle name="Comma 4 2 2 2 2 2 3 2 2 2 2" xfId="53242" xr:uid="{2D9A1549-B41B-4696-B1EC-99CE3705BD8A}"/>
    <cellStyle name="Comma 4 2 2 2 2 2 3 2 2 2 3" xfId="34646" xr:uid="{BECCD308-87ED-4490-BC06-B0163B422A7F}"/>
    <cellStyle name="Comma 4 2 2 2 2 2 3 2 2 3" xfId="43945" xr:uid="{F1EF484E-F790-4FEF-BC53-5CCC3DF78BCE}"/>
    <cellStyle name="Comma 4 2 2 2 2 2 3 2 2 4" xfId="25347" xr:uid="{28B8C70C-F64D-430B-B82C-5B526114F915}"/>
    <cellStyle name="Comma 4 2 2 2 2 2 3 2 3" xfId="12683" xr:uid="{FA429364-5867-49DC-8A96-7CC7F48A8568}"/>
    <cellStyle name="Comma 4 2 2 2 2 2 3 2 3 2" xfId="49025" xr:uid="{01FD105C-011E-462C-9B65-388422594BF8}"/>
    <cellStyle name="Comma 4 2 2 2 2 2 3 2 3 3" xfId="30429" xr:uid="{B356497C-9DBC-4E99-B2A0-3F64B07983D9}"/>
    <cellStyle name="Comma 4 2 2 2 2 2 3 2 4" xfId="39728" xr:uid="{35578EE5-E5DA-4395-9093-30139ECF041D}"/>
    <cellStyle name="Comma 4 2 2 2 2 2 3 2 5" xfId="21130" xr:uid="{6FD0DC7B-9C3B-4742-901D-31D6735A6E20}"/>
    <cellStyle name="Comma 4 2 2 2 2 2 3 3" xfId="5429" xr:uid="{00000000-0005-0000-0000-0000AE070000}"/>
    <cellStyle name="Comma 4 2 2 2 2 2 3 3 2" xfId="14755" xr:uid="{2030E8F3-34CB-4E1F-BA86-F2A12734F6F1}"/>
    <cellStyle name="Comma 4 2 2 2 2 2 3 3 2 2" xfId="51097" xr:uid="{7A014768-4EB5-4650-A599-97C4B8747A23}"/>
    <cellStyle name="Comma 4 2 2 2 2 2 3 3 2 3" xfId="32501" xr:uid="{B96BC278-B6AB-4F92-93A4-6404B897F539}"/>
    <cellStyle name="Comma 4 2 2 2 2 2 3 3 3" xfId="41800" xr:uid="{3C99BF1B-E654-46B4-AF22-FD97EA73400D}"/>
    <cellStyle name="Comma 4 2 2 2 2 2 3 3 4" xfId="23202" xr:uid="{EDF20302-0933-41C5-866F-5CC61A69101D}"/>
    <cellStyle name="Comma 4 2 2 2 2 2 3 4" xfId="10538" xr:uid="{E907B677-6CFF-4E5F-B008-6789532D3F4F}"/>
    <cellStyle name="Comma 4 2 2 2 2 2 3 4 2" xfId="46880" xr:uid="{A6E0FD72-A680-4E91-A994-AC51E0F837A9}"/>
    <cellStyle name="Comma 4 2 2 2 2 2 3 4 3" xfId="28284" xr:uid="{07443F31-74EC-4FD1-8611-03AA51D58B9A}"/>
    <cellStyle name="Comma 4 2 2 2 2 2 3 5" xfId="37583" xr:uid="{63A7BEAB-7031-4B9E-BEB2-DF199EEA1EE8}"/>
    <cellStyle name="Comma 4 2 2 2 2 2 3 6" xfId="18985" xr:uid="{10C36AC7-9564-4610-896C-5187C26E72CD}"/>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17313" xr:uid="{5DC0D126-B9BE-45A3-B2AC-7D5F2021F4DB}"/>
    <cellStyle name="Comma 4 2 2 2 2 2 4 2 2 2 2" xfId="53655" xr:uid="{B7D73979-305A-4D9C-96AA-8A4ED642C575}"/>
    <cellStyle name="Comma 4 2 2 2 2 2 4 2 2 2 3" xfId="35059" xr:uid="{12E3ECF6-F5D2-4216-97A6-D8AA33878A4D}"/>
    <cellStyle name="Comma 4 2 2 2 2 2 4 2 2 3" xfId="44358" xr:uid="{3C323AF8-6B65-4126-8AE4-617AE710D24B}"/>
    <cellStyle name="Comma 4 2 2 2 2 2 4 2 2 4" xfId="25760" xr:uid="{A327FF0B-E15A-47B6-9F0C-F9A3753EC239}"/>
    <cellStyle name="Comma 4 2 2 2 2 2 4 2 3" xfId="13096" xr:uid="{3E4BD03F-5F55-4ED7-9799-5B388EF84D59}"/>
    <cellStyle name="Comma 4 2 2 2 2 2 4 2 3 2" xfId="49438" xr:uid="{8FA15703-69DF-4738-A5D0-CEF4D35D1ABA}"/>
    <cellStyle name="Comma 4 2 2 2 2 2 4 2 3 3" xfId="30842" xr:uid="{3E1A7FBA-8D97-449B-A196-479CBEAD3284}"/>
    <cellStyle name="Comma 4 2 2 2 2 2 4 2 4" xfId="40141" xr:uid="{3E40C66E-B14D-4702-93E5-AB162DCCC9FB}"/>
    <cellStyle name="Comma 4 2 2 2 2 2 4 2 5" xfId="21543" xr:uid="{B2F0F491-29E9-42E6-803C-FABAA270199C}"/>
    <cellStyle name="Comma 4 2 2 2 2 2 4 3" xfId="5842" xr:uid="{00000000-0005-0000-0000-0000B2070000}"/>
    <cellStyle name="Comma 4 2 2 2 2 2 4 3 2" xfId="15168" xr:uid="{733FF0A1-005B-4CBD-BD97-B04CB1AC6267}"/>
    <cellStyle name="Comma 4 2 2 2 2 2 4 3 2 2" xfId="51510" xr:uid="{99A71FD2-8F06-4918-A188-000F5075CD75}"/>
    <cellStyle name="Comma 4 2 2 2 2 2 4 3 2 3" xfId="32914" xr:uid="{7E208E66-98E8-4834-A72E-473169CD5841}"/>
    <cellStyle name="Comma 4 2 2 2 2 2 4 3 3" xfId="42213" xr:uid="{F9E8363D-BDE5-4122-B943-90911107965D}"/>
    <cellStyle name="Comma 4 2 2 2 2 2 4 3 4" xfId="23615" xr:uid="{BC53CEB1-E1A3-4C5E-B67A-A82B874CCCC6}"/>
    <cellStyle name="Comma 4 2 2 2 2 2 4 4" xfId="10951" xr:uid="{2120E621-D95B-4509-AC7F-E88B10EBE6D4}"/>
    <cellStyle name="Comma 4 2 2 2 2 2 4 4 2" xfId="47293" xr:uid="{AC3A62D7-1AB1-42AB-B699-A07E709E1AC1}"/>
    <cellStyle name="Comma 4 2 2 2 2 2 4 4 3" xfId="28697" xr:uid="{3F352EFD-6DB2-4314-9C51-F235705BCA68}"/>
    <cellStyle name="Comma 4 2 2 2 2 2 4 5" xfId="37996" xr:uid="{63BBB1A3-D82D-40A7-85F1-DD361EE786DE}"/>
    <cellStyle name="Comma 4 2 2 2 2 2 4 6" xfId="19398" xr:uid="{70F67D40-0A0C-48E7-BA8D-D6FB8CBF5AB6}"/>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17726" xr:uid="{B2326B8D-4683-4D38-B8AE-12DA215CB7F8}"/>
    <cellStyle name="Comma 4 2 2 2 2 2 5 2 2 2 2" xfId="54068" xr:uid="{7FA3C040-F68A-4FAC-B72B-63FDF3D66F4C}"/>
    <cellStyle name="Comma 4 2 2 2 2 2 5 2 2 2 3" xfId="35472" xr:uid="{3C3BBFEC-2693-47BF-8685-FB9146672082}"/>
    <cellStyle name="Comma 4 2 2 2 2 2 5 2 2 3" xfId="44771" xr:uid="{A0BD8FD3-7EAF-4D63-8F99-49B001CB75E9}"/>
    <cellStyle name="Comma 4 2 2 2 2 2 5 2 2 4" xfId="26173" xr:uid="{E0360588-0BD3-4F3A-BBBC-AC8D5724CD0C}"/>
    <cellStyle name="Comma 4 2 2 2 2 2 5 2 3" xfId="13509" xr:uid="{ABD84C22-1D3F-4245-8EB3-D0F02B8BE7CA}"/>
    <cellStyle name="Comma 4 2 2 2 2 2 5 2 3 2" xfId="49851" xr:uid="{1AD5E0DA-59EF-479A-8C23-F322A2A69E52}"/>
    <cellStyle name="Comma 4 2 2 2 2 2 5 2 3 3" xfId="31255" xr:uid="{9FFC6BE2-7A8B-4B62-8E81-3B01937D3929}"/>
    <cellStyle name="Comma 4 2 2 2 2 2 5 2 4" xfId="40554" xr:uid="{9BB8245B-662F-4B3F-B7D7-B836766172ED}"/>
    <cellStyle name="Comma 4 2 2 2 2 2 5 2 5" xfId="21956" xr:uid="{50468352-1300-467D-B124-A66D4F54C676}"/>
    <cellStyle name="Comma 4 2 2 2 2 2 5 3" xfId="6255" xr:uid="{00000000-0005-0000-0000-0000B6070000}"/>
    <cellStyle name="Comma 4 2 2 2 2 2 5 3 2" xfId="15581" xr:uid="{A588996E-0231-48DB-AF77-CBB8B58ABCDD}"/>
    <cellStyle name="Comma 4 2 2 2 2 2 5 3 2 2" xfId="51923" xr:uid="{74B343DF-DC78-4DDC-961A-709895A6E2E7}"/>
    <cellStyle name="Comma 4 2 2 2 2 2 5 3 2 3" xfId="33327" xr:uid="{1E7BFE85-3844-4B25-844E-EA6CAE9AFA5C}"/>
    <cellStyle name="Comma 4 2 2 2 2 2 5 3 3" xfId="42626" xr:uid="{195890C1-C7E9-4EAB-8C3E-B5392257E640}"/>
    <cellStyle name="Comma 4 2 2 2 2 2 5 3 4" xfId="24028" xr:uid="{E9C6A1E8-13C1-4D7C-A6A4-6038FBA0E126}"/>
    <cellStyle name="Comma 4 2 2 2 2 2 5 4" xfId="11364" xr:uid="{E58238E8-20FE-460D-A935-0C4451DEAECE}"/>
    <cellStyle name="Comma 4 2 2 2 2 2 5 4 2" xfId="47706" xr:uid="{BE8BF398-E70A-4E9E-A99E-243415160BFE}"/>
    <cellStyle name="Comma 4 2 2 2 2 2 5 4 3" xfId="29110" xr:uid="{516CF9CD-81D3-43D4-AB63-9A9CB69D30DC}"/>
    <cellStyle name="Comma 4 2 2 2 2 2 5 5" xfId="38409" xr:uid="{7E858A36-A2E9-4ADE-8144-B8ABE4C2EA4A}"/>
    <cellStyle name="Comma 4 2 2 2 2 2 5 6" xfId="19811" xr:uid="{D2E1113F-E80D-4B37-9FB7-C5F3D22428A1}"/>
    <cellStyle name="Comma 4 2 2 2 2 2 6" xfId="2384" xr:uid="{00000000-0005-0000-0000-0000B7070000}"/>
    <cellStyle name="Comma 4 2 2 2 2 2 6 2" xfId="6668" xr:uid="{00000000-0005-0000-0000-0000B8070000}"/>
    <cellStyle name="Comma 4 2 2 2 2 2 6 2 2" xfId="15994" xr:uid="{6A524015-1D3F-4822-A652-1C93462210D3}"/>
    <cellStyle name="Comma 4 2 2 2 2 2 6 2 2 2" xfId="52336" xr:uid="{5CAEE7A5-9049-4AAA-875B-FBB6D4004B48}"/>
    <cellStyle name="Comma 4 2 2 2 2 2 6 2 2 3" xfId="33740" xr:uid="{3E6EEAD4-C8DF-4728-B02E-EBAC15EA60AD}"/>
    <cellStyle name="Comma 4 2 2 2 2 2 6 2 3" xfId="43039" xr:uid="{943C03DC-85F0-4A5B-AEC5-2FD0EEA42CF0}"/>
    <cellStyle name="Comma 4 2 2 2 2 2 6 2 4" xfId="24441" xr:uid="{0E3BE9B6-9989-4C66-9627-86E9F1BCAFBB}"/>
    <cellStyle name="Comma 4 2 2 2 2 2 6 3" xfId="11777" xr:uid="{7FD2EE11-C551-4D05-A8B9-3E011FAF5404}"/>
    <cellStyle name="Comma 4 2 2 2 2 2 6 3 2" xfId="48119" xr:uid="{2164D386-E41C-4448-9BFC-7C33C94F3D4A}"/>
    <cellStyle name="Comma 4 2 2 2 2 2 6 3 3" xfId="29523" xr:uid="{E8160EE9-68A9-4297-A127-DAF7238C13BC}"/>
    <cellStyle name="Comma 4 2 2 2 2 2 6 4" xfId="38822" xr:uid="{B438671D-2504-4811-8CAF-B4E1BE089576}"/>
    <cellStyle name="Comma 4 2 2 2 2 2 6 5" xfId="20224" xr:uid="{FCFC79C2-0574-484A-AADF-5F6976FF96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16311" xr:uid="{F51371AB-FAE2-40CA-B507-8582258CBF87}"/>
    <cellStyle name="Comma 4 2 2 2 2 2 8 2 2 2" xfId="52653" xr:uid="{3410936D-4287-4FD6-9651-C161F9058D9C}"/>
    <cellStyle name="Comma 4 2 2 2 2 2 8 2 2 3" xfId="34057" xr:uid="{471861FC-ED59-4228-BF0A-C6B103C5ECEE}"/>
    <cellStyle name="Comma 4 2 2 2 2 2 8 2 3" xfId="43356" xr:uid="{668BA686-D313-4996-9D16-14B3ABD73186}"/>
    <cellStyle name="Comma 4 2 2 2 2 2 8 2 4" xfId="24758" xr:uid="{20E05152-CCFA-487E-A5FF-9AD1AC8BCC7E}"/>
    <cellStyle name="Comma 4 2 2 2 2 2 8 3" xfId="12094" xr:uid="{BF7058D2-F7FF-4CA3-9FAC-1714D309FB93}"/>
    <cellStyle name="Comma 4 2 2 2 2 2 8 3 2" xfId="48436" xr:uid="{B07D54AE-FA03-4BC0-B4F1-17286B54FDCA}"/>
    <cellStyle name="Comma 4 2 2 2 2 2 8 3 3" xfId="29840" xr:uid="{9AC0795A-F202-4741-B895-3A9EFC6F5479}"/>
    <cellStyle name="Comma 4 2 2 2 2 2 8 4" xfId="39139" xr:uid="{63643235-6399-4F94-A236-DEC19C0CE40A}"/>
    <cellStyle name="Comma 4 2 2 2 2 2 8 5" xfId="20541" xr:uid="{471F93A9-D837-4E24-8CA8-0061A1BAD342}"/>
    <cellStyle name="Comma 4 2 2 2 2 2 9" xfId="4602" xr:uid="{00000000-0005-0000-0000-0000BC070000}"/>
    <cellStyle name="Comma 4 2 2 2 2 2 9 2" xfId="13928" xr:uid="{CB7DEB5A-44DC-404F-891C-B2B63B94303C}"/>
    <cellStyle name="Comma 4 2 2 2 2 2 9 2 2" xfId="50270" xr:uid="{AD32DE0A-A3A2-40E6-914E-10C24A5A7C32}"/>
    <cellStyle name="Comma 4 2 2 2 2 2 9 2 3" xfId="31674" xr:uid="{C17E78CC-236D-4517-BD77-C3ABF722F57C}"/>
    <cellStyle name="Comma 4 2 2 2 2 2 9 3" xfId="40973" xr:uid="{5EC193B0-5299-4ADC-9177-A84088BA628F}"/>
    <cellStyle name="Comma 4 2 2 2 2 2 9 4" xfId="22375" xr:uid="{620719D4-A70F-4716-8CF3-C814A7F687DC}"/>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16486" xr:uid="{CB86839D-3D77-42F0-92E4-6A4E31B4A5DB}"/>
    <cellStyle name="Comma 4 2 2 2 2 3 2 2 2 2" xfId="52828" xr:uid="{C903210A-78B1-4F7F-958D-0F17DE83CD8E}"/>
    <cellStyle name="Comma 4 2 2 2 2 3 2 2 2 3" xfId="34232" xr:uid="{C5416FD1-6A25-4499-86C1-10D72A5ED5D2}"/>
    <cellStyle name="Comma 4 2 2 2 2 3 2 2 3" xfId="43531" xr:uid="{3C7FEBF9-85AE-4E3E-9DAA-914D302AB0AA}"/>
    <cellStyle name="Comma 4 2 2 2 2 3 2 2 4" xfId="24933" xr:uid="{0D259E31-FB0E-4146-9CB9-F740B5602202}"/>
    <cellStyle name="Comma 4 2 2 2 2 3 2 3" xfId="12269" xr:uid="{A21183C1-E1B0-430F-B3F6-11D95634BE0D}"/>
    <cellStyle name="Comma 4 2 2 2 2 3 2 3 2" xfId="48611" xr:uid="{23E262A6-42B4-4092-ACA0-6176A04EC834}"/>
    <cellStyle name="Comma 4 2 2 2 2 3 2 3 3" xfId="30015" xr:uid="{F7F41940-D444-4F56-9DD9-DBCFF7936303}"/>
    <cellStyle name="Comma 4 2 2 2 2 3 2 4" xfId="39314" xr:uid="{093D364B-23E6-4971-8A68-1FC8D5921AD6}"/>
    <cellStyle name="Comma 4 2 2 2 2 3 2 5" xfId="20716" xr:uid="{7EC2F728-92C9-4EB8-8DB8-D8BD115E4177}"/>
    <cellStyle name="Comma 4 2 2 2 2 3 3" xfId="5015" xr:uid="{00000000-0005-0000-0000-0000C0070000}"/>
    <cellStyle name="Comma 4 2 2 2 2 3 3 2" xfId="14341" xr:uid="{16928998-A725-4A79-92D8-14E3CF0A4062}"/>
    <cellStyle name="Comma 4 2 2 2 2 3 3 2 2" xfId="50683" xr:uid="{0D5FA13A-77C9-4D16-BFB8-309BB3DDB069}"/>
    <cellStyle name="Comma 4 2 2 2 2 3 3 2 3" xfId="32087" xr:uid="{E02C9F06-BCD5-44BD-A958-A34EBB4C39F4}"/>
    <cellStyle name="Comma 4 2 2 2 2 3 3 3" xfId="41386" xr:uid="{BCCC1E1A-3D44-4C2E-ADF7-135DC124BA58}"/>
    <cellStyle name="Comma 4 2 2 2 2 3 3 4" xfId="22788" xr:uid="{D38A439A-F583-42D8-B60B-1E10D3840279}"/>
    <cellStyle name="Comma 4 2 2 2 2 3 4" xfId="9334" xr:uid="{50E8807F-6450-4082-BD30-0A86C2E78D0E}"/>
    <cellStyle name="Comma 4 2 2 2 2 3 4 2" xfId="36395" xr:uid="{D76E160B-2FA0-43AC-A101-E8B7383751DA}"/>
    <cellStyle name="Comma 4 2 2 2 2 3 4 2 2" xfId="54989" xr:uid="{6C2B1FA7-A243-4D5A-B6FE-A9450AAABA55}"/>
    <cellStyle name="Comma 4 2 2 2 2 3 4 3" xfId="45692" xr:uid="{96471E8F-5E6B-479A-8FD9-F67A9A422F06}"/>
    <cellStyle name="Comma 4 2 2 2 2 3 4 4" xfId="27096" xr:uid="{F5EEB0E6-58C4-47FA-AF4A-8BBABA74B9FC}"/>
    <cellStyle name="Comma 4 2 2 2 2 3 5" xfId="10124" xr:uid="{E53F8593-82FC-4F71-8300-003055EA3C1E}"/>
    <cellStyle name="Comma 4 2 2 2 2 3 5 2" xfId="46466" xr:uid="{C39BB911-F916-42FB-B66B-E066D78FA7EC}"/>
    <cellStyle name="Comma 4 2 2 2 2 3 5 3" xfId="27870" xr:uid="{311B9C6F-EFCC-4AA4-AEF1-868483884BFD}"/>
    <cellStyle name="Comma 4 2 2 2 2 3 6" xfId="37169" xr:uid="{68364940-193D-4617-B385-5DB4DB1D02CA}"/>
    <cellStyle name="Comma 4 2 2 2 2 3 7" xfId="18571" xr:uid="{9A4BC48F-53BE-487B-B85D-A8EB1B441D28}"/>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16899" xr:uid="{76F66752-7AE7-4D61-9203-793B922871BC}"/>
    <cellStyle name="Comma 4 2 2 2 2 4 2 2 2 2" xfId="53241" xr:uid="{B54ECA85-E4BE-4099-B402-ECE1A84B1156}"/>
    <cellStyle name="Comma 4 2 2 2 2 4 2 2 2 3" xfId="34645" xr:uid="{4135ED46-E9B0-4F6C-B7B6-70FEAA29D9A0}"/>
    <cellStyle name="Comma 4 2 2 2 2 4 2 2 3" xfId="43944" xr:uid="{7AD58A6B-8282-43EE-8412-1EAD1E8156F4}"/>
    <cellStyle name="Comma 4 2 2 2 2 4 2 2 4" xfId="25346" xr:uid="{2E358C9F-7EFE-417F-B4E1-A97E48E0E90F}"/>
    <cellStyle name="Comma 4 2 2 2 2 4 2 3" xfId="12682" xr:uid="{A4557EED-BF20-4FFB-86A3-B0F2E4DEE4B6}"/>
    <cellStyle name="Comma 4 2 2 2 2 4 2 3 2" xfId="49024" xr:uid="{5B2BA8E9-D267-432F-9E28-BD4A6819046B}"/>
    <cellStyle name="Comma 4 2 2 2 2 4 2 3 3" xfId="30428" xr:uid="{D15E7C30-5D07-4DEF-B654-2A92977D9884}"/>
    <cellStyle name="Comma 4 2 2 2 2 4 2 4" xfId="39727" xr:uid="{AA5D53B4-674E-4750-AD10-E5EF24BDC055}"/>
    <cellStyle name="Comma 4 2 2 2 2 4 2 5" xfId="21129" xr:uid="{CE4742C7-9325-4FA6-8130-BE7F167FE46B}"/>
    <cellStyle name="Comma 4 2 2 2 2 4 3" xfId="5428" xr:uid="{00000000-0005-0000-0000-0000C4070000}"/>
    <cellStyle name="Comma 4 2 2 2 2 4 3 2" xfId="14754" xr:uid="{04DD971B-9765-4A07-B30C-0C1BB24C76CF}"/>
    <cellStyle name="Comma 4 2 2 2 2 4 3 2 2" xfId="51096" xr:uid="{0E4B51CE-BAEA-42C6-8600-3E374AF432B6}"/>
    <cellStyle name="Comma 4 2 2 2 2 4 3 2 3" xfId="32500" xr:uid="{4B2D3C66-605F-4B04-B66E-FD0873CEB3AC}"/>
    <cellStyle name="Comma 4 2 2 2 2 4 3 3" xfId="41799" xr:uid="{7EFCE971-BD67-49D8-A62C-7F2DAE4B1E1E}"/>
    <cellStyle name="Comma 4 2 2 2 2 4 3 4" xfId="23201" xr:uid="{3C637193-9E21-49D5-BD23-C9C317D97681}"/>
    <cellStyle name="Comma 4 2 2 2 2 4 4" xfId="10537" xr:uid="{2784CAF4-30EE-46C9-B936-B73A78048B0A}"/>
    <cellStyle name="Comma 4 2 2 2 2 4 4 2" xfId="46879" xr:uid="{A147E1BB-3759-4D33-B9AC-BA082E5BF5A3}"/>
    <cellStyle name="Comma 4 2 2 2 2 4 4 3" xfId="28283" xr:uid="{F62E49A3-02E1-4492-BC34-9E753DAACECB}"/>
    <cellStyle name="Comma 4 2 2 2 2 4 5" xfId="37582" xr:uid="{18AA15BD-C776-4FF0-956D-EFA83FC38B7E}"/>
    <cellStyle name="Comma 4 2 2 2 2 4 6" xfId="18984" xr:uid="{E9184D2C-03C7-4310-94F1-6A255FDB4328}"/>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17312" xr:uid="{D67736CC-78A1-467F-AF19-8D282D1E926F}"/>
    <cellStyle name="Comma 4 2 2 2 2 5 2 2 2 2" xfId="53654" xr:uid="{072467E2-9FC5-4A49-9732-2C4FA1466242}"/>
    <cellStyle name="Comma 4 2 2 2 2 5 2 2 2 3" xfId="35058" xr:uid="{8146F607-7FA6-47B7-B534-60B4283726C1}"/>
    <cellStyle name="Comma 4 2 2 2 2 5 2 2 3" xfId="44357" xr:uid="{CDD21D9A-5A11-4AED-AB0B-C283E8BDAC66}"/>
    <cellStyle name="Comma 4 2 2 2 2 5 2 2 4" xfId="25759" xr:uid="{3D0BB9CE-D7D2-4C45-8FF9-BA9792BE4DBB}"/>
    <cellStyle name="Comma 4 2 2 2 2 5 2 3" xfId="13095" xr:uid="{251DB3C5-7311-4D98-BEF2-32F6C5653107}"/>
    <cellStyle name="Comma 4 2 2 2 2 5 2 3 2" xfId="49437" xr:uid="{07687141-52CB-459E-81E5-9DE1A2E962E4}"/>
    <cellStyle name="Comma 4 2 2 2 2 5 2 3 3" xfId="30841" xr:uid="{60595E34-BE58-40F4-8FA8-D79E422BD870}"/>
    <cellStyle name="Comma 4 2 2 2 2 5 2 4" xfId="40140" xr:uid="{DEE7F80F-CF00-4F05-B5B0-DD8690B3AD4A}"/>
    <cellStyle name="Comma 4 2 2 2 2 5 2 5" xfId="21542" xr:uid="{152329BD-B4EC-4EBA-A8C2-D9B231A6C99A}"/>
    <cellStyle name="Comma 4 2 2 2 2 5 3" xfId="5841" xr:uid="{00000000-0005-0000-0000-0000C8070000}"/>
    <cellStyle name="Comma 4 2 2 2 2 5 3 2" xfId="15167" xr:uid="{8B524233-92E2-4C94-B2D9-9FBE2EE040EE}"/>
    <cellStyle name="Comma 4 2 2 2 2 5 3 2 2" xfId="51509" xr:uid="{3E7A805F-B15F-49D8-8F7F-78946D2CBFAB}"/>
    <cellStyle name="Comma 4 2 2 2 2 5 3 2 3" xfId="32913" xr:uid="{E5E14743-423B-4BD3-87B2-EDABDE2C3A77}"/>
    <cellStyle name="Comma 4 2 2 2 2 5 3 3" xfId="42212" xr:uid="{F4DBF869-5ED5-473A-9828-F2CC2615D2CE}"/>
    <cellStyle name="Comma 4 2 2 2 2 5 3 4" xfId="23614" xr:uid="{05418AA7-B05D-489D-8E5C-772DF6582E96}"/>
    <cellStyle name="Comma 4 2 2 2 2 5 4" xfId="10950" xr:uid="{13412868-C950-4B5F-BE7B-DA9FCD3E346C}"/>
    <cellStyle name="Comma 4 2 2 2 2 5 4 2" xfId="47292" xr:uid="{36BF1C6E-0BB4-41CE-BC72-A51C45FCB2C7}"/>
    <cellStyle name="Comma 4 2 2 2 2 5 4 3" xfId="28696" xr:uid="{4BBEDE9B-CD42-4DB5-8FB5-92C5A2CFB046}"/>
    <cellStyle name="Comma 4 2 2 2 2 5 5" xfId="37995" xr:uid="{AC7AACB6-F58A-41DC-B251-466E54B209C0}"/>
    <cellStyle name="Comma 4 2 2 2 2 5 6" xfId="19397" xr:uid="{83FA42FD-6C74-4201-BF29-3AFF27032ADD}"/>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17725" xr:uid="{612D4A54-0E32-4542-9E68-F1B3AF7A5C1B}"/>
    <cellStyle name="Comma 4 2 2 2 2 6 2 2 2 2" xfId="54067" xr:uid="{CFB05F14-62CD-4BF0-9F52-B10C3A41AB0E}"/>
    <cellStyle name="Comma 4 2 2 2 2 6 2 2 2 3" xfId="35471" xr:uid="{5DC829FD-2C14-43B7-84B4-41A96293BD78}"/>
    <cellStyle name="Comma 4 2 2 2 2 6 2 2 3" xfId="44770" xr:uid="{FE47DA0D-3D42-4607-9921-252BCAD22991}"/>
    <cellStyle name="Comma 4 2 2 2 2 6 2 2 4" xfId="26172" xr:uid="{6BC88F5C-AD5F-4DF5-8765-CA590322EA2C}"/>
    <cellStyle name="Comma 4 2 2 2 2 6 2 3" xfId="13508" xr:uid="{50E14211-57F6-4BB5-A194-71C4970B2E19}"/>
    <cellStyle name="Comma 4 2 2 2 2 6 2 3 2" xfId="49850" xr:uid="{30251CDF-B206-4517-A86F-D94B1A51D5DD}"/>
    <cellStyle name="Comma 4 2 2 2 2 6 2 3 3" xfId="31254" xr:uid="{91FD2D1F-B778-4D11-B7C8-3E8799B6DE70}"/>
    <cellStyle name="Comma 4 2 2 2 2 6 2 4" xfId="40553" xr:uid="{9DEF9A6E-7E11-43AC-8F91-F1B0DA0F82CC}"/>
    <cellStyle name="Comma 4 2 2 2 2 6 2 5" xfId="21955" xr:uid="{A65F200E-7F81-4A1E-A326-2A6F055FE123}"/>
    <cellStyle name="Comma 4 2 2 2 2 6 3" xfId="6254" xr:uid="{00000000-0005-0000-0000-0000CC070000}"/>
    <cellStyle name="Comma 4 2 2 2 2 6 3 2" xfId="15580" xr:uid="{AB5D07A2-F0CE-497F-B9A2-07EFD4A6EC45}"/>
    <cellStyle name="Comma 4 2 2 2 2 6 3 2 2" xfId="51922" xr:uid="{330ED098-AA50-4656-84EB-290A726BF910}"/>
    <cellStyle name="Comma 4 2 2 2 2 6 3 2 3" xfId="33326" xr:uid="{04A0A5FF-03A3-4C8F-8A94-D897ED73C494}"/>
    <cellStyle name="Comma 4 2 2 2 2 6 3 3" xfId="42625" xr:uid="{A3DA1A58-6221-49C9-9A1A-F8FFE72ACA5E}"/>
    <cellStyle name="Comma 4 2 2 2 2 6 3 4" xfId="24027" xr:uid="{FC6A7E12-727E-4282-9F09-CC8D82D8AC1B}"/>
    <cellStyle name="Comma 4 2 2 2 2 6 4" xfId="11363" xr:uid="{4DB943FC-CD1B-4416-8797-E466A8C09EE0}"/>
    <cellStyle name="Comma 4 2 2 2 2 6 4 2" xfId="47705" xr:uid="{369CA909-D59A-4791-854E-9E653E564A22}"/>
    <cellStyle name="Comma 4 2 2 2 2 6 4 3" xfId="29109" xr:uid="{30699FF6-D36A-49B8-9B75-152530BD9C88}"/>
    <cellStyle name="Comma 4 2 2 2 2 6 5" xfId="38408" xr:uid="{1F552744-3748-447A-B671-E5FD7E1546DC}"/>
    <cellStyle name="Comma 4 2 2 2 2 6 6" xfId="19810" xr:uid="{CC6047DD-06C9-4E86-A348-B9C019ABB622}"/>
    <cellStyle name="Comma 4 2 2 2 2 7" xfId="2383" xr:uid="{00000000-0005-0000-0000-0000CD070000}"/>
    <cellStyle name="Comma 4 2 2 2 2 7 2" xfId="6667" xr:uid="{00000000-0005-0000-0000-0000CE070000}"/>
    <cellStyle name="Comma 4 2 2 2 2 7 2 2" xfId="15993" xr:uid="{F1AEC936-BDF1-42B6-AD63-88A8CC0BF2C4}"/>
    <cellStyle name="Comma 4 2 2 2 2 7 2 2 2" xfId="52335" xr:uid="{8EC360A9-CA8D-4464-B554-6BCF4239B4A6}"/>
    <cellStyle name="Comma 4 2 2 2 2 7 2 2 3" xfId="33739" xr:uid="{54CA0E9D-2E82-40C3-8571-FB4FEE58CAE6}"/>
    <cellStyle name="Comma 4 2 2 2 2 7 2 3" xfId="43038" xr:uid="{4551DAFC-38E2-47C1-84CF-6F690FB266CB}"/>
    <cellStyle name="Comma 4 2 2 2 2 7 2 4" xfId="24440" xr:uid="{C959D5A5-B025-4FD8-B667-C235E5E84A36}"/>
    <cellStyle name="Comma 4 2 2 2 2 7 3" xfId="11776" xr:uid="{8F52CEAD-8B07-471A-8EED-D8C871B3175F}"/>
    <cellStyle name="Comma 4 2 2 2 2 7 3 2" xfId="48118" xr:uid="{7190F79F-B1A9-46FF-A8C6-6B76685AD3CD}"/>
    <cellStyle name="Comma 4 2 2 2 2 7 3 3" xfId="29522" xr:uid="{4EC57DE2-CFBE-4E5D-B0DD-16391AFDC8E5}"/>
    <cellStyle name="Comma 4 2 2 2 2 7 4" xfId="38821" xr:uid="{F0C77AAE-699E-4D96-BFBF-41E0F76C5ED0}"/>
    <cellStyle name="Comma 4 2 2 2 2 7 5" xfId="20223" xr:uid="{E31ADDB8-06D5-4A52-AAB6-B8401CF92248}"/>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16310" xr:uid="{140BA9F7-C5A5-4068-BA33-C930843E7217}"/>
    <cellStyle name="Comma 4 2 2 2 2 9 2 2 2" xfId="52652" xr:uid="{678883D2-13C3-49FB-A59D-7846C106F3C0}"/>
    <cellStyle name="Comma 4 2 2 2 2 9 2 2 3" xfId="34056" xr:uid="{D59E0126-4DD3-4983-A5CE-09ED68F6715D}"/>
    <cellStyle name="Comma 4 2 2 2 2 9 2 3" xfId="43355" xr:uid="{3156DE5F-E204-4584-AC09-B014FE6BC7EE}"/>
    <cellStyle name="Comma 4 2 2 2 2 9 2 4" xfId="24757" xr:uid="{83A3358F-4457-4011-A7F0-63473803A6AE}"/>
    <cellStyle name="Comma 4 2 2 2 2 9 3" xfId="12093" xr:uid="{A01500A3-69DA-4225-A3B9-1AF9BB6EA214}"/>
    <cellStyle name="Comma 4 2 2 2 2 9 3 2" xfId="48435" xr:uid="{14259B7A-DCDF-4C7B-AEC8-244AF4A33DA6}"/>
    <cellStyle name="Comma 4 2 2 2 2 9 3 3" xfId="29839" xr:uid="{515CC514-97C0-4AC7-BA5F-A932D217D1D6}"/>
    <cellStyle name="Comma 4 2 2 2 2 9 4" xfId="39138" xr:uid="{D9CF2205-D124-4BB1-B871-47840F1A71E7}"/>
    <cellStyle name="Comma 4 2 2 2 2 9 5" xfId="20540" xr:uid="{B96603AB-57CB-4249-968A-E7E6F6219078}"/>
    <cellStyle name="Comma 4 2 2 2 3" xfId="131" xr:uid="{00000000-0005-0000-0000-0000D2070000}"/>
    <cellStyle name="Comma 4 2 2 2 3 10" xfId="9013" xr:uid="{D7491CA1-A7A0-4099-A659-9FB418CDDACA}"/>
    <cellStyle name="Comma 4 2 2 2 3 10 2" xfId="36083" xr:uid="{F0989908-4BE6-40BA-8A6E-8BC7D9F25FB6}"/>
    <cellStyle name="Comma 4 2 2 2 3 10 2 2" xfId="54678" xr:uid="{D6076922-C324-4617-9A25-2A3FD4B70294}"/>
    <cellStyle name="Comma 4 2 2 2 3 10 3" xfId="45381" xr:uid="{B16EE72D-CC81-4255-90AE-A2D73ECEC575}"/>
    <cellStyle name="Comma 4 2 2 2 3 10 4" xfId="26784" xr:uid="{E3744FA3-923E-4CCF-92EF-8CE3C8C0CED4}"/>
    <cellStyle name="Comma 4 2 2 2 3 11" xfId="9712" xr:uid="{F0DB1563-4ED8-4441-A976-7AD2961E9A22}"/>
    <cellStyle name="Comma 4 2 2 2 3 11 2" xfId="46054" xr:uid="{AF956A1B-0B55-4365-96EF-91B732D66AE5}"/>
    <cellStyle name="Comma 4 2 2 2 3 11 3" xfId="27458" xr:uid="{EA83BB13-55E4-4A94-916C-2FEFA6D0589C}"/>
    <cellStyle name="Comma 4 2 2 2 3 12" xfId="36757" xr:uid="{3C802F69-FA5D-4FF9-A4D7-B292E5276E8F}"/>
    <cellStyle name="Comma 4 2 2 2 3 13" xfId="18159" xr:uid="{1866D30B-7536-4DE4-8536-F0A77634794E}"/>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16488" xr:uid="{F219E224-7979-4AED-B80B-FB0DC40513AD}"/>
    <cellStyle name="Comma 4 2 2 2 3 2 2 2 2 2" xfId="52830" xr:uid="{E77A0F8B-07BD-40AE-A8B5-9F5803A861AF}"/>
    <cellStyle name="Comma 4 2 2 2 3 2 2 2 2 3" xfId="34234" xr:uid="{A62FFC26-2F85-4243-85FF-B34841A508E9}"/>
    <cellStyle name="Comma 4 2 2 2 3 2 2 2 3" xfId="43533" xr:uid="{A52E1AB6-5A65-451C-BDAC-3E9F4BFBB764}"/>
    <cellStyle name="Comma 4 2 2 2 3 2 2 2 4" xfId="24935" xr:uid="{AD63A8BC-0758-4D9C-B659-790E03DBDE13}"/>
    <cellStyle name="Comma 4 2 2 2 3 2 2 3" xfId="12271" xr:uid="{286B413C-DADB-443D-A4F8-70E6AEA4C63C}"/>
    <cellStyle name="Comma 4 2 2 2 3 2 2 3 2" xfId="48613" xr:uid="{74659829-B0A5-4653-B371-DBE1169C40A7}"/>
    <cellStyle name="Comma 4 2 2 2 3 2 2 3 3" xfId="30017" xr:uid="{C7008695-428F-42DA-B9F4-8CBAC10B1BEF}"/>
    <cellStyle name="Comma 4 2 2 2 3 2 2 4" xfId="39316" xr:uid="{398F59C3-7EF4-4764-BC39-514BA81464B2}"/>
    <cellStyle name="Comma 4 2 2 2 3 2 2 5" xfId="20718" xr:uid="{C415736F-AFD0-4AC3-A490-6337C3597EEF}"/>
    <cellStyle name="Comma 4 2 2 2 3 2 3" xfId="5017" xr:uid="{00000000-0005-0000-0000-0000D6070000}"/>
    <cellStyle name="Comma 4 2 2 2 3 2 3 2" xfId="14343" xr:uid="{D30A66CB-D3A7-42D7-8D4E-3EA6EF5CD796}"/>
    <cellStyle name="Comma 4 2 2 2 3 2 3 2 2" xfId="50685" xr:uid="{E56F8C2D-C637-4A21-ACBA-D2D10D5A6142}"/>
    <cellStyle name="Comma 4 2 2 2 3 2 3 2 3" xfId="32089" xr:uid="{16DB4B3F-5B55-4F13-89F7-AB0A932567A4}"/>
    <cellStyle name="Comma 4 2 2 2 3 2 3 3" xfId="41388" xr:uid="{6595562D-C190-4586-AB1A-3540B8D64B32}"/>
    <cellStyle name="Comma 4 2 2 2 3 2 3 4" xfId="22790" xr:uid="{B5CD5AE7-F7EF-46FD-B0EE-233A49109125}"/>
    <cellStyle name="Comma 4 2 2 2 3 2 4" xfId="9438" xr:uid="{8E9C4341-814A-43D1-8D35-8CCC512A2E32}"/>
    <cellStyle name="Comma 4 2 2 2 3 2 4 2" xfId="36499" xr:uid="{F60D867F-97A8-4E47-9BD0-90DC15871718}"/>
    <cellStyle name="Comma 4 2 2 2 3 2 4 2 2" xfId="55093" xr:uid="{5B415587-044F-4B89-86BE-99129724A7B8}"/>
    <cellStyle name="Comma 4 2 2 2 3 2 4 3" xfId="45796" xr:uid="{C5A590AB-577B-441A-BFD9-0A41B1A58C06}"/>
    <cellStyle name="Comma 4 2 2 2 3 2 4 4" xfId="27200" xr:uid="{6BE3A8AC-F2C7-4140-A2A3-729A96982C99}"/>
    <cellStyle name="Comma 4 2 2 2 3 2 5" xfId="10126" xr:uid="{054A2DE1-485E-4081-ACB2-B9CC23252EC6}"/>
    <cellStyle name="Comma 4 2 2 2 3 2 5 2" xfId="46468" xr:uid="{FD44D399-DF88-495C-BF27-5AADC95E1DB8}"/>
    <cellStyle name="Comma 4 2 2 2 3 2 5 3" xfId="27872" xr:uid="{8CBCC40F-C238-4EB1-A4F8-0D7EF78E030E}"/>
    <cellStyle name="Comma 4 2 2 2 3 2 6" xfId="37171" xr:uid="{59AB3926-53DC-4471-8947-B77EC7C67CC4}"/>
    <cellStyle name="Comma 4 2 2 2 3 2 7" xfId="18573" xr:uid="{C807309F-19E2-4724-9091-FAF354B6C6BB}"/>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16901" xr:uid="{71668BDC-42C9-40E5-98E0-A83A8CDEA5CA}"/>
    <cellStyle name="Comma 4 2 2 2 3 3 2 2 2 2" xfId="53243" xr:uid="{9D5B69E4-4FE3-4857-B758-56D59EDEEF73}"/>
    <cellStyle name="Comma 4 2 2 2 3 3 2 2 2 3" xfId="34647" xr:uid="{052925CC-E49D-456B-9D72-2B434FDBE045}"/>
    <cellStyle name="Comma 4 2 2 2 3 3 2 2 3" xfId="43946" xr:uid="{B8665AC4-4570-4313-A6EE-EE7F5530D9F6}"/>
    <cellStyle name="Comma 4 2 2 2 3 3 2 2 4" xfId="25348" xr:uid="{508700B0-1E0E-4532-BF76-53EB21A9ED4C}"/>
    <cellStyle name="Comma 4 2 2 2 3 3 2 3" xfId="12684" xr:uid="{777060E2-498D-472C-A2C4-9D57E0B55E3F}"/>
    <cellStyle name="Comma 4 2 2 2 3 3 2 3 2" xfId="49026" xr:uid="{5D3580B9-00FB-40AF-94C9-F7FA2071E141}"/>
    <cellStyle name="Comma 4 2 2 2 3 3 2 3 3" xfId="30430" xr:uid="{346F8CD7-4834-4421-B79B-A0FC7C24A4C3}"/>
    <cellStyle name="Comma 4 2 2 2 3 3 2 4" xfId="39729" xr:uid="{FD5CEC87-D00C-4565-A30B-546121EAE1F8}"/>
    <cellStyle name="Comma 4 2 2 2 3 3 2 5" xfId="21131" xr:uid="{41547570-D2AA-4B22-9596-891421E6CCE0}"/>
    <cellStyle name="Comma 4 2 2 2 3 3 3" xfId="5430" xr:uid="{00000000-0005-0000-0000-0000DA070000}"/>
    <cellStyle name="Comma 4 2 2 2 3 3 3 2" xfId="14756" xr:uid="{696E1553-19FE-4E0F-81CD-203721947550}"/>
    <cellStyle name="Comma 4 2 2 2 3 3 3 2 2" xfId="51098" xr:uid="{DCC18E58-D440-436D-8595-ADEB88C89B13}"/>
    <cellStyle name="Comma 4 2 2 2 3 3 3 2 3" xfId="32502" xr:uid="{43B8C652-B642-424D-9E16-89E0F9E4D05F}"/>
    <cellStyle name="Comma 4 2 2 2 3 3 3 3" xfId="41801" xr:uid="{0FE5B65D-D12D-4FB3-B4A3-7061CDE7F287}"/>
    <cellStyle name="Comma 4 2 2 2 3 3 3 4" xfId="23203" xr:uid="{1EC18D51-799B-4E3C-9791-4D87473230A2}"/>
    <cellStyle name="Comma 4 2 2 2 3 3 4" xfId="10539" xr:uid="{439B5AFA-7E63-4B90-BE49-39CDA958ADC5}"/>
    <cellStyle name="Comma 4 2 2 2 3 3 4 2" xfId="46881" xr:uid="{677CA250-D115-495F-AC99-3100467EE92E}"/>
    <cellStyle name="Comma 4 2 2 2 3 3 4 3" xfId="28285" xr:uid="{D17256A2-808C-4C23-A056-3B226AFCA263}"/>
    <cellStyle name="Comma 4 2 2 2 3 3 5" xfId="37584" xr:uid="{ED578823-87ED-48EF-9AA5-2BA23526800C}"/>
    <cellStyle name="Comma 4 2 2 2 3 3 6" xfId="18986" xr:uid="{E286B38E-54A2-4CD9-91F6-D8004003C13F}"/>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17314" xr:uid="{4B5CC8CE-07D5-4DBA-8E9B-310EA8296CD2}"/>
    <cellStyle name="Comma 4 2 2 2 3 4 2 2 2 2" xfId="53656" xr:uid="{45B06C81-2597-4B40-B64B-D904157E39AB}"/>
    <cellStyle name="Comma 4 2 2 2 3 4 2 2 2 3" xfId="35060" xr:uid="{94EDF9A2-37D8-4109-8452-8BFD51190794}"/>
    <cellStyle name="Comma 4 2 2 2 3 4 2 2 3" xfId="44359" xr:uid="{C06A319C-417A-44CC-9C79-A762BA7CDB74}"/>
    <cellStyle name="Comma 4 2 2 2 3 4 2 2 4" xfId="25761" xr:uid="{F94C26FE-273B-4C27-947E-D698DCCA17C7}"/>
    <cellStyle name="Comma 4 2 2 2 3 4 2 3" xfId="13097" xr:uid="{45FB87A4-F4C3-41D4-94D3-BB359D085A2C}"/>
    <cellStyle name="Comma 4 2 2 2 3 4 2 3 2" xfId="49439" xr:uid="{4109A651-FB85-416E-B7DE-507C8E65FB7A}"/>
    <cellStyle name="Comma 4 2 2 2 3 4 2 3 3" xfId="30843" xr:uid="{8F6E1291-265C-4F5F-AD72-148F22CD0E46}"/>
    <cellStyle name="Comma 4 2 2 2 3 4 2 4" xfId="40142" xr:uid="{5A281C1B-F7F7-4276-8F57-1CFFC70A504D}"/>
    <cellStyle name="Comma 4 2 2 2 3 4 2 5" xfId="21544" xr:uid="{102DEB13-3C15-4EF3-A76D-5F69DA24CC24}"/>
    <cellStyle name="Comma 4 2 2 2 3 4 3" xfId="5843" xr:uid="{00000000-0005-0000-0000-0000DE070000}"/>
    <cellStyle name="Comma 4 2 2 2 3 4 3 2" xfId="15169" xr:uid="{41A2A291-403D-419F-A033-C5DBE90256D9}"/>
    <cellStyle name="Comma 4 2 2 2 3 4 3 2 2" xfId="51511" xr:uid="{72C1A2EC-3ED4-4A60-9400-246C57D6581F}"/>
    <cellStyle name="Comma 4 2 2 2 3 4 3 2 3" xfId="32915" xr:uid="{ECE6E508-8E32-4D3C-84BA-009BAE96C19B}"/>
    <cellStyle name="Comma 4 2 2 2 3 4 3 3" xfId="42214" xr:uid="{B605AFCB-9AF0-448D-AFFF-C61AB6BAD7C7}"/>
    <cellStyle name="Comma 4 2 2 2 3 4 3 4" xfId="23616" xr:uid="{B3221282-8644-46F1-A5C1-9CA2DFFEE80D}"/>
    <cellStyle name="Comma 4 2 2 2 3 4 4" xfId="10952" xr:uid="{EEE2118E-45C3-4D36-A8CF-3EEAEA0A30B1}"/>
    <cellStyle name="Comma 4 2 2 2 3 4 4 2" xfId="47294" xr:uid="{373556B1-3B5B-4C0E-9788-F0CC44B228D8}"/>
    <cellStyle name="Comma 4 2 2 2 3 4 4 3" xfId="28698" xr:uid="{7A7B2D51-A15D-4D4F-9E7F-4C18AA176478}"/>
    <cellStyle name="Comma 4 2 2 2 3 4 5" xfId="37997" xr:uid="{638BCC40-E77A-4F98-8F16-0B9306A8547B}"/>
    <cellStyle name="Comma 4 2 2 2 3 4 6" xfId="19399" xr:uid="{4EBCBBAA-8771-4498-99A8-F00CA9B6C489}"/>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17727" xr:uid="{4478E462-C425-41B0-97A9-A10ABED8EB7A}"/>
    <cellStyle name="Comma 4 2 2 2 3 5 2 2 2 2" xfId="54069" xr:uid="{9BC9A4A9-47D5-4312-AEF4-6A8C3C903B4A}"/>
    <cellStyle name="Comma 4 2 2 2 3 5 2 2 2 3" xfId="35473" xr:uid="{6DE5BC96-7140-4049-B6E5-8117227E2223}"/>
    <cellStyle name="Comma 4 2 2 2 3 5 2 2 3" xfId="44772" xr:uid="{5A2687E7-E3E2-4F8E-B483-0E2B00A558C5}"/>
    <cellStyle name="Comma 4 2 2 2 3 5 2 2 4" xfId="26174" xr:uid="{23F6AB23-30CD-41A7-B795-D778543AD668}"/>
    <cellStyle name="Comma 4 2 2 2 3 5 2 3" xfId="13510" xr:uid="{EDFB4104-04FB-4FD3-8489-648CA9C81210}"/>
    <cellStyle name="Comma 4 2 2 2 3 5 2 3 2" xfId="49852" xr:uid="{073F1A5E-A868-4100-9E62-0755CB74CC83}"/>
    <cellStyle name="Comma 4 2 2 2 3 5 2 3 3" xfId="31256" xr:uid="{591C875E-B1E2-46A0-99AE-13EB156D6403}"/>
    <cellStyle name="Comma 4 2 2 2 3 5 2 4" xfId="40555" xr:uid="{4CAF040D-1541-4739-B71E-A5E0ADDA35CC}"/>
    <cellStyle name="Comma 4 2 2 2 3 5 2 5" xfId="21957" xr:uid="{F1B6CB2C-E1E5-4A7C-B515-76BB7B5A0D1B}"/>
    <cellStyle name="Comma 4 2 2 2 3 5 3" xfId="6256" xr:uid="{00000000-0005-0000-0000-0000E2070000}"/>
    <cellStyle name="Comma 4 2 2 2 3 5 3 2" xfId="15582" xr:uid="{B6BE2748-8534-4F99-BA87-ACCD203707A5}"/>
    <cellStyle name="Comma 4 2 2 2 3 5 3 2 2" xfId="51924" xr:uid="{538B56F8-E4AA-46A0-B46A-55A28A9935E4}"/>
    <cellStyle name="Comma 4 2 2 2 3 5 3 2 3" xfId="33328" xr:uid="{77993DCB-8472-4105-A972-50A5B7AE5869}"/>
    <cellStyle name="Comma 4 2 2 2 3 5 3 3" xfId="42627" xr:uid="{F204740D-FA48-4C63-834C-FE86B22821F1}"/>
    <cellStyle name="Comma 4 2 2 2 3 5 3 4" xfId="24029" xr:uid="{4593743C-3F71-47CE-8660-C1FE3188DAC8}"/>
    <cellStyle name="Comma 4 2 2 2 3 5 4" xfId="11365" xr:uid="{45898231-4FAE-48BD-AED0-597AD74E7B3F}"/>
    <cellStyle name="Comma 4 2 2 2 3 5 4 2" xfId="47707" xr:uid="{7F2AFE08-9A3A-4815-8620-F5E702F52453}"/>
    <cellStyle name="Comma 4 2 2 2 3 5 4 3" xfId="29111" xr:uid="{D00F564A-8826-42E1-8281-2DFC9FC85A0B}"/>
    <cellStyle name="Comma 4 2 2 2 3 5 5" xfId="38410" xr:uid="{8A6B9BBD-E39E-48FF-AE11-55ED80BF112A}"/>
    <cellStyle name="Comma 4 2 2 2 3 5 6" xfId="19812" xr:uid="{632A4E9F-375A-4858-B06A-C107AF444C55}"/>
    <cellStyle name="Comma 4 2 2 2 3 6" xfId="2385" xr:uid="{00000000-0005-0000-0000-0000E3070000}"/>
    <cellStyle name="Comma 4 2 2 2 3 6 2" xfId="6669" xr:uid="{00000000-0005-0000-0000-0000E4070000}"/>
    <cellStyle name="Comma 4 2 2 2 3 6 2 2" xfId="15995" xr:uid="{5BA28B5B-9A90-4DC6-BA19-2289E94476D2}"/>
    <cellStyle name="Comma 4 2 2 2 3 6 2 2 2" xfId="52337" xr:uid="{0A94891C-6D20-4625-928B-0B99383015C0}"/>
    <cellStyle name="Comma 4 2 2 2 3 6 2 2 3" xfId="33741" xr:uid="{C86B9B68-CBD6-4A08-804F-3D1413232607}"/>
    <cellStyle name="Comma 4 2 2 2 3 6 2 3" xfId="43040" xr:uid="{C3840083-83DB-44B3-927F-576553D049DF}"/>
    <cellStyle name="Comma 4 2 2 2 3 6 2 4" xfId="24442" xr:uid="{AE7D35E7-1413-4C5E-BF53-6242C2AFE99A}"/>
    <cellStyle name="Comma 4 2 2 2 3 6 3" xfId="11778" xr:uid="{11BCCE97-071F-49EE-8243-CD279DDD5D95}"/>
    <cellStyle name="Comma 4 2 2 2 3 6 3 2" xfId="48120" xr:uid="{BB5DE570-37AB-4678-B495-DFA167182030}"/>
    <cellStyle name="Comma 4 2 2 2 3 6 3 3" xfId="29524" xr:uid="{D6677DA1-6EA8-4D9E-918C-10F1600F4047}"/>
    <cellStyle name="Comma 4 2 2 2 3 6 4" xfId="38823" xr:uid="{9F9498BE-0054-4A75-A7EA-0B943A386A1A}"/>
    <cellStyle name="Comma 4 2 2 2 3 6 5" xfId="20225" xr:uid="{693DC600-F78E-4A7D-B6BF-B65D8FF445AF}"/>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16312" xr:uid="{E1F2DAD6-9F66-4F0D-A54A-847661F2A5D0}"/>
    <cellStyle name="Comma 4 2 2 2 3 8 2 2 2" xfId="52654" xr:uid="{2149B137-4888-442E-8A32-AB2724459D7D}"/>
    <cellStyle name="Comma 4 2 2 2 3 8 2 2 3" xfId="34058" xr:uid="{3C9FFE1B-694F-45A6-B3E6-083F9EC4B642}"/>
    <cellStyle name="Comma 4 2 2 2 3 8 2 3" xfId="43357" xr:uid="{3C071BFB-4F58-47BC-AE1A-75274196CA29}"/>
    <cellStyle name="Comma 4 2 2 2 3 8 2 4" xfId="24759" xr:uid="{80359794-7B49-4495-BC83-44526DFAE8AA}"/>
    <cellStyle name="Comma 4 2 2 2 3 8 3" xfId="12095" xr:uid="{01B174D5-9A4B-42DE-AF80-705F6EC35F31}"/>
    <cellStyle name="Comma 4 2 2 2 3 8 3 2" xfId="48437" xr:uid="{E7C840B1-B0D0-4700-A5BF-5F3456E1B506}"/>
    <cellStyle name="Comma 4 2 2 2 3 8 3 3" xfId="29841" xr:uid="{30CB36F3-2641-46A6-A541-9B856EDB0CC3}"/>
    <cellStyle name="Comma 4 2 2 2 3 8 4" xfId="39140" xr:uid="{B65D902B-611D-4919-8C98-4729F573C568}"/>
    <cellStyle name="Comma 4 2 2 2 3 8 5" xfId="20542" xr:uid="{7B62A986-2678-4023-AC08-7EEAD93E3FA6}"/>
    <cellStyle name="Comma 4 2 2 2 3 9" xfId="4603" xr:uid="{00000000-0005-0000-0000-0000E8070000}"/>
    <cellStyle name="Comma 4 2 2 2 3 9 2" xfId="13929" xr:uid="{27F7C4AA-EEFD-4DDA-ADDB-304AAF37018A}"/>
    <cellStyle name="Comma 4 2 2 2 3 9 2 2" xfId="50271" xr:uid="{43E227F1-16F3-4F53-BC89-20B6E03BB0E4}"/>
    <cellStyle name="Comma 4 2 2 2 3 9 2 3" xfId="31675" xr:uid="{4D58AF70-C3A5-4C2C-AA06-1581759C61BE}"/>
    <cellStyle name="Comma 4 2 2 2 3 9 3" xfId="40974" xr:uid="{A1E196BF-D842-4644-9A0E-AB36D1A6B125}"/>
    <cellStyle name="Comma 4 2 2 2 3 9 4" xfId="22376" xr:uid="{10D97089-EB54-468B-948E-6817DBFB0F9A}"/>
    <cellStyle name="Comma 4 2 2 2 4" xfId="666" xr:uid="{00000000-0005-0000-0000-0000E9070000}"/>
    <cellStyle name="Comma 4 2 2 2 4 2" xfId="2937" xr:uid="{00000000-0005-0000-0000-0000EA070000}"/>
    <cellStyle name="Comma 4 2 2 2 4 2 2" xfId="7159" xr:uid="{00000000-0005-0000-0000-0000EB070000}"/>
    <cellStyle name="Comma 4 2 2 2 4 2 2 2" xfId="16485" xr:uid="{6B75D569-D20F-4AE7-8230-8A4C88287B7E}"/>
    <cellStyle name="Comma 4 2 2 2 4 2 2 2 2" xfId="52827" xr:uid="{E3C70F3A-9D88-410D-A4EF-47E9FA09EB74}"/>
    <cellStyle name="Comma 4 2 2 2 4 2 2 2 3" xfId="34231" xr:uid="{45E55A05-8808-4705-B7A6-BA23288EE274}"/>
    <cellStyle name="Comma 4 2 2 2 4 2 2 3" xfId="43530" xr:uid="{6039BB26-1FB6-4DB0-963D-AEDBBFBC14EB}"/>
    <cellStyle name="Comma 4 2 2 2 4 2 2 4" xfId="24932" xr:uid="{6D2E20F6-7BB4-44B4-8455-AE20C1D49886}"/>
    <cellStyle name="Comma 4 2 2 2 4 2 3" xfId="12268" xr:uid="{F09D78BB-53C6-4193-9D46-6BA796537719}"/>
    <cellStyle name="Comma 4 2 2 2 4 2 3 2" xfId="48610" xr:uid="{2230427D-9124-41A7-9D59-5604DA92E55F}"/>
    <cellStyle name="Comma 4 2 2 2 4 2 3 3" xfId="30014" xr:uid="{B7BD0E3D-7FA5-4651-A10D-806CC101DDEB}"/>
    <cellStyle name="Comma 4 2 2 2 4 2 4" xfId="39313" xr:uid="{23F02026-B837-4B19-832E-F9ECF1686361}"/>
    <cellStyle name="Comma 4 2 2 2 4 2 5" xfId="20715" xr:uid="{4847DECB-52F6-4D3B-B1C4-991A29C082A5}"/>
    <cellStyle name="Comma 4 2 2 2 4 3" xfId="5014" xr:uid="{00000000-0005-0000-0000-0000EC070000}"/>
    <cellStyle name="Comma 4 2 2 2 4 3 2" xfId="14340" xr:uid="{F77C261A-4381-4BD3-8C07-73BD431F2D15}"/>
    <cellStyle name="Comma 4 2 2 2 4 3 2 2" xfId="50682" xr:uid="{C4333D62-7B73-4A2C-AF6D-4CFDF31FA9A0}"/>
    <cellStyle name="Comma 4 2 2 2 4 3 2 3" xfId="32086" xr:uid="{AEB6EDCF-9051-403B-A487-20C80A137F1F}"/>
    <cellStyle name="Comma 4 2 2 2 4 3 3" xfId="41385" xr:uid="{C82F5EA8-32C3-4426-AF8E-1954D59691FE}"/>
    <cellStyle name="Comma 4 2 2 2 4 3 4" xfId="22787" xr:uid="{090B9C24-D825-485A-A44A-182488CAEB71}"/>
    <cellStyle name="Comma 4 2 2 2 4 4" xfId="9231" xr:uid="{31DAC97A-9492-467B-9850-183797A56FBE}"/>
    <cellStyle name="Comma 4 2 2 2 4 4 2" xfId="36292" xr:uid="{DCA4B75C-F778-42DF-B091-96524E802667}"/>
    <cellStyle name="Comma 4 2 2 2 4 4 2 2" xfId="54886" xr:uid="{2D460AAA-F0EB-4B8B-B4F2-E666F6516415}"/>
    <cellStyle name="Comma 4 2 2 2 4 4 3" xfId="45589" xr:uid="{89AD7474-2B43-40F8-AE7A-0168F3C445FD}"/>
    <cellStyle name="Comma 4 2 2 2 4 4 4" xfId="26993" xr:uid="{9FB079EF-10E9-46C9-BE65-3680CA47ECAF}"/>
    <cellStyle name="Comma 4 2 2 2 4 5" xfId="10123" xr:uid="{8451BB2E-7D62-4E84-A7FC-9BEB533FC273}"/>
    <cellStyle name="Comma 4 2 2 2 4 5 2" xfId="46465" xr:uid="{BE1E1FE1-B37F-4ADE-8679-72AB3113B7D9}"/>
    <cellStyle name="Comma 4 2 2 2 4 5 3" xfId="27869" xr:uid="{FB23AC37-8AE2-41A2-A08E-F08C47BA7498}"/>
    <cellStyle name="Comma 4 2 2 2 4 6" xfId="37168" xr:uid="{12AB7547-C4A6-42C6-A9F3-2636E919F913}"/>
    <cellStyle name="Comma 4 2 2 2 4 7" xfId="18570" xr:uid="{B6E6398F-866E-4A06-B9A9-6AC3AE5B6E0B}"/>
    <cellStyle name="Comma 4 2 2 2 5" xfId="1119" xr:uid="{00000000-0005-0000-0000-0000ED070000}"/>
    <cellStyle name="Comma 4 2 2 2 5 2" xfId="3350" xr:uid="{00000000-0005-0000-0000-0000EE070000}"/>
    <cellStyle name="Comma 4 2 2 2 5 2 2" xfId="7572" xr:uid="{00000000-0005-0000-0000-0000EF070000}"/>
    <cellStyle name="Comma 4 2 2 2 5 2 2 2" xfId="16898" xr:uid="{33976BF4-C984-447F-B7F7-70C53B768EC4}"/>
    <cellStyle name="Comma 4 2 2 2 5 2 2 2 2" xfId="53240" xr:uid="{7FE91453-3066-44CC-A084-3A45CFBF7A19}"/>
    <cellStyle name="Comma 4 2 2 2 5 2 2 2 3" xfId="34644" xr:uid="{DB594E38-1AA9-4712-8B6F-3C59A373C07B}"/>
    <cellStyle name="Comma 4 2 2 2 5 2 2 3" xfId="43943" xr:uid="{B08A75FF-93E0-4763-A4DF-BAC3B5F94EC4}"/>
    <cellStyle name="Comma 4 2 2 2 5 2 2 4" xfId="25345" xr:uid="{70C9239B-CD49-4625-9F32-0A0B7F201A64}"/>
    <cellStyle name="Comma 4 2 2 2 5 2 3" xfId="12681" xr:uid="{68486706-E018-4E8B-841E-A142FFF97FF8}"/>
    <cellStyle name="Comma 4 2 2 2 5 2 3 2" xfId="49023" xr:uid="{993B1CE6-81DE-4F8C-8F1B-07937E982D66}"/>
    <cellStyle name="Comma 4 2 2 2 5 2 3 3" xfId="30427" xr:uid="{2B84A048-1142-4860-B66A-9DF055176FA8}"/>
    <cellStyle name="Comma 4 2 2 2 5 2 4" xfId="39726" xr:uid="{4865C200-0CE1-4DAB-9BAE-0A4916E5DCD8}"/>
    <cellStyle name="Comma 4 2 2 2 5 2 5" xfId="21128" xr:uid="{DCC40840-189D-4C16-9EC5-7C7C0AC6D4B5}"/>
    <cellStyle name="Comma 4 2 2 2 5 3" xfId="5427" xr:uid="{00000000-0005-0000-0000-0000F0070000}"/>
    <cellStyle name="Comma 4 2 2 2 5 3 2" xfId="14753" xr:uid="{04EF1C36-8B98-4AE3-9DA9-007CCB37D0AB}"/>
    <cellStyle name="Comma 4 2 2 2 5 3 2 2" xfId="51095" xr:uid="{93293CA8-9DC6-4B97-A626-1ED137C398F3}"/>
    <cellStyle name="Comma 4 2 2 2 5 3 2 3" xfId="32499" xr:uid="{2F7DD55B-6605-4B9E-9CA6-26A3EF0CB6CE}"/>
    <cellStyle name="Comma 4 2 2 2 5 3 3" xfId="41798" xr:uid="{2B943FFD-A0A5-4357-8C2B-664AB7EE1985}"/>
    <cellStyle name="Comma 4 2 2 2 5 3 4" xfId="23200" xr:uid="{DE87BFB7-BD93-4964-A0A0-706E2113274C}"/>
    <cellStyle name="Comma 4 2 2 2 5 4" xfId="10536" xr:uid="{4383BAFF-F1D4-46FD-A141-5E0B54DF2E7A}"/>
    <cellStyle name="Comma 4 2 2 2 5 4 2" xfId="46878" xr:uid="{5206380B-AFE8-4A85-9F8E-C5F47F846C6A}"/>
    <cellStyle name="Comma 4 2 2 2 5 4 3" xfId="28282" xr:uid="{367AA85D-2324-47AD-A8A7-8A5569997ADF}"/>
    <cellStyle name="Comma 4 2 2 2 5 5" xfId="37581" xr:uid="{7B28D02F-13C9-4BB7-8C60-1A29D3B62B37}"/>
    <cellStyle name="Comma 4 2 2 2 5 6" xfId="18983" xr:uid="{2CCBF5C3-618C-4A7D-BFBE-52B3AE691E9D}"/>
    <cellStyle name="Comma 4 2 2 2 6" xfId="1533" xr:uid="{00000000-0005-0000-0000-0000F1070000}"/>
    <cellStyle name="Comma 4 2 2 2 6 2" xfId="3763" xr:uid="{00000000-0005-0000-0000-0000F2070000}"/>
    <cellStyle name="Comma 4 2 2 2 6 2 2" xfId="7985" xr:uid="{00000000-0005-0000-0000-0000F3070000}"/>
    <cellStyle name="Comma 4 2 2 2 6 2 2 2" xfId="17311" xr:uid="{4FBB71BD-15D6-4459-85E3-D4CDAE04AC3E}"/>
    <cellStyle name="Comma 4 2 2 2 6 2 2 2 2" xfId="53653" xr:uid="{70EA91B0-2821-4CA8-AF06-9749D607369D}"/>
    <cellStyle name="Comma 4 2 2 2 6 2 2 2 3" xfId="35057" xr:uid="{D08FCC36-2B44-4A1B-82DE-89D419EBE1DB}"/>
    <cellStyle name="Comma 4 2 2 2 6 2 2 3" xfId="44356" xr:uid="{97B275D3-398F-42B2-A6E2-80D92D5FBF1D}"/>
    <cellStyle name="Comma 4 2 2 2 6 2 2 4" xfId="25758" xr:uid="{75F3347E-E9A0-4C68-BC42-9AC8519E6E9D}"/>
    <cellStyle name="Comma 4 2 2 2 6 2 3" xfId="13094" xr:uid="{5C835251-3AD3-4098-BB43-BFD01A35A642}"/>
    <cellStyle name="Comma 4 2 2 2 6 2 3 2" xfId="49436" xr:uid="{928E1924-7825-4553-A499-FA13CFCB1C9A}"/>
    <cellStyle name="Comma 4 2 2 2 6 2 3 3" xfId="30840" xr:uid="{D1DC2C7D-481E-4A3B-ABBB-511741F7357B}"/>
    <cellStyle name="Comma 4 2 2 2 6 2 4" xfId="40139" xr:uid="{E10EA5A8-FDEC-4701-90FF-8C5188D4257B}"/>
    <cellStyle name="Comma 4 2 2 2 6 2 5" xfId="21541" xr:uid="{B60E9D06-0643-41E5-878D-A3BE0454D6FF}"/>
    <cellStyle name="Comma 4 2 2 2 6 3" xfId="5840" xr:uid="{00000000-0005-0000-0000-0000F4070000}"/>
    <cellStyle name="Comma 4 2 2 2 6 3 2" xfId="15166" xr:uid="{0E1AE210-5358-4E86-BF14-C2CA772DBD7E}"/>
    <cellStyle name="Comma 4 2 2 2 6 3 2 2" xfId="51508" xr:uid="{3BC9296A-B7F6-4218-B15E-08970CC199A4}"/>
    <cellStyle name="Comma 4 2 2 2 6 3 2 3" xfId="32912" xr:uid="{2F172BDC-DF5F-4D03-9CB4-164D6832035E}"/>
    <cellStyle name="Comma 4 2 2 2 6 3 3" xfId="42211" xr:uid="{F56BDC58-7AF0-45A4-90BF-2BF0B2AB465E}"/>
    <cellStyle name="Comma 4 2 2 2 6 3 4" xfId="23613" xr:uid="{7A8FFF8D-2AC5-4DAA-9D4B-6E208AEAD0AD}"/>
    <cellStyle name="Comma 4 2 2 2 6 4" xfId="10949" xr:uid="{1F1CD03F-F033-4A16-B355-33AC4131FF0A}"/>
    <cellStyle name="Comma 4 2 2 2 6 4 2" xfId="47291" xr:uid="{02969787-E20C-4C2B-B1FA-CA2384DEF724}"/>
    <cellStyle name="Comma 4 2 2 2 6 4 3" xfId="28695" xr:uid="{71E879B7-5BB9-4D41-9444-530BA4948DC1}"/>
    <cellStyle name="Comma 4 2 2 2 6 5" xfId="37994" xr:uid="{14981C2C-7FAD-4347-B90C-3048D3AD3595}"/>
    <cellStyle name="Comma 4 2 2 2 6 6" xfId="19396" xr:uid="{7B6AF2EE-9C1F-40AF-B0D0-0DC7D569CE5F}"/>
    <cellStyle name="Comma 4 2 2 2 7" xfId="1947" xr:uid="{00000000-0005-0000-0000-0000F5070000}"/>
    <cellStyle name="Comma 4 2 2 2 7 2" xfId="4176" xr:uid="{00000000-0005-0000-0000-0000F6070000}"/>
    <cellStyle name="Comma 4 2 2 2 7 2 2" xfId="8398" xr:uid="{00000000-0005-0000-0000-0000F7070000}"/>
    <cellStyle name="Comma 4 2 2 2 7 2 2 2" xfId="17724" xr:uid="{78B652B7-7CC1-4672-9F11-613D97BF9E50}"/>
    <cellStyle name="Comma 4 2 2 2 7 2 2 2 2" xfId="54066" xr:uid="{3DE1A85A-55F2-4DB6-8D16-1CC8E0A1F0B4}"/>
    <cellStyle name="Comma 4 2 2 2 7 2 2 2 3" xfId="35470" xr:uid="{B0EF3475-3592-4C08-B63A-898DD7B77222}"/>
    <cellStyle name="Comma 4 2 2 2 7 2 2 3" xfId="44769" xr:uid="{E3A9CA79-A914-4E90-A22F-1A9B9C99A647}"/>
    <cellStyle name="Comma 4 2 2 2 7 2 2 4" xfId="26171" xr:uid="{9E50553E-9C9C-464C-8045-2925FEDCE1B0}"/>
    <cellStyle name="Comma 4 2 2 2 7 2 3" xfId="13507" xr:uid="{9E29122A-8E94-4FC1-AEA2-41B0ED9E923E}"/>
    <cellStyle name="Comma 4 2 2 2 7 2 3 2" xfId="49849" xr:uid="{52C982B7-D5C7-4EB5-8D72-AC2C037D7809}"/>
    <cellStyle name="Comma 4 2 2 2 7 2 3 3" xfId="31253" xr:uid="{07C14CA1-028C-4916-8428-455750FED9A6}"/>
    <cellStyle name="Comma 4 2 2 2 7 2 4" xfId="40552" xr:uid="{A3E83586-7318-49A4-B7C4-2F20302F1875}"/>
    <cellStyle name="Comma 4 2 2 2 7 2 5" xfId="21954" xr:uid="{069ACB77-584F-4D1A-B62F-EB334F811D88}"/>
    <cellStyle name="Comma 4 2 2 2 7 3" xfId="6253" xr:uid="{00000000-0005-0000-0000-0000F8070000}"/>
    <cellStyle name="Comma 4 2 2 2 7 3 2" xfId="15579" xr:uid="{CFFA4034-DD8D-4ABC-B436-2DBD18FF0D8E}"/>
    <cellStyle name="Comma 4 2 2 2 7 3 2 2" xfId="51921" xr:uid="{4DD067B4-B0E8-4F09-B689-D1D04F2430F3}"/>
    <cellStyle name="Comma 4 2 2 2 7 3 2 3" xfId="33325" xr:uid="{D7F37428-75E8-41C4-97E8-B73F77056B54}"/>
    <cellStyle name="Comma 4 2 2 2 7 3 3" xfId="42624" xr:uid="{0AAA8601-243E-4FDF-A9FF-F6B1BBA32E89}"/>
    <cellStyle name="Comma 4 2 2 2 7 3 4" xfId="24026" xr:uid="{F2BF8974-F39F-499D-AF1B-183A4435019B}"/>
    <cellStyle name="Comma 4 2 2 2 7 4" xfId="11362" xr:uid="{D619ADD5-C937-467B-A246-F4E7A9217F7D}"/>
    <cellStyle name="Comma 4 2 2 2 7 4 2" xfId="47704" xr:uid="{3BDB5350-D9E0-49A3-B31B-217C03ABF7BD}"/>
    <cellStyle name="Comma 4 2 2 2 7 4 3" xfId="29108" xr:uid="{13E17DB0-0FE4-45AA-A1BF-7B0886A7C642}"/>
    <cellStyle name="Comma 4 2 2 2 7 5" xfId="38407" xr:uid="{B6D3A74E-35A0-4E00-86C2-E9F2EE7C094C}"/>
    <cellStyle name="Comma 4 2 2 2 7 6" xfId="19809" xr:uid="{AB78B5F8-615D-41C1-8068-48568A8211FA}"/>
    <cellStyle name="Comma 4 2 2 2 8" xfId="2382" xr:uid="{00000000-0005-0000-0000-0000F9070000}"/>
    <cellStyle name="Comma 4 2 2 2 8 2" xfId="6666" xr:uid="{00000000-0005-0000-0000-0000FA070000}"/>
    <cellStyle name="Comma 4 2 2 2 8 2 2" xfId="15992" xr:uid="{55DD3C63-E30D-4253-95CE-38CAF8DFEEBB}"/>
    <cellStyle name="Comma 4 2 2 2 8 2 2 2" xfId="52334" xr:uid="{4A0CEC3D-CA75-4BB4-82E3-ED831A6095BE}"/>
    <cellStyle name="Comma 4 2 2 2 8 2 2 3" xfId="33738" xr:uid="{91970427-DD6F-4260-83FC-31818AF6C08F}"/>
    <cellStyle name="Comma 4 2 2 2 8 2 3" xfId="43037" xr:uid="{8772E6A6-96C6-4B87-9408-92155CCA0CE3}"/>
    <cellStyle name="Comma 4 2 2 2 8 2 4" xfId="24439" xr:uid="{EAC1F47C-B031-41B4-914D-D4537CAAD027}"/>
    <cellStyle name="Comma 4 2 2 2 8 3" xfId="11775" xr:uid="{487F92B3-AE66-4EC3-9AEA-9A5AD6872180}"/>
    <cellStyle name="Comma 4 2 2 2 8 3 2" xfId="48117" xr:uid="{BB713BF1-B821-49E7-A42C-D64EDE5F31E6}"/>
    <cellStyle name="Comma 4 2 2 2 8 3 3" xfId="29521" xr:uid="{573EB32D-C07C-4A50-92BD-2FBA8745DEC9}"/>
    <cellStyle name="Comma 4 2 2 2 8 4" xfId="38820" xr:uid="{8A728BE9-F014-4EE8-B75C-2B78DAC43761}"/>
    <cellStyle name="Comma 4 2 2 2 8 5" xfId="20222" xr:uid="{72AFCA2F-56CE-404E-A847-8321B404E1E9}"/>
    <cellStyle name="Comma 4 2 2 2 9" xfId="2381" xr:uid="{00000000-0005-0000-0000-0000FB070000}"/>
    <cellStyle name="Comma 4 2 2 3" xfId="132" xr:uid="{00000000-0005-0000-0000-0000FC070000}"/>
    <cellStyle name="Comma 4 2 2 3 10" xfId="4604" xr:uid="{00000000-0005-0000-0000-0000FD070000}"/>
    <cellStyle name="Comma 4 2 2 3 10 2" xfId="13930" xr:uid="{A8070B09-B46F-427E-AC73-A441D0228A3C}"/>
    <cellStyle name="Comma 4 2 2 3 10 2 2" xfId="50272" xr:uid="{1BC40215-7E9A-4228-9395-C34F02A5300E}"/>
    <cellStyle name="Comma 4 2 2 3 10 2 3" xfId="31676" xr:uid="{03F8953C-2718-4DD5-8166-2CFF5FB19258}"/>
    <cellStyle name="Comma 4 2 2 3 10 3" xfId="40975" xr:uid="{3C632ABD-199E-4AC3-A355-942B291255CD}"/>
    <cellStyle name="Comma 4 2 2 3 10 4" xfId="22377" xr:uid="{14F58FD8-4916-42B7-812B-07F6BC400E03}"/>
    <cellStyle name="Comma 4 2 2 3 11" xfId="8889" xr:uid="{93813409-C042-4436-8561-B0237A135E7D}"/>
    <cellStyle name="Comma 4 2 2 3 11 2" xfId="35959" xr:uid="{B6B78785-ED92-4650-9FAF-6592A13416FE}"/>
    <cellStyle name="Comma 4 2 2 3 11 2 2" xfId="54554" xr:uid="{E262D534-682B-4F00-8ABD-C4FB0A962E31}"/>
    <cellStyle name="Comma 4 2 2 3 11 3" xfId="45257" xr:uid="{7371A9D7-DA32-410C-942F-C5AFF935991C}"/>
    <cellStyle name="Comma 4 2 2 3 11 4" xfId="26660" xr:uid="{CAD327E9-77E1-406E-A7C5-2E609B0EB314}"/>
    <cellStyle name="Comma 4 2 2 3 12" xfId="9713" xr:uid="{11100661-6820-48CD-BBBA-DD9A919753B1}"/>
    <cellStyle name="Comma 4 2 2 3 12 2" xfId="46055" xr:uid="{A7EC7BD8-EDFA-4043-9206-C148492639B9}"/>
    <cellStyle name="Comma 4 2 2 3 12 3" xfId="27459" xr:uid="{6135BD72-FEC4-4394-9D84-40F1914B1580}"/>
    <cellStyle name="Comma 4 2 2 3 13" xfId="36758" xr:uid="{F4AF3CF3-FC44-4B23-924E-A1836C298168}"/>
    <cellStyle name="Comma 4 2 2 3 14" xfId="18160" xr:uid="{A60D016C-17E9-48A9-BBF3-19AAA355999E}"/>
    <cellStyle name="Comma 4 2 2 3 2" xfId="133" xr:uid="{00000000-0005-0000-0000-0000FE070000}"/>
    <cellStyle name="Comma 4 2 2 3 2 10" xfId="9096" xr:uid="{C395B6CC-7E3E-452B-B5AB-BBF992A45CEB}"/>
    <cellStyle name="Comma 4 2 2 3 2 10 2" xfId="36166" xr:uid="{AB7A259A-2238-49B2-9ACC-64DEB4CBA89D}"/>
    <cellStyle name="Comma 4 2 2 3 2 10 2 2" xfId="54761" xr:uid="{970C479A-73F2-4F43-B2B9-F3F860B3FB75}"/>
    <cellStyle name="Comma 4 2 2 3 2 10 3" xfId="45464" xr:uid="{AAE86DA6-0062-4FB0-A1B0-E2757B3C4D04}"/>
    <cellStyle name="Comma 4 2 2 3 2 10 4" xfId="26867" xr:uid="{E5B63873-556F-4DCF-B5EF-8D1D52FC3101}"/>
    <cellStyle name="Comma 4 2 2 3 2 11" xfId="9714" xr:uid="{6E9A2C17-78D9-4C3B-91FF-0CA87CE5580D}"/>
    <cellStyle name="Comma 4 2 2 3 2 11 2" xfId="46056" xr:uid="{442E3971-8D19-460A-AA14-AD99CE3FCED3}"/>
    <cellStyle name="Comma 4 2 2 3 2 11 3" xfId="27460" xr:uid="{CF053FD7-50A6-4F6F-873E-B13D95C7EEBF}"/>
    <cellStyle name="Comma 4 2 2 3 2 12" xfId="36759" xr:uid="{9C661D45-4492-4413-A304-ED482D8F9844}"/>
    <cellStyle name="Comma 4 2 2 3 2 13" xfId="18161" xr:uid="{110DE543-A820-41A0-841D-DFDE79F09346}"/>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16490" xr:uid="{F0023A8B-A311-4EB3-9A17-6056BCEB131C}"/>
    <cellStyle name="Comma 4 2 2 3 2 2 2 2 2 2" xfId="52832" xr:uid="{DF7043BD-A99F-4305-9B7A-29C86BD3835D}"/>
    <cellStyle name="Comma 4 2 2 3 2 2 2 2 2 3" xfId="34236" xr:uid="{1B151E42-F7C0-4A4C-9D64-AB29AC5AD25F}"/>
    <cellStyle name="Comma 4 2 2 3 2 2 2 2 3" xfId="43535" xr:uid="{BD22FEFA-A22B-4F7E-AA3F-2CE35D0E9508}"/>
    <cellStyle name="Comma 4 2 2 3 2 2 2 2 4" xfId="24937" xr:uid="{60A05F11-8B95-43B3-941B-6B7E03886B0E}"/>
    <cellStyle name="Comma 4 2 2 3 2 2 2 3" xfId="12273" xr:uid="{2E23D05F-7257-4D17-BD04-9BB598594C31}"/>
    <cellStyle name="Comma 4 2 2 3 2 2 2 3 2" xfId="48615" xr:uid="{E43DE257-F09F-4753-8735-8BC03C87C669}"/>
    <cellStyle name="Comma 4 2 2 3 2 2 2 3 3" xfId="30019" xr:uid="{32419B81-285D-4C83-B49D-C827010F83EF}"/>
    <cellStyle name="Comma 4 2 2 3 2 2 2 4" xfId="39318" xr:uid="{4CDAE0A6-53B2-4954-BBB6-75E0F117B43B}"/>
    <cellStyle name="Comma 4 2 2 3 2 2 2 5" xfId="20720" xr:uid="{FDA48D1E-0418-4EB7-8AF8-3D90C2C8ED34}"/>
    <cellStyle name="Comma 4 2 2 3 2 2 3" xfId="5019" xr:uid="{00000000-0005-0000-0000-000002080000}"/>
    <cellStyle name="Comma 4 2 2 3 2 2 3 2" xfId="14345" xr:uid="{7428B70F-A412-4007-A6C3-6FEA7BCE35B0}"/>
    <cellStyle name="Comma 4 2 2 3 2 2 3 2 2" xfId="50687" xr:uid="{61D9423B-10BD-4DAD-87AF-36F92D42E38D}"/>
    <cellStyle name="Comma 4 2 2 3 2 2 3 2 3" xfId="32091" xr:uid="{20FCCCF5-C06A-4C16-AC4C-94D19697D3DF}"/>
    <cellStyle name="Comma 4 2 2 3 2 2 3 3" xfId="41390" xr:uid="{29B3747C-2A0A-45C1-AFA9-867F4A5D6D14}"/>
    <cellStyle name="Comma 4 2 2 3 2 2 3 4" xfId="22792" xr:uid="{69CCB846-9817-4CE4-AF45-766BF4EE3F2A}"/>
    <cellStyle name="Comma 4 2 2 3 2 2 4" xfId="9521" xr:uid="{8F14F654-C711-4E70-8A06-71F68E70E2E0}"/>
    <cellStyle name="Comma 4 2 2 3 2 2 4 2" xfId="36582" xr:uid="{01FA28E7-7848-4314-B9A4-9FFA25CD962B}"/>
    <cellStyle name="Comma 4 2 2 3 2 2 4 2 2" xfId="55176" xr:uid="{5BF2F230-46D6-44EE-82A9-A6CF9E13D7B9}"/>
    <cellStyle name="Comma 4 2 2 3 2 2 4 3" xfId="45879" xr:uid="{DC1DC98D-37D9-4130-AADD-2B4F8EB687CF}"/>
    <cellStyle name="Comma 4 2 2 3 2 2 4 4" xfId="27283" xr:uid="{0CF93EBE-6BAB-4061-8A8E-101A4BBC2B13}"/>
    <cellStyle name="Comma 4 2 2 3 2 2 5" xfId="10128" xr:uid="{A602CEF3-512F-4514-88B0-F8DA1059E8FB}"/>
    <cellStyle name="Comma 4 2 2 3 2 2 5 2" xfId="46470" xr:uid="{0954ED9B-5F16-4F46-8286-1C0D1AFB2124}"/>
    <cellStyle name="Comma 4 2 2 3 2 2 5 3" xfId="27874" xr:uid="{04E5EA51-CBC3-4A2F-8BBE-C1CED66515BB}"/>
    <cellStyle name="Comma 4 2 2 3 2 2 6" xfId="37173" xr:uid="{BDD3143A-FE8B-4A7C-8108-9F4C4B007221}"/>
    <cellStyle name="Comma 4 2 2 3 2 2 7" xfId="18575" xr:uid="{54A4089C-B972-495D-85C3-8AAB8D90A9A0}"/>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16903" xr:uid="{614BC35E-835A-4D84-95BF-5697AB203537}"/>
    <cellStyle name="Comma 4 2 2 3 2 3 2 2 2 2" xfId="53245" xr:uid="{576512D6-177C-4003-A988-0186318CF680}"/>
    <cellStyle name="Comma 4 2 2 3 2 3 2 2 2 3" xfId="34649" xr:uid="{76943A2E-138E-483D-A0C2-A3B74C0D783A}"/>
    <cellStyle name="Comma 4 2 2 3 2 3 2 2 3" xfId="43948" xr:uid="{B98B4EAF-1ED3-4527-95A4-5E2A56ADE567}"/>
    <cellStyle name="Comma 4 2 2 3 2 3 2 2 4" xfId="25350" xr:uid="{886CE552-02D8-4F57-BE33-4C2997CD2C37}"/>
    <cellStyle name="Comma 4 2 2 3 2 3 2 3" xfId="12686" xr:uid="{0EA79053-3F07-436A-9121-A66E751DD86B}"/>
    <cellStyle name="Comma 4 2 2 3 2 3 2 3 2" xfId="49028" xr:uid="{DE31563C-67E9-465D-A233-EF5770C890A7}"/>
    <cellStyle name="Comma 4 2 2 3 2 3 2 3 3" xfId="30432" xr:uid="{953B845B-DF2C-4F29-AC43-B2C4E4D97E01}"/>
    <cellStyle name="Comma 4 2 2 3 2 3 2 4" xfId="39731" xr:uid="{C16F68C9-8E16-45D8-AC8B-85A584AE4067}"/>
    <cellStyle name="Comma 4 2 2 3 2 3 2 5" xfId="21133" xr:uid="{A5B944AC-9EDA-4388-BF9A-8154C783AE43}"/>
    <cellStyle name="Comma 4 2 2 3 2 3 3" xfId="5432" xr:uid="{00000000-0005-0000-0000-000006080000}"/>
    <cellStyle name="Comma 4 2 2 3 2 3 3 2" xfId="14758" xr:uid="{DF313891-6EF4-411B-B46F-5AF445D1998F}"/>
    <cellStyle name="Comma 4 2 2 3 2 3 3 2 2" xfId="51100" xr:uid="{F756CD97-1CDE-4F10-9A7B-15DD9563EC04}"/>
    <cellStyle name="Comma 4 2 2 3 2 3 3 2 3" xfId="32504" xr:uid="{733EB2F8-B6EA-4E92-8C86-E52F087CA6B4}"/>
    <cellStyle name="Comma 4 2 2 3 2 3 3 3" xfId="41803" xr:uid="{639F3933-EFE0-4F21-A81A-E9804598D475}"/>
    <cellStyle name="Comma 4 2 2 3 2 3 3 4" xfId="23205" xr:uid="{E4D4DF7F-8001-4E65-926A-F15DD873EC4A}"/>
    <cellStyle name="Comma 4 2 2 3 2 3 4" xfId="10541" xr:uid="{75740451-5FEB-4417-A1F2-58B759B54090}"/>
    <cellStyle name="Comma 4 2 2 3 2 3 4 2" xfId="46883" xr:uid="{06001F3A-593C-4F45-B8EE-B7F2B8F20A7D}"/>
    <cellStyle name="Comma 4 2 2 3 2 3 4 3" xfId="28287" xr:uid="{EBC40ED5-0D2C-4017-A277-94079011F67B}"/>
    <cellStyle name="Comma 4 2 2 3 2 3 5" xfId="37586" xr:uid="{8C0FA1CE-AF98-46D4-B053-4365DCBAD916}"/>
    <cellStyle name="Comma 4 2 2 3 2 3 6" xfId="18988" xr:uid="{3EE5D79D-EC0B-48C5-A2EA-DA6912AE3712}"/>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17316" xr:uid="{589AF214-0DF0-45E2-8E68-DF2D73713687}"/>
    <cellStyle name="Comma 4 2 2 3 2 4 2 2 2 2" xfId="53658" xr:uid="{91A544A1-7016-42C5-AD9A-4BC97C8886D0}"/>
    <cellStyle name="Comma 4 2 2 3 2 4 2 2 2 3" xfId="35062" xr:uid="{01D44787-E9F4-4CFF-B4A0-FED0A0E19461}"/>
    <cellStyle name="Comma 4 2 2 3 2 4 2 2 3" xfId="44361" xr:uid="{2227B031-326B-4439-8ACE-237B8597837A}"/>
    <cellStyle name="Comma 4 2 2 3 2 4 2 2 4" xfId="25763" xr:uid="{300A5C44-0F5B-4DBA-8EF9-850231484D4B}"/>
    <cellStyle name="Comma 4 2 2 3 2 4 2 3" xfId="13099" xr:uid="{DBF5A142-96E8-425B-AFD1-FC6C0FE5E5B8}"/>
    <cellStyle name="Comma 4 2 2 3 2 4 2 3 2" xfId="49441" xr:uid="{72DB70C8-722B-44F7-A578-893FE7847981}"/>
    <cellStyle name="Comma 4 2 2 3 2 4 2 3 3" xfId="30845" xr:uid="{B8001EFE-684E-4E72-A69B-149EAD319BB9}"/>
    <cellStyle name="Comma 4 2 2 3 2 4 2 4" xfId="40144" xr:uid="{0BD4D029-6AEF-4AC5-9A60-5B9994E2B7A7}"/>
    <cellStyle name="Comma 4 2 2 3 2 4 2 5" xfId="21546" xr:uid="{FB8D22B3-F41A-4BEB-B516-84CFAC057F8F}"/>
    <cellStyle name="Comma 4 2 2 3 2 4 3" xfId="5845" xr:uid="{00000000-0005-0000-0000-00000A080000}"/>
    <cellStyle name="Comma 4 2 2 3 2 4 3 2" xfId="15171" xr:uid="{044645E5-C864-4D33-8BA1-2C4A794481F6}"/>
    <cellStyle name="Comma 4 2 2 3 2 4 3 2 2" xfId="51513" xr:uid="{27CD25D8-EB9E-449E-9620-BE70FE79EBC7}"/>
    <cellStyle name="Comma 4 2 2 3 2 4 3 2 3" xfId="32917" xr:uid="{49D8A86D-8B63-4DB6-9C39-F88C2BFAFA95}"/>
    <cellStyle name="Comma 4 2 2 3 2 4 3 3" xfId="42216" xr:uid="{C2596A04-BFD0-413D-9D0E-79D6A062039C}"/>
    <cellStyle name="Comma 4 2 2 3 2 4 3 4" xfId="23618" xr:uid="{B3F5060B-C674-4854-A9B8-FA46ADC53EB9}"/>
    <cellStyle name="Comma 4 2 2 3 2 4 4" xfId="10954" xr:uid="{1EFBE05B-4EA5-490B-B7C0-7152C29EAB25}"/>
    <cellStyle name="Comma 4 2 2 3 2 4 4 2" xfId="47296" xr:uid="{565CDE87-EE30-4168-94F4-91F9B16CF4B4}"/>
    <cellStyle name="Comma 4 2 2 3 2 4 4 3" xfId="28700" xr:uid="{A37E0436-520E-4D4C-8F66-571AF8C9F471}"/>
    <cellStyle name="Comma 4 2 2 3 2 4 5" xfId="37999" xr:uid="{4E95DA88-5579-45B7-A5BE-4BCAECB6DA7A}"/>
    <cellStyle name="Comma 4 2 2 3 2 4 6" xfId="19401" xr:uid="{26DB0AF3-56B2-4733-8CA9-6AF73FF6DC3D}"/>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17729" xr:uid="{ED72CD46-14DA-487B-92B3-AFD44476BB71}"/>
    <cellStyle name="Comma 4 2 2 3 2 5 2 2 2 2" xfId="54071" xr:uid="{3402504A-389A-40FD-BA53-D0186EFB16F2}"/>
    <cellStyle name="Comma 4 2 2 3 2 5 2 2 2 3" xfId="35475" xr:uid="{298ACD7D-11E1-4134-B2E8-854FB865B7F7}"/>
    <cellStyle name="Comma 4 2 2 3 2 5 2 2 3" xfId="44774" xr:uid="{03FA48DB-7681-428E-9896-2C665D31EAF4}"/>
    <cellStyle name="Comma 4 2 2 3 2 5 2 2 4" xfId="26176" xr:uid="{7456E914-9A93-401D-9D94-942093D60D12}"/>
    <cellStyle name="Comma 4 2 2 3 2 5 2 3" xfId="13512" xr:uid="{A4FBFF76-95B8-439B-9A88-8515BF2CABC3}"/>
    <cellStyle name="Comma 4 2 2 3 2 5 2 3 2" xfId="49854" xr:uid="{42781A84-5901-442D-A1E6-96B14A567862}"/>
    <cellStyle name="Comma 4 2 2 3 2 5 2 3 3" xfId="31258" xr:uid="{C81C0934-ECBF-4328-A304-C53A21BDBA16}"/>
    <cellStyle name="Comma 4 2 2 3 2 5 2 4" xfId="40557" xr:uid="{50471FB3-FB3C-44EC-A2B2-6FCAEB992412}"/>
    <cellStyle name="Comma 4 2 2 3 2 5 2 5" xfId="21959" xr:uid="{043E705C-6BFD-426A-AD36-5A3D1DEE3673}"/>
    <cellStyle name="Comma 4 2 2 3 2 5 3" xfId="6258" xr:uid="{00000000-0005-0000-0000-00000E080000}"/>
    <cellStyle name="Comma 4 2 2 3 2 5 3 2" xfId="15584" xr:uid="{3A64267E-2D18-4C9F-A355-A09C49D46318}"/>
    <cellStyle name="Comma 4 2 2 3 2 5 3 2 2" xfId="51926" xr:uid="{C474621A-107A-4BE6-95E1-B33C786855D6}"/>
    <cellStyle name="Comma 4 2 2 3 2 5 3 2 3" xfId="33330" xr:uid="{DCC50639-BB34-406A-8595-2356E4D6E542}"/>
    <cellStyle name="Comma 4 2 2 3 2 5 3 3" xfId="42629" xr:uid="{02C0BED2-2BAC-474C-81C4-C9BEADB70514}"/>
    <cellStyle name="Comma 4 2 2 3 2 5 3 4" xfId="24031" xr:uid="{77BCE070-8CB7-4A65-A823-0C31A53901D8}"/>
    <cellStyle name="Comma 4 2 2 3 2 5 4" xfId="11367" xr:uid="{445DB6F2-F412-4DB2-9893-99F0C87544AD}"/>
    <cellStyle name="Comma 4 2 2 3 2 5 4 2" xfId="47709" xr:uid="{920A81DC-1DD9-4ADF-9408-C1111C368648}"/>
    <cellStyle name="Comma 4 2 2 3 2 5 4 3" xfId="29113" xr:uid="{584748DB-D572-4BD9-81D7-6B904B3FA8FA}"/>
    <cellStyle name="Comma 4 2 2 3 2 5 5" xfId="38412" xr:uid="{7DBD03B6-79CC-47C0-A9E4-F2B05B240B97}"/>
    <cellStyle name="Comma 4 2 2 3 2 5 6" xfId="19814" xr:uid="{E3B4BF27-BFDB-49EB-9BB6-7A974AB47CE1}"/>
    <cellStyle name="Comma 4 2 2 3 2 6" xfId="2387" xr:uid="{00000000-0005-0000-0000-00000F080000}"/>
    <cellStyle name="Comma 4 2 2 3 2 6 2" xfId="6671" xr:uid="{00000000-0005-0000-0000-000010080000}"/>
    <cellStyle name="Comma 4 2 2 3 2 6 2 2" xfId="15997" xr:uid="{2447E81D-FE52-4E77-B8E7-A3ED962CB2F3}"/>
    <cellStyle name="Comma 4 2 2 3 2 6 2 2 2" xfId="52339" xr:uid="{CDD32964-D257-4612-8266-089F9E908FD8}"/>
    <cellStyle name="Comma 4 2 2 3 2 6 2 2 3" xfId="33743" xr:uid="{496A3AC9-8643-4F23-9B47-12A49F0065B3}"/>
    <cellStyle name="Comma 4 2 2 3 2 6 2 3" xfId="43042" xr:uid="{82E7FB0F-3E1A-44C8-AF59-F8CACF185173}"/>
    <cellStyle name="Comma 4 2 2 3 2 6 2 4" xfId="24444" xr:uid="{C8C4F466-A95C-46BA-B7D9-8EFEE02A1E03}"/>
    <cellStyle name="Comma 4 2 2 3 2 6 3" xfId="11780" xr:uid="{FCF4032A-12AF-4153-9557-485DB4496CEC}"/>
    <cellStyle name="Comma 4 2 2 3 2 6 3 2" xfId="48122" xr:uid="{37F0166E-BE35-4626-96EB-AEE04579020B}"/>
    <cellStyle name="Comma 4 2 2 3 2 6 3 3" xfId="29526" xr:uid="{3027D6DC-D886-4D29-AB50-5DB9490F685E}"/>
    <cellStyle name="Comma 4 2 2 3 2 6 4" xfId="38825" xr:uid="{CA7C90A6-9992-4081-93FE-E4E8B01D67DB}"/>
    <cellStyle name="Comma 4 2 2 3 2 6 5" xfId="20227" xr:uid="{069CC020-90B8-4B67-BE5A-3CE7859A8540}"/>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16314" xr:uid="{7E532567-85D3-4675-887A-2F2E7BBFD9A4}"/>
    <cellStyle name="Comma 4 2 2 3 2 8 2 2 2" xfId="52656" xr:uid="{179503AF-E5A1-4A77-B0A1-EA2EA3936B0F}"/>
    <cellStyle name="Comma 4 2 2 3 2 8 2 2 3" xfId="34060" xr:uid="{776AD0E6-299B-4A62-AAA0-15CEED35FE8E}"/>
    <cellStyle name="Comma 4 2 2 3 2 8 2 3" xfId="43359" xr:uid="{F78331C2-CF4E-40B5-8042-4AC81B71BBF1}"/>
    <cellStyle name="Comma 4 2 2 3 2 8 2 4" xfId="24761" xr:uid="{32E5E6D7-5045-41C0-BFC1-42B87C4903DE}"/>
    <cellStyle name="Comma 4 2 2 3 2 8 3" xfId="12097" xr:uid="{9C4DEE16-0E36-484C-B2D1-1D6C95F32052}"/>
    <cellStyle name="Comma 4 2 2 3 2 8 3 2" xfId="48439" xr:uid="{E5F39159-D604-40CF-9737-65F541DDC390}"/>
    <cellStyle name="Comma 4 2 2 3 2 8 3 3" xfId="29843" xr:uid="{49302B43-2DF5-4E79-8489-28215861F465}"/>
    <cellStyle name="Comma 4 2 2 3 2 8 4" xfId="39142" xr:uid="{B9FD7D32-093C-4736-ABB2-DEEFAD888384}"/>
    <cellStyle name="Comma 4 2 2 3 2 8 5" xfId="20544" xr:uid="{5CDBA176-7732-4E95-B000-DD234FE779DF}"/>
    <cellStyle name="Comma 4 2 2 3 2 9" xfId="4605" xr:uid="{00000000-0005-0000-0000-000014080000}"/>
    <cellStyle name="Comma 4 2 2 3 2 9 2" xfId="13931" xr:uid="{6516AEBC-3EA7-404D-B7AD-A661C9ADDADE}"/>
    <cellStyle name="Comma 4 2 2 3 2 9 2 2" xfId="50273" xr:uid="{71C943B9-87D7-4950-8FBD-7819F687EE50}"/>
    <cellStyle name="Comma 4 2 2 3 2 9 2 3" xfId="31677" xr:uid="{21D61E84-3876-4D0C-810E-90223AC9A260}"/>
    <cellStyle name="Comma 4 2 2 3 2 9 3" xfId="40976" xr:uid="{2B282F92-7A67-4C05-9B8C-117851E48431}"/>
    <cellStyle name="Comma 4 2 2 3 2 9 4" xfId="22378" xr:uid="{56E4BC90-7219-4599-A3F7-7419B4D96324}"/>
    <cellStyle name="Comma 4 2 2 3 3" xfId="670" xr:uid="{00000000-0005-0000-0000-000015080000}"/>
    <cellStyle name="Comma 4 2 2 3 3 2" xfId="2941" xr:uid="{00000000-0005-0000-0000-000016080000}"/>
    <cellStyle name="Comma 4 2 2 3 3 2 2" xfId="7163" xr:uid="{00000000-0005-0000-0000-000017080000}"/>
    <cellStyle name="Comma 4 2 2 3 3 2 2 2" xfId="16489" xr:uid="{27981E03-E034-4770-84B1-83516A4BA346}"/>
    <cellStyle name="Comma 4 2 2 3 3 2 2 2 2" xfId="52831" xr:uid="{22CB2DF0-F006-40F5-B62E-8D643A1AE703}"/>
    <cellStyle name="Comma 4 2 2 3 3 2 2 2 3" xfId="34235" xr:uid="{7BA8DFDF-621C-4EAD-9A21-8D03FBA5FD02}"/>
    <cellStyle name="Comma 4 2 2 3 3 2 2 3" xfId="43534" xr:uid="{9CD30F0F-A598-449B-BF3E-EE19E7B7AAAE}"/>
    <cellStyle name="Comma 4 2 2 3 3 2 2 4" xfId="24936" xr:uid="{009BC474-8A6C-4808-8F32-77EBBD10645A}"/>
    <cellStyle name="Comma 4 2 2 3 3 2 3" xfId="12272" xr:uid="{70461D73-B88A-4CFA-B1E7-F8F502B1B96B}"/>
    <cellStyle name="Comma 4 2 2 3 3 2 3 2" xfId="48614" xr:uid="{B1BB4A18-7D64-49E0-8E63-F7862F1547CC}"/>
    <cellStyle name="Comma 4 2 2 3 3 2 3 3" xfId="30018" xr:uid="{C2D09078-3055-42E6-A2E8-1E4231A07495}"/>
    <cellStyle name="Comma 4 2 2 3 3 2 4" xfId="39317" xr:uid="{AD961FA1-0F77-4096-9E2B-1B7D50CB7BF0}"/>
    <cellStyle name="Comma 4 2 2 3 3 2 5" xfId="20719" xr:uid="{1327C55F-592B-4E31-B607-3E454877853E}"/>
    <cellStyle name="Comma 4 2 2 3 3 3" xfId="5018" xr:uid="{00000000-0005-0000-0000-000018080000}"/>
    <cellStyle name="Comma 4 2 2 3 3 3 2" xfId="14344" xr:uid="{888FA9D9-A233-44DA-B220-70A4F2A6D16F}"/>
    <cellStyle name="Comma 4 2 2 3 3 3 2 2" xfId="50686" xr:uid="{867FF182-5922-4B00-8EEB-FF2C67F48F30}"/>
    <cellStyle name="Comma 4 2 2 3 3 3 2 3" xfId="32090" xr:uid="{9174B030-E71B-43E5-86DF-A284A631B652}"/>
    <cellStyle name="Comma 4 2 2 3 3 3 3" xfId="41389" xr:uid="{59D8CEA6-DDEC-416F-B3E5-F67179736657}"/>
    <cellStyle name="Comma 4 2 2 3 3 3 4" xfId="22791" xr:uid="{F84B0FEC-4C04-415D-A3D3-118447914C1B}"/>
    <cellStyle name="Comma 4 2 2 3 3 4" xfId="9314" xr:uid="{A74197AE-1229-40FC-8212-8FB289D74FF6}"/>
    <cellStyle name="Comma 4 2 2 3 3 4 2" xfId="36375" xr:uid="{450E42D7-1107-43DE-BDF3-B719D836D221}"/>
    <cellStyle name="Comma 4 2 2 3 3 4 2 2" xfId="54969" xr:uid="{B710AE59-86D2-42CB-87A1-FBC20436B95A}"/>
    <cellStyle name="Comma 4 2 2 3 3 4 3" xfId="45672" xr:uid="{412CF3AB-46BB-4880-BB63-A8719C6FCBD6}"/>
    <cellStyle name="Comma 4 2 2 3 3 4 4" xfId="27076" xr:uid="{288988D2-B432-4100-BE30-A24BF3C2E3CD}"/>
    <cellStyle name="Comma 4 2 2 3 3 5" xfId="10127" xr:uid="{D0AE5C8D-DC98-4F0A-9492-DE498B1F0DAE}"/>
    <cellStyle name="Comma 4 2 2 3 3 5 2" xfId="46469" xr:uid="{7A080E7A-B98A-4C29-BD0F-3B2711FB744D}"/>
    <cellStyle name="Comma 4 2 2 3 3 5 3" xfId="27873" xr:uid="{71542052-69C7-49FB-AB26-95E26135EA70}"/>
    <cellStyle name="Comma 4 2 2 3 3 6" xfId="37172" xr:uid="{D58B4F1A-C8F3-4985-8D34-94241CD5D3D4}"/>
    <cellStyle name="Comma 4 2 2 3 3 7" xfId="18574" xr:uid="{9C0E55B3-E2A6-4C3F-97F4-496164F6F14C}"/>
    <cellStyle name="Comma 4 2 2 3 4" xfId="1123" xr:uid="{00000000-0005-0000-0000-000019080000}"/>
    <cellStyle name="Comma 4 2 2 3 4 2" xfId="3354" xr:uid="{00000000-0005-0000-0000-00001A080000}"/>
    <cellStyle name="Comma 4 2 2 3 4 2 2" xfId="7576" xr:uid="{00000000-0005-0000-0000-00001B080000}"/>
    <cellStyle name="Comma 4 2 2 3 4 2 2 2" xfId="16902" xr:uid="{50D1287D-329E-455E-A9CD-FC6D88B71AFF}"/>
    <cellStyle name="Comma 4 2 2 3 4 2 2 2 2" xfId="53244" xr:uid="{6E16117A-871E-4E64-AA54-2510738AC263}"/>
    <cellStyle name="Comma 4 2 2 3 4 2 2 2 3" xfId="34648" xr:uid="{96588342-D818-47D9-8080-13324946BD9C}"/>
    <cellStyle name="Comma 4 2 2 3 4 2 2 3" xfId="43947" xr:uid="{04E606DB-FC3C-47C4-9464-99D2A5B38A4A}"/>
    <cellStyle name="Comma 4 2 2 3 4 2 2 4" xfId="25349" xr:uid="{9F1371C1-8FDB-4E3F-A6D2-76675BA29434}"/>
    <cellStyle name="Comma 4 2 2 3 4 2 3" xfId="12685" xr:uid="{BEE83799-1B4B-4CB6-A5DD-60F84CCCC4F0}"/>
    <cellStyle name="Comma 4 2 2 3 4 2 3 2" xfId="49027" xr:uid="{D79ABD51-C2A2-4C0D-8647-DB4BE9125A66}"/>
    <cellStyle name="Comma 4 2 2 3 4 2 3 3" xfId="30431" xr:uid="{3F654C50-6CC1-4CA0-892C-3FCFB3027FFF}"/>
    <cellStyle name="Comma 4 2 2 3 4 2 4" xfId="39730" xr:uid="{7E1E1566-C1DA-4DE4-A06E-FFA5ABF82B5D}"/>
    <cellStyle name="Comma 4 2 2 3 4 2 5" xfId="21132" xr:uid="{983C0D6E-C5A0-4BD4-95EA-1536B39A25A7}"/>
    <cellStyle name="Comma 4 2 2 3 4 3" xfId="5431" xr:uid="{00000000-0005-0000-0000-00001C080000}"/>
    <cellStyle name="Comma 4 2 2 3 4 3 2" xfId="14757" xr:uid="{072CB2B8-C59C-4365-9767-CAD3365A6121}"/>
    <cellStyle name="Comma 4 2 2 3 4 3 2 2" xfId="51099" xr:uid="{BF2EC8D3-915D-4B00-96F2-AFC02709CFC2}"/>
    <cellStyle name="Comma 4 2 2 3 4 3 2 3" xfId="32503" xr:uid="{4E84A660-E397-49F7-BA5F-161178855F80}"/>
    <cellStyle name="Comma 4 2 2 3 4 3 3" xfId="41802" xr:uid="{5040B4B6-4206-4B61-9DF4-95AE1A8DD8F7}"/>
    <cellStyle name="Comma 4 2 2 3 4 3 4" xfId="23204" xr:uid="{814E59AF-17E3-458C-9B56-BBB59485C70F}"/>
    <cellStyle name="Comma 4 2 2 3 4 4" xfId="10540" xr:uid="{A16D1862-8F18-48A4-A3EA-17865783B838}"/>
    <cellStyle name="Comma 4 2 2 3 4 4 2" xfId="46882" xr:uid="{FE9E704B-4923-4E80-83DB-D2200052E07A}"/>
    <cellStyle name="Comma 4 2 2 3 4 4 3" xfId="28286" xr:uid="{A5CD878C-0AD5-445E-A47E-2DF6AAA0ACF1}"/>
    <cellStyle name="Comma 4 2 2 3 4 5" xfId="37585" xr:uid="{A5FF0660-BD07-4A0F-A0E2-066E3857D0F5}"/>
    <cellStyle name="Comma 4 2 2 3 4 6" xfId="18987" xr:uid="{535DB5E5-FD03-418D-B278-1C72A2DD74C3}"/>
    <cellStyle name="Comma 4 2 2 3 5" xfId="1537" xr:uid="{00000000-0005-0000-0000-00001D080000}"/>
    <cellStyle name="Comma 4 2 2 3 5 2" xfId="3767" xr:uid="{00000000-0005-0000-0000-00001E080000}"/>
    <cellStyle name="Comma 4 2 2 3 5 2 2" xfId="7989" xr:uid="{00000000-0005-0000-0000-00001F080000}"/>
    <cellStyle name="Comma 4 2 2 3 5 2 2 2" xfId="17315" xr:uid="{AE1B3DC6-3D36-48ED-A002-91E0FA31570C}"/>
    <cellStyle name="Comma 4 2 2 3 5 2 2 2 2" xfId="53657" xr:uid="{5CDD4A03-B67D-47ED-91DD-468785FF36DF}"/>
    <cellStyle name="Comma 4 2 2 3 5 2 2 2 3" xfId="35061" xr:uid="{2254E3E4-1CAB-46C7-BFC1-7092731B0532}"/>
    <cellStyle name="Comma 4 2 2 3 5 2 2 3" xfId="44360" xr:uid="{CBA3647F-69BB-40F6-B341-E4874DCBF95D}"/>
    <cellStyle name="Comma 4 2 2 3 5 2 2 4" xfId="25762" xr:uid="{37F05F65-CD76-4AD9-9B4F-34EE17599729}"/>
    <cellStyle name="Comma 4 2 2 3 5 2 3" xfId="13098" xr:uid="{564E9E13-494C-4DF0-9C6F-31CFD914E7C3}"/>
    <cellStyle name="Comma 4 2 2 3 5 2 3 2" xfId="49440" xr:uid="{F2B161FA-E1FA-4D60-ABFC-2D1541517D4C}"/>
    <cellStyle name="Comma 4 2 2 3 5 2 3 3" xfId="30844" xr:uid="{78EFECE4-970C-4E5A-811A-F710DF316D0A}"/>
    <cellStyle name="Comma 4 2 2 3 5 2 4" xfId="40143" xr:uid="{4A103596-44DD-4679-B0FB-EBCB8CE6A77D}"/>
    <cellStyle name="Comma 4 2 2 3 5 2 5" xfId="21545" xr:uid="{CD5515D8-1538-4D6A-8A9E-BD836376A56A}"/>
    <cellStyle name="Comma 4 2 2 3 5 3" xfId="5844" xr:uid="{00000000-0005-0000-0000-000020080000}"/>
    <cellStyle name="Comma 4 2 2 3 5 3 2" xfId="15170" xr:uid="{DAA09837-AF44-48A7-B199-24E4E2600443}"/>
    <cellStyle name="Comma 4 2 2 3 5 3 2 2" xfId="51512" xr:uid="{973DC61A-D90A-40B7-9102-AD72F964D451}"/>
    <cellStyle name="Comma 4 2 2 3 5 3 2 3" xfId="32916" xr:uid="{BB7F5396-2DCC-49AB-A2D3-64A4CCCD084C}"/>
    <cellStyle name="Comma 4 2 2 3 5 3 3" xfId="42215" xr:uid="{2F8064C8-18F9-47A3-B423-6D6A55D6B135}"/>
    <cellStyle name="Comma 4 2 2 3 5 3 4" xfId="23617" xr:uid="{6E1D8875-9EAD-4CDA-80B9-AA15C0CF921F}"/>
    <cellStyle name="Comma 4 2 2 3 5 4" xfId="10953" xr:uid="{4525EA2C-C350-418B-824D-ECDD60F1F0DC}"/>
    <cellStyle name="Comma 4 2 2 3 5 4 2" xfId="47295" xr:uid="{C4962E11-7BE4-4580-958C-D60A67EFF4E0}"/>
    <cellStyle name="Comma 4 2 2 3 5 4 3" xfId="28699" xr:uid="{0A7689BD-CB10-421F-BDD0-503BA3715875}"/>
    <cellStyle name="Comma 4 2 2 3 5 5" xfId="37998" xr:uid="{31DEC0AE-04B1-42B8-A356-D24BA550BF12}"/>
    <cellStyle name="Comma 4 2 2 3 5 6" xfId="19400" xr:uid="{4CE0D42D-D34C-4F66-8BA8-25BDFF67C83D}"/>
    <cellStyle name="Comma 4 2 2 3 6" xfId="1951" xr:uid="{00000000-0005-0000-0000-000021080000}"/>
    <cellStyle name="Comma 4 2 2 3 6 2" xfId="4180" xr:uid="{00000000-0005-0000-0000-000022080000}"/>
    <cellStyle name="Comma 4 2 2 3 6 2 2" xfId="8402" xr:uid="{00000000-0005-0000-0000-000023080000}"/>
    <cellStyle name="Comma 4 2 2 3 6 2 2 2" xfId="17728" xr:uid="{CA7B93E7-D084-4AC6-AAA9-DC07827FD611}"/>
    <cellStyle name="Comma 4 2 2 3 6 2 2 2 2" xfId="54070" xr:uid="{0BC2C968-A301-48EC-A0BE-273A2B7E09DB}"/>
    <cellStyle name="Comma 4 2 2 3 6 2 2 2 3" xfId="35474" xr:uid="{C8FC80E0-FE7A-4599-AAF8-336DF874D7FF}"/>
    <cellStyle name="Comma 4 2 2 3 6 2 2 3" xfId="44773" xr:uid="{398FB8FB-0766-49BD-B388-C8EEF66A3D87}"/>
    <cellStyle name="Comma 4 2 2 3 6 2 2 4" xfId="26175" xr:uid="{5538E6B9-ECB7-4D80-AF0B-9894D79243A0}"/>
    <cellStyle name="Comma 4 2 2 3 6 2 3" xfId="13511" xr:uid="{38761D7C-92DA-4656-98D1-BDF29082FEBB}"/>
    <cellStyle name="Comma 4 2 2 3 6 2 3 2" xfId="49853" xr:uid="{0E47311A-6578-4A48-A6A3-FC6263892609}"/>
    <cellStyle name="Comma 4 2 2 3 6 2 3 3" xfId="31257" xr:uid="{4AE9F1A4-C030-4735-B4AD-8C74A326C060}"/>
    <cellStyle name="Comma 4 2 2 3 6 2 4" xfId="40556" xr:uid="{94A81722-D4D9-4CCC-BD7F-9B632372CD0B}"/>
    <cellStyle name="Comma 4 2 2 3 6 2 5" xfId="21958" xr:uid="{B462D5BB-4AB4-4713-A199-64F194219B63}"/>
    <cellStyle name="Comma 4 2 2 3 6 3" xfId="6257" xr:uid="{00000000-0005-0000-0000-000024080000}"/>
    <cellStyle name="Comma 4 2 2 3 6 3 2" xfId="15583" xr:uid="{0C010692-45D5-482E-858C-85F3CF1A7C58}"/>
    <cellStyle name="Comma 4 2 2 3 6 3 2 2" xfId="51925" xr:uid="{FF71A82E-7A73-4316-A884-6DCCC923032F}"/>
    <cellStyle name="Comma 4 2 2 3 6 3 2 3" xfId="33329" xr:uid="{1F5C3F98-8EC5-4603-B51F-923E2F5684BF}"/>
    <cellStyle name="Comma 4 2 2 3 6 3 3" xfId="42628" xr:uid="{2FB7DF37-5A01-40BA-8CE6-2C5805968937}"/>
    <cellStyle name="Comma 4 2 2 3 6 3 4" xfId="24030" xr:uid="{2BC266F0-D683-4B08-83CE-6D2DD370ADE1}"/>
    <cellStyle name="Comma 4 2 2 3 6 4" xfId="11366" xr:uid="{432A9B60-1BAD-4959-AEED-EB4D2E53106A}"/>
    <cellStyle name="Comma 4 2 2 3 6 4 2" xfId="47708" xr:uid="{2D422A08-B15A-4377-BD61-989102A8F4B3}"/>
    <cellStyle name="Comma 4 2 2 3 6 4 3" xfId="29112" xr:uid="{1D144763-602C-4919-964A-D9CCD6BF99C6}"/>
    <cellStyle name="Comma 4 2 2 3 6 5" xfId="38411" xr:uid="{0FB679BC-1DF6-4122-9E57-BCF16EC30A8D}"/>
    <cellStyle name="Comma 4 2 2 3 6 6" xfId="19813" xr:uid="{E5A9CEA4-165F-4C5D-9ED3-8FDE2C55087E}"/>
    <cellStyle name="Comma 4 2 2 3 7" xfId="2386" xr:uid="{00000000-0005-0000-0000-000025080000}"/>
    <cellStyle name="Comma 4 2 2 3 7 2" xfId="6670" xr:uid="{00000000-0005-0000-0000-000026080000}"/>
    <cellStyle name="Comma 4 2 2 3 7 2 2" xfId="15996" xr:uid="{3328F395-96C5-4278-871F-BE9805A13DBB}"/>
    <cellStyle name="Comma 4 2 2 3 7 2 2 2" xfId="52338" xr:uid="{8540072D-6528-4C36-9809-14BA8B678549}"/>
    <cellStyle name="Comma 4 2 2 3 7 2 2 3" xfId="33742" xr:uid="{5C0EDEC3-5BA5-4DB9-93CE-F63CF8E6E5C0}"/>
    <cellStyle name="Comma 4 2 2 3 7 2 3" xfId="43041" xr:uid="{7FB13E8A-F5D5-4E3F-8997-0D79E2AAC033}"/>
    <cellStyle name="Comma 4 2 2 3 7 2 4" xfId="24443" xr:uid="{7A28ECCA-AC9B-41CA-ADB0-D6B20604607F}"/>
    <cellStyle name="Comma 4 2 2 3 7 3" xfId="11779" xr:uid="{DA865761-2FAE-4D26-98C6-9A36B55A7007}"/>
    <cellStyle name="Comma 4 2 2 3 7 3 2" xfId="48121" xr:uid="{DEDED4C8-ADD7-4BBB-886B-A3B4A53A9BBB}"/>
    <cellStyle name="Comma 4 2 2 3 7 3 3" xfId="29525" xr:uid="{F578AE84-FC88-4404-A061-C3C46E008B11}"/>
    <cellStyle name="Comma 4 2 2 3 7 4" xfId="38824" xr:uid="{035DF041-F1F8-4AFE-973F-1A912E5142C7}"/>
    <cellStyle name="Comma 4 2 2 3 7 5" xfId="20226" xr:uid="{DCF4D347-6F4C-44AE-846E-074E1619B732}"/>
    <cellStyle name="Comma 4 2 2 3 8" xfId="2377" xr:uid="{00000000-0005-0000-0000-000027080000}"/>
    <cellStyle name="Comma 4 2 2 3 9" xfId="2764" xr:uid="{00000000-0005-0000-0000-000028080000}"/>
    <cellStyle name="Comma 4 2 2 3 9 2" xfId="6987" xr:uid="{00000000-0005-0000-0000-000029080000}"/>
    <cellStyle name="Comma 4 2 2 3 9 2 2" xfId="16313" xr:uid="{3EC9A5B8-92D0-475D-B6C5-297BDAAB1B95}"/>
    <cellStyle name="Comma 4 2 2 3 9 2 2 2" xfId="52655" xr:uid="{71EFE75E-C2DA-48C5-B940-FDFB3D7DCA5F}"/>
    <cellStyle name="Comma 4 2 2 3 9 2 2 3" xfId="34059" xr:uid="{8ECB8146-776E-45FD-B475-22CE68BC5198}"/>
    <cellStyle name="Comma 4 2 2 3 9 2 3" xfId="43358" xr:uid="{797A8744-C620-475D-B6FD-4D1F00C96658}"/>
    <cellStyle name="Comma 4 2 2 3 9 2 4" xfId="24760" xr:uid="{6097D475-3A5F-4963-AEE2-24784F2D4B47}"/>
    <cellStyle name="Comma 4 2 2 3 9 3" xfId="12096" xr:uid="{741532FE-FBEE-4286-94BB-ED7C9B1C8A94}"/>
    <cellStyle name="Comma 4 2 2 3 9 3 2" xfId="48438" xr:uid="{3EF88163-1795-4BF8-B074-B6CA3F767437}"/>
    <cellStyle name="Comma 4 2 2 3 9 3 3" xfId="29842" xr:uid="{6287D525-700D-47C5-A548-371E80C614CD}"/>
    <cellStyle name="Comma 4 2 2 3 9 4" xfId="39141" xr:uid="{A90573C7-C7B4-49AF-B866-4281B08EDB9C}"/>
    <cellStyle name="Comma 4 2 2 3 9 5" xfId="20543" xr:uid="{35B2079E-2A4C-460A-BBD0-89B25047FD35}"/>
    <cellStyle name="Comma 4 2 2 4" xfId="134" xr:uid="{00000000-0005-0000-0000-00002A080000}"/>
    <cellStyle name="Comma 4 2 2 4 10" xfId="8993" xr:uid="{2969CB69-37C4-4C43-BC9D-87F92556F829}"/>
    <cellStyle name="Comma 4 2 2 4 10 2" xfId="36063" xr:uid="{F60487D5-10EF-42B9-ABEA-436444BD50B7}"/>
    <cellStyle name="Comma 4 2 2 4 10 2 2" xfId="54658" xr:uid="{CBC44355-AD6B-4406-9D93-2AE57DDD7941}"/>
    <cellStyle name="Comma 4 2 2 4 10 3" xfId="45361" xr:uid="{F5CCAB6A-4FB8-4EAB-B60A-D8B1CA7C19C8}"/>
    <cellStyle name="Comma 4 2 2 4 10 4" xfId="26764" xr:uid="{F5ACF8C2-3DA4-45EA-9159-B9854E7E4CB7}"/>
    <cellStyle name="Comma 4 2 2 4 11" xfId="9715" xr:uid="{10A3DEC1-BF64-43B8-88A9-57C186EF8A42}"/>
    <cellStyle name="Comma 4 2 2 4 11 2" xfId="46057" xr:uid="{A1080CFA-8653-4281-AFE4-3C37529A002A}"/>
    <cellStyle name="Comma 4 2 2 4 11 3" xfId="27461" xr:uid="{5D4B8566-6F6E-4B0E-B368-B9EFE034CC9B}"/>
    <cellStyle name="Comma 4 2 2 4 12" xfId="36760" xr:uid="{1559BD76-3D5B-4E02-9D2A-FBB997A66728}"/>
    <cellStyle name="Comma 4 2 2 4 13" xfId="18162" xr:uid="{3BAEDBAC-AA4F-4053-83E9-28145236D12E}"/>
    <cellStyle name="Comma 4 2 2 4 2" xfId="672" xr:uid="{00000000-0005-0000-0000-00002B080000}"/>
    <cellStyle name="Comma 4 2 2 4 2 2" xfId="2943" xr:uid="{00000000-0005-0000-0000-00002C080000}"/>
    <cellStyle name="Comma 4 2 2 4 2 2 2" xfId="7165" xr:uid="{00000000-0005-0000-0000-00002D080000}"/>
    <cellStyle name="Comma 4 2 2 4 2 2 2 2" xfId="16491" xr:uid="{93F3FA3F-FCEA-49D6-9845-27051288CBE7}"/>
    <cellStyle name="Comma 4 2 2 4 2 2 2 2 2" xfId="52833" xr:uid="{D8AD1C05-BE89-4483-8286-410094748A37}"/>
    <cellStyle name="Comma 4 2 2 4 2 2 2 2 3" xfId="34237" xr:uid="{84EC37B6-188B-4665-8AA1-FA7282A4227A}"/>
    <cellStyle name="Comma 4 2 2 4 2 2 2 3" xfId="43536" xr:uid="{27CD6D2B-2F0D-4E27-B8AE-ACA4CB02B4A9}"/>
    <cellStyle name="Comma 4 2 2 4 2 2 2 4" xfId="24938" xr:uid="{7673FD72-2692-4DFA-9E76-208B56B80545}"/>
    <cellStyle name="Comma 4 2 2 4 2 2 3" xfId="12274" xr:uid="{2487F1E9-C8CD-41C2-9A61-FAB6D3F66CF0}"/>
    <cellStyle name="Comma 4 2 2 4 2 2 3 2" xfId="48616" xr:uid="{043D1A95-D8D5-421B-A5CE-E46F4632B158}"/>
    <cellStyle name="Comma 4 2 2 4 2 2 3 3" xfId="30020" xr:uid="{4DE9EDBB-8F3D-416B-A625-88F471114E2F}"/>
    <cellStyle name="Comma 4 2 2 4 2 2 4" xfId="39319" xr:uid="{5CE52F92-475F-4CD9-88B7-8CA434997A2A}"/>
    <cellStyle name="Comma 4 2 2 4 2 2 5" xfId="20721" xr:uid="{7CEEA7BD-5D59-4546-8B42-7B0DE7D401A3}"/>
    <cellStyle name="Comma 4 2 2 4 2 3" xfId="5020" xr:uid="{00000000-0005-0000-0000-00002E080000}"/>
    <cellStyle name="Comma 4 2 2 4 2 3 2" xfId="14346" xr:uid="{F06249EF-7CA8-480E-BB83-4CC61C394964}"/>
    <cellStyle name="Comma 4 2 2 4 2 3 2 2" xfId="50688" xr:uid="{FF369B78-B65A-4F6B-B659-D276200F7B80}"/>
    <cellStyle name="Comma 4 2 2 4 2 3 2 3" xfId="32092" xr:uid="{34B0E1C7-B631-4DF7-A9C4-5C15A13E33A1}"/>
    <cellStyle name="Comma 4 2 2 4 2 3 3" xfId="41391" xr:uid="{BFF53F9E-D4E0-4166-A9ED-BED799100969}"/>
    <cellStyle name="Comma 4 2 2 4 2 3 4" xfId="22793" xr:uid="{304A146F-80AF-4A56-B544-1551CEBE90E2}"/>
    <cellStyle name="Comma 4 2 2 4 2 4" xfId="9418" xr:uid="{F2EB07B7-2227-485D-9411-A8F75EC2F9DA}"/>
    <cellStyle name="Comma 4 2 2 4 2 4 2" xfId="36479" xr:uid="{BB467994-5ACA-4014-BD17-46135F0E1B31}"/>
    <cellStyle name="Comma 4 2 2 4 2 4 2 2" xfId="55073" xr:uid="{49314E07-B3AD-4D57-9B30-8774E3C86EA9}"/>
    <cellStyle name="Comma 4 2 2 4 2 4 3" xfId="45776" xr:uid="{1C2E0CAA-301B-4F97-9F6D-F39955DFDDA1}"/>
    <cellStyle name="Comma 4 2 2 4 2 4 4" xfId="27180" xr:uid="{A109728B-C6F3-4707-85E3-64E46AF302BE}"/>
    <cellStyle name="Comma 4 2 2 4 2 5" xfId="10129" xr:uid="{5A5F177A-BF45-4700-8C93-D0BBC9168EEC}"/>
    <cellStyle name="Comma 4 2 2 4 2 5 2" xfId="46471" xr:uid="{C51A0874-2E12-411E-B06E-B381CED5C498}"/>
    <cellStyle name="Comma 4 2 2 4 2 5 3" xfId="27875" xr:uid="{200E58BF-2F69-419F-A8B6-DE339D1A02BF}"/>
    <cellStyle name="Comma 4 2 2 4 2 6" xfId="37174" xr:uid="{4C8EC5E4-0B4C-4EE2-B7F0-39DFC46369C7}"/>
    <cellStyle name="Comma 4 2 2 4 2 7" xfId="18576" xr:uid="{F55E8963-8C15-47A2-89E8-DDF50573CD7C}"/>
    <cellStyle name="Comma 4 2 2 4 3" xfId="1125" xr:uid="{00000000-0005-0000-0000-00002F080000}"/>
    <cellStyle name="Comma 4 2 2 4 3 2" xfId="3356" xr:uid="{00000000-0005-0000-0000-000030080000}"/>
    <cellStyle name="Comma 4 2 2 4 3 2 2" xfId="7578" xr:uid="{00000000-0005-0000-0000-000031080000}"/>
    <cellStyle name="Comma 4 2 2 4 3 2 2 2" xfId="16904" xr:uid="{D4AF8DE0-7D9D-4D27-BD02-080E6A7EDE54}"/>
    <cellStyle name="Comma 4 2 2 4 3 2 2 2 2" xfId="53246" xr:uid="{05AE6C89-AC78-4294-95D4-ABE7C227B721}"/>
    <cellStyle name="Comma 4 2 2 4 3 2 2 2 3" xfId="34650" xr:uid="{8FFBD760-CFDC-4ED8-B6FA-332D425AE25E}"/>
    <cellStyle name="Comma 4 2 2 4 3 2 2 3" xfId="43949" xr:uid="{5607CB7A-9B8E-4DDB-A93C-40C9A1E78CF0}"/>
    <cellStyle name="Comma 4 2 2 4 3 2 2 4" xfId="25351" xr:uid="{9A99A8AD-8EB8-4D64-9CEE-8F8E5F64F9D6}"/>
    <cellStyle name="Comma 4 2 2 4 3 2 3" xfId="12687" xr:uid="{DBC67B17-F39A-4DE7-B6DD-943410A6FAC9}"/>
    <cellStyle name="Comma 4 2 2 4 3 2 3 2" xfId="49029" xr:uid="{1981F42E-8B78-4343-B674-99C4C39859B2}"/>
    <cellStyle name="Comma 4 2 2 4 3 2 3 3" xfId="30433" xr:uid="{FDEB101E-9275-48AC-BFA1-DA7634E0EA68}"/>
    <cellStyle name="Comma 4 2 2 4 3 2 4" xfId="39732" xr:uid="{D698ACB5-445C-46E5-9DD6-45F247A397EC}"/>
    <cellStyle name="Comma 4 2 2 4 3 2 5" xfId="21134" xr:uid="{A6EF2DD7-D326-40B9-9090-B96765553C31}"/>
    <cellStyle name="Comma 4 2 2 4 3 3" xfId="5433" xr:uid="{00000000-0005-0000-0000-000032080000}"/>
    <cellStyle name="Comma 4 2 2 4 3 3 2" xfId="14759" xr:uid="{93D38240-93C7-40E9-A4F1-0C436FD4930A}"/>
    <cellStyle name="Comma 4 2 2 4 3 3 2 2" xfId="51101" xr:uid="{D61E8041-3E2E-4C8B-B379-2875C5FF7F0B}"/>
    <cellStyle name="Comma 4 2 2 4 3 3 2 3" xfId="32505" xr:uid="{37103698-4E8F-498A-9273-B3BCA52B37A5}"/>
    <cellStyle name="Comma 4 2 2 4 3 3 3" xfId="41804" xr:uid="{6FCB2447-3831-459E-B226-1FEF24443BA7}"/>
    <cellStyle name="Comma 4 2 2 4 3 3 4" xfId="23206" xr:uid="{E08C4CAD-37B9-4171-B71E-9EFADCA03C66}"/>
    <cellStyle name="Comma 4 2 2 4 3 4" xfId="10542" xr:uid="{3FBEC226-0E40-479F-96F9-0CC237D60443}"/>
    <cellStyle name="Comma 4 2 2 4 3 4 2" xfId="46884" xr:uid="{D682CCCA-32F2-495F-952C-599165F0D650}"/>
    <cellStyle name="Comma 4 2 2 4 3 4 3" xfId="28288" xr:uid="{349A8B09-82BB-4BC5-A374-7AC62B35CF24}"/>
    <cellStyle name="Comma 4 2 2 4 3 5" xfId="37587" xr:uid="{3614B128-782D-4692-86D6-613B8A796D34}"/>
    <cellStyle name="Comma 4 2 2 4 3 6" xfId="18989" xr:uid="{B10E9147-30BA-43BB-BBF5-BD937CB6B53A}"/>
    <cellStyle name="Comma 4 2 2 4 4" xfId="1539" xr:uid="{00000000-0005-0000-0000-000033080000}"/>
    <cellStyle name="Comma 4 2 2 4 4 2" xfId="3769" xr:uid="{00000000-0005-0000-0000-000034080000}"/>
    <cellStyle name="Comma 4 2 2 4 4 2 2" xfId="7991" xr:uid="{00000000-0005-0000-0000-000035080000}"/>
    <cellStyle name="Comma 4 2 2 4 4 2 2 2" xfId="17317" xr:uid="{0A502E36-9033-4C98-A6DE-B27661E2F045}"/>
    <cellStyle name="Comma 4 2 2 4 4 2 2 2 2" xfId="53659" xr:uid="{18BC4098-E14D-43FE-8235-32A588AF4B5B}"/>
    <cellStyle name="Comma 4 2 2 4 4 2 2 2 3" xfId="35063" xr:uid="{0F1F41A4-14FB-4338-92D2-B924A7EA75A2}"/>
    <cellStyle name="Comma 4 2 2 4 4 2 2 3" xfId="44362" xr:uid="{3A5FDE13-640D-4920-A3E7-229F2D63E3D0}"/>
    <cellStyle name="Comma 4 2 2 4 4 2 2 4" xfId="25764" xr:uid="{6DACD27E-1B05-4153-9812-DDD2FCA9690F}"/>
    <cellStyle name="Comma 4 2 2 4 4 2 3" xfId="13100" xr:uid="{9F21AD3D-B7D7-48DF-8030-DEEAAADE45AE}"/>
    <cellStyle name="Comma 4 2 2 4 4 2 3 2" xfId="49442" xr:uid="{27483760-DCDA-4379-97BD-F6F279C9C1BC}"/>
    <cellStyle name="Comma 4 2 2 4 4 2 3 3" xfId="30846" xr:uid="{C8C96472-3F0A-4CC4-9A51-AF636FA0A656}"/>
    <cellStyle name="Comma 4 2 2 4 4 2 4" xfId="40145" xr:uid="{3C49DAE7-B259-448E-A139-03CC234650F6}"/>
    <cellStyle name="Comma 4 2 2 4 4 2 5" xfId="21547" xr:uid="{0641A378-EB93-417C-99DF-C7118DDF86CE}"/>
    <cellStyle name="Comma 4 2 2 4 4 3" xfId="5846" xr:uid="{00000000-0005-0000-0000-000036080000}"/>
    <cellStyle name="Comma 4 2 2 4 4 3 2" xfId="15172" xr:uid="{8C2980E4-2A3B-4271-8969-6B6C7397E8CB}"/>
    <cellStyle name="Comma 4 2 2 4 4 3 2 2" xfId="51514" xr:uid="{3C53C71F-2A00-466D-86B6-8109A0CC6F65}"/>
    <cellStyle name="Comma 4 2 2 4 4 3 2 3" xfId="32918" xr:uid="{701846EC-1EB4-43F0-9526-D71AF3AD898E}"/>
    <cellStyle name="Comma 4 2 2 4 4 3 3" xfId="42217" xr:uid="{FF2DCA9C-E1D2-4F65-9EE4-3B09C651823A}"/>
    <cellStyle name="Comma 4 2 2 4 4 3 4" xfId="23619" xr:uid="{35054F1A-10D7-4D4E-BCAB-8F43165803CE}"/>
    <cellStyle name="Comma 4 2 2 4 4 4" xfId="10955" xr:uid="{83C0F210-4329-44A1-8D6F-4C1B3A870524}"/>
    <cellStyle name="Comma 4 2 2 4 4 4 2" xfId="47297" xr:uid="{3F07012F-2A90-42F1-A287-55F6A1D29EBE}"/>
    <cellStyle name="Comma 4 2 2 4 4 4 3" xfId="28701" xr:uid="{5CE6E606-E044-4BED-99BF-02D5E9E1AA88}"/>
    <cellStyle name="Comma 4 2 2 4 4 5" xfId="38000" xr:uid="{FAC8CE75-5982-4A0B-A5C1-A6AC1CEE8CD2}"/>
    <cellStyle name="Comma 4 2 2 4 4 6" xfId="19402" xr:uid="{AE56B5E2-7450-4765-ABDD-AA0DBE8E74C8}"/>
    <cellStyle name="Comma 4 2 2 4 5" xfId="1953" xr:uid="{00000000-0005-0000-0000-000037080000}"/>
    <cellStyle name="Comma 4 2 2 4 5 2" xfId="4182" xr:uid="{00000000-0005-0000-0000-000038080000}"/>
    <cellStyle name="Comma 4 2 2 4 5 2 2" xfId="8404" xr:uid="{00000000-0005-0000-0000-000039080000}"/>
    <cellStyle name="Comma 4 2 2 4 5 2 2 2" xfId="17730" xr:uid="{B2A19C49-B7DE-4F37-9506-773B448E1CA0}"/>
    <cellStyle name="Comma 4 2 2 4 5 2 2 2 2" xfId="54072" xr:uid="{77D07311-9747-4751-BA2F-3D058D539ECD}"/>
    <cellStyle name="Comma 4 2 2 4 5 2 2 2 3" xfId="35476" xr:uid="{FCDD0BC5-E36D-4AEB-A5D5-44CF37B52930}"/>
    <cellStyle name="Comma 4 2 2 4 5 2 2 3" xfId="44775" xr:uid="{9A24386A-86B0-41BE-8DB3-2ED86CD46D5D}"/>
    <cellStyle name="Comma 4 2 2 4 5 2 2 4" xfId="26177" xr:uid="{3BDEC3FE-BF16-4001-8BD5-DC0EB03D8760}"/>
    <cellStyle name="Comma 4 2 2 4 5 2 3" xfId="13513" xr:uid="{DAB36E13-4F94-4539-947E-4AEE30D7C893}"/>
    <cellStyle name="Comma 4 2 2 4 5 2 3 2" xfId="49855" xr:uid="{FB3FCE09-3C4B-44ED-BD1D-3A1AE118FBF5}"/>
    <cellStyle name="Comma 4 2 2 4 5 2 3 3" xfId="31259" xr:uid="{CA5545C9-C27F-49BB-A656-5F2672578EC9}"/>
    <cellStyle name="Comma 4 2 2 4 5 2 4" xfId="40558" xr:uid="{5A3CAC62-5386-4C41-93C0-B3F8FBC733ED}"/>
    <cellStyle name="Comma 4 2 2 4 5 2 5" xfId="21960" xr:uid="{0C010ED6-C2CF-4B3A-8E0F-75D9047CAED9}"/>
    <cellStyle name="Comma 4 2 2 4 5 3" xfId="6259" xr:uid="{00000000-0005-0000-0000-00003A080000}"/>
    <cellStyle name="Comma 4 2 2 4 5 3 2" xfId="15585" xr:uid="{A43624B3-A627-4FA9-9B57-30AA9B543782}"/>
    <cellStyle name="Comma 4 2 2 4 5 3 2 2" xfId="51927" xr:uid="{0E604D61-1C47-47EB-9032-6605FA35B1CF}"/>
    <cellStyle name="Comma 4 2 2 4 5 3 2 3" xfId="33331" xr:uid="{AF4FE579-1FD4-457D-9CE8-8C544D0FD786}"/>
    <cellStyle name="Comma 4 2 2 4 5 3 3" xfId="42630" xr:uid="{99DA8088-DF86-4C55-BD1C-3932A4F70551}"/>
    <cellStyle name="Comma 4 2 2 4 5 3 4" xfId="24032" xr:uid="{1D8443C5-6840-4EEE-95F4-CD41A36D73CF}"/>
    <cellStyle name="Comma 4 2 2 4 5 4" xfId="11368" xr:uid="{30FBDFEE-3AB4-454C-825C-2BB93825263F}"/>
    <cellStyle name="Comma 4 2 2 4 5 4 2" xfId="47710" xr:uid="{46D94D74-D52D-455C-A6DB-6A6711F33948}"/>
    <cellStyle name="Comma 4 2 2 4 5 4 3" xfId="29114" xr:uid="{81F4D1B4-1AF2-4700-BF9D-A037EEAAF2F8}"/>
    <cellStyle name="Comma 4 2 2 4 5 5" xfId="38413" xr:uid="{2AC83B88-DE5E-4DF0-B87F-2370F4474207}"/>
    <cellStyle name="Comma 4 2 2 4 5 6" xfId="19815" xr:uid="{C064D3C3-B8DE-4289-9E12-78B8803567E4}"/>
    <cellStyle name="Comma 4 2 2 4 6" xfId="2388" xr:uid="{00000000-0005-0000-0000-00003B080000}"/>
    <cellStyle name="Comma 4 2 2 4 6 2" xfId="6672" xr:uid="{00000000-0005-0000-0000-00003C080000}"/>
    <cellStyle name="Comma 4 2 2 4 6 2 2" xfId="15998" xr:uid="{145E3A62-7275-4AA1-84C6-BD1DDF8A65AC}"/>
    <cellStyle name="Comma 4 2 2 4 6 2 2 2" xfId="52340" xr:uid="{8A7B985C-B2AE-4FA4-B1BC-8857CD38FADA}"/>
    <cellStyle name="Comma 4 2 2 4 6 2 2 3" xfId="33744" xr:uid="{46BCF741-19AB-4817-9C24-B405B9068434}"/>
    <cellStyle name="Comma 4 2 2 4 6 2 3" xfId="43043" xr:uid="{AEEBAC9F-46CB-4E5D-9338-F35F3CDA61C4}"/>
    <cellStyle name="Comma 4 2 2 4 6 2 4" xfId="24445" xr:uid="{1A2E24B3-3034-4428-B14E-DF480A570567}"/>
    <cellStyle name="Comma 4 2 2 4 6 3" xfId="11781" xr:uid="{BCF6A7A9-43BC-4DFA-8772-EE85C654F913}"/>
    <cellStyle name="Comma 4 2 2 4 6 3 2" xfId="48123" xr:uid="{336DC598-9148-403D-93F9-B2518E49492E}"/>
    <cellStyle name="Comma 4 2 2 4 6 3 3" xfId="29527" xr:uid="{EC70C734-6754-47D6-A90A-BE822E600323}"/>
    <cellStyle name="Comma 4 2 2 4 6 4" xfId="38826" xr:uid="{1B5770B7-E6E0-4E82-8BF7-674DB8ED4287}"/>
    <cellStyle name="Comma 4 2 2 4 6 5" xfId="20228" xr:uid="{1966957E-FF79-46C4-BD50-B5B51DAB1143}"/>
    <cellStyle name="Comma 4 2 2 4 7" xfId="2375" xr:uid="{00000000-0005-0000-0000-00003D080000}"/>
    <cellStyle name="Comma 4 2 2 4 8" xfId="2766" xr:uid="{00000000-0005-0000-0000-00003E080000}"/>
    <cellStyle name="Comma 4 2 2 4 8 2" xfId="6989" xr:uid="{00000000-0005-0000-0000-00003F080000}"/>
    <cellStyle name="Comma 4 2 2 4 8 2 2" xfId="16315" xr:uid="{25C11AD0-44F8-4A35-A0BA-D765E39F42E2}"/>
    <cellStyle name="Comma 4 2 2 4 8 2 2 2" xfId="52657" xr:uid="{C9DA4296-6F02-4711-9BD8-81F95C23C43C}"/>
    <cellStyle name="Comma 4 2 2 4 8 2 2 3" xfId="34061" xr:uid="{F3D2467D-9512-458C-9956-2E910AD5BCA9}"/>
    <cellStyle name="Comma 4 2 2 4 8 2 3" xfId="43360" xr:uid="{1B2BF357-67A6-4508-B209-0D24F68AEA83}"/>
    <cellStyle name="Comma 4 2 2 4 8 2 4" xfId="24762" xr:uid="{FE417953-8F75-40E0-861F-E1530BEDA910}"/>
    <cellStyle name="Comma 4 2 2 4 8 3" xfId="12098" xr:uid="{B9540345-35C3-4A11-B36F-76E92D966875}"/>
    <cellStyle name="Comma 4 2 2 4 8 3 2" xfId="48440" xr:uid="{E923D1A8-E537-4F90-A69D-8881FF33D31D}"/>
    <cellStyle name="Comma 4 2 2 4 8 3 3" xfId="29844" xr:uid="{6636F2B7-3762-418B-9B03-FCE9F254DE00}"/>
    <cellStyle name="Comma 4 2 2 4 8 4" xfId="39143" xr:uid="{3D3ABA16-4281-4A4B-BF99-DC5D4068F007}"/>
    <cellStyle name="Comma 4 2 2 4 8 5" xfId="20545" xr:uid="{BFF71DFE-8B4C-44B4-8C0A-C3B7DADF318E}"/>
    <cellStyle name="Comma 4 2 2 4 9" xfId="4606" xr:uid="{00000000-0005-0000-0000-000040080000}"/>
    <cellStyle name="Comma 4 2 2 4 9 2" xfId="13932" xr:uid="{597DF123-2FED-4DF4-BBC8-6C5118A97696}"/>
    <cellStyle name="Comma 4 2 2 4 9 2 2" xfId="50274" xr:uid="{600CF649-22B5-4AAE-B2C9-9A18D870D24E}"/>
    <cellStyle name="Comma 4 2 2 4 9 2 3" xfId="31678" xr:uid="{857FA607-B805-4259-A882-BC3687A6EC28}"/>
    <cellStyle name="Comma 4 2 2 4 9 3" xfId="40977" xr:uid="{3BFFEF1F-3E7C-4C82-AF0B-22820A6E24F4}"/>
    <cellStyle name="Comma 4 2 2 4 9 4" xfId="22379" xr:uid="{3D4F5AED-9F26-41F7-8956-C66270676FE2}"/>
    <cellStyle name="Comma 4 2 2 5" xfId="135" xr:uid="{00000000-0005-0000-0000-000041080000}"/>
    <cellStyle name="Comma 4 2 2 5 10" xfId="9210" xr:uid="{C1F9418B-EF96-4063-883D-A983E131C6A4}"/>
    <cellStyle name="Comma 4 2 2 5 10 2" xfId="36272" xr:uid="{8AEBCB8B-D9B2-41C6-A494-344A00A9E8FE}"/>
    <cellStyle name="Comma 4 2 2 5 10 2 2" xfId="54866" xr:uid="{C060DDB1-3803-45EC-9753-627549471555}"/>
    <cellStyle name="Comma 4 2 2 5 10 3" xfId="45569" xr:uid="{8BB28AED-EA9A-401D-BBC8-50A5F009BD0C}"/>
    <cellStyle name="Comma 4 2 2 5 10 4" xfId="26973" xr:uid="{F29E5292-B51F-4589-B374-6F43B0BF4D7F}"/>
    <cellStyle name="Comma 4 2 2 5 11" xfId="9716" xr:uid="{63FDA289-7B36-4DA1-96A7-5ED6BB68D115}"/>
    <cellStyle name="Comma 4 2 2 5 11 2" xfId="46058" xr:uid="{5EFD56A0-B468-4F71-8C56-D03CBF803AAE}"/>
    <cellStyle name="Comma 4 2 2 5 11 3" xfId="27462" xr:uid="{DC1466F5-6C22-49D7-83EE-0571DBBC183B}"/>
    <cellStyle name="Comma 4 2 2 5 12" xfId="36761" xr:uid="{E9921B66-B2D8-4EB9-AF5A-0F7344A2F6B2}"/>
    <cellStyle name="Comma 4 2 2 5 13" xfId="18163" xr:uid="{182E6F48-979F-43DB-8431-AAC9ECA10C0A}"/>
    <cellStyle name="Comma 4 2 2 5 2" xfId="673" xr:uid="{00000000-0005-0000-0000-000042080000}"/>
    <cellStyle name="Comma 4 2 2 5 2 2" xfId="2944" xr:uid="{00000000-0005-0000-0000-000043080000}"/>
    <cellStyle name="Comma 4 2 2 5 2 2 2" xfId="7166" xr:uid="{00000000-0005-0000-0000-000044080000}"/>
    <cellStyle name="Comma 4 2 2 5 2 2 2 2" xfId="16492" xr:uid="{B20F9B6E-77E8-4BC0-ABE9-6C34CE7FD7B1}"/>
    <cellStyle name="Comma 4 2 2 5 2 2 2 2 2" xfId="52834" xr:uid="{E34814A7-9139-45E5-A915-626068965D02}"/>
    <cellStyle name="Comma 4 2 2 5 2 2 2 2 3" xfId="34238" xr:uid="{50E44D95-7AC9-4E2F-99DF-660D324DE2FD}"/>
    <cellStyle name="Comma 4 2 2 5 2 2 2 3" xfId="43537" xr:uid="{A0B861F8-92CA-4FD3-9B11-2199F14BF05C}"/>
    <cellStyle name="Comma 4 2 2 5 2 2 2 4" xfId="24939" xr:uid="{66E0DEDA-CB3A-47C5-8D82-4B613C91A1FE}"/>
    <cellStyle name="Comma 4 2 2 5 2 2 3" xfId="12275" xr:uid="{9A693091-9E1A-4EB7-9D43-2FFE3435012C}"/>
    <cellStyle name="Comma 4 2 2 5 2 2 3 2" xfId="48617" xr:uid="{B9FE9E72-C416-4E60-8BA3-54B0B38A4770}"/>
    <cellStyle name="Comma 4 2 2 5 2 2 3 3" xfId="30021" xr:uid="{7599DD28-B5FE-43C0-B3F6-B9F54D381F99}"/>
    <cellStyle name="Comma 4 2 2 5 2 2 4" xfId="39320" xr:uid="{3971ADC3-B009-434E-93ED-BA0419AA711C}"/>
    <cellStyle name="Comma 4 2 2 5 2 2 5" xfId="20722" xr:uid="{5CCB0A9C-8423-4D6A-B613-0BFFDFFD1225}"/>
    <cellStyle name="Comma 4 2 2 5 2 3" xfId="5021" xr:uid="{00000000-0005-0000-0000-000045080000}"/>
    <cellStyle name="Comma 4 2 2 5 2 3 2" xfId="14347" xr:uid="{2E7405D5-A2EF-43AA-9CC4-A2324CA43E6C}"/>
    <cellStyle name="Comma 4 2 2 5 2 3 2 2" xfId="50689" xr:uid="{AFBE240B-B72E-40DF-B71A-5514EB79712A}"/>
    <cellStyle name="Comma 4 2 2 5 2 3 2 3" xfId="32093" xr:uid="{8AB2052F-0B86-4E50-9E86-F4C37B58DA16}"/>
    <cellStyle name="Comma 4 2 2 5 2 3 3" xfId="41392" xr:uid="{5A758E2E-298F-4152-A0EC-F9DA629943D6}"/>
    <cellStyle name="Comma 4 2 2 5 2 3 4" xfId="22794" xr:uid="{2A85A86B-57BF-4B8F-8F2B-2B37A537ADF4}"/>
    <cellStyle name="Comma 4 2 2 5 2 4" xfId="9593" xr:uid="{3B41C66E-2108-4CBE-9776-211459781E55}"/>
    <cellStyle name="Comma 4 2 2 5 2 4 2" xfId="36643" xr:uid="{E6162558-C532-4D6F-A8D4-53F9C5F70DC0}"/>
    <cellStyle name="Comma 4 2 2 5 2 4 2 2" xfId="55237" xr:uid="{E0B3E9E8-9835-4EB1-9DCB-C30DEFC7D36E}"/>
    <cellStyle name="Comma 4 2 2 5 2 4 3" xfId="45940" xr:uid="{E1373B02-EF6F-4B82-847E-969035B5FD15}"/>
    <cellStyle name="Comma 4 2 2 5 2 4 4" xfId="27344" xr:uid="{9FCDFC28-4B5A-411C-9B6E-8269C021EECD}"/>
    <cellStyle name="Comma 4 2 2 5 2 5" xfId="10130" xr:uid="{3E5EE410-12BF-4E5E-A180-D3113D5CA25B}"/>
    <cellStyle name="Comma 4 2 2 5 2 5 2" xfId="46472" xr:uid="{E1B8C775-2C2C-4B98-BC96-A89F24310E83}"/>
    <cellStyle name="Comma 4 2 2 5 2 5 3" xfId="27876" xr:uid="{47822918-9FAC-452C-9C42-E51A8C6A11A0}"/>
    <cellStyle name="Comma 4 2 2 5 2 6" xfId="37175" xr:uid="{919521EB-E612-4060-AEA1-368994CCEE37}"/>
    <cellStyle name="Comma 4 2 2 5 2 7" xfId="18577" xr:uid="{ED1700EF-857F-4670-8C2C-D4017CC158D4}"/>
    <cellStyle name="Comma 4 2 2 5 3" xfId="1126" xr:uid="{00000000-0005-0000-0000-000046080000}"/>
    <cellStyle name="Comma 4 2 2 5 3 2" xfId="3357" xr:uid="{00000000-0005-0000-0000-000047080000}"/>
    <cellStyle name="Comma 4 2 2 5 3 2 2" xfId="7579" xr:uid="{00000000-0005-0000-0000-000048080000}"/>
    <cellStyle name="Comma 4 2 2 5 3 2 2 2" xfId="16905" xr:uid="{D5975DAB-79AA-41F5-BE5A-875D31B9B542}"/>
    <cellStyle name="Comma 4 2 2 5 3 2 2 2 2" xfId="53247" xr:uid="{0999EA8E-9982-44F1-8FBA-6FD943CD408B}"/>
    <cellStyle name="Comma 4 2 2 5 3 2 2 2 3" xfId="34651" xr:uid="{6DEBB2B0-F3FC-4159-8F76-5A8749118D96}"/>
    <cellStyle name="Comma 4 2 2 5 3 2 2 3" xfId="43950" xr:uid="{E056FA6E-8ABC-47E4-B254-3003B1AEC163}"/>
    <cellStyle name="Comma 4 2 2 5 3 2 2 4" xfId="25352" xr:uid="{5522FDAA-0D3C-45F5-8326-7197EC6E90F4}"/>
    <cellStyle name="Comma 4 2 2 5 3 2 3" xfId="12688" xr:uid="{6CF1C5A0-A593-47D8-AB95-B4C947B41634}"/>
    <cellStyle name="Comma 4 2 2 5 3 2 3 2" xfId="49030" xr:uid="{F83764A2-33C1-490F-A656-9937807180E6}"/>
    <cellStyle name="Comma 4 2 2 5 3 2 3 3" xfId="30434" xr:uid="{E55D5957-21DC-4C09-980B-9A2AFEB15A59}"/>
    <cellStyle name="Comma 4 2 2 5 3 2 4" xfId="39733" xr:uid="{C9C80505-E791-47D0-8A05-C7D8A693778D}"/>
    <cellStyle name="Comma 4 2 2 5 3 2 5" xfId="21135" xr:uid="{859C9972-5F3F-4ABC-8F0D-09A282C5DC63}"/>
    <cellStyle name="Comma 4 2 2 5 3 3" xfId="5434" xr:uid="{00000000-0005-0000-0000-000049080000}"/>
    <cellStyle name="Comma 4 2 2 5 3 3 2" xfId="14760" xr:uid="{24BB8572-AAC8-4269-ACF3-C9DFA4BE9056}"/>
    <cellStyle name="Comma 4 2 2 5 3 3 2 2" xfId="51102" xr:uid="{44F058E1-CC68-43D8-9A98-DB8EBB79F2EE}"/>
    <cellStyle name="Comma 4 2 2 5 3 3 2 3" xfId="32506" xr:uid="{6E262BEB-7E38-4701-BB55-A81BD586C0EE}"/>
    <cellStyle name="Comma 4 2 2 5 3 3 3" xfId="41805" xr:uid="{0859EBD1-9DFB-46B8-B2D5-C5C4AF65A950}"/>
    <cellStyle name="Comma 4 2 2 5 3 3 4" xfId="23207" xr:uid="{EC7643DA-02AE-4E60-87E0-20B89E4BBA0A}"/>
    <cellStyle name="Comma 4 2 2 5 3 4" xfId="10543" xr:uid="{35F52E6E-49C6-41C4-8F5B-9851E52ABDC2}"/>
    <cellStyle name="Comma 4 2 2 5 3 4 2" xfId="46885" xr:uid="{797662E5-5182-4FA1-B12F-A26AB32475BF}"/>
    <cellStyle name="Comma 4 2 2 5 3 4 3" xfId="28289" xr:uid="{63B48819-9543-4C24-B498-6E54763734F8}"/>
    <cellStyle name="Comma 4 2 2 5 3 5" xfId="37588" xr:uid="{8E5536B9-F78A-43D4-8E5A-F17B25B019CD}"/>
    <cellStyle name="Comma 4 2 2 5 3 6" xfId="18990" xr:uid="{ABC5BFF4-7AD9-40A3-B43E-F4A54735219D}"/>
    <cellStyle name="Comma 4 2 2 5 4" xfId="1540" xr:uid="{00000000-0005-0000-0000-00004A080000}"/>
    <cellStyle name="Comma 4 2 2 5 4 2" xfId="3770" xr:uid="{00000000-0005-0000-0000-00004B080000}"/>
    <cellStyle name="Comma 4 2 2 5 4 2 2" xfId="7992" xr:uid="{00000000-0005-0000-0000-00004C080000}"/>
    <cellStyle name="Comma 4 2 2 5 4 2 2 2" xfId="17318" xr:uid="{7145A469-732A-40AB-A530-68512D85EFD6}"/>
    <cellStyle name="Comma 4 2 2 5 4 2 2 2 2" xfId="53660" xr:uid="{23F683BD-D178-4B1A-9F9B-DBF4634426D6}"/>
    <cellStyle name="Comma 4 2 2 5 4 2 2 2 3" xfId="35064" xr:uid="{AF5240D0-C9B1-41C2-9CEC-BBDF5E2D3D1A}"/>
    <cellStyle name="Comma 4 2 2 5 4 2 2 3" xfId="44363" xr:uid="{78A2F007-7EA8-4898-8DE9-54870FA62E75}"/>
    <cellStyle name="Comma 4 2 2 5 4 2 2 4" xfId="25765" xr:uid="{22C4612C-3F94-4CB8-86E8-78402483722E}"/>
    <cellStyle name="Comma 4 2 2 5 4 2 3" xfId="13101" xr:uid="{D8CE1908-C504-4D4A-A6FC-AEA0B124B275}"/>
    <cellStyle name="Comma 4 2 2 5 4 2 3 2" xfId="49443" xr:uid="{3BE9BDA6-5EAC-48BD-8600-BA0963669B3E}"/>
    <cellStyle name="Comma 4 2 2 5 4 2 3 3" xfId="30847" xr:uid="{38F6A47C-521F-4DD6-AF1E-2550AE5BCC7E}"/>
    <cellStyle name="Comma 4 2 2 5 4 2 4" xfId="40146" xr:uid="{404FB965-F91A-4675-A5B1-387DA9F9BEB4}"/>
    <cellStyle name="Comma 4 2 2 5 4 2 5" xfId="21548" xr:uid="{D7611E0D-2093-4BBD-B8C1-780EE39A613B}"/>
    <cellStyle name="Comma 4 2 2 5 4 3" xfId="5847" xr:uid="{00000000-0005-0000-0000-00004D080000}"/>
    <cellStyle name="Comma 4 2 2 5 4 3 2" xfId="15173" xr:uid="{E1C17CE8-C727-4CF7-853A-7F92AB4A7994}"/>
    <cellStyle name="Comma 4 2 2 5 4 3 2 2" xfId="51515" xr:uid="{EAFB24A7-7240-44F1-8A2D-841CC0926B7F}"/>
    <cellStyle name="Comma 4 2 2 5 4 3 2 3" xfId="32919" xr:uid="{2A5883F5-FEDE-4C3F-878C-9695FBAE28C6}"/>
    <cellStyle name="Comma 4 2 2 5 4 3 3" xfId="42218" xr:uid="{4D32D89F-A5E9-4B3F-B498-7002EABA31A9}"/>
    <cellStyle name="Comma 4 2 2 5 4 3 4" xfId="23620" xr:uid="{2A2F2682-5CC7-4E0A-AC66-D4B8DE14412D}"/>
    <cellStyle name="Comma 4 2 2 5 4 4" xfId="10956" xr:uid="{F265A693-539F-4B13-AE1D-A6EFB61092DC}"/>
    <cellStyle name="Comma 4 2 2 5 4 4 2" xfId="47298" xr:uid="{DD3F7673-4B6F-4FFC-9424-ADEFEC7AF635}"/>
    <cellStyle name="Comma 4 2 2 5 4 4 3" xfId="28702" xr:uid="{7FE7A283-A5A0-4EB2-B1F5-CC5C0762CE1E}"/>
    <cellStyle name="Comma 4 2 2 5 4 5" xfId="38001" xr:uid="{DA3FB44C-9335-42DE-9133-FCB77B9C2EAD}"/>
    <cellStyle name="Comma 4 2 2 5 4 6" xfId="19403" xr:uid="{8B2A4E6A-468C-4A05-B898-D96E66666E41}"/>
    <cellStyle name="Comma 4 2 2 5 5" xfId="1954" xr:uid="{00000000-0005-0000-0000-00004E080000}"/>
    <cellStyle name="Comma 4 2 2 5 5 2" xfId="4183" xr:uid="{00000000-0005-0000-0000-00004F080000}"/>
    <cellStyle name="Comma 4 2 2 5 5 2 2" xfId="8405" xr:uid="{00000000-0005-0000-0000-000050080000}"/>
    <cellStyle name="Comma 4 2 2 5 5 2 2 2" xfId="17731" xr:uid="{6DA1C352-A075-499F-8732-23F7E45ECEE8}"/>
    <cellStyle name="Comma 4 2 2 5 5 2 2 2 2" xfId="54073" xr:uid="{475D282C-C372-4414-B1B1-74328422DDF9}"/>
    <cellStyle name="Comma 4 2 2 5 5 2 2 2 3" xfId="35477" xr:uid="{FE6DBCE8-48A7-4C5E-9790-1AFC343834B9}"/>
    <cellStyle name="Comma 4 2 2 5 5 2 2 3" xfId="44776" xr:uid="{CBFD8BA5-6E73-4048-8F55-7618A003EA56}"/>
    <cellStyle name="Comma 4 2 2 5 5 2 2 4" xfId="26178" xr:uid="{BA0B0A84-3942-49E6-BE1C-190DD3EDB15F}"/>
    <cellStyle name="Comma 4 2 2 5 5 2 3" xfId="13514" xr:uid="{E34B7D5F-9811-49FF-A3C4-9B6521BEF9A1}"/>
    <cellStyle name="Comma 4 2 2 5 5 2 3 2" xfId="49856" xr:uid="{1CE5C317-B048-4D23-859D-1B6ADB44D3DE}"/>
    <cellStyle name="Comma 4 2 2 5 5 2 3 3" xfId="31260" xr:uid="{023B91B8-F193-4A87-90ED-B54E03EC9602}"/>
    <cellStyle name="Comma 4 2 2 5 5 2 4" xfId="40559" xr:uid="{D5541FB2-72CB-4B3E-AA9E-7BAFB85BCB5D}"/>
    <cellStyle name="Comma 4 2 2 5 5 2 5" xfId="21961" xr:uid="{77531F5D-E63A-4612-AC47-FC2E9BE70E3E}"/>
    <cellStyle name="Comma 4 2 2 5 5 3" xfId="6260" xr:uid="{00000000-0005-0000-0000-000051080000}"/>
    <cellStyle name="Comma 4 2 2 5 5 3 2" xfId="15586" xr:uid="{A8D4A4FF-16AD-4270-AC3F-989A8DCA792A}"/>
    <cellStyle name="Comma 4 2 2 5 5 3 2 2" xfId="51928" xr:uid="{20C1978B-22CE-4A4B-AFE2-525D925021B3}"/>
    <cellStyle name="Comma 4 2 2 5 5 3 2 3" xfId="33332" xr:uid="{C718DB7C-13C4-4B35-8E6F-D25DC1DC3CB8}"/>
    <cellStyle name="Comma 4 2 2 5 5 3 3" xfId="42631" xr:uid="{E61081EC-4455-4CCD-8C96-BD99505F0FCE}"/>
    <cellStyle name="Comma 4 2 2 5 5 3 4" xfId="24033" xr:uid="{2FF29B4A-23AD-4B89-9668-88DBEA068DE5}"/>
    <cellStyle name="Comma 4 2 2 5 5 4" xfId="11369" xr:uid="{E4FA518E-BBC1-4877-94BF-9832921AF79B}"/>
    <cellStyle name="Comma 4 2 2 5 5 4 2" xfId="47711" xr:uid="{39DAF0F6-E3D9-4012-89FE-A3759417EC0A}"/>
    <cellStyle name="Comma 4 2 2 5 5 4 3" xfId="29115" xr:uid="{7126B165-365C-4627-B2A7-EA4857D443AB}"/>
    <cellStyle name="Comma 4 2 2 5 5 5" xfId="38414" xr:uid="{A2BA41B8-7F5C-4E80-97A0-F92F6C2CC47C}"/>
    <cellStyle name="Comma 4 2 2 5 5 6" xfId="19816" xr:uid="{8F340773-4F6B-48F2-9B9E-313326A452F4}"/>
    <cellStyle name="Comma 4 2 2 5 6" xfId="2389" xr:uid="{00000000-0005-0000-0000-000052080000}"/>
    <cellStyle name="Comma 4 2 2 5 6 2" xfId="6673" xr:uid="{00000000-0005-0000-0000-000053080000}"/>
    <cellStyle name="Comma 4 2 2 5 6 2 2" xfId="15999" xr:uid="{79040C99-6A9B-445D-B906-8AD16DE31751}"/>
    <cellStyle name="Comma 4 2 2 5 6 2 2 2" xfId="52341" xr:uid="{A89692E0-E40C-4586-9D48-2C5CF1D268D8}"/>
    <cellStyle name="Comma 4 2 2 5 6 2 2 3" xfId="33745" xr:uid="{0B0CD410-CB03-467E-9269-D9178A7DB5C3}"/>
    <cellStyle name="Comma 4 2 2 5 6 2 3" xfId="43044" xr:uid="{0E343823-4039-47B6-A0B2-13F64CF99969}"/>
    <cellStyle name="Comma 4 2 2 5 6 2 4" xfId="24446" xr:uid="{A8BF120F-F1D1-438A-9EB0-B1227EAE3D84}"/>
    <cellStyle name="Comma 4 2 2 5 6 3" xfId="11782" xr:uid="{569734AA-3A1E-49E0-BC78-56FAF8854E51}"/>
    <cellStyle name="Comma 4 2 2 5 6 3 2" xfId="48124" xr:uid="{C82D0120-4ADD-4E17-9D28-5CC309F1BB44}"/>
    <cellStyle name="Comma 4 2 2 5 6 3 3" xfId="29528" xr:uid="{A7BA8B4B-4CBD-4503-9758-60603DB88AA0}"/>
    <cellStyle name="Comma 4 2 2 5 6 4" xfId="38827" xr:uid="{68359CE4-5CA6-4D4C-AB19-E351BD10A207}"/>
    <cellStyle name="Comma 4 2 2 5 6 5" xfId="20229" xr:uid="{9BBDB897-AAA4-48F7-9F6D-AC0D655B107C}"/>
    <cellStyle name="Comma 4 2 2 5 7" xfId="2374" xr:uid="{00000000-0005-0000-0000-000054080000}"/>
    <cellStyle name="Comma 4 2 2 5 8" xfId="2767" xr:uid="{00000000-0005-0000-0000-000055080000}"/>
    <cellStyle name="Comma 4 2 2 5 8 2" xfId="6990" xr:uid="{00000000-0005-0000-0000-000056080000}"/>
    <cellStyle name="Comma 4 2 2 5 8 2 2" xfId="16316" xr:uid="{888C2083-D29E-4925-B38C-E7F0B0AE25DD}"/>
    <cellStyle name="Comma 4 2 2 5 8 2 2 2" xfId="52658" xr:uid="{07C07D13-7E50-4EE0-959A-D522C1BE4262}"/>
    <cellStyle name="Comma 4 2 2 5 8 2 2 3" xfId="34062" xr:uid="{FC80F3CC-0B1D-416B-9A50-695360526B6A}"/>
    <cellStyle name="Comma 4 2 2 5 8 2 3" xfId="43361" xr:uid="{F66AE6C5-03F8-4FB1-840E-B2881657D370}"/>
    <cellStyle name="Comma 4 2 2 5 8 2 4" xfId="24763" xr:uid="{B6A45215-6A86-4718-924A-2ACC47DEA7ED}"/>
    <cellStyle name="Comma 4 2 2 5 8 3" xfId="12099" xr:uid="{99FB12AA-BB6E-45E7-A03B-CAF618B02029}"/>
    <cellStyle name="Comma 4 2 2 5 8 3 2" xfId="48441" xr:uid="{A7AEAC28-8F2A-433E-8336-6E42617574E4}"/>
    <cellStyle name="Comma 4 2 2 5 8 3 3" xfId="29845" xr:uid="{3F55E396-A47B-4251-8856-786AFC8D7C01}"/>
    <cellStyle name="Comma 4 2 2 5 8 4" xfId="39144" xr:uid="{8CB94B2B-4552-434C-91F9-7485E3E48832}"/>
    <cellStyle name="Comma 4 2 2 5 8 5" xfId="20546" xr:uid="{82EA0BC9-9A0E-46DC-8DAD-15958D33750C}"/>
    <cellStyle name="Comma 4 2 2 5 9" xfId="4607" xr:uid="{00000000-0005-0000-0000-000057080000}"/>
    <cellStyle name="Comma 4 2 2 5 9 2" xfId="13933" xr:uid="{BC47A1B7-AEAE-42D2-A007-0066C90E5CDC}"/>
    <cellStyle name="Comma 4 2 2 5 9 2 2" xfId="50275" xr:uid="{14DDC871-3DAC-4AD6-966B-3FB366AA5361}"/>
    <cellStyle name="Comma 4 2 2 5 9 2 3" xfId="31679" xr:uid="{2E23BE7B-0990-421C-A1E9-5FF6BE32C08C}"/>
    <cellStyle name="Comma 4 2 2 5 9 3" xfId="40978" xr:uid="{CBAACFAC-BB02-4B1A-BA24-6E1EFB612A90}"/>
    <cellStyle name="Comma 4 2 2 5 9 4" xfId="22380" xr:uid="{C6DAA728-2D2D-4943-B459-D96C5AB97E7A}"/>
    <cellStyle name="Comma 4 2 2 6" xfId="9228" xr:uid="{49D8FCED-23A7-48B2-8D10-F90787B2F62D}"/>
    <cellStyle name="Comma 4 2 2 7" xfId="8786" xr:uid="{8FDBE9F4-5F27-4B1B-A262-D62BF874EF16}"/>
    <cellStyle name="Comma 4 2 2 7 2" xfId="35856" xr:uid="{9CF8EFAB-409D-4BB1-A693-1058C0DE9F25}"/>
    <cellStyle name="Comma 4 2 2 7 2 2" xfId="54451" xr:uid="{09AE9EBF-D0E6-4623-BFD0-5F64904450EE}"/>
    <cellStyle name="Comma 4 2 2 7 3" xfId="45154" xr:uid="{D9F1CED9-6780-4380-837D-815B213FF3F2}"/>
    <cellStyle name="Comma 4 2 2 7 4" xfId="26557" xr:uid="{1A875934-5F8C-46D6-80F6-E1B6D9515AF3}"/>
    <cellStyle name="Comma 4 2 3" xfId="136" xr:uid="{00000000-0005-0000-0000-000058080000}"/>
    <cellStyle name="Comma 4 2 3 10" xfId="2768" xr:uid="{00000000-0005-0000-0000-000059080000}"/>
    <cellStyle name="Comma 4 2 3 10 2" xfId="6991" xr:uid="{00000000-0005-0000-0000-00005A080000}"/>
    <cellStyle name="Comma 4 2 3 10 2 2" xfId="16317" xr:uid="{91D05897-600D-4563-8234-CD52BC62FB63}"/>
    <cellStyle name="Comma 4 2 3 10 2 2 2" xfId="52659" xr:uid="{21218F95-2C6C-42B5-A11D-666FA12E2584}"/>
    <cellStyle name="Comma 4 2 3 10 2 2 3" xfId="34063" xr:uid="{132BFDAF-D12A-4BD9-A1D1-BCE0C2948704}"/>
    <cellStyle name="Comma 4 2 3 10 2 3" xfId="43362" xr:uid="{5838074D-258E-49C4-84DD-0CE5B166AE15}"/>
    <cellStyle name="Comma 4 2 3 10 2 4" xfId="24764" xr:uid="{547C56C8-4ABB-4871-B173-93C7DD0A8BA7}"/>
    <cellStyle name="Comma 4 2 3 10 3" xfId="12100" xr:uid="{C0429908-3370-4A63-BF07-7160A2C98A3B}"/>
    <cellStyle name="Comma 4 2 3 10 3 2" xfId="48442" xr:uid="{CA62B090-3930-4251-9B71-D21978D9B913}"/>
    <cellStyle name="Comma 4 2 3 10 3 3" xfId="29846" xr:uid="{B455ECF2-E9F7-4B79-B556-108C37ABEA9E}"/>
    <cellStyle name="Comma 4 2 3 10 4" xfId="39145" xr:uid="{1A05672D-AD0E-4EE5-A32A-346A8F79BCC7}"/>
    <cellStyle name="Comma 4 2 3 10 5" xfId="20547" xr:uid="{CA637351-0A59-4564-BF93-0339C72AC405}"/>
    <cellStyle name="Comma 4 2 3 11" xfId="4608" xr:uid="{00000000-0005-0000-0000-00005B080000}"/>
    <cellStyle name="Comma 4 2 3 11 2" xfId="13934" xr:uid="{472B32C0-0670-4958-A435-FF9417E57BC5}"/>
    <cellStyle name="Comma 4 2 3 11 2 2" xfId="50276" xr:uid="{4533C321-8242-42A0-9DE1-30E9410D77C8}"/>
    <cellStyle name="Comma 4 2 3 11 2 3" xfId="31680" xr:uid="{558E2E8C-1D03-4F4A-B2E0-C180AC12DFD5}"/>
    <cellStyle name="Comma 4 2 3 11 3" xfId="40979" xr:uid="{0BDBD20C-BE44-4867-9197-C680FC3D08D6}"/>
    <cellStyle name="Comma 4 2 3 11 4" xfId="22381" xr:uid="{55A3BD99-470E-431B-814B-13E34BB2BA57}"/>
    <cellStyle name="Comma 4 2 3 12" xfId="8805" xr:uid="{C45527F6-07B7-4887-BAF3-A6424444BA3B}"/>
    <cellStyle name="Comma 4 2 3 12 2" xfId="35875" xr:uid="{1AD0B00E-4BCA-42A2-B326-DC57414A9320}"/>
    <cellStyle name="Comma 4 2 3 12 2 2" xfId="54470" xr:uid="{D60866D9-C5B5-40C6-9166-D956136AC9E2}"/>
    <cellStyle name="Comma 4 2 3 12 3" xfId="45173" xr:uid="{77C0E360-639B-4188-BE4D-E49131E3905A}"/>
    <cellStyle name="Comma 4 2 3 12 4" xfId="26576" xr:uid="{A746C0E2-8E23-4FB7-AAB2-F81910239D2C}"/>
    <cellStyle name="Comma 4 2 3 13" xfId="9717" xr:uid="{4EDE9400-3614-425F-9530-05531BDBF083}"/>
    <cellStyle name="Comma 4 2 3 13 2" xfId="46059" xr:uid="{9674E27D-8968-4AC2-9999-6DAA867DD178}"/>
    <cellStyle name="Comma 4 2 3 13 3" xfId="27463" xr:uid="{D538537A-A8CA-4FD7-AA76-F75B8AA8F043}"/>
    <cellStyle name="Comma 4 2 3 14" xfId="36762" xr:uid="{C4453CA0-E3CA-427F-A2D0-A25B8E4E65BD}"/>
    <cellStyle name="Comma 4 2 3 15" xfId="18164" xr:uid="{0AEF68DC-6CBE-4AC6-91E2-192D3AE751E4}"/>
    <cellStyle name="Comma 4 2 3 2" xfId="137" xr:uid="{00000000-0005-0000-0000-00005C080000}"/>
    <cellStyle name="Comma 4 2 3 2 10" xfId="4609" xr:uid="{00000000-0005-0000-0000-00005D080000}"/>
    <cellStyle name="Comma 4 2 3 2 10 2" xfId="13935" xr:uid="{4527CC15-305C-497D-B0A3-CE2ADCF41F19}"/>
    <cellStyle name="Comma 4 2 3 2 10 2 2" xfId="50277" xr:uid="{6DE84340-5F11-4C9D-87CA-582402299700}"/>
    <cellStyle name="Comma 4 2 3 2 10 2 3" xfId="31681" xr:uid="{2ECEFD30-DC4F-41C9-8483-F68D0F85CC64}"/>
    <cellStyle name="Comma 4 2 3 2 10 3" xfId="40980" xr:uid="{FE4BE011-72EB-4B1D-8D3E-A558EF0B48E2}"/>
    <cellStyle name="Comma 4 2 3 2 10 4" xfId="22382" xr:uid="{8319FB69-4BC9-48CF-993D-3EBE1AEFDA9C}"/>
    <cellStyle name="Comma 4 2 3 2 11" xfId="8908" xr:uid="{E7021C11-E6EB-4392-A0AD-2A78F42B4BB7}"/>
    <cellStyle name="Comma 4 2 3 2 11 2" xfId="35978" xr:uid="{EAEF87D3-DCE8-4A98-AD25-77F1F48C2761}"/>
    <cellStyle name="Comma 4 2 3 2 11 2 2" xfId="54573" xr:uid="{2DF5575F-D8EF-430D-9F7D-999C16B0784F}"/>
    <cellStyle name="Comma 4 2 3 2 11 3" xfId="45276" xr:uid="{B392C215-1C8B-4897-B129-67F06FA0EF38}"/>
    <cellStyle name="Comma 4 2 3 2 11 4" xfId="26679" xr:uid="{15F4A4BE-4C29-483A-BFE0-8AD84F372489}"/>
    <cellStyle name="Comma 4 2 3 2 12" xfId="9718" xr:uid="{9408A2FD-C0FE-4712-BBB1-224B74B2D895}"/>
    <cellStyle name="Comma 4 2 3 2 12 2" xfId="46060" xr:uid="{41727FCC-0783-493B-B3E1-36099DB1A025}"/>
    <cellStyle name="Comma 4 2 3 2 12 3" xfId="27464" xr:uid="{F4A1587F-C9D5-4FD3-ACCE-07B593E7A9E2}"/>
    <cellStyle name="Comma 4 2 3 2 13" xfId="36763" xr:uid="{009BD4DC-C217-4524-B2BD-B30116300B8C}"/>
    <cellStyle name="Comma 4 2 3 2 14" xfId="18165" xr:uid="{B2FE3DF6-9CCF-478A-B6F5-00091C58CE50}"/>
    <cellStyle name="Comma 4 2 3 2 2" xfId="138" xr:uid="{00000000-0005-0000-0000-00005E080000}"/>
    <cellStyle name="Comma 4 2 3 2 2 10" xfId="9115" xr:uid="{1A31CCC4-B2C0-4E0C-B714-855521500FE8}"/>
    <cellStyle name="Comma 4 2 3 2 2 10 2" xfId="36185" xr:uid="{C52D6E6E-7F18-4FA3-8485-0BE53A04E4B2}"/>
    <cellStyle name="Comma 4 2 3 2 2 10 2 2" xfId="54780" xr:uid="{1EB134B6-6F7B-447F-B69C-A43E8186E332}"/>
    <cellStyle name="Comma 4 2 3 2 2 10 3" xfId="45483" xr:uid="{C1EA5FC2-8FFF-4B8C-A5D5-8332464C1074}"/>
    <cellStyle name="Comma 4 2 3 2 2 10 4" xfId="26886" xr:uid="{F14644E2-0097-465D-BCC3-94E287DA03E0}"/>
    <cellStyle name="Comma 4 2 3 2 2 11" xfId="9719" xr:uid="{95F5DB30-E85D-4A13-A7A4-1CF56FE189EA}"/>
    <cellStyle name="Comma 4 2 3 2 2 11 2" xfId="46061" xr:uid="{EBBF3D3D-7E80-4079-9977-D1142D7042CA}"/>
    <cellStyle name="Comma 4 2 3 2 2 11 3" xfId="27465" xr:uid="{A2C122EA-06F1-4B49-876E-FC80A2571D55}"/>
    <cellStyle name="Comma 4 2 3 2 2 12" xfId="36764" xr:uid="{A7C1D52F-8366-4A0F-8644-6F2C206A7682}"/>
    <cellStyle name="Comma 4 2 3 2 2 13" xfId="18166" xr:uid="{69926DF4-02F3-4A01-8C26-92D1E7B15508}"/>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16495" xr:uid="{A567A660-B2A7-496A-A1CF-7EC9ABFE8FD4}"/>
    <cellStyle name="Comma 4 2 3 2 2 2 2 2 2 2" xfId="52837" xr:uid="{E4CEB26A-CBA7-483F-8A16-046479BA565F}"/>
    <cellStyle name="Comma 4 2 3 2 2 2 2 2 2 3" xfId="34241" xr:uid="{571106FF-5004-4E82-B00A-A2AA8CC97139}"/>
    <cellStyle name="Comma 4 2 3 2 2 2 2 2 3" xfId="43540" xr:uid="{CF9EE9B4-B528-4562-9C35-1F03E2695754}"/>
    <cellStyle name="Comma 4 2 3 2 2 2 2 2 4" xfId="24942" xr:uid="{7C0D5C98-EBC7-4CE7-A05A-6EF3243D4066}"/>
    <cellStyle name="Comma 4 2 3 2 2 2 2 3" xfId="12278" xr:uid="{667F2EA9-0FDA-47FD-8C29-3647DD314550}"/>
    <cellStyle name="Comma 4 2 3 2 2 2 2 3 2" xfId="48620" xr:uid="{8D7D56B1-7AB5-4757-B367-119B60AC1E9D}"/>
    <cellStyle name="Comma 4 2 3 2 2 2 2 3 3" xfId="30024" xr:uid="{F2288BB4-9DBD-4DAF-B01C-E0F771E30AC0}"/>
    <cellStyle name="Comma 4 2 3 2 2 2 2 4" xfId="39323" xr:uid="{83A338CC-1FE3-4AB7-BB75-029417BAD720}"/>
    <cellStyle name="Comma 4 2 3 2 2 2 2 5" xfId="20725" xr:uid="{3609B1A9-B7C6-46A6-A362-688449A705A2}"/>
    <cellStyle name="Comma 4 2 3 2 2 2 3" xfId="5024" xr:uid="{00000000-0005-0000-0000-000062080000}"/>
    <cellStyle name="Comma 4 2 3 2 2 2 3 2" xfId="14350" xr:uid="{94DD031E-43C3-4A16-AAB6-38E8DEBF06B0}"/>
    <cellStyle name="Comma 4 2 3 2 2 2 3 2 2" xfId="50692" xr:uid="{ADA0CA82-43BC-4CA4-B791-09DFF202BBA6}"/>
    <cellStyle name="Comma 4 2 3 2 2 2 3 2 3" xfId="32096" xr:uid="{C76B6743-C838-463F-9779-62A537218AA8}"/>
    <cellStyle name="Comma 4 2 3 2 2 2 3 3" xfId="41395" xr:uid="{80C8ECCF-F26F-4692-8BD6-DF00B5559C5E}"/>
    <cellStyle name="Comma 4 2 3 2 2 2 3 4" xfId="22797" xr:uid="{00393EA8-0712-432D-8B53-FA40BD2CBD8B}"/>
    <cellStyle name="Comma 4 2 3 2 2 2 4" xfId="9540" xr:uid="{F922DD27-FEAE-4DB6-894F-26CD58815668}"/>
    <cellStyle name="Comma 4 2 3 2 2 2 4 2" xfId="36601" xr:uid="{6F6D37CC-9448-40B5-A278-E49471B5E484}"/>
    <cellStyle name="Comma 4 2 3 2 2 2 4 2 2" xfId="55195" xr:uid="{A1915576-A369-4ADD-A0A5-AC3AB54AAB48}"/>
    <cellStyle name="Comma 4 2 3 2 2 2 4 3" xfId="45898" xr:uid="{709E255D-EBB6-41BC-806D-8E63C2CC2041}"/>
    <cellStyle name="Comma 4 2 3 2 2 2 4 4" xfId="27302" xr:uid="{E2E23F38-F82C-4BFB-9CAB-0FF50D247E2B}"/>
    <cellStyle name="Comma 4 2 3 2 2 2 5" xfId="10133" xr:uid="{3ADB84E4-F5CE-4177-9254-8ED1581E0E8B}"/>
    <cellStyle name="Comma 4 2 3 2 2 2 5 2" xfId="46475" xr:uid="{E326F7EA-0323-4F30-B0F8-EDAF9FEE9A10}"/>
    <cellStyle name="Comma 4 2 3 2 2 2 5 3" xfId="27879" xr:uid="{5B489A5D-A0BA-4921-875B-B8256A62FC07}"/>
    <cellStyle name="Comma 4 2 3 2 2 2 6" xfId="37178" xr:uid="{EEDD387D-109E-4908-8E91-9847D5009EA9}"/>
    <cellStyle name="Comma 4 2 3 2 2 2 7" xfId="18580" xr:uid="{2385B8D0-CEBD-4321-9F86-BE3CB56FD4F0}"/>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16908" xr:uid="{096F0437-26C7-4ED9-A489-74B4C703B84D}"/>
    <cellStyle name="Comma 4 2 3 2 2 3 2 2 2 2" xfId="53250" xr:uid="{DB468133-B46E-4F31-89BB-DD5B92FEBD81}"/>
    <cellStyle name="Comma 4 2 3 2 2 3 2 2 2 3" xfId="34654" xr:uid="{8FD054C9-D1E5-4723-817F-586CD24B4DE6}"/>
    <cellStyle name="Comma 4 2 3 2 2 3 2 2 3" xfId="43953" xr:uid="{4D8D4641-A3B0-4085-8051-9CC8B9A972EB}"/>
    <cellStyle name="Comma 4 2 3 2 2 3 2 2 4" xfId="25355" xr:uid="{642C4F28-8798-4949-B832-7D1F1053F3F8}"/>
    <cellStyle name="Comma 4 2 3 2 2 3 2 3" xfId="12691" xr:uid="{CF670A6B-2CF3-465D-B8A1-0FC305A19D25}"/>
    <cellStyle name="Comma 4 2 3 2 2 3 2 3 2" xfId="49033" xr:uid="{0650C2A8-E377-4576-BA55-C34FBA1C3092}"/>
    <cellStyle name="Comma 4 2 3 2 2 3 2 3 3" xfId="30437" xr:uid="{FAEFA158-2D6B-4462-9FAF-7FD1B99B6452}"/>
    <cellStyle name="Comma 4 2 3 2 2 3 2 4" xfId="39736" xr:uid="{5E7DEB98-0373-4742-9612-F3C7EA3FE82E}"/>
    <cellStyle name="Comma 4 2 3 2 2 3 2 5" xfId="21138" xr:uid="{23D93F34-651E-4A93-A55F-4629AFC64B00}"/>
    <cellStyle name="Comma 4 2 3 2 2 3 3" xfId="5437" xr:uid="{00000000-0005-0000-0000-000066080000}"/>
    <cellStyle name="Comma 4 2 3 2 2 3 3 2" xfId="14763" xr:uid="{B06A4365-B52B-488F-B240-28A595092034}"/>
    <cellStyle name="Comma 4 2 3 2 2 3 3 2 2" xfId="51105" xr:uid="{581DB645-7046-4A8E-9265-4B2E2CF67F3B}"/>
    <cellStyle name="Comma 4 2 3 2 2 3 3 2 3" xfId="32509" xr:uid="{6BB5CDE8-1823-42A8-BD0A-A07B474F8AA8}"/>
    <cellStyle name="Comma 4 2 3 2 2 3 3 3" xfId="41808" xr:uid="{4E745E49-131D-403B-B739-0082186C3FF7}"/>
    <cellStyle name="Comma 4 2 3 2 2 3 3 4" xfId="23210" xr:uid="{6EE2BDFA-1C19-488F-AC9F-ED24E1470A5D}"/>
    <cellStyle name="Comma 4 2 3 2 2 3 4" xfId="10546" xr:uid="{2479272F-07AF-48FE-B22A-CD3FAE6BD72F}"/>
    <cellStyle name="Comma 4 2 3 2 2 3 4 2" xfId="46888" xr:uid="{8152135F-33F9-47AD-98B3-F821CD72D88D}"/>
    <cellStyle name="Comma 4 2 3 2 2 3 4 3" xfId="28292" xr:uid="{D66592F7-E3D9-47F1-A01F-A75B79BAF505}"/>
    <cellStyle name="Comma 4 2 3 2 2 3 5" xfId="37591" xr:uid="{2AA1987B-0E09-4208-A5D3-5BB0760E9AB3}"/>
    <cellStyle name="Comma 4 2 3 2 2 3 6" xfId="18993" xr:uid="{165C3691-4AE6-47E4-AFDB-20E32819B9D0}"/>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17321" xr:uid="{2B76B92F-1D4C-4A8C-B907-30AED59B3076}"/>
    <cellStyle name="Comma 4 2 3 2 2 4 2 2 2 2" xfId="53663" xr:uid="{84D6C331-5343-4AA9-94F7-D5BEAA382057}"/>
    <cellStyle name="Comma 4 2 3 2 2 4 2 2 2 3" xfId="35067" xr:uid="{18E1A1E6-9186-41B0-A9FE-9F59AABC53FE}"/>
    <cellStyle name="Comma 4 2 3 2 2 4 2 2 3" xfId="44366" xr:uid="{FBC35A16-8A66-443A-885E-B1A60E996CB6}"/>
    <cellStyle name="Comma 4 2 3 2 2 4 2 2 4" xfId="25768" xr:uid="{73ABEE62-A0D3-449B-811A-42BB48EB216C}"/>
    <cellStyle name="Comma 4 2 3 2 2 4 2 3" xfId="13104" xr:uid="{9D5328A3-EB73-4426-9C0A-6C0E80095BCE}"/>
    <cellStyle name="Comma 4 2 3 2 2 4 2 3 2" xfId="49446" xr:uid="{4BCC340A-B035-41F2-AC34-3735C1124538}"/>
    <cellStyle name="Comma 4 2 3 2 2 4 2 3 3" xfId="30850" xr:uid="{33350F9B-73D5-4656-ACD1-505F8D545CC7}"/>
    <cellStyle name="Comma 4 2 3 2 2 4 2 4" xfId="40149" xr:uid="{44DE72DD-5E1E-49BD-B33D-35B7B380A346}"/>
    <cellStyle name="Comma 4 2 3 2 2 4 2 5" xfId="21551" xr:uid="{0847D740-845B-4818-936D-BE877CCE1A83}"/>
    <cellStyle name="Comma 4 2 3 2 2 4 3" xfId="5850" xr:uid="{00000000-0005-0000-0000-00006A080000}"/>
    <cellStyle name="Comma 4 2 3 2 2 4 3 2" xfId="15176" xr:uid="{F2197932-6A73-47E0-A863-5D7F9B0BD20F}"/>
    <cellStyle name="Comma 4 2 3 2 2 4 3 2 2" xfId="51518" xr:uid="{783B6D1F-FEAB-427E-A2E6-4E6953A99326}"/>
    <cellStyle name="Comma 4 2 3 2 2 4 3 2 3" xfId="32922" xr:uid="{FD598ADA-6029-43E3-BB27-FEE70940352F}"/>
    <cellStyle name="Comma 4 2 3 2 2 4 3 3" xfId="42221" xr:uid="{2EE516E5-E866-4F27-B058-1657BB7F00CD}"/>
    <cellStyle name="Comma 4 2 3 2 2 4 3 4" xfId="23623" xr:uid="{70930516-653B-41F3-8B1E-5F090AF44C69}"/>
    <cellStyle name="Comma 4 2 3 2 2 4 4" xfId="10959" xr:uid="{08D71B2C-3262-44E8-BC4D-E227C3F34910}"/>
    <cellStyle name="Comma 4 2 3 2 2 4 4 2" xfId="47301" xr:uid="{3C288260-9A27-4609-AA72-5F874C785F8C}"/>
    <cellStyle name="Comma 4 2 3 2 2 4 4 3" xfId="28705" xr:uid="{8D914EC0-C21F-4622-B46B-437FB5CC0BC0}"/>
    <cellStyle name="Comma 4 2 3 2 2 4 5" xfId="38004" xr:uid="{76939A0A-70E3-4902-9199-EB0E37F2972F}"/>
    <cellStyle name="Comma 4 2 3 2 2 4 6" xfId="19406" xr:uid="{91456657-D405-492E-9CE6-54BFF73A525F}"/>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17734" xr:uid="{AD3F0AF0-0C65-4B70-B6C2-D2EE7B02FBFE}"/>
    <cellStyle name="Comma 4 2 3 2 2 5 2 2 2 2" xfId="54076" xr:uid="{C5DA4F97-87A9-49FB-A678-F6441DE7BB52}"/>
    <cellStyle name="Comma 4 2 3 2 2 5 2 2 2 3" xfId="35480" xr:uid="{DFFFB126-7360-4362-85E1-0D94D83D6B98}"/>
    <cellStyle name="Comma 4 2 3 2 2 5 2 2 3" xfId="44779" xr:uid="{20F64BBF-CAF0-473E-B322-EB819CC44D70}"/>
    <cellStyle name="Comma 4 2 3 2 2 5 2 2 4" xfId="26181" xr:uid="{C15F5D6B-AA0A-436F-9C96-2EFBD7DF04B2}"/>
    <cellStyle name="Comma 4 2 3 2 2 5 2 3" xfId="13517" xr:uid="{AE794606-580A-44A2-BAA8-DA7EB50181BE}"/>
    <cellStyle name="Comma 4 2 3 2 2 5 2 3 2" xfId="49859" xr:uid="{23890A27-1FD3-45A0-8A6B-DAE4A7D43E96}"/>
    <cellStyle name="Comma 4 2 3 2 2 5 2 3 3" xfId="31263" xr:uid="{9B372CDB-CF03-4962-A113-D2F285874A3E}"/>
    <cellStyle name="Comma 4 2 3 2 2 5 2 4" xfId="40562" xr:uid="{E713176D-BCBA-46B0-83C0-7054364D3A8D}"/>
    <cellStyle name="Comma 4 2 3 2 2 5 2 5" xfId="21964" xr:uid="{86FE5B2F-9FB4-42B9-AF61-D46E5D59F4B5}"/>
    <cellStyle name="Comma 4 2 3 2 2 5 3" xfId="6263" xr:uid="{00000000-0005-0000-0000-00006E080000}"/>
    <cellStyle name="Comma 4 2 3 2 2 5 3 2" xfId="15589" xr:uid="{9B9F1A95-7BFB-4D81-8C34-E8B0EE6FCFD8}"/>
    <cellStyle name="Comma 4 2 3 2 2 5 3 2 2" xfId="51931" xr:uid="{AC993DAA-64BE-4A7E-9FE6-E5C9B171B36B}"/>
    <cellStyle name="Comma 4 2 3 2 2 5 3 2 3" xfId="33335" xr:uid="{E754310B-2888-4D65-B773-8FB8F9758D6D}"/>
    <cellStyle name="Comma 4 2 3 2 2 5 3 3" xfId="42634" xr:uid="{D35D4CE3-885D-481D-AB53-4A60A5F241FE}"/>
    <cellStyle name="Comma 4 2 3 2 2 5 3 4" xfId="24036" xr:uid="{081B0292-7677-40CC-9B49-D9C9E13BA861}"/>
    <cellStyle name="Comma 4 2 3 2 2 5 4" xfId="11372" xr:uid="{ED1F6BE3-C083-49A6-BA0A-93ED46D10E0B}"/>
    <cellStyle name="Comma 4 2 3 2 2 5 4 2" xfId="47714" xr:uid="{25EE32A9-29C5-45F2-AD45-C944BC3E9086}"/>
    <cellStyle name="Comma 4 2 3 2 2 5 4 3" xfId="29118" xr:uid="{78C26339-2DBD-4CD3-9898-DA5D2D64607D}"/>
    <cellStyle name="Comma 4 2 3 2 2 5 5" xfId="38417" xr:uid="{4A38D607-6CD2-4FE6-B3D2-5E9597171643}"/>
    <cellStyle name="Comma 4 2 3 2 2 5 6" xfId="19819" xr:uid="{3D23A008-3158-42BF-A54C-0365A0A7797E}"/>
    <cellStyle name="Comma 4 2 3 2 2 6" xfId="2392" xr:uid="{00000000-0005-0000-0000-00006F080000}"/>
    <cellStyle name="Comma 4 2 3 2 2 6 2" xfId="6676" xr:uid="{00000000-0005-0000-0000-000070080000}"/>
    <cellStyle name="Comma 4 2 3 2 2 6 2 2" xfId="16002" xr:uid="{1625F066-F41B-4499-9F09-B93887D10386}"/>
    <cellStyle name="Comma 4 2 3 2 2 6 2 2 2" xfId="52344" xr:uid="{04ACF348-E331-4C09-91AB-31547056FCC1}"/>
    <cellStyle name="Comma 4 2 3 2 2 6 2 2 3" xfId="33748" xr:uid="{B155E512-3056-443A-83A6-126440F7C21B}"/>
    <cellStyle name="Comma 4 2 3 2 2 6 2 3" xfId="43047" xr:uid="{F1818CA4-C8FB-4EFB-A755-5A7109F2A32F}"/>
    <cellStyle name="Comma 4 2 3 2 2 6 2 4" xfId="24449" xr:uid="{91F0AFDC-EAA0-4194-9A01-A35491EC6EC9}"/>
    <cellStyle name="Comma 4 2 3 2 2 6 3" xfId="11785" xr:uid="{4CD6B343-3A80-4309-B1C4-F60AD493F14C}"/>
    <cellStyle name="Comma 4 2 3 2 2 6 3 2" xfId="48127" xr:uid="{8E231322-AED9-451C-AA12-A1EDA86B1DFA}"/>
    <cellStyle name="Comma 4 2 3 2 2 6 3 3" xfId="29531" xr:uid="{6D8E3346-8F45-4735-99D3-4CF6F49F7DF5}"/>
    <cellStyle name="Comma 4 2 3 2 2 6 4" xfId="38830" xr:uid="{C18E19E0-A558-4628-9D9A-5DB217B091E4}"/>
    <cellStyle name="Comma 4 2 3 2 2 6 5" xfId="20232" xr:uid="{D20C068E-74B3-447A-88C2-4562D2B2E448}"/>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16319" xr:uid="{80834E3F-B77C-4B7B-A61C-42230208192E}"/>
    <cellStyle name="Comma 4 2 3 2 2 8 2 2 2" xfId="52661" xr:uid="{B04702D1-F0BD-4D80-885E-6AD0B9A47210}"/>
    <cellStyle name="Comma 4 2 3 2 2 8 2 2 3" xfId="34065" xr:uid="{F3CAB35B-D19B-4FCD-99C4-6CE6E0C33749}"/>
    <cellStyle name="Comma 4 2 3 2 2 8 2 3" xfId="43364" xr:uid="{AE4BFF60-EDD1-4EB2-A103-8CAEA4101DCC}"/>
    <cellStyle name="Comma 4 2 3 2 2 8 2 4" xfId="24766" xr:uid="{F2F414C3-B972-4FCD-89E5-637188BACCD3}"/>
    <cellStyle name="Comma 4 2 3 2 2 8 3" xfId="12102" xr:uid="{DB19A32E-6CC3-4989-8C8E-FFD92FBD9D11}"/>
    <cellStyle name="Comma 4 2 3 2 2 8 3 2" xfId="48444" xr:uid="{430ED99C-FA03-4D9E-AE56-986260523E75}"/>
    <cellStyle name="Comma 4 2 3 2 2 8 3 3" xfId="29848" xr:uid="{64A58BF0-7A07-4078-BC98-4DE05E7C2CE3}"/>
    <cellStyle name="Comma 4 2 3 2 2 8 4" xfId="39147" xr:uid="{5919C064-1FBB-4927-9AD4-445ED4CB8AA7}"/>
    <cellStyle name="Comma 4 2 3 2 2 8 5" xfId="20549" xr:uid="{DBBFC0F9-E79C-4F38-B6F6-9FEA00888ACA}"/>
    <cellStyle name="Comma 4 2 3 2 2 9" xfId="4610" xr:uid="{00000000-0005-0000-0000-000074080000}"/>
    <cellStyle name="Comma 4 2 3 2 2 9 2" xfId="13936" xr:uid="{D0301D6E-071E-43B1-B9E8-ED4C8F6C7487}"/>
    <cellStyle name="Comma 4 2 3 2 2 9 2 2" xfId="50278" xr:uid="{8F7A47D6-2159-498F-B9D3-DFD9D0314E46}"/>
    <cellStyle name="Comma 4 2 3 2 2 9 2 3" xfId="31682" xr:uid="{D5FAFA41-9922-429A-9DC8-3742BCA5629A}"/>
    <cellStyle name="Comma 4 2 3 2 2 9 3" xfId="40981" xr:uid="{238244E7-CD12-427B-A381-C1CCC382E288}"/>
    <cellStyle name="Comma 4 2 3 2 2 9 4" xfId="22383" xr:uid="{6744D4FF-FA24-443D-B24A-179DDEDEFA3E}"/>
    <cellStyle name="Comma 4 2 3 2 3" xfId="675" xr:uid="{00000000-0005-0000-0000-000075080000}"/>
    <cellStyle name="Comma 4 2 3 2 3 2" xfId="2946" xr:uid="{00000000-0005-0000-0000-000076080000}"/>
    <cellStyle name="Comma 4 2 3 2 3 2 2" xfId="7168" xr:uid="{00000000-0005-0000-0000-000077080000}"/>
    <cellStyle name="Comma 4 2 3 2 3 2 2 2" xfId="16494" xr:uid="{72E330E4-256E-44CB-8E93-0387DF9E657E}"/>
    <cellStyle name="Comma 4 2 3 2 3 2 2 2 2" xfId="52836" xr:uid="{94C371C1-3053-4F8F-8D82-37DE7ED34A55}"/>
    <cellStyle name="Comma 4 2 3 2 3 2 2 2 3" xfId="34240" xr:uid="{B152896C-8900-46C1-A58D-50A7D00BDA70}"/>
    <cellStyle name="Comma 4 2 3 2 3 2 2 3" xfId="43539" xr:uid="{499D819B-912D-4915-B203-BF7D322CFEBA}"/>
    <cellStyle name="Comma 4 2 3 2 3 2 2 4" xfId="24941" xr:uid="{A8946CDE-B287-471D-9D96-46DFBC0800CD}"/>
    <cellStyle name="Comma 4 2 3 2 3 2 3" xfId="12277" xr:uid="{D2EA373C-398C-4360-AC45-C3F028956EFD}"/>
    <cellStyle name="Comma 4 2 3 2 3 2 3 2" xfId="48619" xr:uid="{15F4A2CE-7556-47AA-BFCD-A93C13CB20E2}"/>
    <cellStyle name="Comma 4 2 3 2 3 2 3 3" xfId="30023" xr:uid="{EC28C538-2DA0-487E-B5C7-169E31A648A9}"/>
    <cellStyle name="Comma 4 2 3 2 3 2 4" xfId="39322" xr:uid="{57A22520-D6B8-4BDC-A136-1B17110F2647}"/>
    <cellStyle name="Comma 4 2 3 2 3 2 5" xfId="20724" xr:uid="{7AA58160-8299-4063-B1A2-2C9B2D18CCB7}"/>
    <cellStyle name="Comma 4 2 3 2 3 3" xfId="5023" xr:uid="{00000000-0005-0000-0000-000078080000}"/>
    <cellStyle name="Comma 4 2 3 2 3 3 2" xfId="14349" xr:uid="{1C516545-3BA0-4DC8-B1B9-20F6A8E40F99}"/>
    <cellStyle name="Comma 4 2 3 2 3 3 2 2" xfId="50691" xr:uid="{B67E23FE-8304-427E-9E8A-01EFBD8B87CB}"/>
    <cellStyle name="Comma 4 2 3 2 3 3 2 3" xfId="32095" xr:uid="{A83FEE5F-ACDC-4FE3-9683-04C99687284E}"/>
    <cellStyle name="Comma 4 2 3 2 3 3 3" xfId="41394" xr:uid="{2A1B0700-8B31-4403-A330-5B39B4748D7C}"/>
    <cellStyle name="Comma 4 2 3 2 3 3 4" xfId="22796" xr:uid="{87AF1CE8-9A85-46D4-B168-1DCAA7EC009A}"/>
    <cellStyle name="Comma 4 2 3 2 3 4" xfId="9333" xr:uid="{5C974796-1B06-4FA8-AB2A-F6B34628ACD4}"/>
    <cellStyle name="Comma 4 2 3 2 3 4 2" xfId="36394" xr:uid="{07FA2ED3-6FD4-4465-A930-8296BC459860}"/>
    <cellStyle name="Comma 4 2 3 2 3 4 2 2" xfId="54988" xr:uid="{01988B82-C120-48F6-9F9F-82A891375D7D}"/>
    <cellStyle name="Comma 4 2 3 2 3 4 3" xfId="45691" xr:uid="{6B89D343-93D1-4834-8B79-4F1A65DD38F4}"/>
    <cellStyle name="Comma 4 2 3 2 3 4 4" xfId="27095" xr:uid="{945EF4AE-12B7-429F-9147-2C6AD516A8A0}"/>
    <cellStyle name="Comma 4 2 3 2 3 5" xfId="10132" xr:uid="{5EAE48A3-4681-444B-8C87-DF5EAAF986DF}"/>
    <cellStyle name="Comma 4 2 3 2 3 5 2" xfId="46474" xr:uid="{1FD33099-47BE-435A-A7A9-74DE94C35B8E}"/>
    <cellStyle name="Comma 4 2 3 2 3 5 3" xfId="27878" xr:uid="{724D18B3-557F-44FA-A027-CD5F8ECFF2A6}"/>
    <cellStyle name="Comma 4 2 3 2 3 6" xfId="37177" xr:uid="{58DD1B24-9B0C-4EF6-AA05-DC8468C64414}"/>
    <cellStyle name="Comma 4 2 3 2 3 7" xfId="18579" xr:uid="{64C2452D-C896-4E58-B29F-980C092F6F59}"/>
    <cellStyle name="Comma 4 2 3 2 4" xfId="1128" xr:uid="{00000000-0005-0000-0000-000079080000}"/>
    <cellStyle name="Comma 4 2 3 2 4 2" xfId="3359" xr:uid="{00000000-0005-0000-0000-00007A080000}"/>
    <cellStyle name="Comma 4 2 3 2 4 2 2" xfId="7581" xr:uid="{00000000-0005-0000-0000-00007B080000}"/>
    <cellStyle name="Comma 4 2 3 2 4 2 2 2" xfId="16907" xr:uid="{9505854A-B502-4749-9C46-04920C16F750}"/>
    <cellStyle name="Comma 4 2 3 2 4 2 2 2 2" xfId="53249" xr:uid="{6A2A84C7-5CD5-4325-8E49-F3863115DF0D}"/>
    <cellStyle name="Comma 4 2 3 2 4 2 2 2 3" xfId="34653" xr:uid="{1D6B467D-FC7F-4F80-9C9E-76809DBC5D9F}"/>
    <cellStyle name="Comma 4 2 3 2 4 2 2 3" xfId="43952" xr:uid="{2E03D80B-2B49-4755-AE5D-D3DB5C5F1EF1}"/>
    <cellStyle name="Comma 4 2 3 2 4 2 2 4" xfId="25354" xr:uid="{A693C2D5-C251-4E90-9E1E-3DAE1A6D3CF6}"/>
    <cellStyle name="Comma 4 2 3 2 4 2 3" xfId="12690" xr:uid="{7FF71933-DC24-445F-AF2D-3FC7DECB27F8}"/>
    <cellStyle name="Comma 4 2 3 2 4 2 3 2" xfId="49032" xr:uid="{7D9522C2-2A8E-40EA-B5DB-354EAE663FB6}"/>
    <cellStyle name="Comma 4 2 3 2 4 2 3 3" xfId="30436" xr:uid="{4F34B742-8B24-4097-82A6-21CD44A539CC}"/>
    <cellStyle name="Comma 4 2 3 2 4 2 4" xfId="39735" xr:uid="{523BD833-D000-4694-BAC2-B837C215D381}"/>
    <cellStyle name="Comma 4 2 3 2 4 2 5" xfId="21137" xr:uid="{4740B05E-280B-4E02-A6BD-CD92CE867DED}"/>
    <cellStyle name="Comma 4 2 3 2 4 3" xfId="5436" xr:uid="{00000000-0005-0000-0000-00007C080000}"/>
    <cellStyle name="Comma 4 2 3 2 4 3 2" xfId="14762" xr:uid="{9C95E68A-E83F-4F53-93AE-ABC858F4276A}"/>
    <cellStyle name="Comma 4 2 3 2 4 3 2 2" xfId="51104" xr:uid="{89551D01-7858-4ABA-8DAC-E6890F33A308}"/>
    <cellStyle name="Comma 4 2 3 2 4 3 2 3" xfId="32508" xr:uid="{0A755688-86E6-4122-A39D-21377C41F43D}"/>
    <cellStyle name="Comma 4 2 3 2 4 3 3" xfId="41807" xr:uid="{BB5A952F-B8E4-45A3-AC95-36A9BA96B1F5}"/>
    <cellStyle name="Comma 4 2 3 2 4 3 4" xfId="23209" xr:uid="{68A68986-8704-41BA-A216-6D4892E456F8}"/>
    <cellStyle name="Comma 4 2 3 2 4 4" xfId="10545" xr:uid="{2632C2C8-17A6-40F4-8657-4E65BA50AAFF}"/>
    <cellStyle name="Comma 4 2 3 2 4 4 2" xfId="46887" xr:uid="{1E690E2E-EC85-44DC-8010-8A1F4B063373}"/>
    <cellStyle name="Comma 4 2 3 2 4 4 3" xfId="28291" xr:uid="{39C7BB68-C879-4A5A-BAB0-8F17011EA306}"/>
    <cellStyle name="Comma 4 2 3 2 4 5" xfId="37590" xr:uid="{91FBA0E6-2573-4729-8D6C-B4A5E6D86C97}"/>
    <cellStyle name="Comma 4 2 3 2 4 6" xfId="18992" xr:uid="{C14ABCE8-4963-47F0-AA99-1C30E2026F20}"/>
    <cellStyle name="Comma 4 2 3 2 5" xfId="1542" xr:uid="{00000000-0005-0000-0000-00007D080000}"/>
    <cellStyle name="Comma 4 2 3 2 5 2" xfId="3772" xr:uid="{00000000-0005-0000-0000-00007E080000}"/>
    <cellStyle name="Comma 4 2 3 2 5 2 2" xfId="7994" xr:uid="{00000000-0005-0000-0000-00007F080000}"/>
    <cellStyle name="Comma 4 2 3 2 5 2 2 2" xfId="17320" xr:uid="{49232AFC-75C6-48E3-BF1D-DAE896F42CB8}"/>
    <cellStyle name="Comma 4 2 3 2 5 2 2 2 2" xfId="53662" xr:uid="{AA400CFB-302A-43A0-9617-B5021A5128B2}"/>
    <cellStyle name="Comma 4 2 3 2 5 2 2 2 3" xfId="35066" xr:uid="{1D2A7B01-328F-477C-A9AE-82F68F0A8A88}"/>
    <cellStyle name="Comma 4 2 3 2 5 2 2 3" xfId="44365" xr:uid="{6BA784CF-3EC4-4000-A327-D6B49B75DEB7}"/>
    <cellStyle name="Comma 4 2 3 2 5 2 2 4" xfId="25767" xr:uid="{408928F0-E420-443D-8BFF-B0D479F15873}"/>
    <cellStyle name="Comma 4 2 3 2 5 2 3" xfId="13103" xr:uid="{BDBE2775-60C4-45B3-805C-9D6688E7FC96}"/>
    <cellStyle name="Comma 4 2 3 2 5 2 3 2" xfId="49445" xr:uid="{2AB7ADEF-461B-402F-B0BC-3FA31D76F257}"/>
    <cellStyle name="Comma 4 2 3 2 5 2 3 3" xfId="30849" xr:uid="{3C2E9D75-A299-4EEF-A7BE-07D3242926C8}"/>
    <cellStyle name="Comma 4 2 3 2 5 2 4" xfId="40148" xr:uid="{72C8F872-BCFA-4FA3-AFA9-6DF2B9760FEA}"/>
    <cellStyle name="Comma 4 2 3 2 5 2 5" xfId="21550" xr:uid="{5B065CF8-CCBF-4239-B0E5-B33333AEC083}"/>
    <cellStyle name="Comma 4 2 3 2 5 3" xfId="5849" xr:uid="{00000000-0005-0000-0000-000080080000}"/>
    <cellStyle name="Comma 4 2 3 2 5 3 2" xfId="15175" xr:uid="{E27B59C0-C1C9-439F-AD58-A7D2693B2A55}"/>
    <cellStyle name="Comma 4 2 3 2 5 3 2 2" xfId="51517" xr:uid="{914F1A89-E564-48BD-8EA8-89662B04A6CB}"/>
    <cellStyle name="Comma 4 2 3 2 5 3 2 3" xfId="32921" xr:uid="{88707C76-A52F-4AB1-80D4-6940D2F8CA02}"/>
    <cellStyle name="Comma 4 2 3 2 5 3 3" xfId="42220" xr:uid="{196BD79A-2170-4A08-8A53-DD9E8072CAAE}"/>
    <cellStyle name="Comma 4 2 3 2 5 3 4" xfId="23622" xr:uid="{63FE8234-32CE-44AC-B324-7CDB75FB62A9}"/>
    <cellStyle name="Comma 4 2 3 2 5 4" xfId="10958" xr:uid="{83F8ED8F-4B14-46A8-B061-90D2FB3E62BC}"/>
    <cellStyle name="Comma 4 2 3 2 5 4 2" xfId="47300" xr:uid="{ED762B54-D7E0-4FCF-B7F6-8EBD22C34C44}"/>
    <cellStyle name="Comma 4 2 3 2 5 4 3" xfId="28704" xr:uid="{32210616-A02B-4C00-8105-681C3280F7AB}"/>
    <cellStyle name="Comma 4 2 3 2 5 5" xfId="38003" xr:uid="{C014AF97-DF4B-452E-B237-10AF91982C17}"/>
    <cellStyle name="Comma 4 2 3 2 5 6" xfId="19405" xr:uid="{974983CC-DF55-48D2-B30B-3507428A40FA}"/>
    <cellStyle name="Comma 4 2 3 2 6" xfId="1956" xr:uid="{00000000-0005-0000-0000-000081080000}"/>
    <cellStyle name="Comma 4 2 3 2 6 2" xfId="4185" xr:uid="{00000000-0005-0000-0000-000082080000}"/>
    <cellStyle name="Comma 4 2 3 2 6 2 2" xfId="8407" xr:uid="{00000000-0005-0000-0000-000083080000}"/>
    <cellStyle name="Comma 4 2 3 2 6 2 2 2" xfId="17733" xr:uid="{7D82BD3B-284B-4235-ACC8-F9C7D4B4F329}"/>
    <cellStyle name="Comma 4 2 3 2 6 2 2 2 2" xfId="54075" xr:uid="{893E8963-FC8F-4E31-AE2C-4F8FE619A1A2}"/>
    <cellStyle name="Comma 4 2 3 2 6 2 2 2 3" xfId="35479" xr:uid="{0C7DCF0A-CB94-4111-B967-4D89A7307C73}"/>
    <cellStyle name="Comma 4 2 3 2 6 2 2 3" xfId="44778" xr:uid="{5B775922-A82A-4CFD-BBC0-D4DEAB0C918A}"/>
    <cellStyle name="Comma 4 2 3 2 6 2 2 4" xfId="26180" xr:uid="{91B33F1C-3B55-40E7-9A6F-A058C253F3B2}"/>
    <cellStyle name="Comma 4 2 3 2 6 2 3" xfId="13516" xr:uid="{DEBFD166-3327-49E4-81CC-B349712D46ED}"/>
    <cellStyle name="Comma 4 2 3 2 6 2 3 2" xfId="49858" xr:uid="{254CBD66-7E25-4CE2-AE7C-E721429F12D8}"/>
    <cellStyle name="Comma 4 2 3 2 6 2 3 3" xfId="31262" xr:uid="{F474B583-629C-4CF5-A7B3-43357E21F8E8}"/>
    <cellStyle name="Comma 4 2 3 2 6 2 4" xfId="40561" xr:uid="{766C8830-5AB6-42E8-B028-3C44B9547C86}"/>
    <cellStyle name="Comma 4 2 3 2 6 2 5" xfId="21963" xr:uid="{9E077F87-1322-43B5-8A3E-C48BE8F08439}"/>
    <cellStyle name="Comma 4 2 3 2 6 3" xfId="6262" xr:uid="{00000000-0005-0000-0000-000084080000}"/>
    <cellStyle name="Comma 4 2 3 2 6 3 2" xfId="15588" xr:uid="{CB40A257-0087-4729-BBD6-B1D4CF3F912E}"/>
    <cellStyle name="Comma 4 2 3 2 6 3 2 2" xfId="51930" xr:uid="{58903D13-8C34-4D03-ADEF-59C7332A9F99}"/>
    <cellStyle name="Comma 4 2 3 2 6 3 2 3" xfId="33334" xr:uid="{58EA3A26-C297-4EFD-AB00-6C9199E56878}"/>
    <cellStyle name="Comma 4 2 3 2 6 3 3" xfId="42633" xr:uid="{DE15F90C-A6B7-48B2-AF8A-546D62316460}"/>
    <cellStyle name="Comma 4 2 3 2 6 3 4" xfId="24035" xr:uid="{3F9F9684-CCE4-4C68-A307-5F6DB5594CF0}"/>
    <cellStyle name="Comma 4 2 3 2 6 4" xfId="11371" xr:uid="{CF9A4D45-9D7D-4972-A952-B09C0D684FB2}"/>
    <cellStyle name="Comma 4 2 3 2 6 4 2" xfId="47713" xr:uid="{FAF155D4-0764-4DEB-AE3B-543BCFD3C47D}"/>
    <cellStyle name="Comma 4 2 3 2 6 4 3" xfId="29117" xr:uid="{5048431D-3A38-483D-8F34-E5B6ADAD265E}"/>
    <cellStyle name="Comma 4 2 3 2 6 5" xfId="38416" xr:uid="{6AB03B9A-C037-4A6C-82AD-44476C593F53}"/>
    <cellStyle name="Comma 4 2 3 2 6 6" xfId="19818" xr:uid="{B02D30F6-5649-460C-83A2-CE4FBD7AA8CF}"/>
    <cellStyle name="Comma 4 2 3 2 7" xfId="2391" xr:uid="{00000000-0005-0000-0000-000085080000}"/>
    <cellStyle name="Comma 4 2 3 2 7 2" xfId="6675" xr:uid="{00000000-0005-0000-0000-000086080000}"/>
    <cellStyle name="Comma 4 2 3 2 7 2 2" xfId="16001" xr:uid="{AF1BF4A8-1FCB-48DE-A356-7B0238B8DC60}"/>
    <cellStyle name="Comma 4 2 3 2 7 2 2 2" xfId="52343" xr:uid="{D7443FE3-D570-4016-92ED-7AE0093D6A0F}"/>
    <cellStyle name="Comma 4 2 3 2 7 2 2 3" xfId="33747" xr:uid="{CD620AE8-D0F8-4BA7-9EF8-30FBB4246ED6}"/>
    <cellStyle name="Comma 4 2 3 2 7 2 3" xfId="43046" xr:uid="{81273DC6-CA34-4DEA-ABA8-2D73E4179D63}"/>
    <cellStyle name="Comma 4 2 3 2 7 2 4" xfId="24448" xr:uid="{7D0E187E-6CC2-47C1-A8B7-518612D65835}"/>
    <cellStyle name="Comma 4 2 3 2 7 3" xfId="11784" xr:uid="{9B4DEA46-E727-41E5-B454-8D767EE68203}"/>
    <cellStyle name="Comma 4 2 3 2 7 3 2" xfId="48126" xr:uid="{8E25A649-05A1-438A-8C71-4016CDB81273}"/>
    <cellStyle name="Comma 4 2 3 2 7 3 3" xfId="29530" xr:uid="{87BD950F-3BB4-4697-9CA3-D459323F29B1}"/>
    <cellStyle name="Comma 4 2 3 2 7 4" xfId="38829" xr:uid="{F1E414BD-D3F4-42D5-A508-055C5FBCF218}"/>
    <cellStyle name="Comma 4 2 3 2 7 5" xfId="20231" xr:uid="{360E1511-375D-47B8-A0DE-EEB3A53A0BE1}"/>
    <cellStyle name="Comma 4 2 3 2 8" xfId="2372" xr:uid="{00000000-0005-0000-0000-000087080000}"/>
    <cellStyle name="Comma 4 2 3 2 9" xfId="2769" xr:uid="{00000000-0005-0000-0000-000088080000}"/>
    <cellStyle name="Comma 4 2 3 2 9 2" xfId="6992" xr:uid="{00000000-0005-0000-0000-000089080000}"/>
    <cellStyle name="Comma 4 2 3 2 9 2 2" xfId="16318" xr:uid="{733CA0D3-E061-4AE8-9423-3F8EFCF7CC62}"/>
    <cellStyle name="Comma 4 2 3 2 9 2 2 2" xfId="52660" xr:uid="{4C9A9E59-D79B-408B-BA3A-E0413817B32F}"/>
    <cellStyle name="Comma 4 2 3 2 9 2 2 3" xfId="34064" xr:uid="{891BFE8E-6802-4969-A8A3-0DB35918368B}"/>
    <cellStyle name="Comma 4 2 3 2 9 2 3" xfId="43363" xr:uid="{D48E7B85-EB48-485B-B633-9AF8CA88C65B}"/>
    <cellStyle name="Comma 4 2 3 2 9 2 4" xfId="24765" xr:uid="{8F1F0B12-4563-40A9-A319-315A1E670B8A}"/>
    <cellStyle name="Comma 4 2 3 2 9 3" xfId="12101" xr:uid="{7253EDE3-CF8A-4D1E-AD8B-690757D7D99D}"/>
    <cellStyle name="Comma 4 2 3 2 9 3 2" xfId="48443" xr:uid="{9F70A9B1-39F6-4B91-8A8E-C669B6F21550}"/>
    <cellStyle name="Comma 4 2 3 2 9 3 3" xfId="29847" xr:uid="{63C13569-C62E-4C44-A706-1802746FA9EE}"/>
    <cellStyle name="Comma 4 2 3 2 9 4" xfId="39146" xr:uid="{60236FB1-F998-4090-8B3F-B86BDB1D3F53}"/>
    <cellStyle name="Comma 4 2 3 2 9 5" xfId="20548" xr:uid="{7BF0DC75-BE30-4230-8015-275EB154CCDA}"/>
    <cellStyle name="Comma 4 2 3 3" xfId="139" xr:uid="{00000000-0005-0000-0000-00008A080000}"/>
    <cellStyle name="Comma 4 2 3 3 10" xfId="9012" xr:uid="{61C0F117-76A9-43CA-B381-88B2CFF6294C}"/>
    <cellStyle name="Comma 4 2 3 3 10 2" xfId="36082" xr:uid="{501BB52E-9047-474B-A6E2-3043AEF98299}"/>
    <cellStyle name="Comma 4 2 3 3 10 2 2" xfId="54677" xr:uid="{CE2CB0EA-7502-47B4-B4D1-8FDA4074BEB7}"/>
    <cellStyle name="Comma 4 2 3 3 10 3" xfId="45380" xr:uid="{95DB0BE6-ABA8-4642-94C8-398B3AB6F4B5}"/>
    <cellStyle name="Comma 4 2 3 3 10 4" xfId="26783" xr:uid="{538AF812-C76E-4A5F-8848-FE660C7BB2E2}"/>
    <cellStyle name="Comma 4 2 3 3 11" xfId="9720" xr:uid="{C46EA8CF-E00C-4C6C-9A38-3879885CA626}"/>
    <cellStyle name="Comma 4 2 3 3 11 2" xfId="46062" xr:uid="{5EFC6E23-2FFF-4C2F-9B58-D2150F51A3A9}"/>
    <cellStyle name="Comma 4 2 3 3 11 3" xfId="27466" xr:uid="{5C8E3191-6734-4EFB-95AD-378B04BDE77E}"/>
    <cellStyle name="Comma 4 2 3 3 12" xfId="36765" xr:uid="{E7DA9799-F0EC-4647-80F2-BF7FF07747E2}"/>
    <cellStyle name="Comma 4 2 3 3 13" xfId="18167" xr:uid="{15F2E6D3-B403-4282-9C7F-34BF84B72CEB}"/>
    <cellStyle name="Comma 4 2 3 3 2" xfId="677" xr:uid="{00000000-0005-0000-0000-00008B080000}"/>
    <cellStyle name="Comma 4 2 3 3 2 2" xfId="2948" xr:uid="{00000000-0005-0000-0000-00008C080000}"/>
    <cellStyle name="Comma 4 2 3 3 2 2 2" xfId="7170" xr:uid="{00000000-0005-0000-0000-00008D080000}"/>
    <cellStyle name="Comma 4 2 3 3 2 2 2 2" xfId="16496" xr:uid="{FE43E412-4777-4772-89D4-10B6772FE21E}"/>
    <cellStyle name="Comma 4 2 3 3 2 2 2 2 2" xfId="52838" xr:uid="{72C0D05E-58CC-410C-AF16-55DCF54968F2}"/>
    <cellStyle name="Comma 4 2 3 3 2 2 2 2 3" xfId="34242" xr:uid="{00DC4112-27CD-4C2E-AF6C-0AEF72C99FB8}"/>
    <cellStyle name="Comma 4 2 3 3 2 2 2 3" xfId="43541" xr:uid="{1B46C560-FE38-4F4F-91F1-F54EAC0C4D5B}"/>
    <cellStyle name="Comma 4 2 3 3 2 2 2 4" xfId="24943" xr:uid="{B1BF6C0B-8689-4BF8-9ECF-4E40064F8B71}"/>
    <cellStyle name="Comma 4 2 3 3 2 2 3" xfId="12279" xr:uid="{94370FE9-4D7D-4D23-83E1-236F356C0E0A}"/>
    <cellStyle name="Comma 4 2 3 3 2 2 3 2" xfId="48621" xr:uid="{C32D45E7-2E40-454E-B979-9BE619A4E5A8}"/>
    <cellStyle name="Comma 4 2 3 3 2 2 3 3" xfId="30025" xr:uid="{1C54A30A-5897-4DCE-9F4E-01BE684ABBAA}"/>
    <cellStyle name="Comma 4 2 3 3 2 2 4" xfId="39324" xr:uid="{A3475EFA-E196-4104-8BC3-75380B27C07B}"/>
    <cellStyle name="Comma 4 2 3 3 2 2 5" xfId="20726" xr:uid="{9F88C61F-E919-4A6E-8FF7-FCE8210AF4D4}"/>
    <cellStyle name="Comma 4 2 3 3 2 3" xfId="5025" xr:uid="{00000000-0005-0000-0000-00008E080000}"/>
    <cellStyle name="Comma 4 2 3 3 2 3 2" xfId="14351" xr:uid="{C294A70C-481B-4DB5-9BAB-4C52BA7208D3}"/>
    <cellStyle name="Comma 4 2 3 3 2 3 2 2" xfId="50693" xr:uid="{3FA27C0E-373D-4D91-8C48-C5840B0A4B6A}"/>
    <cellStyle name="Comma 4 2 3 3 2 3 2 3" xfId="32097" xr:uid="{0C746CDF-8C9F-494C-A980-66FF84BDB2FF}"/>
    <cellStyle name="Comma 4 2 3 3 2 3 3" xfId="41396" xr:uid="{1EE4BF0B-027D-4355-B64A-1E673969879D}"/>
    <cellStyle name="Comma 4 2 3 3 2 3 4" xfId="22798" xr:uid="{5752F063-5F67-4638-BC11-89134EF39472}"/>
    <cellStyle name="Comma 4 2 3 3 2 4" xfId="9437" xr:uid="{35C6809B-E49F-4A7F-8CB1-650474E72B0A}"/>
    <cellStyle name="Comma 4 2 3 3 2 4 2" xfId="36498" xr:uid="{44BF7830-8715-45EE-BA79-579941F203EB}"/>
    <cellStyle name="Comma 4 2 3 3 2 4 2 2" xfId="55092" xr:uid="{F8301EF4-35F6-4CEF-9273-01E65A1838A5}"/>
    <cellStyle name="Comma 4 2 3 3 2 4 3" xfId="45795" xr:uid="{7BA4EF56-3A6C-4005-8DE7-796080DD1B8C}"/>
    <cellStyle name="Comma 4 2 3 3 2 4 4" xfId="27199" xr:uid="{114B5ADF-C594-48A6-9593-1ED48A5E3984}"/>
    <cellStyle name="Comma 4 2 3 3 2 5" xfId="10134" xr:uid="{2845FE89-0C6C-44A4-8FF0-2ECDE5106235}"/>
    <cellStyle name="Comma 4 2 3 3 2 5 2" xfId="46476" xr:uid="{25C6D1FC-02F7-48A3-B99E-82402F8DC88A}"/>
    <cellStyle name="Comma 4 2 3 3 2 5 3" xfId="27880" xr:uid="{E2A2D883-C03E-424A-8F8B-33298BEB00DA}"/>
    <cellStyle name="Comma 4 2 3 3 2 6" xfId="37179" xr:uid="{83A1AC34-7449-4596-B67C-6FE6B2667773}"/>
    <cellStyle name="Comma 4 2 3 3 2 7" xfId="18581" xr:uid="{6B1F050C-3688-4893-9D50-A71D3FBEBC25}"/>
    <cellStyle name="Comma 4 2 3 3 3" xfId="1130" xr:uid="{00000000-0005-0000-0000-00008F080000}"/>
    <cellStyle name="Comma 4 2 3 3 3 2" xfId="3361" xr:uid="{00000000-0005-0000-0000-000090080000}"/>
    <cellStyle name="Comma 4 2 3 3 3 2 2" xfId="7583" xr:uid="{00000000-0005-0000-0000-000091080000}"/>
    <cellStyle name="Comma 4 2 3 3 3 2 2 2" xfId="16909" xr:uid="{E763A488-AD89-44F9-A8C7-9E6F14175B27}"/>
    <cellStyle name="Comma 4 2 3 3 3 2 2 2 2" xfId="53251" xr:uid="{C87EF8C8-FBEA-4C3D-B9D1-2C97794B6C2A}"/>
    <cellStyle name="Comma 4 2 3 3 3 2 2 2 3" xfId="34655" xr:uid="{A9268899-4D8C-4AC3-83B3-201BDAB36EBF}"/>
    <cellStyle name="Comma 4 2 3 3 3 2 2 3" xfId="43954" xr:uid="{1734B94D-CCE6-429F-83FC-210321A4E502}"/>
    <cellStyle name="Comma 4 2 3 3 3 2 2 4" xfId="25356" xr:uid="{BB4B691B-0914-4289-B43F-BA93B70274AC}"/>
    <cellStyle name="Comma 4 2 3 3 3 2 3" xfId="12692" xr:uid="{0A5CC971-E18E-4276-8E7A-83AE657B4482}"/>
    <cellStyle name="Comma 4 2 3 3 3 2 3 2" xfId="49034" xr:uid="{7721212C-221B-4C2E-8ED2-5406FC21C41D}"/>
    <cellStyle name="Comma 4 2 3 3 3 2 3 3" xfId="30438" xr:uid="{825D72DC-0CDF-410E-AA4A-61979FBC73E4}"/>
    <cellStyle name="Comma 4 2 3 3 3 2 4" xfId="39737" xr:uid="{ADD3BE19-21EE-4BE8-8F3D-919887B50E27}"/>
    <cellStyle name="Comma 4 2 3 3 3 2 5" xfId="21139" xr:uid="{A7563517-E41D-4FB8-95CB-D7D303AEDDF3}"/>
    <cellStyle name="Comma 4 2 3 3 3 3" xfId="5438" xr:uid="{00000000-0005-0000-0000-000092080000}"/>
    <cellStyle name="Comma 4 2 3 3 3 3 2" xfId="14764" xr:uid="{5F0D96D5-0C64-46F3-BD75-D7C4BDD8DB4C}"/>
    <cellStyle name="Comma 4 2 3 3 3 3 2 2" xfId="51106" xr:uid="{99AD3139-F4D2-4EB2-8577-04F60C8CF521}"/>
    <cellStyle name="Comma 4 2 3 3 3 3 2 3" xfId="32510" xr:uid="{E25A1DB0-B96B-49EA-86E4-5DAB0EBA3FA2}"/>
    <cellStyle name="Comma 4 2 3 3 3 3 3" xfId="41809" xr:uid="{9B9F8288-6FAE-4D9E-8674-9626714E409D}"/>
    <cellStyle name="Comma 4 2 3 3 3 3 4" xfId="23211" xr:uid="{82BA60BF-72AD-4D77-94C3-0D1336E33DA7}"/>
    <cellStyle name="Comma 4 2 3 3 3 4" xfId="10547" xr:uid="{46B7932C-2CE4-4E20-815C-1287183B0800}"/>
    <cellStyle name="Comma 4 2 3 3 3 4 2" xfId="46889" xr:uid="{968D670B-D217-4C0C-97BE-3814FEBC2BD1}"/>
    <cellStyle name="Comma 4 2 3 3 3 4 3" xfId="28293" xr:uid="{5DC48D02-95DC-4188-8F77-820E2FE5A17B}"/>
    <cellStyle name="Comma 4 2 3 3 3 5" xfId="37592" xr:uid="{891E1238-839C-489E-969D-C03BA544E061}"/>
    <cellStyle name="Comma 4 2 3 3 3 6" xfId="18994" xr:uid="{B17A3515-6360-406F-9CFB-490AAD4EE66E}"/>
    <cellStyle name="Comma 4 2 3 3 4" xfId="1544" xr:uid="{00000000-0005-0000-0000-000093080000}"/>
    <cellStyle name="Comma 4 2 3 3 4 2" xfId="3774" xr:uid="{00000000-0005-0000-0000-000094080000}"/>
    <cellStyle name="Comma 4 2 3 3 4 2 2" xfId="7996" xr:uid="{00000000-0005-0000-0000-000095080000}"/>
    <cellStyle name="Comma 4 2 3 3 4 2 2 2" xfId="17322" xr:uid="{971A1B61-2A82-4943-B466-938DF09F67CC}"/>
    <cellStyle name="Comma 4 2 3 3 4 2 2 2 2" xfId="53664" xr:uid="{35C19C31-B4EA-4F38-B614-2A33725B9E09}"/>
    <cellStyle name="Comma 4 2 3 3 4 2 2 2 3" xfId="35068" xr:uid="{45C77B6E-8436-44C8-AB98-6463BB408E9A}"/>
    <cellStyle name="Comma 4 2 3 3 4 2 2 3" xfId="44367" xr:uid="{BF0351F4-3051-4026-BFD2-AC45806F735B}"/>
    <cellStyle name="Comma 4 2 3 3 4 2 2 4" xfId="25769" xr:uid="{E23D1E72-9708-41ED-8C1D-50B8F7D7D1A4}"/>
    <cellStyle name="Comma 4 2 3 3 4 2 3" xfId="13105" xr:uid="{F3E41549-389F-4EF5-9026-7CE567054E15}"/>
    <cellStyle name="Comma 4 2 3 3 4 2 3 2" xfId="49447" xr:uid="{9A5AB10D-D58D-4A99-BD67-AF799B0A1529}"/>
    <cellStyle name="Comma 4 2 3 3 4 2 3 3" xfId="30851" xr:uid="{E31B9972-C4C7-435F-B996-3B6DD3BDFF41}"/>
    <cellStyle name="Comma 4 2 3 3 4 2 4" xfId="40150" xr:uid="{B19EE6A1-469D-4D03-8A29-E9D02EDE333C}"/>
    <cellStyle name="Comma 4 2 3 3 4 2 5" xfId="21552" xr:uid="{3B1539C2-4AA6-461B-85AC-4779F9CA7100}"/>
    <cellStyle name="Comma 4 2 3 3 4 3" xfId="5851" xr:uid="{00000000-0005-0000-0000-000096080000}"/>
    <cellStyle name="Comma 4 2 3 3 4 3 2" xfId="15177" xr:uid="{12C05F44-750E-46EB-BDF2-AF1F8C806B50}"/>
    <cellStyle name="Comma 4 2 3 3 4 3 2 2" xfId="51519" xr:uid="{5674B5C2-4067-49D3-B4EA-2AB9C0B5370C}"/>
    <cellStyle name="Comma 4 2 3 3 4 3 2 3" xfId="32923" xr:uid="{30326EF4-FFC5-40AA-8FED-8CE8334D6485}"/>
    <cellStyle name="Comma 4 2 3 3 4 3 3" xfId="42222" xr:uid="{659E4BCB-529F-4615-B2DB-FBF4AFD9F126}"/>
    <cellStyle name="Comma 4 2 3 3 4 3 4" xfId="23624" xr:uid="{5B88AFDE-6EC4-4FDF-A81C-891C7C6F5984}"/>
    <cellStyle name="Comma 4 2 3 3 4 4" xfId="10960" xr:uid="{2C2B8E61-4104-49E9-BA05-84BB4BF7E8B6}"/>
    <cellStyle name="Comma 4 2 3 3 4 4 2" xfId="47302" xr:uid="{C44BA281-4811-4C1D-95D0-3544C75BBE18}"/>
    <cellStyle name="Comma 4 2 3 3 4 4 3" xfId="28706" xr:uid="{20A45A40-49C0-41B2-B780-60738A2969F0}"/>
    <cellStyle name="Comma 4 2 3 3 4 5" xfId="38005" xr:uid="{3A5799A6-A268-4E6C-A4F6-06E9A118CE74}"/>
    <cellStyle name="Comma 4 2 3 3 4 6" xfId="19407" xr:uid="{DF42EB8B-1BBE-435D-95D7-80E5A836FD22}"/>
    <cellStyle name="Comma 4 2 3 3 5" xfId="1958" xr:uid="{00000000-0005-0000-0000-000097080000}"/>
    <cellStyle name="Comma 4 2 3 3 5 2" xfId="4187" xr:uid="{00000000-0005-0000-0000-000098080000}"/>
    <cellStyle name="Comma 4 2 3 3 5 2 2" xfId="8409" xr:uid="{00000000-0005-0000-0000-000099080000}"/>
    <cellStyle name="Comma 4 2 3 3 5 2 2 2" xfId="17735" xr:uid="{049EC913-CBBC-4CFA-91C4-DA0475BECEE7}"/>
    <cellStyle name="Comma 4 2 3 3 5 2 2 2 2" xfId="54077" xr:uid="{B85D8E84-FA10-4BBC-9B4E-EB69C52E6F50}"/>
    <cellStyle name="Comma 4 2 3 3 5 2 2 2 3" xfId="35481" xr:uid="{F637AEAA-BCDC-4EA5-81DD-78AB230B3D8F}"/>
    <cellStyle name="Comma 4 2 3 3 5 2 2 3" xfId="44780" xr:uid="{9B1E4E25-B785-4012-A42B-BA393ED8E35C}"/>
    <cellStyle name="Comma 4 2 3 3 5 2 2 4" xfId="26182" xr:uid="{B03ED2FC-7702-4197-B751-F0D5F9E36D1D}"/>
    <cellStyle name="Comma 4 2 3 3 5 2 3" xfId="13518" xr:uid="{DB799657-6C33-4CD5-AA9B-8A128D31BB8D}"/>
    <cellStyle name="Comma 4 2 3 3 5 2 3 2" xfId="49860" xr:uid="{85E721EC-616C-4018-8183-2C04B6B7170B}"/>
    <cellStyle name="Comma 4 2 3 3 5 2 3 3" xfId="31264" xr:uid="{0A6C8E15-226B-4657-B6B1-13F8489D592D}"/>
    <cellStyle name="Comma 4 2 3 3 5 2 4" xfId="40563" xr:uid="{9A500639-19C1-40EF-9269-D0D88B3685F3}"/>
    <cellStyle name="Comma 4 2 3 3 5 2 5" xfId="21965" xr:uid="{7C497CB6-EB82-4946-B344-3E4139D2BB81}"/>
    <cellStyle name="Comma 4 2 3 3 5 3" xfId="6264" xr:uid="{00000000-0005-0000-0000-00009A080000}"/>
    <cellStyle name="Comma 4 2 3 3 5 3 2" xfId="15590" xr:uid="{87F6B165-73FD-452C-877F-71942E4D7733}"/>
    <cellStyle name="Comma 4 2 3 3 5 3 2 2" xfId="51932" xr:uid="{2F498EE3-CA2D-487F-A579-5914090E55A0}"/>
    <cellStyle name="Comma 4 2 3 3 5 3 2 3" xfId="33336" xr:uid="{5188FD63-3E1D-4AE4-8C56-AF499B5D8E07}"/>
    <cellStyle name="Comma 4 2 3 3 5 3 3" xfId="42635" xr:uid="{4CB77CEF-B51F-4975-AD8A-D3F878A6586C}"/>
    <cellStyle name="Comma 4 2 3 3 5 3 4" xfId="24037" xr:uid="{1BBA2754-DD0D-411C-B1C6-83045FCD03D0}"/>
    <cellStyle name="Comma 4 2 3 3 5 4" xfId="11373" xr:uid="{37BAAD58-3C75-470A-8A21-89D287E09965}"/>
    <cellStyle name="Comma 4 2 3 3 5 4 2" xfId="47715" xr:uid="{79168042-BA1E-4C46-AD4A-E8AAC3170972}"/>
    <cellStyle name="Comma 4 2 3 3 5 4 3" xfId="29119" xr:uid="{6CA9CA7D-5AC4-4511-B89A-85E0E0EEB688}"/>
    <cellStyle name="Comma 4 2 3 3 5 5" xfId="38418" xr:uid="{E20D1C12-7F2F-4C44-9125-977062D78F2B}"/>
    <cellStyle name="Comma 4 2 3 3 5 6" xfId="19820" xr:uid="{3E804983-69E7-43E4-88B1-11DCCBD5F9AC}"/>
    <cellStyle name="Comma 4 2 3 3 6" xfId="2393" xr:uid="{00000000-0005-0000-0000-00009B080000}"/>
    <cellStyle name="Comma 4 2 3 3 6 2" xfId="6677" xr:uid="{00000000-0005-0000-0000-00009C080000}"/>
    <cellStyle name="Comma 4 2 3 3 6 2 2" xfId="16003" xr:uid="{C97E0EFE-F7B4-4E2C-8972-06960ECB005D}"/>
    <cellStyle name="Comma 4 2 3 3 6 2 2 2" xfId="52345" xr:uid="{9F35EB32-D349-4E17-9A7B-11A1B9D57FDD}"/>
    <cellStyle name="Comma 4 2 3 3 6 2 2 3" xfId="33749" xr:uid="{87D61619-6557-4A08-BC59-6345F7A0322F}"/>
    <cellStyle name="Comma 4 2 3 3 6 2 3" xfId="43048" xr:uid="{7303E1FA-BD9F-48D6-B115-FC82C1889E18}"/>
    <cellStyle name="Comma 4 2 3 3 6 2 4" xfId="24450" xr:uid="{11F082AB-88D6-4712-9AA2-812FE37ED0EB}"/>
    <cellStyle name="Comma 4 2 3 3 6 3" xfId="11786" xr:uid="{322AA07A-0CDD-4FBC-A821-5E5BA055AF60}"/>
    <cellStyle name="Comma 4 2 3 3 6 3 2" xfId="48128" xr:uid="{4789B670-3B18-4127-9997-72B5D25FADA0}"/>
    <cellStyle name="Comma 4 2 3 3 6 3 3" xfId="29532" xr:uid="{E27B101F-AAB1-4D1A-BAF4-F9392846A565}"/>
    <cellStyle name="Comma 4 2 3 3 6 4" xfId="38831" xr:uid="{DBC69617-7C74-4BD3-9538-7B2E31A2D2A0}"/>
    <cellStyle name="Comma 4 2 3 3 6 5" xfId="20233" xr:uid="{2F33D865-413D-4E16-B202-C246AE87B788}"/>
    <cellStyle name="Comma 4 2 3 3 7" xfId="2370" xr:uid="{00000000-0005-0000-0000-00009D080000}"/>
    <cellStyle name="Comma 4 2 3 3 8" xfId="2771" xr:uid="{00000000-0005-0000-0000-00009E080000}"/>
    <cellStyle name="Comma 4 2 3 3 8 2" xfId="6994" xr:uid="{00000000-0005-0000-0000-00009F080000}"/>
    <cellStyle name="Comma 4 2 3 3 8 2 2" xfId="16320" xr:uid="{8F79EC78-2062-4C05-961E-C2FB6470F16B}"/>
    <cellStyle name="Comma 4 2 3 3 8 2 2 2" xfId="52662" xr:uid="{50AA235F-21B4-4B89-9CA2-85391E83B251}"/>
    <cellStyle name="Comma 4 2 3 3 8 2 2 3" xfId="34066" xr:uid="{D11535C9-2E5C-48DE-8C31-1B6A0BB7AEB0}"/>
    <cellStyle name="Comma 4 2 3 3 8 2 3" xfId="43365" xr:uid="{A415ADE8-1E98-40AF-A9E0-B95708746BD2}"/>
    <cellStyle name="Comma 4 2 3 3 8 2 4" xfId="24767" xr:uid="{AE8997E2-F888-4F46-A89C-C0BDC6947B4D}"/>
    <cellStyle name="Comma 4 2 3 3 8 3" xfId="12103" xr:uid="{0E8F4B7F-5952-4459-85C6-FFCB9E56A113}"/>
    <cellStyle name="Comma 4 2 3 3 8 3 2" xfId="48445" xr:uid="{92BB594E-D075-44DC-A934-15F2B975A1D3}"/>
    <cellStyle name="Comma 4 2 3 3 8 3 3" xfId="29849" xr:uid="{3339A05C-1404-4F82-B769-6EE44F01B4AA}"/>
    <cellStyle name="Comma 4 2 3 3 8 4" xfId="39148" xr:uid="{0354C2D4-25C4-4C7B-8BB5-F6272C52669E}"/>
    <cellStyle name="Comma 4 2 3 3 8 5" xfId="20550" xr:uid="{5BC9C2FB-2A21-41E8-B619-739BA5A70AF5}"/>
    <cellStyle name="Comma 4 2 3 3 9" xfId="4611" xr:uid="{00000000-0005-0000-0000-0000A0080000}"/>
    <cellStyle name="Comma 4 2 3 3 9 2" xfId="13937" xr:uid="{1DCE704A-4E8E-4F57-93A9-D9893CF43B71}"/>
    <cellStyle name="Comma 4 2 3 3 9 2 2" xfId="50279" xr:uid="{4AE10517-39C4-4352-84BE-F5F269B0FDD5}"/>
    <cellStyle name="Comma 4 2 3 3 9 2 3" xfId="31683" xr:uid="{07FE26BC-2AA2-46EC-A72F-62D62A4D8221}"/>
    <cellStyle name="Comma 4 2 3 3 9 3" xfId="40982" xr:uid="{D9F81454-0B78-4E00-AF31-96592965FC87}"/>
    <cellStyle name="Comma 4 2 3 3 9 4" xfId="22384" xr:uid="{4D69D4CD-605C-46D6-878A-0EC291C84E45}"/>
    <cellStyle name="Comma 4 2 3 4" xfId="674" xr:uid="{00000000-0005-0000-0000-0000A1080000}"/>
    <cellStyle name="Comma 4 2 3 4 2" xfId="2945" xr:uid="{00000000-0005-0000-0000-0000A2080000}"/>
    <cellStyle name="Comma 4 2 3 4 2 2" xfId="7167" xr:uid="{00000000-0005-0000-0000-0000A3080000}"/>
    <cellStyle name="Comma 4 2 3 4 2 2 2" xfId="16493" xr:uid="{39C26B80-ACBF-4089-AE25-3EBDE509A9C4}"/>
    <cellStyle name="Comma 4 2 3 4 2 2 2 2" xfId="52835" xr:uid="{8D902CCA-6142-4C4A-B0E8-843C1F64C0DF}"/>
    <cellStyle name="Comma 4 2 3 4 2 2 2 3" xfId="34239" xr:uid="{C3E3CECE-81A4-4A8B-AAF0-61458BEB14E5}"/>
    <cellStyle name="Comma 4 2 3 4 2 2 3" xfId="43538" xr:uid="{32C3CDF8-CF3D-4815-B7AD-C186D9BBF1A6}"/>
    <cellStyle name="Comma 4 2 3 4 2 2 4" xfId="24940" xr:uid="{72039E9F-0156-4EB0-9683-5126A59C3DAE}"/>
    <cellStyle name="Comma 4 2 3 4 2 3" xfId="12276" xr:uid="{8546DD5F-4C47-4DB5-A4CF-D2C38B63D2F0}"/>
    <cellStyle name="Comma 4 2 3 4 2 3 2" xfId="48618" xr:uid="{6ADC6506-02A7-4BED-86C4-D4AA002AEE65}"/>
    <cellStyle name="Comma 4 2 3 4 2 3 3" xfId="30022" xr:uid="{FAEB5D2F-E25C-40E2-B9D0-50E7E892B43A}"/>
    <cellStyle name="Comma 4 2 3 4 2 4" xfId="39321" xr:uid="{515B4F70-B0DA-4422-8B20-23D491509777}"/>
    <cellStyle name="Comma 4 2 3 4 2 5" xfId="20723" xr:uid="{C35F1D6B-93EE-4F5C-BD1A-537BC2A5E477}"/>
    <cellStyle name="Comma 4 2 3 4 3" xfId="5022" xr:uid="{00000000-0005-0000-0000-0000A4080000}"/>
    <cellStyle name="Comma 4 2 3 4 3 2" xfId="14348" xr:uid="{54BF6AC5-89CB-4F37-BFFE-E56C7DDB48AE}"/>
    <cellStyle name="Comma 4 2 3 4 3 2 2" xfId="50690" xr:uid="{8D81D46C-3CC7-4117-9D92-7EF083246F21}"/>
    <cellStyle name="Comma 4 2 3 4 3 2 3" xfId="32094" xr:uid="{99DDC6DE-50E1-4A33-8DEC-220C151BDD5C}"/>
    <cellStyle name="Comma 4 2 3 4 3 3" xfId="41393" xr:uid="{B0F281CA-D726-40F6-BAE7-07DC44194DDF}"/>
    <cellStyle name="Comma 4 2 3 4 3 4" xfId="22795" xr:uid="{4E5FABF8-6C37-4AB0-BA10-D4300D323018}"/>
    <cellStyle name="Comma 4 2 3 4 4" xfId="9230" xr:uid="{24B6B749-023F-4009-8785-C6CFE1098E24}"/>
    <cellStyle name="Comma 4 2 3 4 4 2" xfId="36291" xr:uid="{AC30A70B-E8D2-4EA0-9BB3-2557AE514FE2}"/>
    <cellStyle name="Comma 4 2 3 4 4 2 2" xfId="54885" xr:uid="{35517FBB-F5F3-49BB-A945-3D4D5A3BA7DB}"/>
    <cellStyle name="Comma 4 2 3 4 4 3" xfId="45588" xr:uid="{77401AE9-4409-48AF-ADAB-6B9B5049AA7B}"/>
    <cellStyle name="Comma 4 2 3 4 4 4" xfId="26992" xr:uid="{D7F0FB18-88A6-4C0D-A57A-ABE4A63C4FDC}"/>
    <cellStyle name="Comma 4 2 3 4 5" xfId="10131" xr:uid="{625DA657-B016-4348-8F95-3D6E0E56E2FC}"/>
    <cellStyle name="Comma 4 2 3 4 5 2" xfId="46473" xr:uid="{63ED464C-D15A-48C7-A662-744BD1931B84}"/>
    <cellStyle name="Comma 4 2 3 4 5 3" xfId="27877" xr:uid="{1B5A8535-6B18-4E44-B468-35FD4186D38B}"/>
    <cellStyle name="Comma 4 2 3 4 6" xfId="37176" xr:uid="{4A623E9A-586D-4B01-B855-1C1E109D9686}"/>
    <cellStyle name="Comma 4 2 3 4 7" xfId="18578" xr:uid="{0F53327F-3CC5-420E-9118-CEE4F4757CA1}"/>
    <cellStyle name="Comma 4 2 3 5" xfId="1127" xr:uid="{00000000-0005-0000-0000-0000A5080000}"/>
    <cellStyle name="Comma 4 2 3 5 2" xfId="3358" xr:uid="{00000000-0005-0000-0000-0000A6080000}"/>
    <cellStyle name="Comma 4 2 3 5 2 2" xfId="7580" xr:uid="{00000000-0005-0000-0000-0000A7080000}"/>
    <cellStyle name="Comma 4 2 3 5 2 2 2" xfId="16906" xr:uid="{34220FF3-613E-40E2-9553-173CBFCE4034}"/>
    <cellStyle name="Comma 4 2 3 5 2 2 2 2" xfId="53248" xr:uid="{3BC4DACC-9294-4718-8A16-B353E3A1B1E6}"/>
    <cellStyle name="Comma 4 2 3 5 2 2 2 3" xfId="34652" xr:uid="{1FC54617-A65E-4938-BFEB-475192E7A699}"/>
    <cellStyle name="Comma 4 2 3 5 2 2 3" xfId="43951" xr:uid="{A6A9378E-F206-43FE-92D5-AAE5485E818F}"/>
    <cellStyle name="Comma 4 2 3 5 2 2 4" xfId="25353" xr:uid="{6E8488A1-B5E7-438F-B0CB-04A1EFEF5ED1}"/>
    <cellStyle name="Comma 4 2 3 5 2 3" xfId="12689" xr:uid="{D32C7CEC-1DD4-4626-854E-0C3874238857}"/>
    <cellStyle name="Comma 4 2 3 5 2 3 2" xfId="49031" xr:uid="{E317239B-4238-42FE-8F81-9D3BC705B5AE}"/>
    <cellStyle name="Comma 4 2 3 5 2 3 3" xfId="30435" xr:uid="{E9BC7500-3390-44A0-A468-3AA8ECE84ED2}"/>
    <cellStyle name="Comma 4 2 3 5 2 4" xfId="39734" xr:uid="{8B12A049-CD70-4971-8F84-C795EC921BE3}"/>
    <cellStyle name="Comma 4 2 3 5 2 5" xfId="21136" xr:uid="{3733DBCE-86FB-4C96-9742-9F62DEC37073}"/>
    <cellStyle name="Comma 4 2 3 5 3" xfId="5435" xr:uid="{00000000-0005-0000-0000-0000A8080000}"/>
    <cellStyle name="Comma 4 2 3 5 3 2" xfId="14761" xr:uid="{ED76F4A3-9702-4E6E-A307-7B25B9EB5DED}"/>
    <cellStyle name="Comma 4 2 3 5 3 2 2" xfId="51103" xr:uid="{01BEB7BA-AC45-4A68-B936-0A82BE5215E0}"/>
    <cellStyle name="Comma 4 2 3 5 3 2 3" xfId="32507" xr:uid="{FCBC7366-1C36-4031-9D39-F5FDEE61DE5B}"/>
    <cellStyle name="Comma 4 2 3 5 3 3" xfId="41806" xr:uid="{80BA5E57-4707-4FD3-A86C-5EDC8F49D653}"/>
    <cellStyle name="Comma 4 2 3 5 3 4" xfId="23208" xr:uid="{8E086440-02E8-41C7-BC93-EB730C6E3C38}"/>
    <cellStyle name="Comma 4 2 3 5 4" xfId="10544" xr:uid="{A709E19F-AF5D-4D88-BF9B-4B106500648B}"/>
    <cellStyle name="Comma 4 2 3 5 4 2" xfId="46886" xr:uid="{8ECE0BEF-EA32-40EC-9F6C-5F1836B05C21}"/>
    <cellStyle name="Comma 4 2 3 5 4 3" xfId="28290" xr:uid="{7F058EE5-974B-44AD-B2A2-212F1A5C6006}"/>
    <cellStyle name="Comma 4 2 3 5 5" xfId="37589" xr:uid="{A6661EC9-8183-4A39-A544-1ACE03B67DE0}"/>
    <cellStyle name="Comma 4 2 3 5 6" xfId="18991" xr:uid="{CD9E1DC9-62E9-4B19-B753-A42C92E8696B}"/>
    <cellStyle name="Comma 4 2 3 6" xfId="1541" xr:uid="{00000000-0005-0000-0000-0000A9080000}"/>
    <cellStyle name="Comma 4 2 3 6 2" xfId="3771" xr:uid="{00000000-0005-0000-0000-0000AA080000}"/>
    <cellStyle name="Comma 4 2 3 6 2 2" xfId="7993" xr:uid="{00000000-0005-0000-0000-0000AB080000}"/>
    <cellStyle name="Comma 4 2 3 6 2 2 2" xfId="17319" xr:uid="{49F00850-3C1D-49B9-8F52-F0562A9C43CB}"/>
    <cellStyle name="Comma 4 2 3 6 2 2 2 2" xfId="53661" xr:uid="{28A44D5F-3765-426F-8BB1-2CB59D1D25C3}"/>
    <cellStyle name="Comma 4 2 3 6 2 2 2 3" xfId="35065" xr:uid="{F6C27BEE-0EF8-476C-9C10-260737B6AECD}"/>
    <cellStyle name="Comma 4 2 3 6 2 2 3" xfId="44364" xr:uid="{1C4811CA-AB59-4F75-9DD0-9807ED39087E}"/>
    <cellStyle name="Comma 4 2 3 6 2 2 4" xfId="25766" xr:uid="{7A7A3B98-CFE9-461E-BBCB-693C546A7762}"/>
    <cellStyle name="Comma 4 2 3 6 2 3" xfId="13102" xr:uid="{32233094-6CE6-47F6-8315-87D5FF13CC5B}"/>
    <cellStyle name="Comma 4 2 3 6 2 3 2" xfId="49444" xr:uid="{33C70853-2F56-4D53-B1CF-28FE09531937}"/>
    <cellStyle name="Comma 4 2 3 6 2 3 3" xfId="30848" xr:uid="{58761AAB-34B8-47E1-8A23-8B9BE3F7BCA1}"/>
    <cellStyle name="Comma 4 2 3 6 2 4" xfId="40147" xr:uid="{BF78DCD5-E43D-4BAE-A07D-3E956F24F64F}"/>
    <cellStyle name="Comma 4 2 3 6 2 5" xfId="21549" xr:uid="{A6B4CA7D-C0F7-4AE8-8AAE-0738A77930A0}"/>
    <cellStyle name="Comma 4 2 3 6 3" xfId="5848" xr:uid="{00000000-0005-0000-0000-0000AC080000}"/>
    <cellStyle name="Comma 4 2 3 6 3 2" xfId="15174" xr:uid="{8A9F34D9-72E5-42B8-B7E8-D77EFB27BED4}"/>
    <cellStyle name="Comma 4 2 3 6 3 2 2" xfId="51516" xr:uid="{8DD4BEB1-D14E-44E2-AB73-1034CB6C8316}"/>
    <cellStyle name="Comma 4 2 3 6 3 2 3" xfId="32920" xr:uid="{02334DD2-88E2-45FC-9114-1F8F5B0B18DA}"/>
    <cellStyle name="Comma 4 2 3 6 3 3" xfId="42219" xr:uid="{D153F491-1F46-44E9-B6FF-497892C31C46}"/>
    <cellStyle name="Comma 4 2 3 6 3 4" xfId="23621" xr:uid="{F52B543D-6416-437E-8A4A-27DFCCAFE052}"/>
    <cellStyle name="Comma 4 2 3 6 4" xfId="10957" xr:uid="{C6D0DF40-CEB4-43D1-84FB-75C98991E38C}"/>
    <cellStyle name="Comma 4 2 3 6 4 2" xfId="47299" xr:uid="{7590D756-E726-4F9F-85B3-825F01D4EE14}"/>
    <cellStyle name="Comma 4 2 3 6 4 3" xfId="28703" xr:uid="{C1910112-AB13-49CE-9CE5-E431F0011CE5}"/>
    <cellStyle name="Comma 4 2 3 6 5" xfId="38002" xr:uid="{38A269B3-0DF5-404A-B396-F9F529F9A0FF}"/>
    <cellStyle name="Comma 4 2 3 6 6" xfId="19404" xr:uid="{08038C08-2535-487F-B210-A8AD283DB286}"/>
    <cellStyle name="Comma 4 2 3 7" xfId="1955" xr:uid="{00000000-0005-0000-0000-0000AD080000}"/>
    <cellStyle name="Comma 4 2 3 7 2" xfId="4184" xr:uid="{00000000-0005-0000-0000-0000AE080000}"/>
    <cellStyle name="Comma 4 2 3 7 2 2" xfId="8406" xr:uid="{00000000-0005-0000-0000-0000AF080000}"/>
    <cellStyle name="Comma 4 2 3 7 2 2 2" xfId="17732" xr:uid="{CD950C71-974E-4284-B78C-023258FD67F2}"/>
    <cellStyle name="Comma 4 2 3 7 2 2 2 2" xfId="54074" xr:uid="{EEB03A17-D92D-4877-9E38-8FE76288570F}"/>
    <cellStyle name="Comma 4 2 3 7 2 2 2 3" xfId="35478" xr:uid="{2236A104-6E23-441E-8B9E-46D0DB9F5426}"/>
    <cellStyle name="Comma 4 2 3 7 2 2 3" xfId="44777" xr:uid="{15E8BC42-5898-4DC4-B8A2-05051E5E2DB5}"/>
    <cellStyle name="Comma 4 2 3 7 2 2 4" xfId="26179" xr:uid="{2C741844-9BDA-4EFB-91F8-E357532EECF3}"/>
    <cellStyle name="Comma 4 2 3 7 2 3" xfId="13515" xr:uid="{11D4F82C-BAD4-455C-A419-9A7AB117C8F2}"/>
    <cellStyle name="Comma 4 2 3 7 2 3 2" xfId="49857" xr:uid="{E0D05741-0194-4C25-9545-C0B18BDEC44F}"/>
    <cellStyle name="Comma 4 2 3 7 2 3 3" xfId="31261" xr:uid="{7818E64E-00D0-4581-99E7-5AF1D87C96F0}"/>
    <cellStyle name="Comma 4 2 3 7 2 4" xfId="40560" xr:uid="{32220C18-CA72-4CC7-A723-17AEDABE482D}"/>
    <cellStyle name="Comma 4 2 3 7 2 5" xfId="21962" xr:uid="{CF91DDBA-1FB6-40F4-8855-6B4EB70E7EA3}"/>
    <cellStyle name="Comma 4 2 3 7 3" xfId="6261" xr:uid="{00000000-0005-0000-0000-0000B0080000}"/>
    <cellStyle name="Comma 4 2 3 7 3 2" xfId="15587" xr:uid="{8254FAAF-D94B-4F6E-9206-FFA87BB0D661}"/>
    <cellStyle name="Comma 4 2 3 7 3 2 2" xfId="51929" xr:uid="{364F0583-47BB-4CB2-BFB9-002D7A069F55}"/>
    <cellStyle name="Comma 4 2 3 7 3 2 3" xfId="33333" xr:uid="{7F59945E-0CC1-461B-9B8F-2CE30B218591}"/>
    <cellStyle name="Comma 4 2 3 7 3 3" xfId="42632" xr:uid="{E4A28788-F7F2-4631-92DA-91A0BECAB443}"/>
    <cellStyle name="Comma 4 2 3 7 3 4" xfId="24034" xr:uid="{D0400E1F-845F-4508-8821-F9B21E3284EE}"/>
    <cellStyle name="Comma 4 2 3 7 4" xfId="11370" xr:uid="{65B2896D-6664-455C-8F23-1498F976C752}"/>
    <cellStyle name="Comma 4 2 3 7 4 2" xfId="47712" xr:uid="{F0BFD532-DEA7-462F-925B-BB7EFBBDFB27}"/>
    <cellStyle name="Comma 4 2 3 7 4 3" xfId="29116" xr:uid="{CF2FCEA4-0B44-49B7-B52C-ED92028DDD22}"/>
    <cellStyle name="Comma 4 2 3 7 5" xfId="38415" xr:uid="{43F6A52D-BE28-4FCC-8D62-D8730E152EC8}"/>
    <cellStyle name="Comma 4 2 3 7 6" xfId="19817" xr:uid="{675FD9A4-C31A-4C41-A0FC-CD3A65D6A02B}"/>
    <cellStyle name="Comma 4 2 3 8" xfId="2390" xr:uid="{00000000-0005-0000-0000-0000B1080000}"/>
    <cellStyle name="Comma 4 2 3 8 2" xfId="6674" xr:uid="{00000000-0005-0000-0000-0000B2080000}"/>
    <cellStyle name="Comma 4 2 3 8 2 2" xfId="16000" xr:uid="{124A3EA9-FFAB-4E1E-AA71-BD36DFE68215}"/>
    <cellStyle name="Comma 4 2 3 8 2 2 2" xfId="52342" xr:uid="{2B985880-D7DF-4E94-BC5F-CA0FF093E0E9}"/>
    <cellStyle name="Comma 4 2 3 8 2 2 3" xfId="33746" xr:uid="{A85692AD-B619-4D74-B8DF-649F95EA854C}"/>
    <cellStyle name="Comma 4 2 3 8 2 3" xfId="43045" xr:uid="{815EB2BB-8FA2-4873-A2EA-84B668C0239D}"/>
    <cellStyle name="Comma 4 2 3 8 2 4" xfId="24447" xr:uid="{99CE2127-B402-495F-A0E0-945EC9071771}"/>
    <cellStyle name="Comma 4 2 3 8 3" xfId="11783" xr:uid="{EEBDE72B-A5E0-4400-A1DC-6657A3D14E83}"/>
    <cellStyle name="Comma 4 2 3 8 3 2" xfId="48125" xr:uid="{94A25D2A-2FA8-44C6-AB36-D9F907F57645}"/>
    <cellStyle name="Comma 4 2 3 8 3 3" xfId="29529" xr:uid="{DF8DB20E-29DA-4F92-B15F-DA81EC0B144C}"/>
    <cellStyle name="Comma 4 2 3 8 4" xfId="38828" xr:uid="{6CF60BF8-BF9D-4CED-8BEC-840711F42013}"/>
    <cellStyle name="Comma 4 2 3 8 5" xfId="20230" xr:uid="{C4C1969B-8EC2-4AF8-B336-E70350E5DAF1}"/>
    <cellStyle name="Comma 4 2 3 9" xfId="2373" xr:uid="{00000000-0005-0000-0000-0000B3080000}"/>
    <cellStyle name="Comma 4 2 4" xfId="140" xr:uid="{00000000-0005-0000-0000-0000B4080000}"/>
    <cellStyle name="Comma 4 2 4 10" xfId="4612" xr:uid="{00000000-0005-0000-0000-0000B5080000}"/>
    <cellStyle name="Comma 4 2 4 10 2" xfId="13938" xr:uid="{02A5E3A1-8706-46D3-8D86-24C22C802F45}"/>
    <cellStyle name="Comma 4 2 4 10 2 2" xfId="50280" xr:uid="{BE34A4FB-F842-4AF3-ADE7-27B8E9BB4A16}"/>
    <cellStyle name="Comma 4 2 4 10 2 3" xfId="31684" xr:uid="{4B25ED1F-2664-49B8-949A-0E46AAD18397}"/>
    <cellStyle name="Comma 4 2 4 10 3" xfId="40983" xr:uid="{7F9295F3-C0DE-44B0-B0AB-1073068B47DC}"/>
    <cellStyle name="Comma 4 2 4 10 4" xfId="22385" xr:uid="{3955C606-9CFC-4A89-83EB-468E985C8F04}"/>
    <cellStyle name="Comma 4 2 4 11" xfId="8858" xr:uid="{B6A00C95-D04C-44B2-B8AF-67540882256C}"/>
    <cellStyle name="Comma 4 2 4 11 2" xfId="35928" xr:uid="{665A9EE9-03B5-4784-A34E-CC3E349FCA80}"/>
    <cellStyle name="Comma 4 2 4 11 2 2" xfId="54523" xr:uid="{76BA48EF-AEF5-498D-BE99-D2093F19ADF9}"/>
    <cellStyle name="Comma 4 2 4 11 3" xfId="45226" xr:uid="{1B85C338-5326-40F7-A832-AF010E646FB9}"/>
    <cellStyle name="Comma 4 2 4 11 4" xfId="26629" xr:uid="{2DCCFD37-2B3A-4159-8564-071E7831ADDC}"/>
    <cellStyle name="Comma 4 2 4 12" xfId="9721" xr:uid="{2AA38A59-43E0-4E5A-830F-B22B38A69688}"/>
    <cellStyle name="Comma 4 2 4 12 2" xfId="46063" xr:uid="{395FDA57-B23E-4F98-ADF7-114D7D35A80A}"/>
    <cellStyle name="Comma 4 2 4 12 3" xfId="27467" xr:uid="{CE722FCA-A1B5-4B13-A56D-1FE03A3E42E3}"/>
    <cellStyle name="Comma 4 2 4 13" xfId="36766" xr:uid="{78A468EC-70A9-41DF-AC4C-801785C14592}"/>
    <cellStyle name="Comma 4 2 4 14" xfId="18168" xr:uid="{C915FC87-0858-4FAC-BCB3-63FBDDC4ECF6}"/>
    <cellStyle name="Comma 4 2 4 2" xfId="141" xr:uid="{00000000-0005-0000-0000-0000B6080000}"/>
    <cellStyle name="Comma 4 2 4 2 10" xfId="9065" xr:uid="{961AA06A-D943-447E-AADB-49B440E7E7CE}"/>
    <cellStyle name="Comma 4 2 4 2 10 2" xfId="36135" xr:uid="{0401EF51-75DD-4F76-BCDD-628A4431262D}"/>
    <cellStyle name="Comma 4 2 4 2 10 2 2" xfId="54730" xr:uid="{AADBDA7D-ABBA-4E2F-AE6C-1030128C4F56}"/>
    <cellStyle name="Comma 4 2 4 2 10 3" xfId="45433" xr:uid="{C257D8F5-6898-4BD2-A408-5E820949A072}"/>
    <cellStyle name="Comma 4 2 4 2 10 4" xfId="26836" xr:uid="{B3677CAE-A289-4507-A98C-28269019C866}"/>
    <cellStyle name="Comma 4 2 4 2 11" xfId="9722" xr:uid="{D775090F-4888-436D-AD87-D893DE6F728E}"/>
    <cellStyle name="Comma 4 2 4 2 11 2" xfId="46064" xr:uid="{1984FD37-B12D-4C03-A8C8-B4FF2CECC681}"/>
    <cellStyle name="Comma 4 2 4 2 11 3" xfId="27468" xr:uid="{49595A85-5B37-480A-BA35-718CF9F1DD9F}"/>
    <cellStyle name="Comma 4 2 4 2 12" xfId="36767" xr:uid="{01547EBC-A7E7-4EA3-AF87-9A45C76B48D6}"/>
    <cellStyle name="Comma 4 2 4 2 13" xfId="18169" xr:uid="{9C546F6F-A74C-4EA1-80FB-2ABF33CE29BD}"/>
    <cellStyle name="Comma 4 2 4 2 2" xfId="679" xr:uid="{00000000-0005-0000-0000-0000B7080000}"/>
    <cellStyle name="Comma 4 2 4 2 2 2" xfId="2950" xr:uid="{00000000-0005-0000-0000-0000B8080000}"/>
    <cellStyle name="Comma 4 2 4 2 2 2 2" xfId="7172" xr:uid="{00000000-0005-0000-0000-0000B9080000}"/>
    <cellStyle name="Comma 4 2 4 2 2 2 2 2" xfId="16498" xr:uid="{F5BEEA70-EA28-4DD5-B673-FAC6BE661325}"/>
    <cellStyle name="Comma 4 2 4 2 2 2 2 2 2" xfId="52840" xr:uid="{BF10D2E9-622F-43F7-8B18-677779BE1A04}"/>
    <cellStyle name="Comma 4 2 4 2 2 2 2 2 3" xfId="34244" xr:uid="{9AD442CC-F0B2-460D-AEAD-8C86E64F4D41}"/>
    <cellStyle name="Comma 4 2 4 2 2 2 2 3" xfId="43543" xr:uid="{CD9CC5A1-47DB-41B9-8CE1-EE77C68CD05C}"/>
    <cellStyle name="Comma 4 2 4 2 2 2 2 4" xfId="24945" xr:uid="{61B70C0C-828C-46E8-BF81-5F5C660020CE}"/>
    <cellStyle name="Comma 4 2 4 2 2 2 3" xfId="12281" xr:uid="{B3C1A594-429A-4EBC-8328-55BF3D0680DC}"/>
    <cellStyle name="Comma 4 2 4 2 2 2 3 2" xfId="48623" xr:uid="{E100441F-040D-4CDF-97D4-53E33CBBAD0B}"/>
    <cellStyle name="Comma 4 2 4 2 2 2 3 3" xfId="30027" xr:uid="{F35A2B79-783F-4B37-8428-BCB52E5392D0}"/>
    <cellStyle name="Comma 4 2 4 2 2 2 4" xfId="39326" xr:uid="{17FDF39E-F850-4EE8-A931-A32BE8F9ABC0}"/>
    <cellStyle name="Comma 4 2 4 2 2 2 5" xfId="20728" xr:uid="{7CC39DDD-3571-4011-9A5F-CBFCD0BFA318}"/>
    <cellStyle name="Comma 4 2 4 2 2 3" xfId="5027" xr:uid="{00000000-0005-0000-0000-0000BA080000}"/>
    <cellStyle name="Comma 4 2 4 2 2 3 2" xfId="14353" xr:uid="{47C5D788-2729-4216-8654-ABF4794A6ED4}"/>
    <cellStyle name="Comma 4 2 4 2 2 3 2 2" xfId="50695" xr:uid="{09E6C4DE-04AE-4E5F-BC41-6C8F1DB357E1}"/>
    <cellStyle name="Comma 4 2 4 2 2 3 2 3" xfId="32099" xr:uid="{ABC9EEB6-B056-455A-B271-F594D026DD0F}"/>
    <cellStyle name="Comma 4 2 4 2 2 3 3" xfId="41398" xr:uid="{3B012CA7-53C1-4EDE-960F-B268A5E4895E}"/>
    <cellStyle name="Comma 4 2 4 2 2 3 4" xfId="22800" xr:uid="{61FDB31A-8189-497F-BCB7-2E76F1B52639}"/>
    <cellStyle name="Comma 4 2 4 2 2 4" xfId="9490" xr:uid="{2FAEB1E6-7B41-437B-B2A9-4352AB4F4B98}"/>
    <cellStyle name="Comma 4 2 4 2 2 4 2" xfId="36551" xr:uid="{F7B685B4-D338-4DF0-A924-DD51CC2FB169}"/>
    <cellStyle name="Comma 4 2 4 2 2 4 2 2" xfId="55145" xr:uid="{A2667651-8247-4BD5-8E98-B80FF7A0FF70}"/>
    <cellStyle name="Comma 4 2 4 2 2 4 3" xfId="45848" xr:uid="{D7D0F9C6-7219-4C91-B649-5555759E1FFA}"/>
    <cellStyle name="Comma 4 2 4 2 2 4 4" xfId="27252" xr:uid="{57873783-CC8B-414D-AB7F-CA225BC2D67E}"/>
    <cellStyle name="Comma 4 2 4 2 2 5" xfId="10136" xr:uid="{6D3F64C2-6385-4C8D-ACCE-1B8A638336B2}"/>
    <cellStyle name="Comma 4 2 4 2 2 5 2" xfId="46478" xr:uid="{27091326-A9FD-46FF-8908-CFB00193A898}"/>
    <cellStyle name="Comma 4 2 4 2 2 5 3" xfId="27882" xr:uid="{9F36EF64-B0C1-4FD9-9921-5A154F1A57A7}"/>
    <cellStyle name="Comma 4 2 4 2 2 6" xfId="37181" xr:uid="{B12A272F-62D7-4A2E-95D3-4F637A91CB23}"/>
    <cellStyle name="Comma 4 2 4 2 2 7" xfId="18583" xr:uid="{B95F8F11-3DBE-46C5-A597-26F7C5568E46}"/>
    <cellStyle name="Comma 4 2 4 2 3" xfId="1132" xr:uid="{00000000-0005-0000-0000-0000BB080000}"/>
    <cellStyle name="Comma 4 2 4 2 3 2" xfId="3363" xr:uid="{00000000-0005-0000-0000-0000BC080000}"/>
    <cellStyle name="Comma 4 2 4 2 3 2 2" xfId="7585" xr:uid="{00000000-0005-0000-0000-0000BD080000}"/>
    <cellStyle name="Comma 4 2 4 2 3 2 2 2" xfId="16911" xr:uid="{29A48A7F-025C-4797-8EEC-F36D834C99A5}"/>
    <cellStyle name="Comma 4 2 4 2 3 2 2 2 2" xfId="53253" xr:uid="{512911EC-675E-411E-A0D7-0D87031DBA9C}"/>
    <cellStyle name="Comma 4 2 4 2 3 2 2 2 3" xfId="34657" xr:uid="{8EA708E7-3DC6-4CEC-95CB-7D081225D099}"/>
    <cellStyle name="Comma 4 2 4 2 3 2 2 3" xfId="43956" xr:uid="{C3F2FC11-FBDE-4080-B63A-C6384F0868B5}"/>
    <cellStyle name="Comma 4 2 4 2 3 2 2 4" xfId="25358" xr:uid="{DF7BC641-78C8-499F-BB08-5D047A7F84B1}"/>
    <cellStyle name="Comma 4 2 4 2 3 2 3" xfId="12694" xr:uid="{A1865D48-D40C-4586-B2A2-29D335629D60}"/>
    <cellStyle name="Comma 4 2 4 2 3 2 3 2" xfId="49036" xr:uid="{B344B98D-D6B8-43E9-B01D-5CFFA49A1CC8}"/>
    <cellStyle name="Comma 4 2 4 2 3 2 3 3" xfId="30440" xr:uid="{07C89432-CE82-419F-BA88-EF506364193F}"/>
    <cellStyle name="Comma 4 2 4 2 3 2 4" xfId="39739" xr:uid="{4F5EE4F1-5668-4F45-82FC-E3879C7E3867}"/>
    <cellStyle name="Comma 4 2 4 2 3 2 5" xfId="21141" xr:uid="{C8D3FAEF-08A1-438A-A50F-8FCB94A1B4CD}"/>
    <cellStyle name="Comma 4 2 4 2 3 3" xfId="5440" xr:uid="{00000000-0005-0000-0000-0000BE080000}"/>
    <cellStyle name="Comma 4 2 4 2 3 3 2" xfId="14766" xr:uid="{1027B0EA-5A3A-4160-A406-EEE8471E065F}"/>
    <cellStyle name="Comma 4 2 4 2 3 3 2 2" xfId="51108" xr:uid="{4F3F16B2-BA2D-4410-AED7-6961DD0506E3}"/>
    <cellStyle name="Comma 4 2 4 2 3 3 2 3" xfId="32512" xr:uid="{4C9102EF-82C3-4419-8861-0D2DA0CD401F}"/>
    <cellStyle name="Comma 4 2 4 2 3 3 3" xfId="41811" xr:uid="{A8BE4F3A-D1B7-4D72-BC2E-5A80E6A0C347}"/>
    <cellStyle name="Comma 4 2 4 2 3 3 4" xfId="23213" xr:uid="{3EB9B3E4-653E-49B2-A421-DD851FCE5D67}"/>
    <cellStyle name="Comma 4 2 4 2 3 4" xfId="10549" xr:uid="{2A29CF23-3B71-422C-9BF7-96DB20A59CD7}"/>
    <cellStyle name="Comma 4 2 4 2 3 4 2" xfId="46891" xr:uid="{25F7ECFE-0565-4681-8744-60186136853C}"/>
    <cellStyle name="Comma 4 2 4 2 3 4 3" xfId="28295" xr:uid="{D2B423D7-6BEF-40A8-B1FA-88375213AF2C}"/>
    <cellStyle name="Comma 4 2 4 2 3 5" xfId="37594" xr:uid="{B195F3DE-20FC-4626-926B-97B795EB64AA}"/>
    <cellStyle name="Comma 4 2 4 2 3 6" xfId="18996" xr:uid="{FD95DC3F-9D03-4871-9A4D-AFD2FA212B62}"/>
    <cellStyle name="Comma 4 2 4 2 4" xfId="1546" xr:uid="{00000000-0005-0000-0000-0000BF080000}"/>
    <cellStyle name="Comma 4 2 4 2 4 2" xfId="3776" xr:uid="{00000000-0005-0000-0000-0000C0080000}"/>
    <cellStyle name="Comma 4 2 4 2 4 2 2" xfId="7998" xr:uid="{00000000-0005-0000-0000-0000C1080000}"/>
    <cellStyle name="Comma 4 2 4 2 4 2 2 2" xfId="17324" xr:uid="{EE640CB0-C467-4033-AB79-C32AE6BEF733}"/>
    <cellStyle name="Comma 4 2 4 2 4 2 2 2 2" xfId="53666" xr:uid="{C5503F82-0AD7-4E8F-B26B-C88641626034}"/>
    <cellStyle name="Comma 4 2 4 2 4 2 2 2 3" xfId="35070" xr:uid="{6EC31226-9810-4A60-BDBE-C1FE187724CE}"/>
    <cellStyle name="Comma 4 2 4 2 4 2 2 3" xfId="44369" xr:uid="{78FE3B02-39CB-4E19-83F5-AD632F3F2136}"/>
    <cellStyle name="Comma 4 2 4 2 4 2 2 4" xfId="25771" xr:uid="{441D881B-0E6B-425C-AD41-5A6B797F4ABA}"/>
    <cellStyle name="Comma 4 2 4 2 4 2 3" xfId="13107" xr:uid="{CA0F0768-CE3C-4DDF-82F8-46EEE0F5F947}"/>
    <cellStyle name="Comma 4 2 4 2 4 2 3 2" xfId="49449" xr:uid="{EDE13FEB-3186-42DB-A778-C9BCFAF12D39}"/>
    <cellStyle name="Comma 4 2 4 2 4 2 3 3" xfId="30853" xr:uid="{B937FF28-64E1-459B-9377-F5D1504DD084}"/>
    <cellStyle name="Comma 4 2 4 2 4 2 4" xfId="40152" xr:uid="{6426AB0F-A213-47D1-AD35-72D51710E4BC}"/>
    <cellStyle name="Comma 4 2 4 2 4 2 5" xfId="21554" xr:uid="{BB09525E-B267-4024-B4B8-E93104E55AFC}"/>
    <cellStyle name="Comma 4 2 4 2 4 3" xfId="5853" xr:uid="{00000000-0005-0000-0000-0000C2080000}"/>
    <cellStyle name="Comma 4 2 4 2 4 3 2" xfId="15179" xr:uid="{292CFD1E-8C8B-49B9-AD3C-C28D56F9C4C9}"/>
    <cellStyle name="Comma 4 2 4 2 4 3 2 2" xfId="51521" xr:uid="{D957C098-1037-4092-BDE2-2C3ECF36AD9E}"/>
    <cellStyle name="Comma 4 2 4 2 4 3 2 3" xfId="32925" xr:uid="{51D97611-002E-44F4-9842-BF1DF9449CF4}"/>
    <cellStyle name="Comma 4 2 4 2 4 3 3" xfId="42224" xr:uid="{4B88237C-FFDF-4184-AAD4-14FFA2937171}"/>
    <cellStyle name="Comma 4 2 4 2 4 3 4" xfId="23626" xr:uid="{FDCE9F3C-EE68-4D02-8887-DAE930348CFA}"/>
    <cellStyle name="Comma 4 2 4 2 4 4" xfId="10962" xr:uid="{E7360E88-1EC7-427D-A7A6-F10919CB3619}"/>
    <cellStyle name="Comma 4 2 4 2 4 4 2" xfId="47304" xr:uid="{039AEDA0-F4D8-41F1-9D2B-F7B825E9A412}"/>
    <cellStyle name="Comma 4 2 4 2 4 4 3" xfId="28708" xr:uid="{CD84BAAD-619F-435A-B4D9-3C274AE54D33}"/>
    <cellStyle name="Comma 4 2 4 2 4 5" xfId="38007" xr:uid="{4B083068-2523-4BA8-819B-75346E75BBE6}"/>
    <cellStyle name="Comma 4 2 4 2 4 6" xfId="19409" xr:uid="{A9750753-3F16-4821-97C5-026886845EF0}"/>
    <cellStyle name="Comma 4 2 4 2 5" xfId="1960" xr:uid="{00000000-0005-0000-0000-0000C3080000}"/>
    <cellStyle name="Comma 4 2 4 2 5 2" xfId="4189" xr:uid="{00000000-0005-0000-0000-0000C4080000}"/>
    <cellStyle name="Comma 4 2 4 2 5 2 2" xfId="8411" xr:uid="{00000000-0005-0000-0000-0000C5080000}"/>
    <cellStyle name="Comma 4 2 4 2 5 2 2 2" xfId="17737" xr:uid="{387B1B6C-F539-40A5-86E5-10CA4DCBA1B8}"/>
    <cellStyle name="Comma 4 2 4 2 5 2 2 2 2" xfId="54079" xr:uid="{E6C0C1EB-CE29-465B-9773-05322FE15FC9}"/>
    <cellStyle name="Comma 4 2 4 2 5 2 2 2 3" xfId="35483" xr:uid="{443E3069-A0BE-41AD-B0C3-8E0C9B4FEC9A}"/>
    <cellStyle name="Comma 4 2 4 2 5 2 2 3" xfId="44782" xr:uid="{C3933137-EFE5-4E5C-BB35-80DC1B88CDDD}"/>
    <cellStyle name="Comma 4 2 4 2 5 2 2 4" xfId="26184" xr:uid="{93E97B8F-BB63-494D-ADDC-87AE0662CC70}"/>
    <cellStyle name="Comma 4 2 4 2 5 2 3" xfId="13520" xr:uid="{9E99130F-533A-4197-A50A-C794197893A8}"/>
    <cellStyle name="Comma 4 2 4 2 5 2 3 2" xfId="49862" xr:uid="{9466DFF7-A459-4519-BBD8-11FEAB73C6AB}"/>
    <cellStyle name="Comma 4 2 4 2 5 2 3 3" xfId="31266" xr:uid="{5F0C58FF-0278-4865-B314-CDD0599DE03C}"/>
    <cellStyle name="Comma 4 2 4 2 5 2 4" xfId="40565" xr:uid="{35CBB217-92EF-455B-8DF7-E21EDB8AB04C}"/>
    <cellStyle name="Comma 4 2 4 2 5 2 5" xfId="21967" xr:uid="{3976D887-730F-498B-A9DE-A76C06EE7B19}"/>
    <cellStyle name="Comma 4 2 4 2 5 3" xfId="6266" xr:uid="{00000000-0005-0000-0000-0000C6080000}"/>
    <cellStyle name="Comma 4 2 4 2 5 3 2" xfId="15592" xr:uid="{5D2C2BA1-4055-4340-BF8C-5EAF2671045C}"/>
    <cellStyle name="Comma 4 2 4 2 5 3 2 2" xfId="51934" xr:uid="{EFFA633E-A067-4CB0-8139-B806E1457A66}"/>
    <cellStyle name="Comma 4 2 4 2 5 3 2 3" xfId="33338" xr:uid="{58A4970F-42CA-4492-B442-CE3D6119ADC8}"/>
    <cellStyle name="Comma 4 2 4 2 5 3 3" xfId="42637" xr:uid="{2A215B87-82A7-4B90-8447-C74EFC794113}"/>
    <cellStyle name="Comma 4 2 4 2 5 3 4" xfId="24039" xr:uid="{33C5BF64-9B7D-4D4C-A87C-4247B9EC945A}"/>
    <cellStyle name="Comma 4 2 4 2 5 4" xfId="11375" xr:uid="{D1649017-7008-4BF3-BABF-374C16E306E5}"/>
    <cellStyle name="Comma 4 2 4 2 5 4 2" xfId="47717" xr:uid="{BFF13C3B-F0EE-4461-9657-01B2B8786BED}"/>
    <cellStyle name="Comma 4 2 4 2 5 4 3" xfId="29121" xr:uid="{6E24DC15-3D1A-4E46-919E-51B6B63A7F13}"/>
    <cellStyle name="Comma 4 2 4 2 5 5" xfId="38420" xr:uid="{094A1150-CE6C-48BE-B5FD-71DE62BC92F5}"/>
    <cellStyle name="Comma 4 2 4 2 5 6" xfId="19822" xr:uid="{A6C31059-343E-4C20-8382-E42B22D7472D}"/>
    <cellStyle name="Comma 4 2 4 2 6" xfId="2395" xr:uid="{00000000-0005-0000-0000-0000C7080000}"/>
    <cellStyle name="Comma 4 2 4 2 6 2" xfId="6679" xr:uid="{00000000-0005-0000-0000-0000C8080000}"/>
    <cellStyle name="Comma 4 2 4 2 6 2 2" xfId="16005" xr:uid="{E4947852-75D4-4B3A-885D-5D1C18584232}"/>
    <cellStyle name="Comma 4 2 4 2 6 2 2 2" xfId="52347" xr:uid="{4196C897-8012-4858-B230-AC1C964A5DD4}"/>
    <cellStyle name="Comma 4 2 4 2 6 2 2 3" xfId="33751" xr:uid="{0EAD4EF5-F100-40E1-AEA6-513655894748}"/>
    <cellStyle name="Comma 4 2 4 2 6 2 3" xfId="43050" xr:uid="{B31E436B-B58D-4F22-ABFB-D9394798F9FD}"/>
    <cellStyle name="Comma 4 2 4 2 6 2 4" xfId="24452" xr:uid="{62DB45C6-C492-486A-8AED-C31C2DC63710}"/>
    <cellStyle name="Comma 4 2 4 2 6 3" xfId="11788" xr:uid="{4B87B279-8947-475C-9431-CD653D179440}"/>
    <cellStyle name="Comma 4 2 4 2 6 3 2" xfId="48130" xr:uid="{222811B3-A8BB-466D-B181-E3750A387074}"/>
    <cellStyle name="Comma 4 2 4 2 6 3 3" xfId="29534" xr:uid="{530F54DA-9B95-46A5-8A1A-88B870C0C59E}"/>
    <cellStyle name="Comma 4 2 4 2 6 4" xfId="38833" xr:uid="{71503026-7CAC-492C-BA50-51281D9BDB0A}"/>
    <cellStyle name="Comma 4 2 4 2 6 5" xfId="20235" xr:uid="{64C626F5-884F-4011-AA00-B675352888D8}"/>
    <cellStyle name="Comma 4 2 4 2 7" xfId="2368" xr:uid="{00000000-0005-0000-0000-0000C9080000}"/>
    <cellStyle name="Comma 4 2 4 2 8" xfId="2773" xr:uid="{00000000-0005-0000-0000-0000CA080000}"/>
    <cellStyle name="Comma 4 2 4 2 8 2" xfId="6996" xr:uid="{00000000-0005-0000-0000-0000CB080000}"/>
    <cellStyle name="Comma 4 2 4 2 8 2 2" xfId="16322" xr:uid="{B8ADD6A2-5496-486F-B626-74157B9E8F8A}"/>
    <cellStyle name="Comma 4 2 4 2 8 2 2 2" xfId="52664" xr:uid="{FE79AC43-24FE-48E2-9946-FEE0BED756D1}"/>
    <cellStyle name="Comma 4 2 4 2 8 2 2 3" xfId="34068" xr:uid="{1BE8A3BC-B76E-45C3-9680-8D730E09DB28}"/>
    <cellStyle name="Comma 4 2 4 2 8 2 3" xfId="43367" xr:uid="{BDD5CD0D-C938-4718-ABCC-3AE96CB70F07}"/>
    <cellStyle name="Comma 4 2 4 2 8 2 4" xfId="24769" xr:uid="{729EEE90-F61C-46DF-87AD-27D274E34A8F}"/>
    <cellStyle name="Comma 4 2 4 2 8 3" xfId="12105" xr:uid="{60D6B1BD-3086-4D9F-A36D-339AC49FF510}"/>
    <cellStyle name="Comma 4 2 4 2 8 3 2" xfId="48447" xr:uid="{A2A1AA84-6F3F-474F-8F66-A113B926854F}"/>
    <cellStyle name="Comma 4 2 4 2 8 3 3" xfId="29851" xr:uid="{1EC522EB-B972-4A11-9E12-6C4AD923F933}"/>
    <cellStyle name="Comma 4 2 4 2 8 4" xfId="39150" xr:uid="{96C07F6A-9D2F-43E3-97B3-162822F9A759}"/>
    <cellStyle name="Comma 4 2 4 2 8 5" xfId="20552" xr:uid="{6AE4B352-3B11-40D9-A30C-F8E8D27531F4}"/>
    <cellStyle name="Comma 4 2 4 2 9" xfId="4613" xr:uid="{00000000-0005-0000-0000-0000CC080000}"/>
    <cellStyle name="Comma 4 2 4 2 9 2" xfId="13939" xr:uid="{1F8314BF-4ABA-4991-B9B8-F1AAF02299DA}"/>
    <cellStyle name="Comma 4 2 4 2 9 2 2" xfId="50281" xr:uid="{E9649864-372A-46C1-BE9D-656929353179}"/>
    <cellStyle name="Comma 4 2 4 2 9 2 3" xfId="31685" xr:uid="{9A409998-3BA1-4F00-AAF5-09917EA3653D}"/>
    <cellStyle name="Comma 4 2 4 2 9 3" xfId="40984" xr:uid="{D7CC4CA5-E2D5-4CF8-AFCF-E37373795C3F}"/>
    <cellStyle name="Comma 4 2 4 2 9 4" xfId="22386" xr:uid="{F43D3BFE-1C70-4537-B042-03160FE75187}"/>
    <cellStyle name="Comma 4 2 4 3" xfId="678" xr:uid="{00000000-0005-0000-0000-0000CD080000}"/>
    <cellStyle name="Comma 4 2 4 3 2" xfId="2949" xr:uid="{00000000-0005-0000-0000-0000CE080000}"/>
    <cellStyle name="Comma 4 2 4 3 2 2" xfId="7171" xr:uid="{00000000-0005-0000-0000-0000CF080000}"/>
    <cellStyle name="Comma 4 2 4 3 2 2 2" xfId="16497" xr:uid="{1CC1B089-69D5-4018-85AD-113CD221FC42}"/>
    <cellStyle name="Comma 4 2 4 3 2 2 2 2" xfId="52839" xr:uid="{77624179-5B54-4A6C-8E31-36A53E5BA3A1}"/>
    <cellStyle name="Comma 4 2 4 3 2 2 2 3" xfId="34243" xr:uid="{E1565C4D-EE12-409A-A769-A0A659A12D6A}"/>
    <cellStyle name="Comma 4 2 4 3 2 2 3" xfId="43542" xr:uid="{4AD2BE64-5FF4-48B3-8A8C-45BDE32F5BF2}"/>
    <cellStyle name="Comma 4 2 4 3 2 2 4" xfId="24944" xr:uid="{7025A72A-125E-4D40-BECC-067A4237160B}"/>
    <cellStyle name="Comma 4 2 4 3 2 3" xfId="12280" xr:uid="{16FAE9F1-FCCA-48FC-918B-3B722E9D0E54}"/>
    <cellStyle name="Comma 4 2 4 3 2 3 2" xfId="48622" xr:uid="{63DDF0C9-F9AD-48DB-BC4F-0F8AE0553745}"/>
    <cellStyle name="Comma 4 2 4 3 2 3 3" xfId="30026" xr:uid="{FD3AF1C6-5B7E-43BB-9EFD-D3413092DB12}"/>
    <cellStyle name="Comma 4 2 4 3 2 4" xfId="39325" xr:uid="{427FAF69-7DAD-4DC3-9AA8-715D792FA409}"/>
    <cellStyle name="Comma 4 2 4 3 2 5" xfId="20727" xr:uid="{26BA2343-3936-4991-A032-3EEE534BCAB7}"/>
    <cellStyle name="Comma 4 2 4 3 3" xfId="5026" xr:uid="{00000000-0005-0000-0000-0000D0080000}"/>
    <cellStyle name="Comma 4 2 4 3 3 2" xfId="14352" xr:uid="{3D7A72BC-F901-4E82-8392-3A7CA2F8C322}"/>
    <cellStyle name="Comma 4 2 4 3 3 2 2" xfId="50694" xr:uid="{72AB2AC8-767D-4CB4-B7EF-ABA876DE307C}"/>
    <cellStyle name="Comma 4 2 4 3 3 2 3" xfId="32098" xr:uid="{6D7B8512-E62E-469C-8018-8C53216D76C6}"/>
    <cellStyle name="Comma 4 2 4 3 3 3" xfId="41397" xr:uid="{966318E6-6E18-4664-AD4E-A04E4E071FA1}"/>
    <cellStyle name="Comma 4 2 4 3 3 4" xfId="22799" xr:uid="{3431BBD6-53C8-477D-AE86-FEF483F8A778}"/>
    <cellStyle name="Comma 4 2 4 3 4" xfId="9283" xr:uid="{7E46ED3C-A8F4-4512-93D9-5F41F1AC397C}"/>
    <cellStyle name="Comma 4 2 4 3 4 2" xfId="36344" xr:uid="{C7581796-B94A-43C5-B293-F8FD77D08B4A}"/>
    <cellStyle name="Comma 4 2 4 3 4 2 2" xfId="54938" xr:uid="{7C15E1FD-F344-44AD-8517-B6E218F45452}"/>
    <cellStyle name="Comma 4 2 4 3 4 3" xfId="45641" xr:uid="{5015F16D-4F07-4614-AD00-53EEF3CFF40A}"/>
    <cellStyle name="Comma 4 2 4 3 4 4" xfId="27045" xr:uid="{4215AB1B-A342-4CA1-BB17-11E37DD5B5ED}"/>
    <cellStyle name="Comma 4 2 4 3 5" xfId="10135" xr:uid="{4EDC5239-9FDD-494E-A54B-9DB31A3ECF2D}"/>
    <cellStyle name="Comma 4 2 4 3 5 2" xfId="46477" xr:uid="{C4F6F3D0-BED6-4477-84A5-9BD0FC329C79}"/>
    <cellStyle name="Comma 4 2 4 3 5 3" xfId="27881" xr:uid="{0D280141-F7E8-48C4-A9D4-564EA2987513}"/>
    <cellStyle name="Comma 4 2 4 3 6" xfId="37180" xr:uid="{51B9CE60-D98D-4711-8191-AFDAA06FBEE4}"/>
    <cellStyle name="Comma 4 2 4 3 7" xfId="18582" xr:uid="{98588B09-F758-43B3-A268-E47DD9ECE798}"/>
    <cellStyle name="Comma 4 2 4 4" xfId="1131" xr:uid="{00000000-0005-0000-0000-0000D1080000}"/>
    <cellStyle name="Comma 4 2 4 4 2" xfId="3362" xr:uid="{00000000-0005-0000-0000-0000D2080000}"/>
    <cellStyle name="Comma 4 2 4 4 2 2" xfId="7584" xr:uid="{00000000-0005-0000-0000-0000D3080000}"/>
    <cellStyle name="Comma 4 2 4 4 2 2 2" xfId="16910" xr:uid="{EF46A270-4BBC-4DAE-A671-E899CA7BF1A4}"/>
    <cellStyle name="Comma 4 2 4 4 2 2 2 2" xfId="53252" xr:uid="{E943635F-ACDF-40FB-AAD9-DDFB2AA4FD26}"/>
    <cellStyle name="Comma 4 2 4 4 2 2 2 3" xfId="34656" xr:uid="{B0FFC224-B877-4F26-824C-5BEF48C68C47}"/>
    <cellStyle name="Comma 4 2 4 4 2 2 3" xfId="43955" xr:uid="{6AC77FBB-419C-44DE-9128-808B296EF6B0}"/>
    <cellStyle name="Comma 4 2 4 4 2 2 4" xfId="25357" xr:uid="{4CEED981-0683-4246-ABC3-0F873F4CBA47}"/>
    <cellStyle name="Comma 4 2 4 4 2 3" xfId="12693" xr:uid="{EE13B619-0CF5-43A9-BE3E-0B664B02874E}"/>
    <cellStyle name="Comma 4 2 4 4 2 3 2" xfId="49035" xr:uid="{E8E2B620-D328-407E-97B2-BF85DE347AB6}"/>
    <cellStyle name="Comma 4 2 4 4 2 3 3" xfId="30439" xr:uid="{5A2A5721-948D-41C6-A90C-3DA38C8A9FB3}"/>
    <cellStyle name="Comma 4 2 4 4 2 4" xfId="39738" xr:uid="{7BA397C8-7932-4D8D-B473-9D8A9444CD6B}"/>
    <cellStyle name="Comma 4 2 4 4 2 5" xfId="21140" xr:uid="{8F581B25-B957-4A51-8B81-3A146EB3A88F}"/>
    <cellStyle name="Comma 4 2 4 4 3" xfId="5439" xr:uid="{00000000-0005-0000-0000-0000D4080000}"/>
    <cellStyle name="Comma 4 2 4 4 3 2" xfId="14765" xr:uid="{AE7FB1E6-31E9-49A5-97A6-282D708350D9}"/>
    <cellStyle name="Comma 4 2 4 4 3 2 2" xfId="51107" xr:uid="{3A3CC990-6040-4EFD-8F77-74B070F3CA62}"/>
    <cellStyle name="Comma 4 2 4 4 3 2 3" xfId="32511" xr:uid="{DD5060A3-8CE0-438F-875D-BC91570C7DA4}"/>
    <cellStyle name="Comma 4 2 4 4 3 3" xfId="41810" xr:uid="{6C00D5FE-3DE3-46EF-B11D-DC127983B61B}"/>
    <cellStyle name="Comma 4 2 4 4 3 4" xfId="23212" xr:uid="{90A263D1-8B61-4E79-BEA5-F60B1B6632BD}"/>
    <cellStyle name="Comma 4 2 4 4 4" xfId="10548" xr:uid="{D5F9D465-8E0D-460E-81FE-95A16EF864F3}"/>
    <cellStyle name="Comma 4 2 4 4 4 2" xfId="46890" xr:uid="{8855BFBF-8513-4000-BA6F-173DB12B3D77}"/>
    <cellStyle name="Comma 4 2 4 4 4 3" xfId="28294" xr:uid="{90199D69-6307-4EE0-9E30-91D3BB4E944B}"/>
    <cellStyle name="Comma 4 2 4 4 5" xfId="37593" xr:uid="{B2C87C8A-007E-4AB5-B94E-9C0453568482}"/>
    <cellStyle name="Comma 4 2 4 4 6" xfId="18995" xr:uid="{A3D15EDF-2716-4AF0-8A0D-A1F443D71833}"/>
    <cellStyle name="Comma 4 2 4 5" xfId="1545" xr:uid="{00000000-0005-0000-0000-0000D5080000}"/>
    <cellStyle name="Comma 4 2 4 5 2" xfId="3775" xr:uid="{00000000-0005-0000-0000-0000D6080000}"/>
    <cellStyle name="Comma 4 2 4 5 2 2" xfId="7997" xr:uid="{00000000-0005-0000-0000-0000D7080000}"/>
    <cellStyle name="Comma 4 2 4 5 2 2 2" xfId="17323" xr:uid="{418EC76E-E612-4270-AEB8-B98B8894CF52}"/>
    <cellStyle name="Comma 4 2 4 5 2 2 2 2" xfId="53665" xr:uid="{CE5D0B2D-3638-4AAF-A532-294133140175}"/>
    <cellStyle name="Comma 4 2 4 5 2 2 2 3" xfId="35069" xr:uid="{8AED8C36-7625-4959-AF61-99FF54B559E8}"/>
    <cellStyle name="Comma 4 2 4 5 2 2 3" xfId="44368" xr:uid="{57519F7A-B174-43DD-93A4-283BCBF16357}"/>
    <cellStyle name="Comma 4 2 4 5 2 2 4" xfId="25770" xr:uid="{51F3ECFA-3850-4400-A815-D40C7B1BF95B}"/>
    <cellStyle name="Comma 4 2 4 5 2 3" xfId="13106" xr:uid="{FD4A6214-B56C-41F5-B829-B86CECAB02C3}"/>
    <cellStyle name="Comma 4 2 4 5 2 3 2" xfId="49448" xr:uid="{4037C770-338E-4FC8-89E0-27A296860B7A}"/>
    <cellStyle name="Comma 4 2 4 5 2 3 3" xfId="30852" xr:uid="{7B5BBB64-E327-42D7-9DF3-D0E84877565B}"/>
    <cellStyle name="Comma 4 2 4 5 2 4" xfId="40151" xr:uid="{CE976498-3F9A-435C-A043-0FA79E7CAF5E}"/>
    <cellStyle name="Comma 4 2 4 5 2 5" xfId="21553" xr:uid="{A32CD1D5-BF0F-440B-9F78-AEA9DC44CAF3}"/>
    <cellStyle name="Comma 4 2 4 5 3" xfId="5852" xr:uid="{00000000-0005-0000-0000-0000D8080000}"/>
    <cellStyle name="Comma 4 2 4 5 3 2" xfId="15178" xr:uid="{88775045-6A4C-4D8B-BBF9-0E4AC8C79368}"/>
    <cellStyle name="Comma 4 2 4 5 3 2 2" xfId="51520" xr:uid="{DBFFCEA6-9469-4BEC-9651-703503E3C247}"/>
    <cellStyle name="Comma 4 2 4 5 3 2 3" xfId="32924" xr:uid="{20D204D1-6000-439B-9701-FC1B40CE79F8}"/>
    <cellStyle name="Comma 4 2 4 5 3 3" xfId="42223" xr:uid="{5584004E-E4B9-4D22-BD6B-A50F2E1CF9EE}"/>
    <cellStyle name="Comma 4 2 4 5 3 4" xfId="23625" xr:uid="{95E68177-6C09-4816-B3E2-7F9CE1DCDD02}"/>
    <cellStyle name="Comma 4 2 4 5 4" xfId="10961" xr:uid="{F6AFA24A-D0EA-422F-8436-5D273A884B27}"/>
    <cellStyle name="Comma 4 2 4 5 4 2" xfId="47303" xr:uid="{430E098D-B0FB-481C-8E09-EEEF4BEEF8A8}"/>
    <cellStyle name="Comma 4 2 4 5 4 3" xfId="28707" xr:uid="{922C9F24-F0C2-4BE6-A558-8AA5E01E6C96}"/>
    <cellStyle name="Comma 4 2 4 5 5" xfId="38006" xr:uid="{B78B7D5D-83B5-4061-8C19-E323862133F5}"/>
    <cellStyle name="Comma 4 2 4 5 6" xfId="19408" xr:uid="{031AA959-7F7E-4D47-AB89-9E4CD4487541}"/>
    <cellStyle name="Comma 4 2 4 6" xfId="1959" xr:uid="{00000000-0005-0000-0000-0000D9080000}"/>
    <cellStyle name="Comma 4 2 4 6 2" xfId="4188" xr:uid="{00000000-0005-0000-0000-0000DA080000}"/>
    <cellStyle name="Comma 4 2 4 6 2 2" xfId="8410" xr:uid="{00000000-0005-0000-0000-0000DB080000}"/>
    <cellStyle name="Comma 4 2 4 6 2 2 2" xfId="17736" xr:uid="{B5363769-6255-4050-B3BC-B751CE6E9B1F}"/>
    <cellStyle name="Comma 4 2 4 6 2 2 2 2" xfId="54078" xr:uid="{574376C6-337E-441F-99A3-56F437EF3A9A}"/>
    <cellStyle name="Comma 4 2 4 6 2 2 2 3" xfId="35482" xr:uid="{A8833AA4-A038-4E78-BA74-0D0238E74E7F}"/>
    <cellStyle name="Comma 4 2 4 6 2 2 3" xfId="44781" xr:uid="{1EEA46A6-5F9C-4C40-8FE9-900205CA8278}"/>
    <cellStyle name="Comma 4 2 4 6 2 2 4" xfId="26183" xr:uid="{6A00DA87-069F-4944-BB73-A2603B69403E}"/>
    <cellStyle name="Comma 4 2 4 6 2 3" xfId="13519" xr:uid="{3D2C08BA-3EBF-4197-BF7D-306B33FABDFF}"/>
    <cellStyle name="Comma 4 2 4 6 2 3 2" xfId="49861" xr:uid="{6C3B2AB5-DE1A-4CE6-94F4-EF1DA521B6C6}"/>
    <cellStyle name="Comma 4 2 4 6 2 3 3" xfId="31265" xr:uid="{6D982C45-7661-458C-B9CB-598F4EE0135B}"/>
    <cellStyle name="Comma 4 2 4 6 2 4" xfId="40564" xr:uid="{744C2624-ED94-4B9C-B905-3B4E54DA1547}"/>
    <cellStyle name="Comma 4 2 4 6 2 5" xfId="21966" xr:uid="{1B5E3742-CF90-4C6B-A5E4-170F28E10C7D}"/>
    <cellStyle name="Comma 4 2 4 6 3" xfId="6265" xr:uid="{00000000-0005-0000-0000-0000DC080000}"/>
    <cellStyle name="Comma 4 2 4 6 3 2" xfId="15591" xr:uid="{4F92B9B0-394C-4832-B641-E78621513B5F}"/>
    <cellStyle name="Comma 4 2 4 6 3 2 2" xfId="51933" xr:uid="{0BDD47EB-6B42-4D22-8F81-B1EAB8023F01}"/>
    <cellStyle name="Comma 4 2 4 6 3 2 3" xfId="33337" xr:uid="{27CFAA9B-205F-4240-981B-13D08B0EC202}"/>
    <cellStyle name="Comma 4 2 4 6 3 3" xfId="42636" xr:uid="{8D230CFB-3D3B-4F8E-9D78-3A739AD18315}"/>
    <cellStyle name="Comma 4 2 4 6 3 4" xfId="24038" xr:uid="{92D6853B-9634-4C04-A604-4488A98DFC21}"/>
    <cellStyle name="Comma 4 2 4 6 4" xfId="11374" xr:uid="{9F8711E7-7F10-4F9A-AE5D-7B63C67FAE80}"/>
    <cellStyle name="Comma 4 2 4 6 4 2" xfId="47716" xr:uid="{CBC0CA05-90F3-4815-A01D-2B551A9135CA}"/>
    <cellStyle name="Comma 4 2 4 6 4 3" xfId="29120" xr:uid="{3C83D3AB-2E59-4C10-A1F6-5B39AC4DB657}"/>
    <cellStyle name="Comma 4 2 4 6 5" xfId="38419" xr:uid="{020F6BFB-A3DA-4562-9CD7-23D6A5416956}"/>
    <cellStyle name="Comma 4 2 4 6 6" xfId="19821" xr:uid="{E40B1CC0-063C-46DF-88D4-10BE3D5AEB4B}"/>
    <cellStyle name="Comma 4 2 4 7" xfId="2394" xr:uid="{00000000-0005-0000-0000-0000DD080000}"/>
    <cellStyle name="Comma 4 2 4 7 2" xfId="6678" xr:uid="{00000000-0005-0000-0000-0000DE080000}"/>
    <cellStyle name="Comma 4 2 4 7 2 2" xfId="16004" xr:uid="{85032545-195B-46A2-AE72-606239D53E83}"/>
    <cellStyle name="Comma 4 2 4 7 2 2 2" xfId="52346" xr:uid="{4BE9BF08-9677-465F-A6B5-2EAC811379F3}"/>
    <cellStyle name="Comma 4 2 4 7 2 2 3" xfId="33750" xr:uid="{F5D1635F-96A6-49A1-8C69-AD685BAAA175}"/>
    <cellStyle name="Comma 4 2 4 7 2 3" xfId="43049" xr:uid="{0DB6655C-F01C-4B45-9447-B0E448A90466}"/>
    <cellStyle name="Comma 4 2 4 7 2 4" xfId="24451" xr:uid="{F88E0290-8EAF-4C43-AAB0-A2BE4EF697C7}"/>
    <cellStyle name="Comma 4 2 4 7 3" xfId="11787" xr:uid="{6EC7D507-CA10-4B33-85D5-235862D57E1F}"/>
    <cellStyle name="Comma 4 2 4 7 3 2" xfId="48129" xr:uid="{AA786409-F078-411F-96BF-E688CF68D991}"/>
    <cellStyle name="Comma 4 2 4 7 3 3" xfId="29533" xr:uid="{BE5F2D9E-5978-461D-80D1-D56C2D157BB2}"/>
    <cellStyle name="Comma 4 2 4 7 4" xfId="38832" xr:uid="{975DB848-8B38-4D55-A775-7379AF3DCC12}"/>
    <cellStyle name="Comma 4 2 4 7 5" xfId="20234" xr:uid="{E325776B-3AD1-4F93-BBC4-2F1A7C7E44B5}"/>
    <cellStyle name="Comma 4 2 4 8" xfId="2369" xr:uid="{00000000-0005-0000-0000-0000DF080000}"/>
    <cellStyle name="Comma 4 2 4 9" xfId="2772" xr:uid="{00000000-0005-0000-0000-0000E0080000}"/>
    <cellStyle name="Comma 4 2 4 9 2" xfId="6995" xr:uid="{00000000-0005-0000-0000-0000E1080000}"/>
    <cellStyle name="Comma 4 2 4 9 2 2" xfId="16321" xr:uid="{BD50BE9E-1169-4956-8D55-F3C285C50B18}"/>
    <cellStyle name="Comma 4 2 4 9 2 2 2" xfId="52663" xr:uid="{99A99317-152B-43AA-A613-752F85DC60A7}"/>
    <cellStyle name="Comma 4 2 4 9 2 2 3" xfId="34067" xr:uid="{A35ED64B-B6AE-4BBF-B964-FE60B073F74F}"/>
    <cellStyle name="Comma 4 2 4 9 2 3" xfId="43366" xr:uid="{A45EF833-5509-4317-A98D-4B8BBDED686E}"/>
    <cellStyle name="Comma 4 2 4 9 2 4" xfId="24768" xr:uid="{893DEADB-A9E1-479F-8267-5A87A571C499}"/>
    <cellStyle name="Comma 4 2 4 9 3" xfId="12104" xr:uid="{CB5ABBD9-6115-44B3-99CB-AC94203B3D25}"/>
    <cellStyle name="Comma 4 2 4 9 3 2" xfId="48446" xr:uid="{6BB9BE94-9B68-427A-9CDD-43DD18EBAB41}"/>
    <cellStyle name="Comma 4 2 4 9 3 3" xfId="29850" xr:uid="{E946908E-816E-4948-AB22-48A84C161E67}"/>
    <cellStyle name="Comma 4 2 4 9 4" xfId="39149" xr:uid="{3BE45C0A-48EA-4850-9A18-CF67E99122C5}"/>
    <cellStyle name="Comma 4 2 4 9 5" xfId="20551" xr:uid="{F0140B8A-39A0-4735-8212-0DBB4BB7CE72}"/>
    <cellStyle name="Comma 4 2 5" xfId="142" xr:uid="{00000000-0005-0000-0000-0000E2080000}"/>
    <cellStyle name="Comma 4 2 5 10" xfId="8974" xr:uid="{86B0C89A-8A2D-4755-B15D-84E412E1D380}"/>
    <cellStyle name="Comma 4 2 5 10 2" xfId="36044" xr:uid="{EECB74F5-C686-4617-B19B-6742C13AC31B}"/>
    <cellStyle name="Comma 4 2 5 10 2 2" xfId="54639" xr:uid="{C5DB9ED9-028C-4B3D-ADDC-FDCBA75753FB}"/>
    <cellStyle name="Comma 4 2 5 10 3" xfId="45342" xr:uid="{45262DFE-29E5-4CF6-A04A-0680047ECFC8}"/>
    <cellStyle name="Comma 4 2 5 10 4" xfId="26745" xr:uid="{38708664-B345-4127-B6D0-6B9AB69407BD}"/>
    <cellStyle name="Comma 4 2 5 11" xfId="9723" xr:uid="{0DE2A770-D647-4EC2-BE32-DBADF7DBE196}"/>
    <cellStyle name="Comma 4 2 5 11 2" xfId="46065" xr:uid="{5022E6D1-D88E-4AE4-96CC-A7667E7D59DE}"/>
    <cellStyle name="Comma 4 2 5 11 3" xfId="27469" xr:uid="{3757E6BE-8E68-4B89-BBF0-55053274FDD4}"/>
    <cellStyle name="Comma 4 2 5 12" xfId="36768" xr:uid="{ACD75CA2-3258-403A-B925-FFDB6216C013}"/>
    <cellStyle name="Comma 4 2 5 13" xfId="18170" xr:uid="{B7AF752E-5758-47C1-940E-3F83A6477E00}"/>
    <cellStyle name="Comma 4 2 5 2" xfId="680" xr:uid="{00000000-0005-0000-0000-0000E3080000}"/>
    <cellStyle name="Comma 4 2 5 2 2" xfId="2951" xr:uid="{00000000-0005-0000-0000-0000E4080000}"/>
    <cellStyle name="Comma 4 2 5 2 2 2" xfId="7173" xr:uid="{00000000-0005-0000-0000-0000E5080000}"/>
    <cellStyle name="Comma 4 2 5 2 2 2 2" xfId="16499" xr:uid="{75243147-F816-4513-A97A-9139F12A5A11}"/>
    <cellStyle name="Comma 4 2 5 2 2 2 2 2" xfId="52841" xr:uid="{2D9D87B7-BB48-4873-95FB-E9D7989DC29A}"/>
    <cellStyle name="Comma 4 2 5 2 2 2 2 3" xfId="34245" xr:uid="{06EBB526-5F17-4322-ADD7-7D9615362115}"/>
    <cellStyle name="Comma 4 2 5 2 2 2 3" xfId="43544" xr:uid="{1D27E9B0-9EA4-4FA6-BAAD-FD663D6027C1}"/>
    <cellStyle name="Comma 4 2 5 2 2 2 4" xfId="24946" xr:uid="{8FF79EAA-F59E-4E25-B60D-AC7FA997FA06}"/>
    <cellStyle name="Comma 4 2 5 2 2 3" xfId="12282" xr:uid="{52E8B0F6-DE0A-47F9-8812-ECD65B9CE784}"/>
    <cellStyle name="Comma 4 2 5 2 2 3 2" xfId="48624" xr:uid="{3B16D13E-0793-41BD-9740-48B72A8E07DD}"/>
    <cellStyle name="Comma 4 2 5 2 2 3 3" xfId="30028" xr:uid="{47ED2387-72D9-473B-956F-8B91937FCA9D}"/>
    <cellStyle name="Comma 4 2 5 2 2 4" xfId="39327" xr:uid="{0561FC9D-98C9-47C6-84E3-E9480BC95109}"/>
    <cellStyle name="Comma 4 2 5 2 2 5" xfId="20729" xr:uid="{CAE1E15F-4E73-4282-9780-E0B4D5206ABC}"/>
    <cellStyle name="Comma 4 2 5 2 3" xfId="5028" xr:uid="{00000000-0005-0000-0000-0000E6080000}"/>
    <cellStyle name="Comma 4 2 5 2 3 2" xfId="14354" xr:uid="{4878C66A-E50A-458C-83B8-F9C6E110E8E5}"/>
    <cellStyle name="Comma 4 2 5 2 3 2 2" xfId="50696" xr:uid="{EC63C54E-49F5-46EF-9DD9-4D2A3938A104}"/>
    <cellStyle name="Comma 4 2 5 2 3 2 3" xfId="32100" xr:uid="{79FBA3E8-2275-47FC-B380-1A1889258206}"/>
    <cellStyle name="Comma 4 2 5 2 3 3" xfId="41399" xr:uid="{D92B9976-443A-4EBE-B02A-D1472A2988DE}"/>
    <cellStyle name="Comma 4 2 5 2 3 4" xfId="22801" xr:uid="{2D6E5B31-27A2-4A07-AE68-B29F0552213E}"/>
    <cellStyle name="Comma 4 2 5 2 4" xfId="9399" xr:uid="{1B388BC7-1FC6-4DC3-B345-755F61B57864}"/>
    <cellStyle name="Comma 4 2 5 2 4 2" xfId="36460" xr:uid="{BFCA767E-582C-4493-822A-BA8EF4F4CBAC}"/>
    <cellStyle name="Comma 4 2 5 2 4 2 2" xfId="55054" xr:uid="{7BA40F73-B7E6-45FD-9258-6A4E852A8262}"/>
    <cellStyle name="Comma 4 2 5 2 4 3" xfId="45757" xr:uid="{D8F9C4B2-2899-420B-BF52-453E4C5CC7BD}"/>
    <cellStyle name="Comma 4 2 5 2 4 4" xfId="27161" xr:uid="{D1908BFA-58FB-4717-A093-213B78088032}"/>
    <cellStyle name="Comma 4 2 5 2 5" xfId="10137" xr:uid="{D5C39FCE-AF9D-4013-A327-BE54965EA5C1}"/>
    <cellStyle name="Comma 4 2 5 2 5 2" xfId="46479" xr:uid="{926EDDB1-4201-4466-957F-EE5B6E7A8BB7}"/>
    <cellStyle name="Comma 4 2 5 2 5 3" xfId="27883" xr:uid="{F4610EDC-21F5-43A7-A87B-DD054B58818A}"/>
    <cellStyle name="Comma 4 2 5 2 6" xfId="37182" xr:uid="{4F418C52-497D-4476-8C15-B33C60D8A002}"/>
    <cellStyle name="Comma 4 2 5 2 7" xfId="18584" xr:uid="{F0FD72EE-1D2D-448A-9146-A30D4D7DAF52}"/>
    <cellStyle name="Comma 4 2 5 3" xfId="1133" xr:uid="{00000000-0005-0000-0000-0000E7080000}"/>
    <cellStyle name="Comma 4 2 5 3 2" xfId="3364" xr:uid="{00000000-0005-0000-0000-0000E8080000}"/>
    <cellStyle name="Comma 4 2 5 3 2 2" xfId="7586" xr:uid="{00000000-0005-0000-0000-0000E9080000}"/>
    <cellStyle name="Comma 4 2 5 3 2 2 2" xfId="16912" xr:uid="{2408963D-F712-4F30-808F-030A5DAFB64E}"/>
    <cellStyle name="Comma 4 2 5 3 2 2 2 2" xfId="53254" xr:uid="{3EE4E7FA-713B-423D-906D-D458160445A5}"/>
    <cellStyle name="Comma 4 2 5 3 2 2 2 3" xfId="34658" xr:uid="{A64F1F68-3EF3-47BA-9E2B-561072D66CB7}"/>
    <cellStyle name="Comma 4 2 5 3 2 2 3" xfId="43957" xr:uid="{FA26302E-4C8A-493F-871C-5B6C04E54B8B}"/>
    <cellStyle name="Comma 4 2 5 3 2 2 4" xfId="25359" xr:uid="{CE00DA65-6A55-4447-9476-CD3D7E5BC01B}"/>
    <cellStyle name="Comma 4 2 5 3 2 3" xfId="12695" xr:uid="{3A2AF14E-5C29-4167-9442-0EF8EA8B43AA}"/>
    <cellStyle name="Comma 4 2 5 3 2 3 2" xfId="49037" xr:uid="{39166D5E-B1FB-4F93-9ECF-287A663A32E0}"/>
    <cellStyle name="Comma 4 2 5 3 2 3 3" xfId="30441" xr:uid="{CD6EB0D5-CB69-4AFB-A04C-11DC7C81A780}"/>
    <cellStyle name="Comma 4 2 5 3 2 4" xfId="39740" xr:uid="{BCBE082F-3E9F-44CB-B32A-CF3585F286DB}"/>
    <cellStyle name="Comma 4 2 5 3 2 5" xfId="21142" xr:uid="{96A1F65D-0709-4100-8C0C-078E11E2698E}"/>
    <cellStyle name="Comma 4 2 5 3 3" xfId="5441" xr:uid="{00000000-0005-0000-0000-0000EA080000}"/>
    <cellStyle name="Comma 4 2 5 3 3 2" xfId="14767" xr:uid="{D2E88705-721F-4967-9748-17B0EB7D2A68}"/>
    <cellStyle name="Comma 4 2 5 3 3 2 2" xfId="51109" xr:uid="{8839D0EE-02D6-4052-A5F7-CD139FA6DD7D}"/>
    <cellStyle name="Comma 4 2 5 3 3 2 3" xfId="32513" xr:uid="{D2EF4D12-949F-4F6D-AD7D-05138DDB63CA}"/>
    <cellStyle name="Comma 4 2 5 3 3 3" xfId="41812" xr:uid="{33CEBEA2-F2FD-4A8D-9DEE-4077348A1C98}"/>
    <cellStyle name="Comma 4 2 5 3 3 4" xfId="23214" xr:uid="{7F1DD9B9-8189-49A0-AA2C-70E635007198}"/>
    <cellStyle name="Comma 4 2 5 3 4" xfId="10550" xr:uid="{359A8961-33AC-49EE-8515-29F68283E113}"/>
    <cellStyle name="Comma 4 2 5 3 4 2" xfId="46892" xr:uid="{7607C0B4-15EB-4322-B157-A27D8B5A7B72}"/>
    <cellStyle name="Comma 4 2 5 3 4 3" xfId="28296" xr:uid="{9DA6302E-0665-4E48-83CD-186A91A3DE4C}"/>
    <cellStyle name="Comma 4 2 5 3 5" xfId="37595" xr:uid="{B0C780EF-12BC-4993-BB37-E3EC6AD91B94}"/>
    <cellStyle name="Comma 4 2 5 3 6" xfId="18997" xr:uid="{A2406FFA-B529-486B-871C-896EB6CA8FA9}"/>
    <cellStyle name="Comma 4 2 5 4" xfId="1547" xr:uid="{00000000-0005-0000-0000-0000EB080000}"/>
    <cellStyle name="Comma 4 2 5 4 2" xfId="3777" xr:uid="{00000000-0005-0000-0000-0000EC080000}"/>
    <cellStyle name="Comma 4 2 5 4 2 2" xfId="7999" xr:uid="{00000000-0005-0000-0000-0000ED080000}"/>
    <cellStyle name="Comma 4 2 5 4 2 2 2" xfId="17325" xr:uid="{21F61B5E-F71C-4BA7-996F-F373EC59605E}"/>
    <cellStyle name="Comma 4 2 5 4 2 2 2 2" xfId="53667" xr:uid="{98C1EE26-1435-43D8-BD4E-B79D2B5D11A2}"/>
    <cellStyle name="Comma 4 2 5 4 2 2 2 3" xfId="35071" xr:uid="{1A6A0373-32A2-481A-BB7A-DBE5FA4DAC0B}"/>
    <cellStyle name="Comma 4 2 5 4 2 2 3" xfId="44370" xr:uid="{B4BD7BF5-65E9-42D7-A1D8-851A29CDE0BA}"/>
    <cellStyle name="Comma 4 2 5 4 2 2 4" xfId="25772" xr:uid="{3C82C16E-E937-410D-B80A-3476AE1BCD97}"/>
    <cellStyle name="Comma 4 2 5 4 2 3" xfId="13108" xr:uid="{50F1B7E4-CB76-4D89-BE38-0DEE70307E1C}"/>
    <cellStyle name="Comma 4 2 5 4 2 3 2" xfId="49450" xr:uid="{587F0257-71BB-425D-B97D-0FE8086D9570}"/>
    <cellStyle name="Comma 4 2 5 4 2 3 3" xfId="30854" xr:uid="{3B033735-7304-4BD7-9BCA-442E058DE36E}"/>
    <cellStyle name="Comma 4 2 5 4 2 4" xfId="40153" xr:uid="{AF5861C9-F26A-4CB5-8A9B-A16C1ED5D51C}"/>
    <cellStyle name="Comma 4 2 5 4 2 5" xfId="21555" xr:uid="{4C4AA34A-9181-4068-A041-B203CE469000}"/>
    <cellStyle name="Comma 4 2 5 4 3" xfId="5854" xr:uid="{00000000-0005-0000-0000-0000EE080000}"/>
    <cellStyle name="Comma 4 2 5 4 3 2" xfId="15180" xr:uid="{4AA06B81-3052-4873-8ACE-13D20EAE4CFE}"/>
    <cellStyle name="Comma 4 2 5 4 3 2 2" xfId="51522" xr:uid="{554F5424-AAD7-434B-86AB-714DBC97DB02}"/>
    <cellStyle name="Comma 4 2 5 4 3 2 3" xfId="32926" xr:uid="{E62AD06F-5EAF-4B10-8C6C-611595173798}"/>
    <cellStyle name="Comma 4 2 5 4 3 3" xfId="42225" xr:uid="{91770EE7-6556-4304-AE28-7C1C8FD5FC8A}"/>
    <cellStyle name="Comma 4 2 5 4 3 4" xfId="23627" xr:uid="{9EB6B3DE-5A30-4636-B0AF-F261A7D44689}"/>
    <cellStyle name="Comma 4 2 5 4 4" xfId="10963" xr:uid="{1529E08F-B93E-4D56-875F-F74F6B4D9EBC}"/>
    <cellStyle name="Comma 4 2 5 4 4 2" xfId="47305" xr:uid="{60C0007F-A529-48F1-8CB7-2E33716F41F8}"/>
    <cellStyle name="Comma 4 2 5 4 4 3" xfId="28709" xr:uid="{61A6EC85-6511-40D2-B1D3-CA0C54244F9B}"/>
    <cellStyle name="Comma 4 2 5 4 5" xfId="38008" xr:uid="{233F0F84-9151-46F0-B964-217688DD19B7}"/>
    <cellStyle name="Comma 4 2 5 4 6" xfId="19410" xr:uid="{D8D8F80A-A207-4620-A23B-CD1E2D7A030E}"/>
    <cellStyle name="Comma 4 2 5 5" xfId="1961" xr:uid="{00000000-0005-0000-0000-0000EF080000}"/>
    <cellStyle name="Comma 4 2 5 5 2" xfId="4190" xr:uid="{00000000-0005-0000-0000-0000F0080000}"/>
    <cellStyle name="Comma 4 2 5 5 2 2" xfId="8412" xr:uid="{00000000-0005-0000-0000-0000F1080000}"/>
    <cellStyle name="Comma 4 2 5 5 2 2 2" xfId="17738" xr:uid="{331E2E7E-7AC2-4276-B070-7D88891E16C8}"/>
    <cellStyle name="Comma 4 2 5 5 2 2 2 2" xfId="54080" xr:uid="{BA77618E-86BE-4A84-88FA-3FD0EBF71177}"/>
    <cellStyle name="Comma 4 2 5 5 2 2 2 3" xfId="35484" xr:uid="{1D5EFC1F-A5A6-4650-921A-B484D15CE429}"/>
    <cellStyle name="Comma 4 2 5 5 2 2 3" xfId="44783" xr:uid="{68E9FA20-C964-484A-87B8-0AABC379A88F}"/>
    <cellStyle name="Comma 4 2 5 5 2 2 4" xfId="26185" xr:uid="{370F5FB5-4AA7-4320-82DE-DDB500564A88}"/>
    <cellStyle name="Comma 4 2 5 5 2 3" xfId="13521" xr:uid="{817D8CF6-F15B-4BA0-9B38-EE176872B4EA}"/>
    <cellStyle name="Comma 4 2 5 5 2 3 2" xfId="49863" xr:uid="{D8C82122-D0BA-404C-9071-AF17528C85C0}"/>
    <cellStyle name="Comma 4 2 5 5 2 3 3" xfId="31267" xr:uid="{378BFC91-E2E7-4DEC-9FAF-54602B06B3EB}"/>
    <cellStyle name="Comma 4 2 5 5 2 4" xfId="40566" xr:uid="{CAAD40AF-5626-4C3D-8067-43F1054EA7B1}"/>
    <cellStyle name="Comma 4 2 5 5 2 5" xfId="21968" xr:uid="{2946C865-93B4-4BD9-B9A7-6499331DA676}"/>
    <cellStyle name="Comma 4 2 5 5 3" xfId="6267" xr:uid="{00000000-0005-0000-0000-0000F2080000}"/>
    <cellStyle name="Comma 4 2 5 5 3 2" xfId="15593" xr:uid="{F6D02287-9A31-427A-B6FF-BAFA35747B35}"/>
    <cellStyle name="Comma 4 2 5 5 3 2 2" xfId="51935" xr:uid="{F836455E-3BA8-4E0F-8094-9775E27198B1}"/>
    <cellStyle name="Comma 4 2 5 5 3 2 3" xfId="33339" xr:uid="{7623690C-047B-42B8-954F-40CE2BCE1876}"/>
    <cellStyle name="Comma 4 2 5 5 3 3" xfId="42638" xr:uid="{34ACDA50-0B2F-4FCA-9B1B-9C1CE10D9F6D}"/>
    <cellStyle name="Comma 4 2 5 5 3 4" xfId="24040" xr:uid="{329872DD-5643-4B13-8897-E33F589E4250}"/>
    <cellStyle name="Comma 4 2 5 5 4" xfId="11376" xr:uid="{5FDCBB93-39ED-4061-88BE-739AEC1B9A7A}"/>
    <cellStyle name="Comma 4 2 5 5 4 2" xfId="47718" xr:uid="{04FE0463-677E-4B82-B04C-72EC9BCB56E2}"/>
    <cellStyle name="Comma 4 2 5 5 4 3" xfId="29122" xr:uid="{C7D84DEA-F1D2-44FA-B177-2E7CAD6E4AE0}"/>
    <cellStyle name="Comma 4 2 5 5 5" xfId="38421" xr:uid="{ACCED8C0-7B80-4CBC-BD94-E7DF6E498F67}"/>
    <cellStyle name="Comma 4 2 5 5 6" xfId="19823" xr:uid="{6498BF30-0A1A-4703-94EB-29B2D8B505E9}"/>
    <cellStyle name="Comma 4 2 5 6" xfId="2396" xr:uid="{00000000-0005-0000-0000-0000F3080000}"/>
    <cellStyle name="Comma 4 2 5 6 2" xfId="6680" xr:uid="{00000000-0005-0000-0000-0000F4080000}"/>
    <cellStyle name="Comma 4 2 5 6 2 2" xfId="16006" xr:uid="{CBC96B73-06E1-4088-B039-84BEA6055FA4}"/>
    <cellStyle name="Comma 4 2 5 6 2 2 2" xfId="52348" xr:uid="{12D24E2E-D3F9-47BC-86EA-9750372595DA}"/>
    <cellStyle name="Comma 4 2 5 6 2 2 3" xfId="33752" xr:uid="{0C8160DE-E51E-430A-AD85-366BABFF71AC}"/>
    <cellStyle name="Comma 4 2 5 6 2 3" xfId="43051" xr:uid="{09E6609A-6866-4290-B305-771B6E0B9CD6}"/>
    <cellStyle name="Comma 4 2 5 6 2 4" xfId="24453" xr:uid="{833A000F-2F2C-454C-99BF-C7CE5C96B586}"/>
    <cellStyle name="Comma 4 2 5 6 3" xfId="11789" xr:uid="{67951252-AAE8-4667-90F5-A54D5686E4CD}"/>
    <cellStyle name="Comma 4 2 5 6 3 2" xfId="48131" xr:uid="{AE77B7C4-57EE-4F27-89AE-1614AC4CAD7B}"/>
    <cellStyle name="Comma 4 2 5 6 3 3" xfId="29535" xr:uid="{54AA6C60-BD56-4A8F-BD33-1FCA9F833566}"/>
    <cellStyle name="Comma 4 2 5 6 4" xfId="38834" xr:uid="{1B27F843-5FAA-4B55-B2A2-E9254E421AF7}"/>
    <cellStyle name="Comma 4 2 5 6 5" xfId="20236" xr:uid="{7186897F-F0B7-46FE-A3D3-96B2955126E0}"/>
    <cellStyle name="Comma 4 2 5 7" xfId="2367" xr:uid="{00000000-0005-0000-0000-0000F5080000}"/>
    <cellStyle name="Comma 4 2 5 8" xfId="2774" xr:uid="{00000000-0005-0000-0000-0000F6080000}"/>
    <cellStyle name="Comma 4 2 5 8 2" xfId="6997" xr:uid="{00000000-0005-0000-0000-0000F7080000}"/>
    <cellStyle name="Comma 4 2 5 8 2 2" xfId="16323" xr:uid="{5CAE912D-5BF0-4C92-8848-E08496387294}"/>
    <cellStyle name="Comma 4 2 5 8 2 2 2" xfId="52665" xr:uid="{C6CF23D0-BD72-448C-B56C-4ECEB1932F19}"/>
    <cellStyle name="Comma 4 2 5 8 2 2 3" xfId="34069" xr:uid="{5F2015C6-81DD-4909-A416-CDFCB4CDBB01}"/>
    <cellStyle name="Comma 4 2 5 8 2 3" xfId="43368" xr:uid="{16C1276A-B35D-4E98-A19A-8E1F79C31092}"/>
    <cellStyle name="Comma 4 2 5 8 2 4" xfId="24770" xr:uid="{F9B7355D-811D-4FB8-9181-9826BF364AE4}"/>
    <cellStyle name="Comma 4 2 5 8 3" xfId="12106" xr:uid="{0D4E53C9-EFA5-4301-BD11-710732A6A638}"/>
    <cellStyle name="Comma 4 2 5 8 3 2" xfId="48448" xr:uid="{C34A8D94-B914-44B4-B63F-54C01FD111C5}"/>
    <cellStyle name="Comma 4 2 5 8 3 3" xfId="29852" xr:uid="{7AF7E407-44DB-4499-A6DA-41C3FC634D2B}"/>
    <cellStyle name="Comma 4 2 5 8 4" xfId="39151" xr:uid="{820A74C8-35EC-43B8-A377-C13B70E1B647}"/>
    <cellStyle name="Comma 4 2 5 8 5" xfId="20553" xr:uid="{E2E41A1E-7115-48DB-A502-3AE59984EC02}"/>
    <cellStyle name="Comma 4 2 5 9" xfId="4614" xr:uid="{00000000-0005-0000-0000-0000F8080000}"/>
    <cellStyle name="Comma 4 2 5 9 2" xfId="13940" xr:uid="{88F89431-1F63-43AF-BFE8-A271E0ED83A4}"/>
    <cellStyle name="Comma 4 2 5 9 2 2" xfId="50282" xr:uid="{A3541385-9E28-49BC-A843-229BE9FB19DC}"/>
    <cellStyle name="Comma 4 2 5 9 2 3" xfId="31686" xr:uid="{7266A52C-FD33-4903-AD5B-97185BDF68E5}"/>
    <cellStyle name="Comma 4 2 5 9 3" xfId="40985" xr:uid="{8195DF9A-A013-4073-93F1-C59DAF5D1438}"/>
    <cellStyle name="Comma 4 2 5 9 4" xfId="22387" xr:uid="{30467869-425D-4178-BEEE-C0A899C7CBE4}"/>
    <cellStyle name="Comma 4 2 6" xfId="143" xr:uid="{00000000-0005-0000-0000-0000F9080000}"/>
    <cellStyle name="Comma 4 2 6 10" xfId="9177" xr:uid="{A20A3B72-7630-464F-8E57-DA2B9D6E44FB}"/>
    <cellStyle name="Comma 4 2 6 10 2" xfId="36241" xr:uid="{DE7505CB-DF11-45FC-BD38-B784FCE49DA8}"/>
    <cellStyle name="Comma 4 2 6 10 2 2" xfId="54835" xr:uid="{2EC49D55-9741-4E11-A4BA-86BE32AEFF50}"/>
    <cellStyle name="Comma 4 2 6 10 3" xfId="45538" xr:uid="{230A67AB-66EE-4A68-9EF2-DB6A53EFD117}"/>
    <cellStyle name="Comma 4 2 6 10 4" xfId="26942" xr:uid="{3EF9F865-BF92-46E8-AA1E-5245BA5F82EE}"/>
    <cellStyle name="Comma 4 2 6 11" xfId="9724" xr:uid="{D7C65616-759A-4A81-AF26-F1806597CD25}"/>
    <cellStyle name="Comma 4 2 6 11 2" xfId="46066" xr:uid="{A66C8DA1-5A28-45F6-BC6F-EDD57F731DC0}"/>
    <cellStyle name="Comma 4 2 6 11 3" xfId="27470" xr:uid="{7B3346C4-E92D-4F76-933C-E291427F8DEF}"/>
    <cellStyle name="Comma 4 2 6 12" xfId="36769" xr:uid="{DA29AC9A-4B5F-4391-980F-1CAA9FADC73A}"/>
    <cellStyle name="Comma 4 2 6 13" xfId="18171" xr:uid="{B378E1F6-3E4C-43AC-BFFA-B7F5EBD75821}"/>
    <cellStyle name="Comma 4 2 6 2" xfId="681" xr:uid="{00000000-0005-0000-0000-0000FA080000}"/>
    <cellStyle name="Comma 4 2 6 2 2" xfId="2952" xr:uid="{00000000-0005-0000-0000-0000FB080000}"/>
    <cellStyle name="Comma 4 2 6 2 2 2" xfId="7174" xr:uid="{00000000-0005-0000-0000-0000FC080000}"/>
    <cellStyle name="Comma 4 2 6 2 2 2 2" xfId="16500" xr:uid="{DC197561-7180-4FC3-A46F-4BF4BC6CD428}"/>
    <cellStyle name="Comma 4 2 6 2 2 2 2 2" xfId="52842" xr:uid="{795C3AB7-3103-41DA-89CF-9210A4FC9ADE}"/>
    <cellStyle name="Comma 4 2 6 2 2 2 2 3" xfId="34246" xr:uid="{92BA3E58-2C99-4363-8BB6-346E769DFA8A}"/>
    <cellStyle name="Comma 4 2 6 2 2 2 3" xfId="43545" xr:uid="{EF359935-62A2-4E69-BAC5-8782A1E8D5D6}"/>
    <cellStyle name="Comma 4 2 6 2 2 2 4" xfId="24947" xr:uid="{E917D717-FF94-4820-BD23-5E22C2238109}"/>
    <cellStyle name="Comma 4 2 6 2 2 3" xfId="12283" xr:uid="{A3CB32BA-617D-468B-941F-C25CAE2FEE1A}"/>
    <cellStyle name="Comma 4 2 6 2 2 3 2" xfId="48625" xr:uid="{FE9A53C4-23B7-4809-AE05-078C3498E8E2}"/>
    <cellStyle name="Comma 4 2 6 2 2 3 3" xfId="30029" xr:uid="{66D5BFF7-4393-4B7E-835F-22E23B0C3539}"/>
    <cellStyle name="Comma 4 2 6 2 2 4" xfId="39328" xr:uid="{6ED00F45-8621-4E01-8507-CD765D507179}"/>
    <cellStyle name="Comma 4 2 6 2 2 5" xfId="20730" xr:uid="{4205DD4E-9D84-4C87-9936-9CF825EF6049}"/>
    <cellStyle name="Comma 4 2 6 2 3" xfId="5029" xr:uid="{00000000-0005-0000-0000-0000FD080000}"/>
    <cellStyle name="Comma 4 2 6 2 3 2" xfId="14355" xr:uid="{97F6F102-2C85-4BEE-A3D9-43B21FA5CDF5}"/>
    <cellStyle name="Comma 4 2 6 2 3 2 2" xfId="50697" xr:uid="{710DBC03-59E6-46D6-971C-A5380F9CE481}"/>
    <cellStyle name="Comma 4 2 6 2 3 2 3" xfId="32101" xr:uid="{CBD8044C-CE7F-44F4-A353-1D5F6E0458E5}"/>
    <cellStyle name="Comma 4 2 6 2 3 3" xfId="41400" xr:uid="{C7C690FE-54F3-4CE3-AEEE-C4ABA00A378A}"/>
    <cellStyle name="Comma 4 2 6 2 3 4" xfId="22802" xr:uid="{427AD891-3641-4F1B-B698-C844D644B2D6}"/>
    <cellStyle name="Comma 4 2 6 2 4" xfId="9594" xr:uid="{CCB8D3FE-19FC-4F7F-9966-44FD23A1A32A}"/>
    <cellStyle name="Comma 4 2 6 2 4 2" xfId="36644" xr:uid="{E5B835FC-8B68-4F23-A5B1-AEFAD7A7CD92}"/>
    <cellStyle name="Comma 4 2 6 2 4 2 2" xfId="55238" xr:uid="{729338EA-52BB-448D-A238-F145B9FA44C7}"/>
    <cellStyle name="Comma 4 2 6 2 4 3" xfId="45941" xr:uid="{D5F287C8-78DA-4D85-8371-39424EFB3641}"/>
    <cellStyle name="Comma 4 2 6 2 4 4" xfId="27345" xr:uid="{24F02275-7ECC-4ECD-99D2-EE8E799B6123}"/>
    <cellStyle name="Comma 4 2 6 2 5" xfId="10138" xr:uid="{9A463E81-A1ED-40E5-9357-CEB227FFD58D}"/>
    <cellStyle name="Comma 4 2 6 2 5 2" xfId="46480" xr:uid="{1040ABD0-F387-4FF9-9830-06CCF2CFDB1A}"/>
    <cellStyle name="Comma 4 2 6 2 5 3" xfId="27884" xr:uid="{0694175D-C7A5-4467-B668-7D9729D3BF43}"/>
    <cellStyle name="Comma 4 2 6 2 6" xfId="37183" xr:uid="{B793C718-2E00-4567-9928-0BE1ED5F94A9}"/>
    <cellStyle name="Comma 4 2 6 2 7" xfId="18585" xr:uid="{CEEE22C5-3959-43D5-8E1E-8A0CC3223074}"/>
    <cellStyle name="Comma 4 2 6 3" xfId="1134" xr:uid="{00000000-0005-0000-0000-0000FE080000}"/>
    <cellStyle name="Comma 4 2 6 3 2" xfId="3365" xr:uid="{00000000-0005-0000-0000-0000FF080000}"/>
    <cellStyle name="Comma 4 2 6 3 2 2" xfId="7587" xr:uid="{00000000-0005-0000-0000-000000090000}"/>
    <cellStyle name="Comma 4 2 6 3 2 2 2" xfId="16913" xr:uid="{407F4DDF-9732-47BD-9240-6B2123BF80BB}"/>
    <cellStyle name="Comma 4 2 6 3 2 2 2 2" xfId="53255" xr:uid="{A7C23125-84B5-44C6-AC4A-BDFBC5B874BB}"/>
    <cellStyle name="Comma 4 2 6 3 2 2 2 3" xfId="34659" xr:uid="{0317A635-B08C-4D41-AD02-22A1491616AB}"/>
    <cellStyle name="Comma 4 2 6 3 2 2 3" xfId="43958" xr:uid="{872D6534-2343-46D0-8D40-E3D5204C3A5C}"/>
    <cellStyle name="Comma 4 2 6 3 2 2 4" xfId="25360" xr:uid="{87A220B4-6021-4C10-ACEB-0352E2B5C9EC}"/>
    <cellStyle name="Comma 4 2 6 3 2 3" xfId="12696" xr:uid="{FD91F9FD-FE56-4987-B36F-36A9A86C4A38}"/>
    <cellStyle name="Comma 4 2 6 3 2 3 2" xfId="49038" xr:uid="{98F5CA86-9E88-4DF9-ACB8-B1CC46B3E040}"/>
    <cellStyle name="Comma 4 2 6 3 2 3 3" xfId="30442" xr:uid="{C5864D1D-6E51-4DA6-9810-5D10E966AC4A}"/>
    <cellStyle name="Comma 4 2 6 3 2 4" xfId="39741" xr:uid="{3A2A7C62-14E2-4708-B1BF-299578F7FDDC}"/>
    <cellStyle name="Comma 4 2 6 3 2 5" xfId="21143" xr:uid="{81E770AA-3BCC-4922-8625-7D4C81DC0272}"/>
    <cellStyle name="Comma 4 2 6 3 3" xfId="5442" xr:uid="{00000000-0005-0000-0000-000001090000}"/>
    <cellStyle name="Comma 4 2 6 3 3 2" xfId="14768" xr:uid="{47A772FB-7E63-4FF8-B635-02E751F91F2C}"/>
    <cellStyle name="Comma 4 2 6 3 3 2 2" xfId="51110" xr:uid="{BA09E349-EE2F-4D8A-97B0-436B605869AB}"/>
    <cellStyle name="Comma 4 2 6 3 3 2 3" xfId="32514" xr:uid="{71C11540-AE43-4B76-BB39-9D4AA1991A44}"/>
    <cellStyle name="Comma 4 2 6 3 3 3" xfId="41813" xr:uid="{C2ACADCD-E8B4-4996-A3D9-84D439F7393D}"/>
    <cellStyle name="Comma 4 2 6 3 3 4" xfId="23215" xr:uid="{7EC2AF19-A143-4F3B-9749-76BF1E4C71CA}"/>
    <cellStyle name="Comma 4 2 6 3 4" xfId="10551" xr:uid="{CDC7B42B-ADCC-467E-9F36-052F9DBB91F3}"/>
    <cellStyle name="Comma 4 2 6 3 4 2" xfId="46893" xr:uid="{546BC2DA-C18C-4016-81E7-573A64A75F71}"/>
    <cellStyle name="Comma 4 2 6 3 4 3" xfId="28297" xr:uid="{D69EBA77-EF55-4892-8183-0146C36C1B03}"/>
    <cellStyle name="Comma 4 2 6 3 5" xfId="37596" xr:uid="{8A3C8141-569A-4EE8-84E6-B876F8A39610}"/>
    <cellStyle name="Comma 4 2 6 3 6" xfId="18998" xr:uid="{C211217A-E8B4-4A50-B772-2D6E676831A5}"/>
    <cellStyle name="Comma 4 2 6 4" xfId="1548" xr:uid="{00000000-0005-0000-0000-000002090000}"/>
    <cellStyle name="Comma 4 2 6 4 2" xfId="3778" xr:uid="{00000000-0005-0000-0000-000003090000}"/>
    <cellStyle name="Comma 4 2 6 4 2 2" xfId="8000" xr:uid="{00000000-0005-0000-0000-000004090000}"/>
    <cellStyle name="Comma 4 2 6 4 2 2 2" xfId="17326" xr:uid="{A0B42055-AAD2-4F56-9698-D6A98895A9CC}"/>
    <cellStyle name="Comma 4 2 6 4 2 2 2 2" xfId="53668" xr:uid="{B41216AB-4A1A-4D39-9969-E37E20C10B8F}"/>
    <cellStyle name="Comma 4 2 6 4 2 2 2 3" xfId="35072" xr:uid="{50A8D0BB-6662-4F6E-B82A-F4EAB54078D5}"/>
    <cellStyle name="Comma 4 2 6 4 2 2 3" xfId="44371" xr:uid="{41F02E74-4F52-4BCE-8EAE-B01621B9B5BE}"/>
    <cellStyle name="Comma 4 2 6 4 2 2 4" xfId="25773" xr:uid="{12E7202D-068C-4E6E-A406-AD0818BCAE5D}"/>
    <cellStyle name="Comma 4 2 6 4 2 3" xfId="13109" xr:uid="{32959463-AEEA-49B2-8C29-2F50CCE862D7}"/>
    <cellStyle name="Comma 4 2 6 4 2 3 2" xfId="49451" xr:uid="{24239A8E-7D2C-407C-AFAD-07E2C56B37F1}"/>
    <cellStyle name="Comma 4 2 6 4 2 3 3" xfId="30855" xr:uid="{E868E1D1-3D1F-4C65-8F0C-D7868D5FBD3D}"/>
    <cellStyle name="Comma 4 2 6 4 2 4" xfId="40154" xr:uid="{28E4E442-0A81-484F-9147-692872472DF0}"/>
    <cellStyle name="Comma 4 2 6 4 2 5" xfId="21556" xr:uid="{3E0E1FC9-1FDC-4A9E-81BE-8CF1A2E0796E}"/>
    <cellStyle name="Comma 4 2 6 4 3" xfId="5855" xr:uid="{00000000-0005-0000-0000-000005090000}"/>
    <cellStyle name="Comma 4 2 6 4 3 2" xfId="15181" xr:uid="{7051D29D-534B-4D78-8A67-5CB313782AA9}"/>
    <cellStyle name="Comma 4 2 6 4 3 2 2" xfId="51523" xr:uid="{62C51239-B3CF-4FFF-80C4-C1C6A7420F77}"/>
    <cellStyle name="Comma 4 2 6 4 3 2 3" xfId="32927" xr:uid="{041ED4C7-980B-4C75-9776-7868CD64FA8D}"/>
    <cellStyle name="Comma 4 2 6 4 3 3" xfId="42226" xr:uid="{08639231-E2D9-4A95-8B74-DA9BC6878F88}"/>
    <cellStyle name="Comma 4 2 6 4 3 4" xfId="23628" xr:uid="{45F38F03-7883-46CE-864C-FA4987F68BF9}"/>
    <cellStyle name="Comma 4 2 6 4 4" xfId="10964" xr:uid="{04253001-C426-4BD6-94BE-4DA1DB5DEA19}"/>
    <cellStyle name="Comma 4 2 6 4 4 2" xfId="47306" xr:uid="{996BEC30-22E6-4B45-A29F-92567CC65142}"/>
    <cellStyle name="Comma 4 2 6 4 4 3" xfId="28710" xr:uid="{A0BE370E-CD38-4FF8-82F7-5EF0F7EFC2B6}"/>
    <cellStyle name="Comma 4 2 6 4 5" xfId="38009" xr:uid="{F3468860-A81B-4202-8F7E-A869EB03825A}"/>
    <cellStyle name="Comma 4 2 6 4 6" xfId="19411" xr:uid="{33217FBD-2213-471B-B1D3-9269E3D3685E}"/>
    <cellStyle name="Comma 4 2 6 5" xfId="1962" xr:uid="{00000000-0005-0000-0000-000006090000}"/>
    <cellStyle name="Comma 4 2 6 5 2" xfId="4191" xr:uid="{00000000-0005-0000-0000-000007090000}"/>
    <cellStyle name="Comma 4 2 6 5 2 2" xfId="8413" xr:uid="{00000000-0005-0000-0000-000008090000}"/>
    <cellStyle name="Comma 4 2 6 5 2 2 2" xfId="17739" xr:uid="{86D6C18E-58BD-45E2-B366-704C191F51A9}"/>
    <cellStyle name="Comma 4 2 6 5 2 2 2 2" xfId="54081" xr:uid="{23135354-26D4-462D-A2CC-1579B3D90542}"/>
    <cellStyle name="Comma 4 2 6 5 2 2 2 3" xfId="35485" xr:uid="{2877BC02-EE6D-488F-A9D9-99C81799BEE8}"/>
    <cellStyle name="Comma 4 2 6 5 2 2 3" xfId="44784" xr:uid="{5B2ED8EA-1691-4B31-9248-9F43F5818351}"/>
    <cellStyle name="Comma 4 2 6 5 2 2 4" xfId="26186" xr:uid="{48CC688A-7D4B-463D-AD80-BCBBCC8AE0B1}"/>
    <cellStyle name="Comma 4 2 6 5 2 3" xfId="13522" xr:uid="{8E3C74AF-5798-4446-BE17-DB7A3D61518D}"/>
    <cellStyle name="Comma 4 2 6 5 2 3 2" xfId="49864" xr:uid="{85E47EE4-FF47-4953-95A2-7523228F484E}"/>
    <cellStyle name="Comma 4 2 6 5 2 3 3" xfId="31268" xr:uid="{3D9818D2-1A96-4D76-99D0-BA7EF526DC59}"/>
    <cellStyle name="Comma 4 2 6 5 2 4" xfId="40567" xr:uid="{244EA712-90AE-4AF5-A667-144F0E50E9BC}"/>
    <cellStyle name="Comma 4 2 6 5 2 5" xfId="21969" xr:uid="{70F46ED2-7165-448D-A64B-A737A7E000D4}"/>
    <cellStyle name="Comma 4 2 6 5 3" xfId="6268" xr:uid="{00000000-0005-0000-0000-000009090000}"/>
    <cellStyle name="Comma 4 2 6 5 3 2" xfId="15594" xr:uid="{DC55EBF8-7E65-4710-9FD6-CFF15D337D14}"/>
    <cellStyle name="Comma 4 2 6 5 3 2 2" xfId="51936" xr:uid="{C22F822C-CDF8-4F60-B4BC-341FDC3E7F2A}"/>
    <cellStyle name="Comma 4 2 6 5 3 2 3" xfId="33340" xr:uid="{BBC3212A-471B-46AF-BB7E-D9355702BD76}"/>
    <cellStyle name="Comma 4 2 6 5 3 3" xfId="42639" xr:uid="{C43B4D6F-FA05-4B54-B58B-C1AC1E709A3D}"/>
    <cellStyle name="Comma 4 2 6 5 3 4" xfId="24041" xr:uid="{107551CA-8A27-486B-8675-FFD97FD65BA0}"/>
    <cellStyle name="Comma 4 2 6 5 4" xfId="11377" xr:uid="{392DF959-5C3B-4F3E-AB0C-94057CF84A56}"/>
    <cellStyle name="Comma 4 2 6 5 4 2" xfId="47719" xr:uid="{B10CB151-912C-49EA-8FC7-6C523021DEF5}"/>
    <cellStyle name="Comma 4 2 6 5 4 3" xfId="29123" xr:uid="{E92F825A-2413-411C-9D1C-A33C3DB3F052}"/>
    <cellStyle name="Comma 4 2 6 5 5" xfId="38422" xr:uid="{9DFFA97E-63B3-4F84-805E-29DE17EF3F6F}"/>
    <cellStyle name="Comma 4 2 6 5 6" xfId="19824" xr:uid="{A0D40216-9118-49DD-A1EF-D2CB592C737C}"/>
    <cellStyle name="Comma 4 2 6 6" xfId="2397" xr:uid="{00000000-0005-0000-0000-00000A090000}"/>
    <cellStyle name="Comma 4 2 6 6 2" xfId="6681" xr:uid="{00000000-0005-0000-0000-00000B090000}"/>
    <cellStyle name="Comma 4 2 6 6 2 2" xfId="16007" xr:uid="{CA2BB59F-8B91-4A62-B734-8ECD625E91A9}"/>
    <cellStyle name="Comma 4 2 6 6 2 2 2" xfId="52349" xr:uid="{C838EF97-5349-4F7A-A5EA-6C1E22A3B0D3}"/>
    <cellStyle name="Comma 4 2 6 6 2 2 3" xfId="33753" xr:uid="{B1F8680E-CBD3-4668-A84A-CD04B71DDE01}"/>
    <cellStyle name="Comma 4 2 6 6 2 3" xfId="43052" xr:uid="{0BF8433C-E417-410C-916A-AD82687CEAF0}"/>
    <cellStyle name="Comma 4 2 6 6 2 4" xfId="24454" xr:uid="{81645052-2438-4ADD-AA7A-8DEF869E89EE}"/>
    <cellStyle name="Comma 4 2 6 6 3" xfId="11790" xr:uid="{3C12921B-44E7-4D3B-936A-015AABF1EDC1}"/>
    <cellStyle name="Comma 4 2 6 6 3 2" xfId="48132" xr:uid="{8125F6CC-30AE-42C2-ACD5-CEA945584A82}"/>
    <cellStyle name="Comma 4 2 6 6 3 3" xfId="29536" xr:uid="{0C370BB8-587B-4C51-8D10-2F6BAABCAEB3}"/>
    <cellStyle name="Comma 4 2 6 6 4" xfId="38835" xr:uid="{D954FEA7-C70D-41B2-824C-61EDD91F45A5}"/>
    <cellStyle name="Comma 4 2 6 6 5" xfId="20237" xr:uid="{F7CA574D-0D0D-4AF5-BCD3-E136470528CE}"/>
    <cellStyle name="Comma 4 2 6 7" xfId="2366" xr:uid="{00000000-0005-0000-0000-00000C090000}"/>
    <cellStyle name="Comma 4 2 6 8" xfId="2775" xr:uid="{00000000-0005-0000-0000-00000D090000}"/>
    <cellStyle name="Comma 4 2 6 8 2" xfId="6998" xr:uid="{00000000-0005-0000-0000-00000E090000}"/>
    <cellStyle name="Comma 4 2 6 8 2 2" xfId="16324" xr:uid="{DED0D9DF-880D-4AD4-B9AA-24D4672108EF}"/>
    <cellStyle name="Comma 4 2 6 8 2 2 2" xfId="52666" xr:uid="{CA41F175-4AC3-4872-818D-0A29D110A137}"/>
    <cellStyle name="Comma 4 2 6 8 2 2 3" xfId="34070" xr:uid="{2FA07242-17D4-43D6-ACEA-DF9F3FCE76AC}"/>
    <cellStyle name="Comma 4 2 6 8 2 3" xfId="43369" xr:uid="{DB370916-65F6-4232-9FB0-BDB50FF19321}"/>
    <cellStyle name="Comma 4 2 6 8 2 4" xfId="24771" xr:uid="{98E18426-A576-43BA-A68D-B3ABBBD8F972}"/>
    <cellStyle name="Comma 4 2 6 8 3" xfId="12107" xr:uid="{F0E375CA-4EB8-4AB5-80B4-8D7F2E861E06}"/>
    <cellStyle name="Comma 4 2 6 8 3 2" xfId="48449" xr:uid="{65007636-7844-4E32-AE83-7908A9737C8E}"/>
    <cellStyle name="Comma 4 2 6 8 3 3" xfId="29853" xr:uid="{83987C0D-617B-4E19-830D-3F4453FA36F2}"/>
    <cellStyle name="Comma 4 2 6 8 4" xfId="39152" xr:uid="{700FC6F9-3CE2-405A-ADE7-00FE326ED321}"/>
    <cellStyle name="Comma 4 2 6 8 5" xfId="20554" xr:uid="{7F7E31FE-5444-49E5-84AF-140D0A62D8DF}"/>
    <cellStyle name="Comma 4 2 6 9" xfId="4615" xr:uid="{00000000-0005-0000-0000-00000F090000}"/>
    <cellStyle name="Comma 4 2 6 9 2" xfId="13941" xr:uid="{72E32398-D691-42F9-9F88-F511FCAA5306}"/>
    <cellStyle name="Comma 4 2 6 9 2 2" xfId="50283" xr:uid="{7970DD8C-0BFA-4D26-8682-5E1DBC956BFF}"/>
    <cellStyle name="Comma 4 2 6 9 2 3" xfId="31687" xr:uid="{AE0FA454-3862-4618-A00A-946D48BD7C48}"/>
    <cellStyle name="Comma 4 2 6 9 3" xfId="40986" xr:uid="{B67ED4A9-A0A7-439F-A24D-36B260060CC0}"/>
    <cellStyle name="Comma 4 2 6 9 4" xfId="22388" xr:uid="{DBC60B4F-0952-4D28-B5A0-5128E208E085}"/>
    <cellStyle name="Comma 4 2 7" xfId="9190" xr:uid="{C8B7F6BD-E2DD-41C7-A6AF-A5C7B900A7ED}"/>
    <cellStyle name="Comma 4 2 8" xfId="8755" xr:uid="{40286204-C766-4116-8542-387551AD6364}"/>
    <cellStyle name="Comma 4 2 8 2" xfId="35825" xr:uid="{D5AFC012-FDFE-4FE8-AC92-761A54DBA76F}"/>
    <cellStyle name="Comma 4 2 8 2 2" xfId="54420" xr:uid="{0BE65354-6990-46BD-B410-0F58A576574B}"/>
    <cellStyle name="Comma 4 2 8 3" xfId="45123" xr:uid="{B72FC057-9993-4480-BB90-B9698258A7E4}"/>
    <cellStyle name="Comma 4 2 8 4" xfId="26526" xr:uid="{9BEC64ED-28C0-496C-9F0E-CDC39ADB58CF}"/>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16325" xr:uid="{C72053B5-EA44-4D74-940E-01548039AB67}"/>
    <cellStyle name="Comma 4 3 2 10 2 2 2" xfId="52667" xr:uid="{F4346ABF-D033-4428-917D-A64BEBC1DC19}"/>
    <cellStyle name="Comma 4 3 2 10 2 2 3" xfId="34071" xr:uid="{2CA72E55-F9F1-4418-BEC1-FA7B65CFEF0F}"/>
    <cellStyle name="Comma 4 3 2 10 2 3" xfId="43370" xr:uid="{F7FD87EE-3573-474D-A242-C4F5D9D2CD71}"/>
    <cellStyle name="Comma 4 3 2 10 2 4" xfId="24772" xr:uid="{99A65398-4960-4590-B296-69BC8C2DB9D9}"/>
    <cellStyle name="Comma 4 3 2 10 3" xfId="12108" xr:uid="{5F3FE430-CF5E-49FF-8CB0-8357EBB5B6B4}"/>
    <cellStyle name="Comma 4 3 2 10 3 2" xfId="48450" xr:uid="{4701EC32-4D42-432E-A311-F77D5E1ACE5C}"/>
    <cellStyle name="Comma 4 3 2 10 3 3" xfId="29854" xr:uid="{9DCB54D0-E7CA-417B-A587-00E83123FAEF}"/>
    <cellStyle name="Comma 4 3 2 10 4" xfId="39153" xr:uid="{6149050E-F230-49B9-A386-FBC1A1577D94}"/>
    <cellStyle name="Comma 4 3 2 10 5" xfId="20555" xr:uid="{459F189A-5EDD-425E-B9A5-D986B2F912CA}"/>
    <cellStyle name="Comma 4 3 2 11" xfId="4616" xr:uid="{00000000-0005-0000-0000-000014090000}"/>
    <cellStyle name="Comma 4 3 2 11 2" xfId="13942" xr:uid="{0FBB7352-DF45-4578-92F6-BF6EFB1A1FF6}"/>
    <cellStyle name="Comma 4 3 2 11 2 2" xfId="50284" xr:uid="{EDF9A3EA-B2BB-4681-9F2B-2B2B811D7C80}"/>
    <cellStyle name="Comma 4 3 2 11 2 3" xfId="31688" xr:uid="{6E6F565B-D3B2-48C8-8D72-354CF467EC7C}"/>
    <cellStyle name="Comma 4 3 2 11 3" xfId="40987" xr:uid="{52A7B3D8-D05C-4069-A7C0-F1BE5D129E07}"/>
    <cellStyle name="Comma 4 3 2 11 4" xfId="22389" xr:uid="{7DCE640D-00C3-4E2A-95E8-D23CAF8F28E6}"/>
    <cellStyle name="Comma 4 3 2 12" xfId="8807" xr:uid="{5C5EF314-D0DB-425B-AE7D-D52FEEE90EC1}"/>
    <cellStyle name="Comma 4 3 2 12 2" xfId="35877" xr:uid="{7BCD74C9-616F-4858-B318-9AD169EC9BA5}"/>
    <cellStyle name="Comma 4 3 2 12 2 2" xfId="54472" xr:uid="{BC76D221-68B9-45EF-B128-AFB0FF130E7A}"/>
    <cellStyle name="Comma 4 3 2 12 3" xfId="45175" xr:uid="{C86FF454-8615-407E-A8A0-121577550EA6}"/>
    <cellStyle name="Comma 4 3 2 12 4" xfId="26578" xr:uid="{EF1ACBA2-23C7-420F-8416-A62ABA3800F0}"/>
    <cellStyle name="Comma 4 3 2 13" xfId="9725" xr:uid="{5858C3DC-A3C5-4FA0-B1AE-BB8011E8A543}"/>
    <cellStyle name="Comma 4 3 2 13 2" xfId="46067" xr:uid="{FE49A38B-31EB-4477-8FC5-521587AF1E14}"/>
    <cellStyle name="Comma 4 3 2 13 3" xfId="27471" xr:uid="{F2F0CDA2-EFB7-438D-837E-B0A76708E03A}"/>
    <cellStyle name="Comma 4 3 2 14" xfId="36770" xr:uid="{F47A8DBD-C04E-441A-9E63-B43D39CBF6A1}"/>
    <cellStyle name="Comma 4 3 2 15" xfId="18172" xr:uid="{03CDB477-2608-4FDD-A851-598A8716A32D}"/>
    <cellStyle name="Comma 4 3 2 2" xfId="146" xr:uid="{00000000-0005-0000-0000-000015090000}"/>
    <cellStyle name="Comma 4 3 2 2 10" xfId="4617" xr:uid="{00000000-0005-0000-0000-000016090000}"/>
    <cellStyle name="Comma 4 3 2 2 10 2" xfId="13943" xr:uid="{9D217308-D86B-41B4-AC2A-3EE65F4275A7}"/>
    <cellStyle name="Comma 4 3 2 2 10 2 2" xfId="50285" xr:uid="{7FF3B9AF-A725-4CED-BAAB-9695CAD0D815}"/>
    <cellStyle name="Comma 4 3 2 2 10 2 3" xfId="31689" xr:uid="{DD74E743-D306-487C-A129-10A968CA9FA3}"/>
    <cellStyle name="Comma 4 3 2 2 10 3" xfId="40988" xr:uid="{AC603990-0920-40B1-BD4C-B039A6D93190}"/>
    <cellStyle name="Comma 4 3 2 2 10 4" xfId="22390" xr:uid="{BF63291E-68E9-445F-A38B-572E0FACE8B4}"/>
    <cellStyle name="Comma 4 3 2 2 11" xfId="8910" xr:uid="{15019DD0-71A0-438D-B796-68DE42B22692}"/>
    <cellStyle name="Comma 4 3 2 2 11 2" xfId="35980" xr:uid="{BCC3F15E-EF69-4FBB-B192-9ED1ABBF5F44}"/>
    <cellStyle name="Comma 4 3 2 2 11 2 2" xfId="54575" xr:uid="{5652A30A-4E8A-4EFE-BBB9-8F8A11FD5E8A}"/>
    <cellStyle name="Comma 4 3 2 2 11 3" xfId="45278" xr:uid="{BEA5D1EA-51E8-4ECA-9B9E-000C7CBFB169}"/>
    <cellStyle name="Comma 4 3 2 2 11 4" xfId="26681" xr:uid="{CB88E3C4-4CD3-4D0A-9353-86AC6A58F1CB}"/>
    <cellStyle name="Comma 4 3 2 2 12" xfId="9726" xr:uid="{FF2A535F-5152-40AC-A2DD-91503371B5F5}"/>
    <cellStyle name="Comma 4 3 2 2 12 2" xfId="46068" xr:uid="{991FB5F9-42B2-4051-9C0D-D5DFD8945298}"/>
    <cellStyle name="Comma 4 3 2 2 12 3" xfId="27472" xr:uid="{3C52775B-B65E-4671-89AD-A22FAFEBC7CA}"/>
    <cellStyle name="Comma 4 3 2 2 13" xfId="36771" xr:uid="{69097E31-D195-4130-9B66-D24978883FBB}"/>
    <cellStyle name="Comma 4 3 2 2 14" xfId="18173" xr:uid="{1C4B25A3-AB82-495F-B25A-EDF7620C6F85}"/>
    <cellStyle name="Comma 4 3 2 2 2" xfId="147" xr:uid="{00000000-0005-0000-0000-000017090000}"/>
    <cellStyle name="Comma 4 3 2 2 2 10" xfId="9117" xr:uid="{1409F531-DBF2-41E0-9C74-F9317358BA15}"/>
    <cellStyle name="Comma 4 3 2 2 2 10 2" xfId="36187" xr:uid="{0FF7F31A-9A7C-410E-9E95-AABCF03C2293}"/>
    <cellStyle name="Comma 4 3 2 2 2 10 2 2" xfId="54782" xr:uid="{E00E6367-6C7B-4559-AC7F-C94E0BA4D83D}"/>
    <cellStyle name="Comma 4 3 2 2 2 10 3" xfId="45485" xr:uid="{D31DD9F9-CC90-4D8C-9A19-8C8D45A0654B}"/>
    <cellStyle name="Comma 4 3 2 2 2 10 4" xfId="26888" xr:uid="{090D5292-0003-47C3-95E9-106DCF5B96EB}"/>
    <cellStyle name="Comma 4 3 2 2 2 11" xfId="9727" xr:uid="{D660528E-ED7D-40B6-A8D9-3205DAFBBC10}"/>
    <cellStyle name="Comma 4 3 2 2 2 11 2" xfId="46069" xr:uid="{0D910861-B197-4EF4-A196-004B20CBD920}"/>
    <cellStyle name="Comma 4 3 2 2 2 11 3" xfId="27473" xr:uid="{2EB93D5F-38A5-4593-BB03-3D825374295B}"/>
    <cellStyle name="Comma 4 3 2 2 2 12" xfId="36772" xr:uid="{52065CA9-4079-49BE-94DF-9377D0989662}"/>
    <cellStyle name="Comma 4 3 2 2 2 13" xfId="18174" xr:uid="{F6709965-136C-4E5C-9B86-E5ED5763DE80}"/>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16503" xr:uid="{9515B8D9-1782-4370-9CFD-F3BA193A8FE0}"/>
    <cellStyle name="Comma 4 3 2 2 2 2 2 2 2 2" xfId="52845" xr:uid="{303995CE-A282-4038-ADF1-2A715A2AFA1B}"/>
    <cellStyle name="Comma 4 3 2 2 2 2 2 2 2 3" xfId="34249" xr:uid="{353D6644-2124-4364-86E3-6A13D4022303}"/>
    <cellStyle name="Comma 4 3 2 2 2 2 2 2 3" xfId="43548" xr:uid="{AAF20AAB-8B7B-4034-8325-64B76855B655}"/>
    <cellStyle name="Comma 4 3 2 2 2 2 2 2 4" xfId="24950" xr:uid="{91C35260-6D0E-445C-8BBA-BCAB2A5E1A8D}"/>
    <cellStyle name="Comma 4 3 2 2 2 2 2 3" xfId="12286" xr:uid="{968D77BB-9B1B-4572-8449-F7F88516FDD4}"/>
    <cellStyle name="Comma 4 3 2 2 2 2 2 3 2" xfId="48628" xr:uid="{8C7B8262-15D2-460F-B0DC-9ADEE440BFB7}"/>
    <cellStyle name="Comma 4 3 2 2 2 2 2 3 3" xfId="30032" xr:uid="{847A8F9C-A774-420C-979E-EA4C5D815094}"/>
    <cellStyle name="Comma 4 3 2 2 2 2 2 4" xfId="39331" xr:uid="{D96087FB-D4F2-4EDD-90CB-8A57C672F6D6}"/>
    <cellStyle name="Comma 4 3 2 2 2 2 2 5" xfId="20733" xr:uid="{A0EE9C3E-5AE2-49CB-A440-BB41E69CD4D0}"/>
    <cellStyle name="Comma 4 3 2 2 2 2 3" xfId="5032" xr:uid="{00000000-0005-0000-0000-00001B090000}"/>
    <cellStyle name="Comma 4 3 2 2 2 2 3 2" xfId="14358" xr:uid="{0CAF3667-7290-4412-B53D-515870E26CCB}"/>
    <cellStyle name="Comma 4 3 2 2 2 2 3 2 2" xfId="50700" xr:uid="{3C7E31D8-29B1-4500-AB10-64FE346738A1}"/>
    <cellStyle name="Comma 4 3 2 2 2 2 3 2 3" xfId="32104" xr:uid="{412FF7E0-B072-4D1D-B4BE-CE13F5B8207F}"/>
    <cellStyle name="Comma 4 3 2 2 2 2 3 3" xfId="41403" xr:uid="{3A1C2504-164F-42F3-96D0-0996C6EF3403}"/>
    <cellStyle name="Comma 4 3 2 2 2 2 3 4" xfId="22805" xr:uid="{96C5EFD0-2100-48FF-BFDC-B0E99DBFFA97}"/>
    <cellStyle name="Comma 4 3 2 2 2 2 4" xfId="9542" xr:uid="{26CD77CC-F017-4839-8245-BBF245D45E53}"/>
    <cellStyle name="Comma 4 3 2 2 2 2 4 2" xfId="36603" xr:uid="{A0864FB9-2271-49F2-AB35-6D078342294E}"/>
    <cellStyle name="Comma 4 3 2 2 2 2 4 2 2" xfId="55197" xr:uid="{EE6E40B4-0D4A-406F-9D4C-85D555F7D05C}"/>
    <cellStyle name="Comma 4 3 2 2 2 2 4 3" xfId="45900" xr:uid="{FEFB8108-D250-4176-B127-B5ED0CCF50D6}"/>
    <cellStyle name="Comma 4 3 2 2 2 2 4 4" xfId="27304" xr:uid="{872AABB0-941B-4FEE-9837-191894DC5539}"/>
    <cellStyle name="Comma 4 3 2 2 2 2 5" xfId="10141" xr:uid="{CECD669E-154E-40CF-89A3-451E91F14FDD}"/>
    <cellStyle name="Comma 4 3 2 2 2 2 5 2" xfId="46483" xr:uid="{0DCC29E0-1973-42E7-9E4F-F49349E4561D}"/>
    <cellStyle name="Comma 4 3 2 2 2 2 5 3" xfId="27887" xr:uid="{8D31D450-BAA0-4A7D-B8FC-F94F94D193E6}"/>
    <cellStyle name="Comma 4 3 2 2 2 2 6" xfId="37186" xr:uid="{C57EB0A0-843D-43FA-9B9F-4DFA1F9E4C9F}"/>
    <cellStyle name="Comma 4 3 2 2 2 2 7" xfId="18588" xr:uid="{9BBC98A9-7EDB-4FC0-8D0F-AF21026EB431}"/>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16916" xr:uid="{C28ABFAA-CD11-4ECD-A5BA-6949DEC55343}"/>
    <cellStyle name="Comma 4 3 2 2 2 3 2 2 2 2" xfId="53258" xr:uid="{07CE6949-8873-44B2-AA7D-69B4DE8449CD}"/>
    <cellStyle name="Comma 4 3 2 2 2 3 2 2 2 3" xfId="34662" xr:uid="{8F9A1F96-5DD5-4884-AA97-200A2A4D2500}"/>
    <cellStyle name="Comma 4 3 2 2 2 3 2 2 3" xfId="43961" xr:uid="{D30A9EFE-E0C1-41E5-8948-359DE26DF733}"/>
    <cellStyle name="Comma 4 3 2 2 2 3 2 2 4" xfId="25363" xr:uid="{0A80A5B2-A565-415D-B1C3-D257465D120A}"/>
    <cellStyle name="Comma 4 3 2 2 2 3 2 3" xfId="12699" xr:uid="{8B6968CC-84FD-4192-BDDD-F53FF79F5136}"/>
    <cellStyle name="Comma 4 3 2 2 2 3 2 3 2" xfId="49041" xr:uid="{E6ADF1E0-962E-4521-858A-9C86BBE1A31A}"/>
    <cellStyle name="Comma 4 3 2 2 2 3 2 3 3" xfId="30445" xr:uid="{3E7876F9-8287-4673-9629-0DE642EE471A}"/>
    <cellStyle name="Comma 4 3 2 2 2 3 2 4" xfId="39744" xr:uid="{16F255EF-8C42-464C-BA71-DCE8551615F7}"/>
    <cellStyle name="Comma 4 3 2 2 2 3 2 5" xfId="21146" xr:uid="{22012CCD-A5BE-4198-93B2-BC49D60CEA06}"/>
    <cellStyle name="Comma 4 3 2 2 2 3 3" xfId="5445" xr:uid="{00000000-0005-0000-0000-00001F090000}"/>
    <cellStyle name="Comma 4 3 2 2 2 3 3 2" xfId="14771" xr:uid="{5000F7CA-C3A7-4D57-A469-C4AC19148C61}"/>
    <cellStyle name="Comma 4 3 2 2 2 3 3 2 2" xfId="51113" xr:uid="{37AB46B8-8ABF-45A4-BF6C-A7339D2B0F3E}"/>
    <cellStyle name="Comma 4 3 2 2 2 3 3 2 3" xfId="32517" xr:uid="{37DF9B5F-ABAA-4323-BB7A-51DF995D2398}"/>
    <cellStyle name="Comma 4 3 2 2 2 3 3 3" xfId="41816" xr:uid="{22FC6B63-0277-413C-8888-C0493C65E9D8}"/>
    <cellStyle name="Comma 4 3 2 2 2 3 3 4" xfId="23218" xr:uid="{895D85A4-30D6-4437-8225-3248A5A41FDD}"/>
    <cellStyle name="Comma 4 3 2 2 2 3 4" xfId="10554" xr:uid="{F6D9C9A4-C926-4608-BBD0-6EBA16D1ADB9}"/>
    <cellStyle name="Comma 4 3 2 2 2 3 4 2" xfId="46896" xr:uid="{52DEB1E8-9E67-471C-BA13-E890AFA7F705}"/>
    <cellStyle name="Comma 4 3 2 2 2 3 4 3" xfId="28300" xr:uid="{8B1DAD53-44EE-4BA6-BF34-3DC7822BD901}"/>
    <cellStyle name="Comma 4 3 2 2 2 3 5" xfId="37599" xr:uid="{733885C0-3C56-470C-BF97-A54EED6A1728}"/>
    <cellStyle name="Comma 4 3 2 2 2 3 6" xfId="19001" xr:uid="{1F3CA5D8-805E-4544-B1F4-FECA310DABDE}"/>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17329" xr:uid="{0E2506A0-3B98-4E5D-B942-2B3AAFB9CB6E}"/>
    <cellStyle name="Comma 4 3 2 2 2 4 2 2 2 2" xfId="53671" xr:uid="{43736198-7DEA-4293-B1FB-780247E186EF}"/>
    <cellStyle name="Comma 4 3 2 2 2 4 2 2 2 3" xfId="35075" xr:uid="{792451AA-7948-4A92-BCB3-F10AEC20F76D}"/>
    <cellStyle name="Comma 4 3 2 2 2 4 2 2 3" xfId="44374" xr:uid="{67702D42-E44A-4140-929F-7FD6D72643D6}"/>
    <cellStyle name="Comma 4 3 2 2 2 4 2 2 4" xfId="25776" xr:uid="{B816E9A3-6330-4C1E-BFD4-D3044FD6AB98}"/>
    <cellStyle name="Comma 4 3 2 2 2 4 2 3" xfId="13112" xr:uid="{90545BFB-1BF0-4ACD-ABA9-5BAC6B2E5DB7}"/>
    <cellStyle name="Comma 4 3 2 2 2 4 2 3 2" xfId="49454" xr:uid="{5F7BFD42-5112-4072-BFF1-EB298FD9150C}"/>
    <cellStyle name="Comma 4 3 2 2 2 4 2 3 3" xfId="30858" xr:uid="{AB5572A4-ECB8-45BC-ABA6-1784D14CFAA5}"/>
    <cellStyle name="Comma 4 3 2 2 2 4 2 4" xfId="40157" xr:uid="{4D31AE32-4645-4F37-B538-03394AEC6D16}"/>
    <cellStyle name="Comma 4 3 2 2 2 4 2 5" xfId="21559" xr:uid="{1DBC7624-DA0D-4B13-A1DC-8C2C7A3C8404}"/>
    <cellStyle name="Comma 4 3 2 2 2 4 3" xfId="5858" xr:uid="{00000000-0005-0000-0000-000023090000}"/>
    <cellStyle name="Comma 4 3 2 2 2 4 3 2" xfId="15184" xr:uid="{F06B34F4-5EFA-43F5-9E6D-8F62F31441EE}"/>
    <cellStyle name="Comma 4 3 2 2 2 4 3 2 2" xfId="51526" xr:uid="{07387061-3B24-4BDF-BE15-CF4AB6EF74A4}"/>
    <cellStyle name="Comma 4 3 2 2 2 4 3 2 3" xfId="32930" xr:uid="{4706A601-20EA-4A9E-948A-B33B243CFB21}"/>
    <cellStyle name="Comma 4 3 2 2 2 4 3 3" xfId="42229" xr:uid="{7ED55019-7344-4FF2-A5ED-ADFD4B7D6174}"/>
    <cellStyle name="Comma 4 3 2 2 2 4 3 4" xfId="23631" xr:uid="{BBFE19CB-5C8F-452C-B190-BE5C2E3B2AAA}"/>
    <cellStyle name="Comma 4 3 2 2 2 4 4" xfId="10967" xr:uid="{0C8BADB3-CAEF-4319-8CAC-50E2CA729940}"/>
    <cellStyle name="Comma 4 3 2 2 2 4 4 2" xfId="47309" xr:uid="{D3A5B0F4-EE90-4BD6-AAFF-D5068EBC231B}"/>
    <cellStyle name="Comma 4 3 2 2 2 4 4 3" xfId="28713" xr:uid="{5F772A2A-93D3-428A-BA99-3196C360FA07}"/>
    <cellStyle name="Comma 4 3 2 2 2 4 5" xfId="38012" xr:uid="{D9F3AEE0-A3A3-47C3-94C3-C10C3B3A4781}"/>
    <cellStyle name="Comma 4 3 2 2 2 4 6" xfId="19414" xr:uid="{47F49A5B-48D7-48CB-A8A4-9E721B1A7919}"/>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17742" xr:uid="{EEFE91FD-75F2-4EB9-BD5B-53EB998AD154}"/>
    <cellStyle name="Comma 4 3 2 2 2 5 2 2 2 2" xfId="54084" xr:uid="{A0E71CE6-DFD4-4531-B997-AAB13E3E41F7}"/>
    <cellStyle name="Comma 4 3 2 2 2 5 2 2 2 3" xfId="35488" xr:uid="{BAF37D27-6A89-4D23-9577-B286A8C6D136}"/>
    <cellStyle name="Comma 4 3 2 2 2 5 2 2 3" xfId="44787" xr:uid="{7112E568-55A0-4B3C-A153-361F6C35386B}"/>
    <cellStyle name="Comma 4 3 2 2 2 5 2 2 4" xfId="26189" xr:uid="{97AE3044-778C-43CA-BBE8-ED0A14C8EA1F}"/>
    <cellStyle name="Comma 4 3 2 2 2 5 2 3" xfId="13525" xr:uid="{88359F96-0D01-4EB4-B390-CD624EC51DB1}"/>
    <cellStyle name="Comma 4 3 2 2 2 5 2 3 2" xfId="49867" xr:uid="{4555D08E-2BD2-4E16-B9C7-5FA761E0E782}"/>
    <cellStyle name="Comma 4 3 2 2 2 5 2 3 3" xfId="31271" xr:uid="{A97B235A-859F-4773-BC4D-9D9AD4AC058D}"/>
    <cellStyle name="Comma 4 3 2 2 2 5 2 4" xfId="40570" xr:uid="{009E46F5-C5CE-4328-B2CE-FA5A2350C6FA}"/>
    <cellStyle name="Comma 4 3 2 2 2 5 2 5" xfId="21972" xr:uid="{C451A4D3-2291-40AC-BD2F-0BD423F5901E}"/>
    <cellStyle name="Comma 4 3 2 2 2 5 3" xfId="6271" xr:uid="{00000000-0005-0000-0000-000027090000}"/>
    <cellStyle name="Comma 4 3 2 2 2 5 3 2" xfId="15597" xr:uid="{A1D42B9F-2481-4674-9FA6-9E67BC224B69}"/>
    <cellStyle name="Comma 4 3 2 2 2 5 3 2 2" xfId="51939" xr:uid="{3512685B-5ADD-449E-A6AC-DD9B42BAE621}"/>
    <cellStyle name="Comma 4 3 2 2 2 5 3 2 3" xfId="33343" xr:uid="{D5378F11-9881-44B9-8614-BDFBF38A5432}"/>
    <cellStyle name="Comma 4 3 2 2 2 5 3 3" xfId="42642" xr:uid="{A0DA9FBE-B945-429B-BD84-5C9DFFE90800}"/>
    <cellStyle name="Comma 4 3 2 2 2 5 3 4" xfId="24044" xr:uid="{E9ABDCC3-5D4D-4824-B7E3-2E9DCE7E3D02}"/>
    <cellStyle name="Comma 4 3 2 2 2 5 4" xfId="11380" xr:uid="{A31F078E-D171-4DD7-BEF2-C03B70732D89}"/>
    <cellStyle name="Comma 4 3 2 2 2 5 4 2" xfId="47722" xr:uid="{CF727DA3-C6AC-402F-A67B-F4B63DEEA6CC}"/>
    <cellStyle name="Comma 4 3 2 2 2 5 4 3" xfId="29126" xr:uid="{A5EBA95A-1542-4FE8-B6C3-918315C85CBB}"/>
    <cellStyle name="Comma 4 3 2 2 2 5 5" xfId="38425" xr:uid="{CE705FD4-9913-4026-8EFD-2218F353B309}"/>
    <cellStyle name="Comma 4 3 2 2 2 5 6" xfId="19827" xr:uid="{705D8501-B0BB-4EED-9E1C-6A3911BC6B0D}"/>
    <cellStyle name="Comma 4 3 2 2 2 6" xfId="2400" xr:uid="{00000000-0005-0000-0000-000028090000}"/>
    <cellStyle name="Comma 4 3 2 2 2 6 2" xfId="6684" xr:uid="{00000000-0005-0000-0000-000029090000}"/>
    <cellStyle name="Comma 4 3 2 2 2 6 2 2" xfId="16010" xr:uid="{A00C44A3-474C-46DE-B24E-D9C323A4A49C}"/>
    <cellStyle name="Comma 4 3 2 2 2 6 2 2 2" xfId="52352" xr:uid="{33F50091-ABAE-48E8-954F-725217D857BF}"/>
    <cellStyle name="Comma 4 3 2 2 2 6 2 2 3" xfId="33756" xr:uid="{3F8606BE-66BC-433A-BEBF-885AF563C8AB}"/>
    <cellStyle name="Comma 4 3 2 2 2 6 2 3" xfId="43055" xr:uid="{7481074D-7D8E-41EA-AAD1-CBEE8F01C2F3}"/>
    <cellStyle name="Comma 4 3 2 2 2 6 2 4" xfId="24457" xr:uid="{F40849A9-FFDE-4C51-BB23-0567666E8356}"/>
    <cellStyle name="Comma 4 3 2 2 2 6 3" xfId="11793" xr:uid="{8843021F-5E06-414F-BD47-0024E4911DA2}"/>
    <cellStyle name="Comma 4 3 2 2 2 6 3 2" xfId="48135" xr:uid="{09CF70C1-5CDE-453F-A20F-6D107836C1E8}"/>
    <cellStyle name="Comma 4 3 2 2 2 6 3 3" xfId="29539" xr:uid="{DD9A8E7A-485D-4D53-A6BC-CC575532C5CB}"/>
    <cellStyle name="Comma 4 3 2 2 2 6 4" xfId="38838" xr:uid="{4A8CDCB2-8B55-4B29-A03A-7560CC9A7DAC}"/>
    <cellStyle name="Comma 4 3 2 2 2 6 5" xfId="20240" xr:uid="{4F921BD6-C735-4B23-AB36-93CDE23223DC}"/>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16327" xr:uid="{B9685700-0EFD-45C2-8BFD-C5C799EB3F7D}"/>
    <cellStyle name="Comma 4 3 2 2 2 8 2 2 2" xfId="52669" xr:uid="{F9E85FD0-6F97-4EB3-8E79-C8742A1FC14D}"/>
    <cellStyle name="Comma 4 3 2 2 2 8 2 2 3" xfId="34073" xr:uid="{878DFDB6-594B-4354-B8D5-0E38CCC89359}"/>
    <cellStyle name="Comma 4 3 2 2 2 8 2 3" xfId="43372" xr:uid="{EA6001E5-B17C-4263-AC11-4BE5EF8F09E2}"/>
    <cellStyle name="Comma 4 3 2 2 2 8 2 4" xfId="24774" xr:uid="{7FC2C824-7625-49CD-B63D-67F62DD0433A}"/>
    <cellStyle name="Comma 4 3 2 2 2 8 3" xfId="12110" xr:uid="{82627142-3ECE-44C1-B545-1F549480C607}"/>
    <cellStyle name="Comma 4 3 2 2 2 8 3 2" xfId="48452" xr:uid="{992B2BF2-D7BA-4495-AF63-65EDA11A2556}"/>
    <cellStyle name="Comma 4 3 2 2 2 8 3 3" xfId="29856" xr:uid="{AA45AECD-D37A-4878-8F39-6B98BD8CF65F}"/>
    <cellStyle name="Comma 4 3 2 2 2 8 4" xfId="39155" xr:uid="{D60B399E-AC89-4FB0-9BB2-1C3208F051CA}"/>
    <cellStyle name="Comma 4 3 2 2 2 8 5" xfId="20557" xr:uid="{00AA9133-9B4A-4DD8-AD7A-30ADB26E390A}"/>
    <cellStyle name="Comma 4 3 2 2 2 9" xfId="4618" xr:uid="{00000000-0005-0000-0000-00002D090000}"/>
    <cellStyle name="Comma 4 3 2 2 2 9 2" xfId="13944" xr:uid="{B6B42333-D8F1-46FF-BBA1-2348E6F68B12}"/>
    <cellStyle name="Comma 4 3 2 2 2 9 2 2" xfId="50286" xr:uid="{699F331E-A431-479F-A8AE-474E4D8EB8FC}"/>
    <cellStyle name="Comma 4 3 2 2 2 9 2 3" xfId="31690" xr:uid="{1C3F9AB2-05AC-4248-BE56-888DEC5678B1}"/>
    <cellStyle name="Comma 4 3 2 2 2 9 3" xfId="40989" xr:uid="{11046407-61E2-472E-B1E9-31042ECEC394}"/>
    <cellStyle name="Comma 4 3 2 2 2 9 4" xfId="22391" xr:uid="{6C3ECF88-DE86-4515-96AC-F0DA81712F3E}"/>
    <cellStyle name="Comma 4 3 2 2 3" xfId="683" xr:uid="{00000000-0005-0000-0000-00002E090000}"/>
    <cellStyle name="Comma 4 3 2 2 3 2" xfId="2954" xr:uid="{00000000-0005-0000-0000-00002F090000}"/>
    <cellStyle name="Comma 4 3 2 2 3 2 2" xfId="7176" xr:uid="{00000000-0005-0000-0000-000030090000}"/>
    <cellStyle name="Comma 4 3 2 2 3 2 2 2" xfId="16502" xr:uid="{E8D0C1FB-3982-43B2-A450-8583E9FFC714}"/>
    <cellStyle name="Comma 4 3 2 2 3 2 2 2 2" xfId="52844" xr:uid="{7A0B2B4D-658C-4D2C-807A-B27DF46EEA09}"/>
    <cellStyle name="Comma 4 3 2 2 3 2 2 2 3" xfId="34248" xr:uid="{19F8F69C-19FA-4BE9-A959-735C71FBF510}"/>
    <cellStyle name="Comma 4 3 2 2 3 2 2 3" xfId="43547" xr:uid="{353E9DC5-3E68-444A-BFFB-7122DCB7DBCF}"/>
    <cellStyle name="Comma 4 3 2 2 3 2 2 4" xfId="24949" xr:uid="{9BB39FD9-2069-47CB-AC77-D45BB8027997}"/>
    <cellStyle name="Comma 4 3 2 2 3 2 3" xfId="12285" xr:uid="{AE09F22E-5F18-40BF-BC6C-7D7324AF611A}"/>
    <cellStyle name="Comma 4 3 2 2 3 2 3 2" xfId="48627" xr:uid="{96CD820D-2626-4FE5-9BD7-F468D9A36020}"/>
    <cellStyle name="Comma 4 3 2 2 3 2 3 3" xfId="30031" xr:uid="{7B75123F-17F0-4BAC-B996-746B50875863}"/>
    <cellStyle name="Comma 4 3 2 2 3 2 4" xfId="39330" xr:uid="{FD8DA1AB-771D-4BB9-A2CD-88C53BD74206}"/>
    <cellStyle name="Comma 4 3 2 2 3 2 5" xfId="20732" xr:uid="{834E1677-3E55-4844-B86E-09AF59B745EF}"/>
    <cellStyle name="Comma 4 3 2 2 3 3" xfId="5031" xr:uid="{00000000-0005-0000-0000-000031090000}"/>
    <cellStyle name="Comma 4 3 2 2 3 3 2" xfId="14357" xr:uid="{8280F717-8426-4827-A9C5-3F3CCE8BC9F8}"/>
    <cellStyle name="Comma 4 3 2 2 3 3 2 2" xfId="50699" xr:uid="{ABEB3DA2-5641-45B9-9ED0-20BEF6EAF8D1}"/>
    <cellStyle name="Comma 4 3 2 2 3 3 2 3" xfId="32103" xr:uid="{4B29C45E-6E24-4EDC-94E2-D6D007CADBDC}"/>
    <cellStyle name="Comma 4 3 2 2 3 3 3" xfId="41402" xr:uid="{C4FEA812-35C0-4832-9AAB-CC0740DB08D5}"/>
    <cellStyle name="Comma 4 3 2 2 3 3 4" xfId="22804" xr:uid="{34296ACF-DD98-4DF0-B0BA-7C14F5ADC8F6}"/>
    <cellStyle name="Comma 4 3 2 2 3 4" xfId="9335" xr:uid="{BACD532B-C811-4076-B107-03E74D1B7113}"/>
    <cellStyle name="Comma 4 3 2 2 3 4 2" xfId="36396" xr:uid="{9236183B-A081-4E95-9241-E55F763A3937}"/>
    <cellStyle name="Comma 4 3 2 2 3 4 2 2" xfId="54990" xr:uid="{73E77E0F-3838-4827-9FA5-14E02E337927}"/>
    <cellStyle name="Comma 4 3 2 2 3 4 3" xfId="45693" xr:uid="{C6C66001-67C5-482F-93CE-EF8CE482DB03}"/>
    <cellStyle name="Comma 4 3 2 2 3 4 4" xfId="27097" xr:uid="{DB37F5C8-B6CE-4ED3-A7F0-38DCDAF6A326}"/>
    <cellStyle name="Comma 4 3 2 2 3 5" xfId="10140" xr:uid="{FEC1CE28-5546-46B1-83C3-97E90039D6E5}"/>
    <cellStyle name="Comma 4 3 2 2 3 5 2" xfId="46482" xr:uid="{7920AD2B-D743-448B-A473-19F490908811}"/>
    <cellStyle name="Comma 4 3 2 2 3 5 3" xfId="27886" xr:uid="{1CF02BE7-9F5C-4E79-B9CE-EF7962AB7333}"/>
    <cellStyle name="Comma 4 3 2 2 3 6" xfId="37185" xr:uid="{84B88F74-AC71-4271-B0E7-2D394B982B78}"/>
    <cellStyle name="Comma 4 3 2 2 3 7" xfId="18587" xr:uid="{F7F7D307-D392-425E-AE06-E7A4BE359C6D}"/>
    <cellStyle name="Comma 4 3 2 2 4" xfId="1136" xr:uid="{00000000-0005-0000-0000-000032090000}"/>
    <cellStyle name="Comma 4 3 2 2 4 2" xfId="3367" xr:uid="{00000000-0005-0000-0000-000033090000}"/>
    <cellStyle name="Comma 4 3 2 2 4 2 2" xfId="7589" xr:uid="{00000000-0005-0000-0000-000034090000}"/>
    <cellStyle name="Comma 4 3 2 2 4 2 2 2" xfId="16915" xr:uid="{EB9C46BD-4D4F-4DB9-B094-37BCEA64C6C7}"/>
    <cellStyle name="Comma 4 3 2 2 4 2 2 2 2" xfId="53257" xr:uid="{DA9B99E3-6235-4643-8E62-0CF50BF0FF2D}"/>
    <cellStyle name="Comma 4 3 2 2 4 2 2 2 3" xfId="34661" xr:uid="{87C1C97A-3F2A-4878-9262-C3DC2D6D7BCF}"/>
    <cellStyle name="Comma 4 3 2 2 4 2 2 3" xfId="43960" xr:uid="{1404A77A-AA31-4F6E-A25F-D4226ED7922C}"/>
    <cellStyle name="Comma 4 3 2 2 4 2 2 4" xfId="25362" xr:uid="{ECB95B6D-8622-42F8-AF8A-355EDF4A4EF7}"/>
    <cellStyle name="Comma 4 3 2 2 4 2 3" xfId="12698" xr:uid="{FD0E880B-E034-4017-BBD1-412470E7A67F}"/>
    <cellStyle name="Comma 4 3 2 2 4 2 3 2" xfId="49040" xr:uid="{5B870E87-488B-480B-9016-FB5F86AB2AE3}"/>
    <cellStyle name="Comma 4 3 2 2 4 2 3 3" xfId="30444" xr:uid="{0A3A3C46-5803-48EF-9E78-933FDD247790}"/>
    <cellStyle name="Comma 4 3 2 2 4 2 4" xfId="39743" xr:uid="{86E9FA34-0E2C-4C15-A787-5476DC88C4A3}"/>
    <cellStyle name="Comma 4 3 2 2 4 2 5" xfId="21145" xr:uid="{F11E9C18-9CDB-45DA-9AD1-A64FB9E94250}"/>
    <cellStyle name="Comma 4 3 2 2 4 3" xfId="5444" xr:uid="{00000000-0005-0000-0000-000035090000}"/>
    <cellStyle name="Comma 4 3 2 2 4 3 2" xfId="14770" xr:uid="{81D7CFE5-4CE8-4567-BE62-F12C9C87F602}"/>
    <cellStyle name="Comma 4 3 2 2 4 3 2 2" xfId="51112" xr:uid="{24EC97D6-681B-4C43-9C2D-8E9BB209CD8A}"/>
    <cellStyle name="Comma 4 3 2 2 4 3 2 3" xfId="32516" xr:uid="{7A26026B-14C9-42AA-AA76-09E6B032C2B9}"/>
    <cellStyle name="Comma 4 3 2 2 4 3 3" xfId="41815" xr:uid="{4026DD29-3642-4856-BDA2-0BCFFD5EBE8E}"/>
    <cellStyle name="Comma 4 3 2 2 4 3 4" xfId="23217" xr:uid="{4B8E1989-3DA1-4E47-A04C-9822041B5477}"/>
    <cellStyle name="Comma 4 3 2 2 4 4" xfId="10553" xr:uid="{26901820-D63E-44A9-AE4A-15EAD4794355}"/>
    <cellStyle name="Comma 4 3 2 2 4 4 2" xfId="46895" xr:uid="{4CEAAD0B-3D28-4DEF-8FDD-9630EBCAC451}"/>
    <cellStyle name="Comma 4 3 2 2 4 4 3" xfId="28299" xr:uid="{1154731D-013F-4145-82F4-05DC337CD34D}"/>
    <cellStyle name="Comma 4 3 2 2 4 5" xfId="37598" xr:uid="{71DBF105-3696-4C83-AE99-D6CA3B730D92}"/>
    <cellStyle name="Comma 4 3 2 2 4 6" xfId="19000" xr:uid="{F5165060-EC50-4001-BD36-1EDCEA62BD11}"/>
    <cellStyle name="Comma 4 3 2 2 5" xfId="1550" xr:uid="{00000000-0005-0000-0000-000036090000}"/>
    <cellStyle name="Comma 4 3 2 2 5 2" xfId="3780" xr:uid="{00000000-0005-0000-0000-000037090000}"/>
    <cellStyle name="Comma 4 3 2 2 5 2 2" xfId="8002" xr:uid="{00000000-0005-0000-0000-000038090000}"/>
    <cellStyle name="Comma 4 3 2 2 5 2 2 2" xfId="17328" xr:uid="{5C994DBC-A30C-488A-BB15-6FABF1E4170F}"/>
    <cellStyle name="Comma 4 3 2 2 5 2 2 2 2" xfId="53670" xr:uid="{E82B6322-ACE2-4BFE-8831-CAADDAF0C62F}"/>
    <cellStyle name="Comma 4 3 2 2 5 2 2 2 3" xfId="35074" xr:uid="{C4EA1F69-FA0B-4F0A-A38A-34DAEFBA1B08}"/>
    <cellStyle name="Comma 4 3 2 2 5 2 2 3" xfId="44373" xr:uid="{684AF07C-3F51-420C-AACE-9EEE76CDA3EB}"/>
    <cellStyle name="Comma 4 3 2 2 5 2 2 4" xfId="25775" xr:uid="{42255EA8-82A4-4FAC-AC82-E3F2BDDD0A16}"/>
    <cellStyle name="Comma 4 3 2 2 5 2 3" xfId="13111" xr:uid="{E2FFA25E-A8F6-4C0E-92F4-8CA47DDA1132}"/>
    <cellStyle name="Comma 4 3 2 2 5 2 3 2" xfId="49453" xr:uid="{D9169A04-9C51-48BC-8E39-C52728A4F61A}"/>
    <cellStyle name="Comma 4 3 2 2 5 2 3 3" xfId="30857" xr:uid="{34BC6BD9-7531-4759-840C-5D1EAB3F2511}"/>
    <cellStyle name="Comma 4 3 2 2 5 2 4" xfId="40156" xr:uid="{81028311-6944-4C07-BFF8-140887038829}"/>
    <cellStyle name="Comma 4 3 2 2 5 2 5" xfId="21558" xr:uid="{FF75CA43-8004-4AB1-9C8A-5B8FD308BC88}"/>
    <cellStyle name="Comma 4 3 2 2 5 3" xfId="5857" xr:uid="{00000000-0005-0000-0000-000039090000}"/>
    <cellStyle name="Comma 4 3 2 2 5 3 2" xfId="15183" xr:uid="{F697BEFC-8ED4-4D91-BD16-757D526F43B7}"/>
    <cellStyle name="Comma 4 3 2 2 5 3 2 2" xfId="51525" xr:uid="{22D35890-6111-4C8D-B937-CC5920468DDF}"/>
    <cellStyle name="Comma 4 3 2 2 5 3 2 3" xfId="32929" xr:uid="{02DA2696-4617-4FBA-B046-5885AC79D5CA}"/>
    <cellStyle name="Comma 4 3 2 2 5 3 3" xfId="42228" xr:uid="{EBB21AE0-4B6D-4DB8-8531-FFAD0C479304}"/>
    <cellStyle name="Comma 4 3 2 2 5 3 4" xfId="23630" xr:uid="{369098C7-DD78-4AB7-BF90-CCBBA81D1D01}"/>
    <cellStyle name="Comma 4 3 2 2 5 4" xfId="10966" xr:uid="{714A4BE9-85D4-4B13-AAEA-0CA8E9874C17}"/>
    <cellStyle name="Comma 4 3 2 2 5 4 2" xfId="47308" xr:uid="{492CB93D-A75A-449D-9B65-DD331C8CB77A}"/>
    <cellStyle name="Comma 4 3 2 2 5 4 3" xfId="28712" xr:uid="{DC4F7F18-A5D7-4077-BAC9-1E10BB998DD9}"/>
    <cellStyle name="Comma 4 3 2 2 5 5" xfId="38011" xr:uid="{3C4E34AE-9BE7-4F58-B2C2-C4055230BDD5}"/>
    <cellStyle name="Comma 4 3 2 2 5 6" xfId="19413" xr:uid="{E8A3E814-149F-4DC9-8833-67D565AA48BC}"/>
    <cellStyle name="Comma 4 3 2 2 6" xfId="1964" xr:uid="{00000000-0005-0000-0000-00003A090000}"/>
    <cellStyle name="Comma 4 3 2 2 6 2" xfId="4193" xr:uid="{00000000-0005-0000-0000-00003B090000}"/>
    <cellStyle name="Comma 4 3 2 2 6 2 2" xfId="8415" xr:uid="{00000000-0005-0000-0000-00003C090000}"/>
    <cellStyle name="Comma 4 3 2 2 6 2 2 2" xfId="17741" xr:uid="{F07CB903-DC5E-4D24-B935-E43BE30375C3}"/>
    <cellStyle name="Comma 4 3 2 2 6 2 2 2 2" xfId="54083" xr:uid="{4E3B3FBC-97AF-45CB-BBE0-C76619C9AE89}"/>
    <cellStyle name="Comma 4 3 2 2 6 2 2 2 3" xfId="35487" xr:uid="{219CC0C0-6922-4CA5-AC21-5F37612105FA}"/>
    <cellStyle name="Comma 4 3 2 2 6 2 2 3" xfId="44786" xr:uid="{43CFB336-2160-4267-A699-4704AE29AA44}"/>
    <cellStyle name="Comma 4 3 2 2 6 2 2 4" xfId="26188" xr:uid="{4B6C1DBA-20CA-4D58-9DFD-04A95F469AE8}"/>
    <cellStyle name="Comma 4 3 2 2 6 2 3" xfId="13524" xr:uid="{0E6B7C21-833C-4E64-B012-D6337CCC190C}"/>
    <cellStyle name="Comma 4 3 2 2 6 2 3 2" xfId="49866" xr:uid="{C143208D-9124-4050-AB3D-DC99D61A60A7}"/>
    <cellStyle name="Comma 4 3 2 2 6 2 3 3" xfId="31270" xr:uid="{189D71E9-E116-40C8-B80E-718845509D78}"/>
    <cellStyle name="Comma 4 3 2 2 6 2 4" xfId="40569" xr:uid="{921CC0AA-4BD0-4A36-8346-166C324B1BD7}"/>
    <cellStyle name="Comma 4 3 2 2 6 2 5" xfId="21971" xr:uid="{886F10CE-49AA-499B-B447-C37DAC8731CC}"/>
    <cellStyle name="Comma 4 3 2 2 6 3" xfId="6270" xr:uid="{00000000-0005-0000-0000-00003D090000}"/>
    <cellStyle name="Comma 4 3 2 2 6 3 2" xfId="15596" xr:uid="{F1234D78-2215-43ED-92FA-20CA234C9834}"/>
    <cellStyle name="Comma 4 3 2 2 6 3 2 2" xfId="51938" xr:uid="{FDB328EA-2AB4-407A-9864-D5F9233E2500}"/>
    <cellStyle name="Comma 4 3 2 2 6 3 2 3" xfId="33342" xr:uid="{ABE2F00B-C115-4257-B5EE-DCDC04049468}"/>
    <cellStyle name="Comma 4 3 2 2 6 3 3" xfId="42641" xr:uid="{CB13976A-9D7B-490B-99FA-CC5E136CEB3C}"/>
    <cellStyle name="Comma 4 3 2 2 6 3 4" xfId="24043" xr:uid="{475CAB6F-AD35-4471-8E1D-2F78E3D00D86}"/>
    <cellStyle name="Comma 4 3 2 2 6 4" xfId="11379" xr:uid="{B8FFC336-5D52-44A7-BEE9-14E880EDF48C}"/>
    <cellStyle name="Comma 4 3 2 2 6 4 2" xfId="47721" xr:uid="{80A31A87-47B8-4AB7-84DE-EA4E43A7A212}"/>
    <cellStyle name="Comma 4 3 2 2 6 4 3" xfId="29125" xr:uid="{42D0EEF5-E655-45AD-A75E-496295D3C889}"/>
    <cellStyle name="Comma 4 3 2 2 6 5" xfId="38424" xr:uid="{5A6A5DDA-497E-4BE2-A9E3-1958AE2449B8}"/>
    <cellStyle name="Comma 4 3 2 2 6 6" xfId="19826" xr:uid="{8B2E84EC-9725-4433-8487-F0EB5DC3D6F1}"/>
    <cellStyle name="Comma 4 3 2 2 7" xfId="2399" xr:uid="{00000000-0005-0000-0000-00003E090000}"/>
    <cellStyle name="Comma 4 3 2 2 7 2" xfId="6683" xr:uid="{00000000-0005-0000-0000-00003F090000}"/>
    <cellStyle name="Comma 4 3 2 2 7 2 2" xfId="16009" xr:uid="{46A39481-AE4E-49F2-A559-98B513CB9608}"/>
    <cellStyle name="Comma 4 3 2 2 7 2 2 2" xfId="52351" xr:uid="{93E6A4AB-0FDE-4190-B294-61F843C0D31F}"/>
    <cellStyle name="Comma 4 3 2 2 7 2 2 3" xfId="33755" xr:uid="{DD4D07C4-C78B-4E90-A1EC-5379CED12EAB}"/>
    <cellStyle name="Comma 4 3 2 2 7 2 3" xfId="43054" xr:uid="{9E820876-C6D4-4C78-A4B8-22A38D8846A5}"/>
    <cellStyle name="Comma 4 3 2 2 7 2 4" xfId="24456" xr:uid="{73A8D732-8B60-4A13-BC35-BFE4E9076442}"/>
    <cellStyle name="Comma 4 3 2 2 7 3" xfId="11792" xr:uid="{18C42B6D-B72A-4491-8229-EEB5754E0BFE}"/>
    <cellStyle name="Comma 4 3 2 2 7 3 2" xfId="48134" xr:uid="{EAE1AF11-59BD-4CA2-AA6C-C2AA2DFE0ED6}"/>
    <cellStyle name="Comma 4 3 2 2 7 3 3" xfId="29538" xr:uid="{30DB6AFA-A7E6-4D8C-AEDA-D3C69163448F}"/>
    <cellStyle name="Comma 4 3 2 2 7 4" xfId="38837" xr:uid="{06294CC1-E880-4E4B-B3E0-FE32F45889ED}"/>
    <cellStyle name="Comma 4 3 2 2 7 5" xfId="20239" xr:uid="{D63ABDCA-C46C-4E61-B42B-5A81E5420929}"/>
    <cellStyle name="Comma 4 3 2 2 8" xfId="2364" xr:uid="{00000000-0005-0000-0000-000040090000}"/>
    <cellStyle name="Comma 4 3 2 2 9" xfId="2777" xr:uid="{00000000-0005-0000-0000-000041090000}"/>
    <cellStyle name="Comma 4 3 2 2 9 2" xfId="7000" xr:uid="{00000000-0005-0000-0000-000042090000}"/>
    <cellStyle name="Comma 4 3 2 2 9 2 2" xfId="16326" xr:uid="{FDA2F0DF-6C30-44B3-9029-4D687F96FB38}"/>
    <cellStyle name="Comma 4 3 2 2 9 2 2 2" xfId="52668" xr:uid="{F609D478-8B32-4776-A211-20F3F1D52A8A}"/>
    <cellStyle name="Comma 4 3 2 2 9 2 2 3" xfId="34072" xr:uid="{EAE03C53-4FF1-4ED0-BB7C-CD3DE0BB1150}"/>
    <cellStyle name="Comma 4 3 2 2 9 2 3" xfId="43371" xr:uid="{7118EFF8-0F0E-4FF1-A032-A1345C7580B7}"/>
    <cellStyle name="Comma 4 3 2 2 9 2 4" xfId="24773" xr:uid="{8A18D4C0-08B0-4EC8-B0A1-B712BF483A54}"/>
    <cellStyle name="Comma 4 3 2 2 9 3" xfId="12109" xr:uid="{88501E8C-B33B-4E31-8481-BC842BB693C9}"/>
    <cellStyle name="Comma 4 3 2 2 9 3 2" xfId="48451" xr:uid="{1CFB622D-DD89-485F-9BC6-E4E84309CC12}"/>
    <cellStyle name="Comma 4 3 2 2 9 3 3" xfId="29855" xr:uid="{2DD78699-324D-4CC7-B379-F92BB5463A10}"/>
    <cellStyle name="Comma 4 3 2 2 9 4" xfId="39154" xr:uid="{9B637482-C344-44B6-8B9C-D81986247F39}"/>
    <cellStyle name="Comma 4 3 2 2 9 5" xfId="20556" xr:uid="{8F257441-D39A-4B35-9BEE-15D5EF9115E0}"/>
    <cellStyle name="Comma 4 3 2 3" xfId="148" xr:uid="{00000000-0005-0000-0000-000043090000}"/>
    <cellStyle name="Comma 4 3 2 3 10" xfId="9014" xr:uid="{46568903-2C47-4BC3-8E78-5A47F62B319C}"/>
    <cellStyle name="Comma 4 3 2 3 10 2" xfId="36084" xr:uid="{BFA9086E-65D6-433B-9A90-0A5456786402}"/>
    <cellStyle name="Comma 4 3 2 3 10 2 2" xfId="54679" xr:uid="{A6F5866D-41BE-4C17-AB30-369BC8DD9C3B}"/>
    <cellStyle name="Comma 4 3 2 3 10 3" xfId="45382" xr:uid="{05B9A405-401B-4BA6-BD4E-9A4A07C27EB2}"/>
    <cellStyle name="Comma 4 3 2 3 10 4" xfId="26785" xr:uid="{11980552-231D-4514-A6DD-A9A01779E8D5}"/>
    <cellStyle name="Comma 4 3 2 3 11" xfId="9728" xr:uid="{41CA64B5-31FD-4D05-B49F-6C902E3FCDD8}"/>
    <cellStyle name="Comma 4 3 2 3 11 2" xfId="46070" xr:uid="{93FB2B80-9F84-411C-9BE6-18BC79B19509}"/>
    <cellStyle name="Comma 4 3 2 3 11 3" xfId="27474" xr:uid="{BD28ADAF-3E7A-42CE-A544-D6C5F1B4E580}"/>
    <cellStyle name="Comma 4 3 2 3 12" xfId="36773" xr:uid="{700C98D9-1862-459B-844D-E6A4AF55090E}"/>
    <cellStyle name="Comma 4 3 2 3 13" xfId="18175" xr:uid="{A72EB8E5-67D2-49FD-9AE9-7052E0C898D5}"/>
    <cellStyle name="Comma 4 3 2 3 2" xfId="685" xr:uid="{00000000-0005-0000-0000-000044090000}"/>
    <cellStyle name="Comma 4 3 2 3 2 2" xfId="2956" xr:uid="{00000000-0005-0000-0000-000045090000}"/>
    <cellStyle name="Comma 4 3 2 3 2 2 2" xfId="7178" xr:uid="{00000000-0005-0000-0000-000046090000}"/>
    <cellStyle name="Comma 4 3 2 3 2 2 2 2" xfId="16504" xr:uid="{E8AD543B-A440-4137-BDF4-5222C1D10BBD}"/>
    <cellStyle name="Comma 4 3 2 3 2 2 2 2 2" xfId="52846" xr:uid="{58BABC37-0E98-40A8-A414-784908DBBF5F}"/>
    <cellStyle name="Comma 4 3 2 3 2 2 2 2 3" xfId="34250" xr:uid="{498FD04B-78B7-420A-994B-F0B4BE1636AD}"/>
    <cellStyle name="Comma 4 3 2 3 2 2 2 3" xfId="43549" xr:uid="{05782878-BB50-4049-B74A-7C38927454CD}"/>
    <cellStyle name="Comma 4 3 2 3 2 2 2 4" xfId="24951" xr:uid="{E1222C11-9157-4715-B029-247A1B20B4E6}"/>
    <cellStyle name="Comma 4 3 2 3 2 2 3" xfId="12287" xr:uid="{720743FE-8207-4319-8708-A488205A07C5}"/>
    <cellStyle name="Comma 4 3 2 3 2 2 3 2" xfId="48629" xr:uid="{A3C3C9C8-5991-492E-AD02-A2DB8963B09C}"/>
    <cellStyle name="Comma 4 3 2 3 2 2 3 3" xfId="30033" xr:uid="{36032441-7F7F-4CFE-B784-2D54394C7C92}"/>
    <cellStyle name="Comma 4 3 2 3 2 2 4" xfId="39332" xr:uid="{36DEBA1D-9706-419B-B4CF-7F185D858FAC}"/>
    <cellStyle name="Comma 4 3 2 3 2 2 5" xfId="20734" xr:uid="{651D09F7-C82F-4156-8309-9A3AE6E4791F}"/>
    <cellStyle name="Comma 4 3 2 3 2 3" xfId="5033" xr:uid="{00000000-0005-0000-0000-000047090000}"/>
    <cellStyle name="Comma 4 3 2 3 2 3 2" xfId="14359" xr:uid="{07AC327D-0AD4-4EFA-BB11-C29FB17838BD}"/>
    <cellStyle name="Comma 4 3 2 3 2 3 2 2" xfId="50701" xr:uid="{02276DAB-A5DE-48B7-B73F-2693DB913205}"/>
    <cellStyle name="Comma 4 3 2 3 2 3 2 3" xfId="32105" xr:uid="{04331E02-C513-42D7-96AE-6627D7527D95}"/>
    <cellStyle name="Comma 4 3 2 3 2 3 3" xfId="41404" xr:uid="{3D9D91FE-96B9-42BE-A1EC-3160B5DF2C33}"/>
    <cellStyle name="Comma 4 3 2 3 2 3 4" xfId="22806" xr:uid="{A02A2099-B774-418F-94F0-39BD8511C76C}"/>
    <cellStyle name="Comma 4 3 2 3 2 4" xfId="9439" xr:uid="{2FD116B5-6902-4630-AFC5-CC8B06C5F457}"/>
    <cellStyle name="Comma 4 3 2 3 2 4 2" xfId="36500" xr:uid="{82EDBF84-61A3-4088-8F44-1A5594F53191}"/>
    <cellStyle name="Comma 4 3 2 3 2 4 2 2" xfId="55094" xr:uid="{9E6C7D27-CD40-43FC-BDD5-3380E84C16EF}"/>
    <cellStyle name="Comma 4 3 2 3 2 4 3" xfId="45797" xr:uid="{794CE40F-A26C-49B0-ABB1-A27B26CCA87D}"/>
    <cellStyle name="Comma 4 3 2 3 2 4 4" xfId="27201" xr:uid="{E975AC05-4D46-4F75-A989-EA218512442D}"/>
    <cellStyle name="Comma 4 3 2 3 2 5" xfId="10142" xr:uid="{9541E143-200E-400F-A57B-1492C0416592}"/>
    <cellStyle name="Comma 4 3 2 3 2 5 2" xfId="46484" xr:uid="{5185126C-6AE1-4761-A5A3-F0E544827DA3}"/>
    <cellStyle name="Comma 4 3 2 3 2 5 3" xfId="27888" xr:uid="{77C7A611-F3E6-4B11-B430-D0351ED73966}"/>
    <cellStyle name="Comma 4 3 2 3 2 6" xfId="37187" xr:uid="{26A1B088-3DCA-4E3A-92B6-6B464DBE9E2F}"/>
    <cellStyle name="Comma 4 3 2 3 2 7" xfId="18589" xr:uid="{B24CF373-19F0-44F9-8A1A-A8A231D612DD}"/>
    <cellStyle name="Comma 4 3 2 3 3" xfId="1138" xr:uid="{00000000-0005-0000-0000-000048090000}"/>
    <cellStyle name="Comma 4 3 2 3 3 2" xfId="3369" xr:uid="{00000000-0005-0000-0000-000049090000}"/>
    <cellStyle name="Comma 4 3 2 3 3 2 2" xfId="7591" xr:uid="{00000000-0005-0000-0000-00004A090000}"/>
    <cellStyle name="Comma 4 3 2 3 3 2 2 2" xfId="16917" xr:uid="{28753C1E-1E41-407B-997D-4EB2846D397D}"/>
    <cellStyle name="Comma 4 3 2 3 3 2 2 2 2" xfId="53259" xr:uid="{6AD37BC2-9641-46FB-8B0C-21F137524F22}"/>
    <cellStyle name="Comma 4 3 2 3 3 2 2 2 3" xfId="34663" xr:uid="{7DD6AFB8-9975-40AC-8AA3-58BF33B07DDC}"/>
    <cellStyle name="Comma 4 3 2 3 3 2 2 3" xfId="43962" xr:uid="{D56CB1B1-262B-48CC-B3B1-FE6DBA8462E9}"/>
    <cellStyle name="Comma 4 3 2 3 3 2 2 4" xfId="25364" xr:uid="{45EEAFF9-BA69-4F26-A901-71F788BD41CF}"/>
    <cellStyle name="Comma 4 3 2 3 3 2 3" xfId="12700" xr:uid="{56F39D18-F3F0-48BB-8F36-1764411D1F96}"/>
    <cellStyle name="Comma 4 3 2 3 3 2 3 2" xfId="49042" xr:uid="{44835F4D-829E-495C-AC6A-4276BFB0CE68}"/>
    <cellStyle name="Comma 4 3 2 3 3 2 3 3" xfId="30446" xr:uid="{AA270877-29EC-4859-A9B1-2A9ECAAC258F}"/>
    <cellStyle name="Comma 4 3 2 3 3 2 4" xfId="39745" xr:uid="{23D28382-7B4A-4F3F-8426-897F8D258382}"/>
    <cellStyle name="Comma 4 3 2 3 3 2 5" xfId="21147" xr:uid="{07B1978E-A7B2-48BA-8106-51B9FF3EF4F0}"/>
    <cellStyle name="Comma 4 3 2 3 3 3" xfId="5446" xr:uid="{00000000-0005-0000-0000-00004B090000}"/>
    <cellStyle name="Comma 4 3 2 3 3 3 2" xfId="14772" xr:uid="{CAFFAAD8-62D3-49AB-8239-E5DA30DC8491}"/>
    <cellStyle name="Comma 4 3 2 3 3 3 2 2" xfId="51114" xr:uid="{E7E4CA5F-A73F-4DBD-8F2A-109AD277B973}"/>
    <cellStyle name="Comma 4 3 2 3 3 3 2 3" xfId="32518" xr:uid="{3B1A1764-6E18-49EA-9A8C-B7D074F41809}"/>
    <cellStyle name="Comma 4 3 2 3 3 3 3" xfId="41817" xr:uid="{3EEC1C31-0E10-4B9B-91F6-097A318A746F}"/>
    <cellStyle name="Comma 4 3 2 3 3 3 4" xfId="23219" xr:uid="{48DF8AF7-0BAB-4F34-838E-1B1B4FBA34C5}"/>
    <cellStyle name="Comma 4 3 2 3 3 4" xfId="10555" xr:uid="{8EA2D996-47AB-4159-87EC-5A78FCE13007}"/>
    <cellStyle name="Comma 4 3 2 3 3 4 2" xfId="46897" xr:uid="{23DE3227-3443-4113-8871-F26ACF98DCD4}"/>
    <cellStyle name="Comma 4 3 2 3 3 4 3" xfId="28301" xr:uid="{758708FF-6A5C-4A6D-A8BD-ACDD2AAB85A1}"/>
    <cellStyle name="Comma 4 3 2 3 3 5" xfId="37600" xr:uid="{E0B9E59F-1EB5-46B1-BD07-76161D39AA98}"/>
    <cellStyle name="Comma 4 3 2 3 3 6" xfId="19002" xr:uid="{BD62A622-FFB7-4A38-B686-96E2376926B3}"/>
    <cellStyle name="Comma 4 3 2 3 4" xfId="1552" xr:uid="{00000000-0005-0000-0000-00004C090000}"/>
    <cellStyle name="Comma 4 3 2 3 4 2" xfId="3782" xr:uid="{00000000-0005-0000-0000-00004D090000}"/>
    <cellStyle name="Comma 4 3 2 3 4 2 2" xfId="8004" xr:uid="{00000000-0005-0000-0000-00004E090000}"/>
    <cellStyle name="Comma 4 3 2 3 4 2 2 2" xfId="17330" xr:uid="{F64A81A7-F887-4153-84DB-6A9940C9034C}"/>
    <cellStyle name="Comma 4 3 2 3 4 2 2 2 2" xfId="53672" xr:uid="{77AF1DB5-FCD9-4B1F-A093-C9723F4F909E}"/>
    <cellStyle name="Comma 4 3 2 3 4 2 2 2 3" xfId="35076" xr:uid="{FFB700EA-9117-41FA-915B-03DD1D74989E}"/>
    <cellStyle name="Comma 4 3 2 3 4 2 2 3" xfId="44375" xr:uid="{462BCDF5-C944-4CF2-97DF-CAAAC9CA8372}"/>
    <cellStyle name="Comma 4 3 2 3 4 2 2 4" xfId="25777" xr:uid="{64859BB7-6B2B-40B3-99B5-4A6C2FAC2775}"/>
    <cellStyle name="Comma 4 3 2 3 4 2 3" xfId="13113" xr:uid="{1A813C02-D803-44DA-BA72-F53F9F8D3A14}"/>
    <cellStyle name="Comma 4 3 2 3 4 2 3 2" xfId="49455" xr:uid="{7E4C18B5-4F47-4DE1-92AC-7027F4DECE84}"/>
    <cellStyle name="Comma 4 3 2 3 4 2 3 3" xfId="30859" xr:uid="{B7FD9433-3462-45E6-AC69-D7639D4D9FD5}"/>
    <cellStyle name="Comma 4 3 2 3 4 2 4" xfId="40158" xr:uid="{487BDBB8-5820-4356-BC1E-050528BBC944}"/>
    <cellStyle name="Comma 4 3 2 3 4 2 5" xfId="21560" xr:uid="{8EC8A5B7-BAB4-429C-9D9A-9D71CFEBFE1C}"/>
    <cellStyle name="Comma 4 3 2 3 4 3" xfId="5859" xr:uid="{00000000-0005-0000-0000-00004F090000}"/>
    <cellStyle name="Comma 4 3 2 3 4 3 2" xfId="15185" xr:uid="{C371065B-9A37-4ECB-92A6-B9457D9417B0}"/>
    <cellStyle name="Comma 4 3 2 3 4 3 2 2" xfId="51527" xr:uid="{6A79AEF6-6BCF-43F6-9027-294D73CEB9F2}"/>
    <cellStyle name="Comma 4 3 2 3 4 3 2 3" xfId="32931" xr:uid="{8B5C8512-C07B-4BF4-8831-9CC3878F9304}"/>
    <cellStyle name="Comma 4 3 2 3 4 3 3" xfId="42230" xr:uid="{9676FCA6-4AB3-433F-8594-2F9795FA8F72}"/>
    <cellStyle name="Comma 4 3 2 3 4 3 4" xfId="23632" xr:uid="{3F5FAEEE-9F5E-42E6-B323-9C3E84E5662C}"/>
    <cellStyle name="Comma 4 3 2 3 4 4" xfId="10968" xr:uid="{A3C678AD-692A-4286-815C-7E1B178DCC53}"/>
    <cellStyle name="Comma 4 3 2 3 4 4 2" xfId="47310" xr:uid="{2DFD629C-D4DE-4F84-BBF5-05EC61CF5D6A}"/>
    <cellStyle name="Comma 4 3 2 3 4 4 3" xfId="28714" xr:uid="{BA560F33-A307-46EB-8B78-C968D20DEEC9}"/>
    <cellStyle name="Comma 4 3 2 3 4 5" xfId="38013" xr:uid="{D3C7F60B-DE57-4CEE-845E-BDEF0BF2CEA0}"/>
    <cellStyle name="Comma 4 3 2 3 4 6" xfId="19415" xr:uid="{671F6A84-B1C7-44C8-A0BB-61EEC2A64B9D}"/>
    <cellStyle name="Comma 4 3 2 3 5" xfId="1966" xr:uid="{00000000-0005-0000-0000-000050090000}"/>
    <cellStyle name="Comma 4 3 2 3 5 2" xfId="4195" xr:uid="{00000000-0005-0000-0000-000051090000}"/>
    <cellStyle name="Comma 4 3 2 3 5 2 2" xfId="8417" xr:uid="{00000000-0005-0000-0000-000052090000}"/>
    <cellStyle name="Comma 4 3 2 3 5 2 2 2" xfId="17743" xr:uid="{7424EDB4-4978-4CE1-A942-9F1F05ED7A10}"/>
    <cellStyle name="Comma 4 3 2 3 5 2 2 2 2" xfId="54085" xr:uid="{D8D92EE3-567D-48C2-8997-C4EFBDBE2ACC}"/>
    <cellStyle name="Comma 4 3 2 3 5 2 2 2 3" xfId="35489" xr:uid="{800275E2-5EAF-4A45-A5FA-8CBD51BE482F}"/>
    <cellStyle name="Comma 4 3 2 3 5 2 2 3" xfId="44788" xr:uid="{23FAAA9D-BEB6-4D5D-ADB0-215E1343140B}"/>
    <cellStyle name="Comma 4 3 2 3 5 2 2 4" xfId="26190" xr:uid="{702D348C-37E8-49A8-BAF4-A500DF8B5329}"/>
    <cellStyle name="Comma 4 3 2 3 5 2 3" xfId="13526" xr:uid="{7894C12A-4349-4130-B2E0-B83D075C3983}"/>
    <cellStyle name="Comma 4 3 2 3 5 2 3 2" xfId="49868" xr:uid="{E1D28566-4FD8-47BC-82D5-6F6CE5058412}"/>
    <cellStyle name="Comma 4 3 2 3 5 2 3 3" xfId="31272" xr:uid="{87BCAEFE-F8D3-42B8-81B2-74A38A3C7004}"/>
    <cellStyle name="Comma 4 3 2 3 5 2 4" xfId="40571" xr:uid="{5E5DF9BA-092D-45FD-9CC5-E496B3ABD62C}"/>
    <cellStyle name="Comma 4 3 2 3 5 2 5" xfId="21973" xr:uid="{8F8EBF97-4FA8-4EF5-AF4E-C62A45577A70}"/>
    <cellStyle name="Comma 4 3 2 3 5 3" xfId="6272" xr:uid="{00000000-0005-0000-0000-000053090000}"/>
    <cellStyle name="Comma 4 3 2 3 5 3 2" xfId="15598" xr:uid="{CE0DF848-691B-49AC-93AD-9C500C6F91B1}"/>
    <cellStyle name="Comma 4 3 2 3 5 3 2 2" xfId="51940" xr:uid="{012202E8-F3EA-42DA-A3F9-A839B3B45F76}"/>
    <cellStyle name="Comma 4 3 2 3 5 3 2 3" xfId="33344" xr:uid="{4E669A26-2763-43F1-98BA-F01C4F207B14}"/>
    <cellStyle name="Comma 4 3 2 3 5 3 3" xfId="42643" xr:uid="{8D1C7FA3-C971-4AF4-BBD5-3A683B8A228C}"/>
    <cellStyle name="Comma 4 3 2 3 5 3 4" xfId="24045" xr:uid="{458F74DF-9D78-4678-8DE8-AC91B8ED080F}"/>
    <cellStyle name="Comma 4 3 2 3 5 4" xfId="11381" xr:uid="{3E1DFAF5-808F-447E-8B0B-2FE5D8213C1C}"/>
    <cellStyle name="Comma 4 3 2 3 5 4 2" xfId="47723" xr:uid="{4C762B7C-26AA-4F07-B5D2-37C44F74683D}"/>
    <cellStyle name="Comma 4 3 2 3 5 4 3" xfId="29127" xr:uid="{11101745-1531-46A0-9802-0F7E75260924}"/>
    <cellStyle name="Comma 4 3 2 3 5 5" xfId="38426" xr:uid="{25B0E252-F692-4682-983C-642EBC2FCD1E}"/>
    <cellStyle name="Comma 4 3 2 3 5 6" xfId="19828" xr:uid="{3506244F-E276-4F0A-8FF9-EBEB6BF7ED45}"/>
    <cellStyle name="Comma 4 3 2 3 6" xfId="2401" xr:uid="{00000000-0005-0000-0000-000054090000}"/>
    <cellStyle name="Comma 4 3 2 3 6 2" xfId="6685" xr:uid="{00000000-0005-0000-0000-000055090000}"/>
    <cellStyle name="Comma 4 3 2 3 6 2 2" xfId="16011" xr:uid="{F71EDEAB-7446-4BFF-BDD9-E3283491B3CB}"/>
    <cellStyle name="Comma 4 3 2 3 6 2 2 2" xfId="52353" xr:uid="{26007FF7-556C-466E-83FA-5955CDC16A1C}"/>
    <cellStyle name="Comma 4 3 2 3 6 2 2 3" xfId="33757" xr:uid="{139082F5-128E-4911-9FED-6EF2F175AAFB}"/>
    <cellStyle name="Comma 4 3 2 3 6 2 3" xfId="43056" xr:uid="{D5C44F87-952F-422B-BD08-6791F3565EAB}"/>
    <cellStyle name="Comma 4 3 2 3 6 2 4" xfId="24458" xr:uid="{C13122A3-401A-4BBB-A144-D452698B7C86}"/>
    <cellStyle name="Comma 4 3 2 3 6 3" xfId="11794" xr:uid="{A2072D35-428C-40EF-A245-3D1255997DBF}"/>
    <cellStyle name="Comma 4 3 2 3 6 3 2" xfId="48136" xr:uid="{7C413461-7EEF-4A14-8E5B-EC22999E358E}"/>
    <cellStyle name="Comma 4 3 2 3 6 3 3" xfId="29540" xr:uid="{E4C89EDD-7B50-413C-8267-731A96FB280C}"/>
    <cellStyle name="Comma 4 3 2 3 6 4" xfId="38839" xr:uid="{B01B514B-2701-4878-BA77-AFBDF2FCE028}"/>
    <cellStyle name="Comma 4 3 2 3 6 5" xfId="20241" xr:uid="{8B32E0EE-194E-488C-A0C2-43F8ED3F0BB3}"/>
    <cellStyle name="Comma 4 3 2 3 7" xfId="2362" xr:uid="{00000000-0005-0000-0000-000056090000}"/>
    <cellStyle name="Comma 4 3 2 3 8" xfId="2779" xr:uid="{00000000-0005-0000-0000-000057090000}"/>
    <cellStyle name="Comma 4 3 2 3 8 2" xfId="7002" xr:uid="{00000000-0005-0000-0000-000058090000}"/>
    <cellStyle name="Comma 4 3 2 3 8 2 2" xfId="16328" xr:uid="{9D6BE1AB-8D22-4AD7-9B02-DA83DB87ADC8}"/>
    <cellStyle name="Comma 4 3 2 3 8 2 2 2" xfId="52670" xr:uid="{947A4179-1CD5-4981-A315-39A6FEDFC5EF}"/>
    <cellStyle name="Comma 4 3 2 3 8 2 2 3" xfId="34074" xr:uid="{5E4866FF-D0A5-42F9-9ED2-32CB42FB035B}"/>
    <cellStyle name="Comma 4 3 2 3 8 2 3" xfId="43373" xr:uid="{9107A1C8-3FA3-4587-B0CF-56938138C5D3}"/>
    <cellStyle name="Comma 4 3 2 3 8 2 4" xfId="24775" xr:uid="{6C423C8C-EE10-44E8-9B08-D556E3697A9B}"/>
    <cellStyle name="Comma 4 3 2 3 8 3" xfId="12111" xr:uid="{44AC5783-C47C-439D-9EEF-8BA938713CB6}"/>
    <cellStyle name="Comma 4 3 2 3 8 3 2" xfId="48453" xr:uid="{B658BAA9-75B2-41BE-8E2D-470CAEC3A60B}"/>
    <cellStyle name="Comma 4 3 2 3 8 3 3" xfId="29857" xr:uid="{2D732DC6-AE6F-4E21-9074-F66B31AA3B8B}"/>
    <cellStyle name="Comma 4 3 2 3 8 4" xfId="39156" xr:uid="{713179A0-9443-4803-8685-09005731FF10}"/>
    <cellStyle name="Comma 4 3 2 3 8 5" xfId="20558" xr:uid="{2262DC18-7FA1-46FF-8B86-94E2FDAAFA41}"/>
    <cellStyle name="Comma 4 3 2 3 9" xfId="4619" xr:uid="{00000000-0005-0000-0000-000059090000}"/>
    <cellStyle name="Comma 4 3 2 3 9 2" xfId="13945" xr:uid="{527C7792-E22E-4F39-9B07-D4EE3F0593C5}"/>
    <cellStyle name="Comma 4 3 2 3 9 2 2" xfId="50287" xr:uid="{04C2890D-BFE7-42B9-BE1B-5E77CB1D2303}"/>
    <cellStyle name="Comma 4 3 2 3 9 2 3" xfId="31691" xr:uid="{CCB724BB-58E8-4D85-B394-3C7B192E0453}"/>
    <cellStyle name="Comma 4 3 2 3 9 3" xfId="40990" xr:uid="{0429D7CD-AED9-4472-A434-445CD910627E}"/>
    <cellStyle name="Comma 4 3 2 3 9 4" xfId="22392" xr:uid="{344FD154-4A44-42AE-80BB-5E4B442CEC14}"/>
    <cellStyle name="Comma 4 3 2 4" xfId="682" xr:uid="{00000000-0005-0000-0000-00005A090000}"/>
    <cellStyle name="Comma 4 3 2 4 2" xfId="2953" xr:uid="{00000000-0005-0000-0000-00005B090000}"/>
    <cellStyle name="Comma 4 3 2 4 2 2" xfId="7175" xr:uid="{00000000-0005-0000-0000-00005C090000}"/>
    <cellStyle name="Comma 4 3 2 4 2 2 2" xfId="16501" xr:uid="{0666C319-D8C4-4F64-879E-4AE8DF47A54D}"/>
    <cellStyle name="Comma 4 3 2 4 2 2 2 2" xfId="52843" xr:uid="{B4084FAB-AD61-4FDA-8D30-E680B28A45F2}"/>
    <cellStyle name="Comma 4 3 2 4 2 2 2 3" xfId="34247" xr:uid="{EDFBE5FA-06F4-4B4D-92A0-CACDA5F9089A}"/>
    <cellStyle name="Comma 4 3 2 4 2 2 3" xfId="43546" xr:uid="{4126D3D2-8C7C-42FB-9607-9CEFE97C74EF}"/>
    <cellStyle name="Comma 4 3 2 4 2 2 4" xfId="24948" xr:uid="{D7F6EE29-8E40-488E-B4B3-4B2658C3F617}"/>
    <cellStyle name="Comma 4 3 2 4 2 3" xfId="12284" xr:uid="{B23B0A78-B3FC-4BF0-BD36-3B75BAD99A68}"/>
    <cellStyle name="Comma 4 3 2 4 2 3 2" xfId="48626" xr:uid="{E23140CC-181A-4CBC-B2B5-E339D710ED79}"/>
    <cellStyle name="Comma 4 3 2 4 2 3 3" xfId="30030" xr:uid="{25351604-6172-4511-A30C-81C3151A63A7}"/>
    <cellStyle name="Comma 4 3 2 4 2 4" xfId="39329" xr:uid="{E96FCACF-88C4-4528-A195-5CBED6FB137B}"/>
    <cellStyle name="Comma 4 3 2 4 2 5" xfId="20731" xr:uid="{E0A0221E-C5C8-4F00-9A5D-E203D753AB09}"/>
    <cellStyle name="Comma 4 3 2 4 3" xfId="5030" xr:uid="{00000000-0005-0000-0000-00005D090000}"/>
    <cellStyle name="Comma 4 3 2 4 3 2" xfId="14356" xr:uid="{AF383AFC-95A8-48FA-B0C4-B10577D6164B}"/>
    <cellStyle name="Comma 4 3 2 4 3 2 2" xfId="50698" xr:uid="{702E7D2A-3053-472B-8AAC-1416DFC2D320}"/>
    <cellStyle name="Comma 4 3 2 4 3 2 3" xfId="32102" xr:uid="{EAF2F776-4AD9-4B95-A9BD-8C7CC3ACD7E4}"/>
    <cellStyle name="Comma 4 3 2 4 3 3" xfId="41401" xr:uid="{372A7347-9359-48FF-A6DE-4BD5319F8805}"/>
    <cellStyle name="Comma 4 3 2 4 3 4" xfId="22803" xr:uid="{687866EB-3955-4ABC-8891-5AF3F0F30D5E}"/>
    <cellStyle name="Comma 4 3 2 4 4" xfId="9232" xr:uid="{8193451B-D8F0-40BD-91ED-34E7041117F6}"/>
    <cellStyle name="Comma 4 3 2 4 4 2" xfId="36293" xr:uid="{01258F92-440E-44B5-A69C-B221069310A6}"/>
    <cellStyle name="Comma 4 3 2 4 4 2 2" xfId="54887" xr:uid="{37E83727-F3DD-4F52-9C86-01564AEA6009}"/>
    <cellStyle name="Comma 4 3 2 4 4 3" xfId="45590" xr:uid="{D026E522-6C40-43AB-9DBA-C2B0120647AD}"/>
    <cellStyle name="Comma 4 3 2 4 4 4" xfId="26994" xr:uid="{93CD9B34-C9A6-4F6C-A21E-424A55B309EF}"/>
    <cellStyle name="Comma 4 3 2 4 5" xfId="10139" xr:uid="{FF419A5A-F24E-46CD-BB26-D55A2EEE6C88}"/>
    <cellStyle name="Comma 4 3 2 4 5 2" xfId="46481" xr:uid="{7B73FFAA-F1EC-4B21-87D1-5DF89F4C66D6}"/>
    <cellStyle name="Comma 4 3 2 4 5 3" xfId="27885" xr:uid="{5C76A6C5-99B1-4F80-AEF4-EF0DC27067FA}"/>
    <cellStyle name="Comma 4 3 2 4 6" xfId="37184" xr:uid="{F7B8EB43-DE1C-45F3-A7B7-607B1600E094}"/>
    <cellStyle name="Comma 4 3 2 4 7" xfId="18586" xr:uid="{7C5DE9D5-A0E3-421D-82F3-8ADF791C8B99}"/>
    <cellStyle name="Comma 4 3 2 5" xfId="1135" xr:uid="{00000000-0005-0000-0000-00005E090000}"/>
    <cellStyle name="Comma 4 3 2 5 2" xfId="3366" xr:uid="{00000000-0005-0000-0000-00005F090000}"/>
    <cellStyle name="Comma 4 3 2 5 2 2" xfId="7588" xr:uid="{00000000-0005-0000-0000-000060090000}"/>
    <cellStyle name="Comma 4 3 2 5 2 2 2" xfId="16914" xr:uid="{D91B75D6-43DC-41E1-862F-7E24C51047CA}"/>
    <cellStyle name="Comma 4 3 2 5 2 2 2 2" xfId="53256" xr:uid="{96052F7B-8435-438E-976B-635F1DD454DD}"/>
    <cellStyle name="Comma 4 3 2 5 2 2 2 3" xfId="34660" xr:uid="{F7E3F18E-05BC-444D-9825-C9A75646CEFA}"/>
    <cellStyle name="Comma 4 3 2 5 2 2 3" xfId="43959" xr:uid="{31D6A3DF-3050-44A9-806D-2BC6304C93FF}"/>
    <cellStyle name="Comma 4 3 2 5 2 2 4" xfId="25361" xr:uid="{271953FE-B8C2-4BF2-BF94-392D978ACC48}"/>
    <cellStyle name="Comma 4 3 2 5 2 3" xfId="12697" xr:uid="{9310A15D-52FC-4601-93B5-759B5675728D}"/>
    <cellStyle name="Comma 4 3 2 5 2 3 2" xfId="49039" xr:uid="{F749C705-1E03-4249-9219-FF7657194611}"/>
    <cellStyle name="Comma 4 3 2 5 2 3 3" xfId="30443" xr:uid="{69C57F52-2373-44D8-86ED-526F757E215F}"/>
    <cellStyle name="Comma 4 3 2 5 2 4" xfId="39742" xr:uid="{36AE663E-1451-4CE4-9827-CE9C17ACA954}"/>
    <cellStyle name="Comma 4 3 2 5 2 5" xfId="21144" xr:uid="{9925E785-9AEC-462E-BE85-570EA73FC2B6}"/>
    <cellStyle name="Comma 4 3 2 5 3" xfId="5443" xr:uid="{00000000-0005-0000-0000-000061090000}"/>
    <cellStyle name="Comma 4 3 2 5 3 2" xfId="14769" xr:uid="{096FF32E-9450-4955-86D3-48A6EBD20D97}"/>
    <cellStyle name="Comma 4 3 2 5 3 2 2" xfId="51111" xr:uid="{EADBC30D-DC31-4089-BC6A-51A407CBAD6C}"/>
    <cellStyle name="Comma 4 3 2 5 3 2 3" xfId="32515" xr:uid="{B508C3CB-4DAD-4868-9464-2AB5EC0BCD6A}"/>
    <cellStyle name="Comma 4 3 2 5 3 3" xfId="41814" xr:uid="{7F6811EE-C051-4CF9-9779-565C83399F1D}"/>
    <cellStyle name="Comma 4 3 2 5 3 4" xfId="23216" xr:uid="{72CFF871-CD37-4452-878B-AC14666669EF}"/>
    <cellStyle name="Comma 4 3 2 5 4" xfId="10552" xr:uid="{0F3BD2AE-4F9C-4381-AEC1-449C885510F2}"/>
    <cellStyle name="Comma 4 3 2 5 4 2" xfId="46894" xr:uid="{5C631FDA-84E5-425A-B1AF-066031B80348}"/>
    <cellStyle name="Comma 4 3 2 5 4 3" xfId="28298" xr:uid="{BE325F7F-291E-45E3-B21C-484606DD4374}"/>
    <cellStyle name="Comma 4 3 2 5 5" xfId="37597" xr:uid="{049C426E-14BD-44AD-AA62-FD0A0F4674E8}"/>
    <cellStyle name="Comma 4 3 2 5 6" xfId="18999" xr:uid="{09D700EB-57F9-420B-B596-4BD563C1F21E}"/>
    <cellStyle name="Comma 4 3 2 6" xfId="1549" xr:uid="{00000000-0005-0000-0000-000062090000}"/>
    <cellStyle name="Comma 4 3 2 6 2" xfId="3779" xr:uid="{00000000-0005-0000-0000-000063090000}"/>
    <cellStyle name="Comma 4 3 2 6 2 2" xfId="8001" xr:uid="{00000000-0005-0000-0000-000064090000}"/>
    <cellStyle name="Comma 4 3 2 6 2 2 2" xfId="17327" xr:uid="{C4E81188-0E2C-41D5-8B3D-501843C8E51A}"/>
    <cellStyle name="Comma 4 3 2 6 2 2 2 2" xfId="53669" xr:uid="{94970110-C675-4913-87DC-1B73FB11BDBA}"/>
    <cellStyle name="Comma 4 3 2 6 2 2 2 3" xfId="35073" xr:uid="{564C8452-986D-4E02-8005-C4034490AA3E}"/>
    <cellStyle name="Comma 4 3 2 6 2 2 3" xfId="44372" xr:uid="{4EBF948A-14C6-449E-8F2A-21DBFFBDF6F5}"/>
    <cellStyle name="Comma 4 3 2 6 2 2 4" xfId="25774" xr:uid="{82270C12-0B49-42A0-9B35-3E1A71927D64}"/>
    <cellStyle name="Comma 4 3 2 6 2 3" xfId="13110" xr:uid="{1BCFED80-152B-4E53-91A6-D03FB16E871B}"/>
    <cellStyle name="Comma 4 3 2 6 2 3 2" xfId="49452" xr:uid="{CC45A526-0796-45FD-84D4-CE74177DBE8F}"/>
    <cellStyle name="Comma 4 3 2 6 2 3 3" xfId="30856" xr:uid="{96181317-62C8-4310-8FD3-153F6C754D64}"/>
    <cellStyle name="Comma 4 3 2 6 2 4" xfId="40155" xr:uid="{3BF82BD0-23F1-4FE3-8490-36BC70ED7894}"/>
    <cellStyle name="Comma 4 3 2 6 2 5" xfId="21557" xr:uid="{C4CA0736-978B-4205-8810-B14F01429A0B}"/>
    <cellStyle name="Comma 4 3 2 6 3" xfId="5856" xr:uid="{00000000-0005-0000-0000-000065090000}"/>
    <cellStyle name="Comma 4 3 2 6 3 2" xfId="15182" xr:uid="{31B2C9EC-6E32-40BF-91AA-984581512072}"/>
    <cellStyle name="Comma 4 3 2 6 3 2 2" xfId="51524" xr:uid="{759B7B28-CD52-483A-A5B9-77BC1CDA6ED3}"/>
    <cellStyle name="Comma 4 3 2 6 3 2 3" xfId="32928" xr:uid="{D3B9DCF2-ED05-4F62-97F0-7735A86EB30D}"/>
    <cellStyle name="Comma 4 3 2 6 3 3" xfId="42227" xr:uid="{0383DB3D-6C52-4FEA-A3A9-EF641B8FEE67}"/>
    <cellStyle name="Comma 4 3 2 6 3 4" xfId="23629" xr:uid="{EAF4BFDD-1FE9-4820-AB36-3BCB30A5EE35}"/>
    <cellStyle name="Comma 4 3 2 6 4" xfId="10965" xr:uid="{FEAEEE63-1856-4275-B21C-787D1E712234}"/>
    <cellStyle name="Comma 4 3 2 6 4 2" xfId="47307" xr:uid="{DC61F35A-0DF7-4E3C-A306-6677AE33FA3D}"/>
    <cellStyle name="Comma 4 3 2 6 4 3" xfId="28711" xr:uid="{2162BA43-96C0-43B0-AE82-D69BC6CE15D3}"/>
    <cellStyle name="Comma 4 3 2 6 5" xfId="38010" xr:uid="{B6E1B7FC-4DC2-4292-BE83-01859F58F1DC}"/>
    <cellStyle name="Comma 4 3 2 6 6" xfId="19412" xr:uid="{23C22F45-E30A-493D-BEB8-7D17FF8FAF60}"/>
    <cellStyle name="Comma 4 3 2 7" xfId="1963" xr:uid="{00000000-0005-0000-0000-000066090000}"/>
    <cellStyle name="Comma 4 3 2 7 2" xfId="4192" xr:uid="{00000000-0005-0000-0000-000067090000}"/>
    <cellStyle name="Comma 4 3 2 7 2 2" xfId="8414" xr:uid="{00000000-0005-0000-0000-000068090000}"/>
    <cellStyle name="Comma 4 3 2 7 2 2 2" xfId="17740" xr:uid="{023C4974-95A2-4679-89A9-0F956C3DD541}"/>
    <cellStyle name="Comma 4 3 2 7 2 2 2 2" xfId="54082" xr:uid="{CF298F68-03F7-467D-AFE2-25353604925C}"/>
    <cellStyle name="Comma 4 3 2 7 2 2 2 3" xfId="35486" xr:uid="{39CE9C9C-C2F8-4273-BC8F-D3F22293E094}"/>
    <cellStyle name="Comma 4 3 2 7 2 2 3" xfId="44785" xr:uid="{08485C63-D0EF-4665-A77A-90D573B7EDC4}"/>
    <cellStyle name="Comma 4 3 2 7 2 2 4" xfId="26187" xr:uid="{D0B3F35A-4978-4A04-9757-69DDF59DFE2D}"/>
    <cellStyle name="Comma 4 3 2 7 2 3" xfId="13523" xr:uid="{3DF9A130-3122-4DDB-A028-3CED765A9BE0}"/>
    <cellStyle name="Comma 4 3 2 7 2 3 2" xfId="49865" xr:uid="{C94C3C70-9D21-4230-BAD9-E67F4B4ADFC5}"/>
    <cellStyle name="Comma 4 3 2 7 2 3 3" xfId="31269" xr:uid="{3F9209D5-0E0E-4D5D-82CA-2EE98FCE0E7F}"/>
    <cellStyle name="Comma 4 3 2 7 2 4" xfId="40568" xr:uid="{D1820A4F-5C58-41DF-959D-301A17057E2C}"/>
    <cellStyle name="Comma 4 3 2 7 2 5" xfId="21970" xr:uid="{70720123-5ABB-4E64-965D-1C4379733C9A}"/>
    <cellStyle name="Comma 4 3 2 7 3" xfId="6269" xr:uid="{00000000-0005-0000-0000-000069090000}"/>
    <cellStyle name="Comma 4 3 2 7 3 2" xfId="15595" xr:uid="{BBFF7E2F-3B20-472E-AF5F-B6D8B434B1BB}"/>
    <cellStyle name="Comma 4 3 2 7 3 2 2" xfId="51937" xr:uid="{97008731-D145-4F48-B23D-38FA45F312DC}"/>
    <cellStyle name="Comma 4 3 2 7 3 2 3" xfId="33341" xr:uid="{34C5615D-B2F5-4889-8409-A1128D1BD5E1}"/>
    <cellStyle name="Comma 4 3 2 7 3 3" xfId="42640" xr:uid="{F3E260DD-6DC5-46E1-A7AB-14B8DCDB37FC}"/>
    <cellStyle name="Comma 4 3 2 7 3 4" xfId="24042" xr:uid="{E606F384-254E-4445-97D6-E04F6BD2AF20}"/>
    <cellStyle name="Comma 4 3 2 7 4" xfId="11378" xr:uid="{83C0CF1C-5E1A-43BA-A12B-352FEC9BFFE4}"/>
    <cellStyle name="Comma 4 3 2 7 4 2" xfId="47720" xr:uid="{DE225120-C22F-4543-9291-ACB9727C965D}"/>
    <cellStyle name="Comma 4 3 2 7 4 3" xfId="29124" xr:uid="{41F6D2E8-6A34-4319-8D6B-75478151A925}"/>
    <cellStyle name="Comma 4 3 2 7 5" xfId="38423" xr:uid="{49C2AB70-34A0-4277-94AD-BC7D781667DE}"/>
    <cellStyle name="Comma 4 3 2 7 6" xfId="19825" xr:uid="{D61782FF-DAC2-4C36-AEDB-4C2797F6E15C}"/>
    <cellStyle name="Comma 4 3 2 8" xfId="2398" xr:uid="{00000000-0005-0000-0000-00006A090000}"/>
    <cellStyle name="Comma 4 3 2 8 2" xfId="6682" xr:uid="{00000000-0005-0000-0000-00006B090000}"/>
    <cellStyle name="Comma 4 3 2 8 2 2" xfId="16008" xr:uid="{CD082F4C-2CD8-4B36-ACF3-9B7790531180}"/>
    <cellStyle name="Comma 4 3 2 8 2 2 2" xfId="52350" xr:uid="{557CD1FA-347F-4611-A440-C07709787318}"/>
    <cellStyle name="Comma 4 3 2 8 2 2 3" xfId="33754" xr:uid="{C1FC1836-53AB-4372-B576-0DD6DB112EEA}"/>
    <cellStyle name="Comma 4 3 2 8 2 3" xfId="43053" xr:uid="{9597A3CF-4312-4ACC-8FC2-D3CA48779C8A}"/>
    <cellStyle name="Comma 4 3 2 8 2 4" xfId="24455" xr:uid="{7766D64D-F4EB-4FD2-9DDA-A655C3426BD9}"/>
    <cellStyle name="Comma 4 3 2 8 3" xfId="11791" xr:uid="{2E8772DB-B276-4FE6-A9F3-C76B3A792090}"/>
    <cellStyle name="Comma 4 3 2 8 3 2" xfId="48133" xr:uid="{50416C21-A507-45C6-A957-702E2D7B0F4F}"/>
    <cellStyle name="Comma 4 3 2 8 3 3" xfId="29537" xr:uid="{7AC54412-F78A-45A7-8DCC-93BFFF2EA1C0}"/>
    <cellStyle name="Comma 4 3 2 8 4" xfId="38836" xr:uid="{E389815C-D695-4068-A144-4D4719189648}"/>
    <cellStyle name="Comma 4 3 2 8 5" xfId="20238" xr:uid="{CA2A973B-5F56-4FBB-A32A-68B8FE864FBD}"/>
    <cellStyle name="Comma 4 3 2 9" xfId="2365" xr:uid="{00000000-0005-0000-0000-00006C090000}"/>
    <cellStyle name="Comma 4 3 3" xfId="149" xr:uid="{00000000-0005-0000-0000-00006D090000}"/>
    <cellStyle name="Comma 4 3 3 10" xfId="4620" xr:uid="{00000000-0005-0000-0000-00006E090000}"/>
    <cellStyle name="Comma 4 3 3 10 2" xfId="13946" xr:uid="{CBD64A8C-5B32-4EA1-97F8-E671CDC56E3C}"/>
    <cellStyle name="Comma 4 3 3 10 2 2" xfId="50288" xr:uid="{0D4D1A1A-D77D-4B0A-B84A-A6FB0F7E5540}"/>
    <cellStyle name="Comma 4 3 3 10 2 3" xfId="31692" xr:uid="{F3F8B85F-8172-4BDE-AA77-D606C1FC0A1E}"/>
    <cellStyle name="Comma 4 3 3 10 3" xfId="40991" xr:uid="{DE8FCC12-E08B-4541-859E-445C1590E125}"/>
    <cellStyle name="Comma 4 3 3 10 4" xfId="22393" xr:uid="{6707DF14-1088-42BF-92F1-756777AF6959}"/>
    <cellStyle name="Comma 4 3 3 11" xfId="8881" xr:uid="{ACA3BC7C-CED7-49C2-9DC3-E2A3989962E9}"/>
    <cellStyle name="Comma 4 3 3 11 2" xfId="35951" xr:uid="{5CE02E75-A30D-4A8E-B463-E777E33B8306}"/>
    <cellStyle name="Comma 4 3 3 11 2 2" xfId="54546" xr:uid="{9B72E087-4528-4F9A-941B-DB10F0198A97}"/>
    <cellStyle name="Comma 4 3 3 11 3" xfId="45249" xr:uid="{5756F33F-2BF0-49CC-B440-7E20E7996931}"/>
    <cellStyle name="Comma 4 3 3 11 4" xfId="26652" xr:uid="{A20454CA-EDE7-46DF-ADC8-EBC180EAF27E}"/>
    <cellStyle name="Comma 4 3 3 12" xfId="9729" xr:uid="{ABACE843-CB72-49A5-8AC5-100AD1F07DEC}"/>
    <cellStyle name="Comma 4 3 3 12 2" xfId="46071" xr:uid="{53A55D99-ABAC-4290-89C3-27C5659CE404}"/>
    <cellStyle name="Comma 4 3 3 12 3" xfId="27475" xr:uid="{A8C76E59-60CA-4EB1-89EE-44E8AC1ECD00}"/>
    <cellStyle name="Comma 4 3 3 13" xfId="36774" xr:uid="{331D8143-460C-4820-AE76-FE1E19E703FF}"/>
    <cellStyle name="Comma 4 3 3 14" xfId="18176" xr:uid="{AC5D91D6-1B5D-482F-B36D-7A08FC836082}"/>
    <cellStyle name="Comma 4 3 3 2" xfId="150" xr:uid="{00000000-0005-0000-0000-00006F090000}"/>
    <cellStyle name="Comma 4 3 3 2 10" xfId="9088" xr:uid="{D40CFC42-DEA3-4A4C-8532-2B6CFC29229D}"/>
    <cellStyle name="Comma 4 3 3 2 10 2" xfId="36158" xr:uid="{D7D5E994-CEAB-445B-8A00-0E1157265968}"/>
    <cellStyle name="Comma 4 3 3 2 10 2 2" xfId="54753" xr:uid="{F61C0B8E-C585-476B-9FC8-AA9CBD49AF4C}"/>
    <cellStyle name="Comma 4 3 3 2 10 3" xfId="45456" xr:uid="{7412B8D0-E348-4A3C-B514-4BEADFE136F0}"/>
    <cellStyle name="Comma 4 3 3 2 10 4" xfId="26859" xr:uid="{6F01FE70-6409-49BD-BCC4-DD5E2ED9107E}"/>
    <cellStyle name="Comma 4 3 3 2 11" xfId="9730" xr:uid="{402AD033-93A2-4BD6-B768-7ADE7437D113}"/>
    <cellStyle name="Comma 4 3 3 2 11 2" xfId="46072" xr:uid="{32B9A2AC-7E8B-466F-B1F3-133F39F71461}"/>
    <cellStyle name="Comma 4 3 3 2 11 3" xfId="27476" xr:uid="{AE736316-1B21-4124-A6D6-89040ED22C7C}"/>
    <cellStyle name="Comma 4 3 3 2 12" xfId="36775" xr:uid="{F583EFD5-B3D4-458F-BFC2-E112A9301DED}"/>
    <cellStyle name="Comma 4 3 3 2 13" xfId="18177" xr:uid="{D419E5AE-5CE6-4BB1-A0C0-6315EAB609D1}"/>
    <cellStyle name="Comma 4 3 3 2 2" xfId="687" xr:uid="{00000000-0005-0000-0000-000070090000}"/>
    <cellStyle name="Comma 4 3 3 2 2 2" xfId="2958" xr:uid="{00000000-0005-0000-0000-000071090000}"/>
    <cellStyle name="Comma 4 3 3 2 2 2 2" xfId="7180" xr:uid="{00000000-0005-0000-0000-000072090000}"/>
    <cellStyle name="Comma 4 3 3 2 2 2 2 2" xfId="16506" xr:uid="{5C3184B7-10BD-47D3-888E-40140C6B0B00}"/>
    <cellStyle name="Comma 4 3 3 2 2 2 2 2 2" xfId="52848" xr:uid="{256AACF4-F93F-477A-A2DA-33A70C4C7E55}"/>
    <cellStyle name="Comma 4 3 3 2 2 2 2 2 3" xfId="34252" xr:uid="{4F93E385-27D0-4499-8F77-EDE97D25ABA6}"/>
    <cellStyle name="Comma 4 3 3 2 2 2 2 3" xfId="43551" xr:uid="{37241E95-A6F1-4463-9165-40CDC2D5B156}"/>
    <cellStyle name="Comma 4 3 3 2 2 2 2 4" xfId="24953" xr:uid="{D47A335A-809F-459A-B716-3CB993EA8EEA}"/>
    <cellStyle name="Comma 4 3 3 2 2 2 3" xfId="12289" xr:uid="{97A8C662-80DA-4FA9-ADF6-DDC76F15D60A}"/>
    <cellStyle name="Comma 4 3 3 2 2 2 3 2" xfId="48631" xr:uid="{1DCDB5D8-B8DE-4D20-83D4-48E38A2B0126}"/>
    <cellStyle name="Comma 4 3 3 2 2 2 3 3" xfId="30035" xr:uid="{706DA873-7DDE-48D8-8068-9D199CC9C4D7}"/>
    <cellStyle name="Comma 4 3 3 2 2 2 4" xfId="39334" xr:uid="{39EE612B-AD30-4C13-B53B-E1D6A4484086}"/>
    <cellStyle name="Comma 4 3 3 2 2 2 5" xfId="20736" xr:uid="{36BEBAD5-3BC7-4942-8A92-E5478878D44A}"/>
    <cellStyle name="Comma 4 3 3 2 2 3" xfId="5035" xr:uid="{00000000-0005-0000-0000-000073090000}"/>
    <cellStyle name="Comma 4 3 3 2 2 3 2" xfId="14361" xr:uid="{DABB36A0-55FC-4407-93E1-E7EAC3694A08}"/>
    <cellStyle name="Comma 4 3 3 2 2 3 2 2" xfId="50703" xr:uid="{5A9738B0-02CC-4A91-9C60-6AC70A4F8D52}"/>
    <cellStyle name="Comma 4 3 3 2 2 3 2 3" xfId="32107" xr:uid="{5D8B9FC1-4560-41FF-AB28-BE51CE748A36}"/>
    <cellStyle name="Comma 4 3 3 2 2 3 3" xfId="41406" xr:uid="{5FBEBB7A-4290-4E01-8008-8A74427C086F}"/>
    <cellStyle name="Comma 4 3 3 2 2 3 4" xfId="22808" xr:uid="{77F6922C-A959-4805-BB68-BA1EE6559CE8}"/>
    <cellStyle name="Comma 4 3 3 2 2 4" xfId="9513" xr:uid="{986E0DAD-8ABC-4DAC-9C56-EF87B6B3B829}"/>
    <cellStyle name="Comma 4 3 3 2 2 4 2" xfId="36574" xr:uid="{F45CE470-49BE-4958-B57F-5023871D9A89}"/>
    <cellStyle name="Comma 4 3 3 2 2 4 2 2" xfId="55168" xr:uid="{466D92DA-E7C7-4761-B8AA-21DE8D478B75}"/>
    <cellStyle name="Comma 4 3 3 2 2 4 3" xfId="45871" xr:uid="{AF55FD4F-1D94-4C6E-A590-E9A506C78E54}"/>
    <cellStyle name="Comma 4 3 3 2 2 4 4" xfId="27275" xr:uid="{56C3AC49-CCFE-48E8-9FDF-C0FE93A8450D}"/>
    <cellStyle name="Comma 4 3 3 2 2 5" xfId="10144" xr:uid="{CD247CF4-2C88-425C-AC56-3F04E6143B8D}"/>
    <cellStyle name="Comma 4 3 3 2 2 5 2" xfId="46486" xr:uid="{F7413AA3-541A-4BC8-8A10-3BDD7395022A}"/>
    <cellStyle name="Comma 4 3 3 2 2 5 3" xfId="27890" xr:uid="{5839F4F0-E718-48F3-B03F-1E536F2C2928}"/>
    <cellStyle name="Comma 4 3 3 2 2 6" xfId="37189" xr:uid="{0A80EFC6-834B-4E3C-9FE2-81B0F4068918}"/>
    <cellStyle name="Comma 4 3 3 2 2 7" xfId="18591" xr:uid="{1E63645C-A416-406E-B392-1028A1EFDEF9}"/>
    <cellStyle name="Comma 4 3 3 2 3" xfId="1140" xr:uid="{00000000-0005-0000-0000-000074090000}"/>
    <cellStyle name="Comma 4 3 3 2 3 2" xfId="3371" xr:uid="{00000000-0005-0000-0000-000075090000}"/>
    <cellStyle name="Comma 4 3 3 2 3 2 2" xfId="7593" xr:uid="{00000000-0005-0000-0000-000076090000}"/>
    <cellStyle name="Comma 4 3 3 2 3 2 2 2" xfId="16919" xr:uid="{DCC858EF-B95C-4285-89A5-DB77E67477F1}"/>
    <cellStyle name="Comma 4 3 3 2 3 2 2 2 2" xfId="53261" xr:uid="{67471C94-1334-4932-AF53-FE0AFC9CF7D4}"/>
    <cellStyle name="Comma 4 3 3 2 3 2 2 2 3" xfId="34665" xr:uid="{81E5BE31-9F7A-410E-8519-089D0B48EF1D}"/>
    <cellStyle name="Comma 4 3 3 2 3 2 2 3" xfId="43964" xr:uid="{9C453B66-2C11-43A0-9F29-4638D8274994}"/>
    <cellStyle name="Comma 4 3 3 2 3 2 2 4" xfId="25366" xr:uid="{0AEFFAD9-B3A5-4608-AE74-E1A5AB1FFE1C}"/>
    <cellStyle name="Comma 4 3 3 2 3 2 3" xfId="12702" xr:uid="{43DC9D03-5E8A-4D12-8DCE-237388DF8A87}"/>
    <cellStyle name="Comma 4 3 3 2 3 2 3 2" xfId="49044" xr:uid="{800C4664-67DD-46D1-8517-340D449B6CBE}"/>
    <cellStyle name="Comma 4 3 3 2 3 2 3 3" xfId="30448" xr:uid="{377DA705-E7F3-4076-9B1A-03063E118C8C}"/>
    <cellStyle name="Comma 4 3 3 2 3 2 4" xfId="39747" xr:uid="{6B553D77-8609-4049-8168-7E22025BD493}"/>
    <cellStyle name="Comma 4 3 3 2 3 2 5" xfId="21149" xr:uid="{34D8752A-F432-453B-AB1D-46639C102015}"/>
    <cellStyle name="Comma 4 3 3 2 3 3" xfId="5448" xr:uid="{00000000-0005-0000-0000-000077090000}"/>
    <cellStyle name="Comma 4 3 3 2 3 3 2" xfId="14774" xr:uid="{8E7CD318-183A-427D-ACDB-78E59A1EFA70}"/>
    <cellStyle name="Comma 4 3 3 2 3 3 2 2" xfId="51116" xr:uid="{78FA72C9-2B1D-4FF8-B7E8-91DA9DB47192}"/>
    <cellStyle name="Comma 4 3 3 2 3 3 2 3" xfId="32520" xr:uid="{D4459980-481B-4788-9F43-87321B0F34C9}"/>
    <cellStyle name="Comma 4 3 3 2 3 3 3" xfId="41819" xr:uid="{7691AB9A-37DF-4F69-9D54-77FD8B5F5D1C}"/>
    <cellStyle name="Comma 4 3 3 2 3 3 4" xfId="23221" xr:uid="{4F57A173-AF7E-433F-B8F9-85F4E411B175}"/>
    <cellStyle name="Comma 4 3 3 2 3 4" xfId="10557" xr:uid="{260DD61E-C71D-4CD8-B5BB-09FCEADDC473}"/>
    <cellStyle name="Comma 4 3 3 2 3 4 2" xfId="46899" xr:uid="{9D493445-634A-440E-A485-E62170F6DA06}"/>
    <cellStyle name="Comma 4 3 3 2 3 4 3" xfId="28303" xr:uid="{793C3958-B7C3-4B90-9A9B-34406224981C}"/>
    <cellStyle name="Comma 4 3 3 2 3 5" xfId="37602" xr:uid="{821E7FF2-A89A-4D48-A2EA-1B037EFAF54D}"/>
    <cellStyle name="Comma 4 3 3 2 3 6" xfId="19004" xr:uid="{717958E5-C347-41AF-81F1-FC21A7AB0056}"/>
    <cellStyle name="Comma 4 3 3 2 4" xfId="1554" xr:uid="{00000000-0005-0000-0000-000078090000}"/>
    <cellStyle name="Comma 4 3 3 2 4 2" xfId="3784" xr:uid="{00000000-0005-0000-0000-000079090000}"/>
    <cellStyle name="Comma 4 3 3 2 4 2 2" xfId="8006" xr:uid="{00000000-0005-0000-0000-00007A090000}"/>
    <cellStyle name="Comma 4 3 3 2 4 2 2 2" xfId="17332" xr:uid="{3A6EE60D-6732-4822-A955-5D0FEAC84462}"/>
    <cellStyle name="Comma 4 3 3 2 4 2 2 2 2" xfId="53674" xr:uid="{EA6705F0-0CEB-4081-B43B-4D9D9583B719}"/>
    <cellStyle name="Comma 4 3 3 2 4 2 2 2 3" xfId="35078" xr:uid="{EBCBB0E5-C102-4ED2-B66C-06837ABBA01E}"/>
    <cellStyle name="Comma 4 3 3 2 4 2 2 3" xfId="44377" xr:uid="{B6408BA1-BFC9-47B5-B855-F9B466AD32AE}"/>
    <cellStyle name="Comma 4 3 3 2 4 2 2 4" xfId="25779" xr:uid="{30E10255-BB13-4585-86F0-4AA8567C4252}"/>
    <cellStyle name="Comma 4 3 3 2 4 2 3" xfId="13115" xr:uid="{C11AC221-7B8E-4AE3-B336-51CD61D844D9}"/>
    <cellStyle name="Comma 4 3 3 2 4 2 3 2" xfId="49457" xr:uid="{E29CFDFE-CE00-40FF-9207-B06CB1095BA9}"/>
    <cellStyle name="Comma 4 3 3 2 4 2 3 3" xfId="30861" xr:uid="{24489C6D-8F59-4172-BECE-A46100FA7A58}"/>
    <cellStyle name="Comma 4 3 3 2 4 2 4" xfId="40160" xr:uid="{A9CD7298-47A7-4423-81EA-68F2E842A769}"/>
    <cellStyle name="Comma 4 3 3 2 4 2 5" xfId="21562" xr:uid="{625C9F12-6753-4604-AF3D-157D5F3B05E1}"/>
    <cellStyle name="Comma 4 3 3 2 4 3" xfId="5861" xr:uid="{00000000-0005-0000-0000-00007B090000}"/>
    <cellStyle name="Comma 4 3 3 2 4 3 2" xfId="15187" xr:uid="{39D17199-FDE7-43BC-A873-645EDE8EAF6F}"/>
    <cellStyle name="Comma 4 3 3 2 4 3 2 2" xfId="51529" xr:uid="{9E64FF0C-A0CC-4684-AE6D-AE36AC0DECF0}"/>
    <cellStyle name="Comma 4 3 3 2 4 3 2 3" xfId="32933" xr:uid="{AB8CC498-3867-407C-AFF3-BAE490AECC80}"/>
    <cellStyle name="Comma 4 3 3 2 4 3 3" xfId="42232" xr:uid="{50EA93D0-5AE3-48ED-B798-F071122965E0}"/>
    <cellStyle name="Comma 4 3 3 2 4 3 4" xfId="23634" xr:uid="{A9D31273-5F8E-4456-B603-8933C8019D5A}"/>
    <cellStyle name="Comma 4 3 3 2 4 4" xfId="10970" xr:uid="{CCB72EAA-3C7D-4B1A-8C91-39FA0ACE03C1}"/>
    <cellStyle name="Comma 4 3 3 2 4 4 2" xfId="47312" xr:uid="{03842CB3-5913-40AF-BF28-6B1B212506E4}"/>
    <cellStyle name="Comma 4 3 3 2 4 4 3" xfId="28716" xr:uid="{0EE27597-925B-48AC-B7CF-A342BC8ABD00}"/>
    <cellStyle name="Comma 4 3 3 2 4 5" xfId="38015" xr:uid="{F020868D-DA02-4C08-BDF7-0E1FB1C0A0A6}"/>
    <cellStyle name="Comma 4 3 3 2 4 6" xfId="19417" xr:uid="{8F305C63-F25B-43CC-AC96-AB15C21958E7}"/>
    <cellStyle name="Comma 4 3 3 2 5" xfId="1968" xr:uid="{00000000-0005-0000-0000-00007C090000}"/>
    <cellStyle name="Comma 4 3 3 2 5 2" xfId="4197" xr:uid="{00000000-0005-0000-0000-00007D090000}"/>
    <cellStyle name="Comma 4 3 3 2 5 2 2" xfId="8419" xr:uid="{00000000-0005-0000-0000-00007E090000}"/>
    <cellStyle name="Comma 4 3 3 2 5 2 2 2" xfId="17745" xr:uid="{3661EF97-727D-429D-B9B9-ECA100EB33A4}"/>
    <cellStyle name="Comma 4 3 3 2 5 2 2 2 2" xfId="54087" xr:uid="{D70F4133-FD36-4EE8-BB9B-E226AD9D390A}"/>
    <cellStyle name="Comma 4 3 3 2 5 2 2 2 3" xfId="35491" xr:uid="{6A4F92E0-1FDA-440E-B722-53CD8F0010EB}"/>
    <cellStyle name="Comma 4 3 3 2 5 2 2 3" xfId="44790" xr:uid="{EB64C896-6D3A-4BF5-B245-239CFCF9BED1}"/>
    <cellStyle name="Comma 4 3 3 2 5 2 2 4" xfId="26192" xr:uid="{9C6DC701-63BE-433E-8508-06719DDB1BC0}"/>
    <cellStyle name="Comma 4 3 3 2 5 2 3" xfId="13528" xr:uid="{C5A974F4-3492-41D6-83E5-C043244BFCCD}"/>
    <cellStyle name="Comma 4 3 3 2 5 2 3 2" xfId="49870" xr:uid="{C94903BD-DBB7-4696-ABA2-0B35FB2DA57D}"/>
    <cellStyle name="Comma 4 3 3 2 5 2 3 3" xfId="31274" xr:uid="{642DEA20-61CD-4E65-81A3-108A54150B5D}"/>
    <cellStyle name="Comma 4 3 3 2 5 2 4" xfId="40573" xr:uid="{17A51E8A-DE11-41FA-9B16-A8E1A0FC5223}"/>
    <cellStyle name="Comma 4 3 3 2 5 2 5" xfId="21975" xr:uid="{A554343D-77EA-4E70-867B-F01E4901EB28}"/>
    <cellStyle name="Comma 4 3 3 2 5 3" xfId="6274" xr:uid="{00000000-0005-0000-0000-00007F090000}"/>
    <cellStyle name="Comma 4 3 3 2 5 3 2" xfId="15600" xr:uid="{EE77E949-231E-4FC7-B75F-399E829984F7}"/>
    <cellStyle name="Comma 4 3 3 2 5 3 2 2" xfId="51942" xr:uid="{5F0AB5F2-8209-4537-8E59-9E4DA510DDE8}"/>
    <cellStyle name="Comma 4 3 3 2 5 3 2 3" xfId="33346" xr:uid="{A7D00FF4-31E5-463F-9F7F-B86531094ED9}"/>
    <cellStyle name="Comma 4 3 3 2 5 3 3" xfId="42645" xr:uid="{17BB0ABA-1039-49B6-8240-C4DA4274471D}"/>
    <cellStyle name="Comma 4 3 3 2 5 3 4" xfId="24047" xr:uid="{615304A1-1DC8-4662-B181-3F9196B75265}"/>
    <cellStyle name="Comma 4 3 3 2 5 4" xfId="11383" xr:uid="{19316EF6-042F-430B-9BEE-3E26AC7462E5}"/>
    <cellStyle name="Comma 4 3 3 2 5 4 2" xfId="47725" xr:uid="{47FF665C-A557-402E-A8A6-E94AF5FD8DEA}"/>
    <cellStyle name="Comma 4 3 3 2 5 4 3" xfId="29129" xr:uid="{8C0C36F6-2C9C-4499-BE6C-2B40F76CAB60}"/>
    <cellStyle name="Comma 4 3 3 2 5 5" xfId="38428" xr:uid="{1C96D3EC-825C-4AEC-B4E7-6B51645D4880}"/>
    <cellStyle name="Comma 4 3 3 2 5 6" xfId="19830" xr:uid="{75236BFB-27A1-4A37-86E7-7C7EDE7C6F73}"/>
    <cellStyle name="Comma 4 3 3 2 6" xfId="2403" xr:uid="{00000000-0005-0000-0000-000080090000}"/>
    <cellStyle name="Comma 4 3 3 2 6 2" xfId="6687" xr:uid="{00000000-0005-0000-0000-000081090000}"/>
    <cellStyle name="Comma 4 3 3 2 6 2 2" xfId="16013" xr:uid="{6FB06517-AACF-4166-AD74-E271FA4BA856}"/>
    <cellStyle name="Comma 4 3 3 2 6 2 2 2" xfId="52355" xr:uid="{5FE4D962-136B-4A58-ACE2-4EA2044E87BF}"/>
    <cellStyle name="Comma 4 3 3 2 6 2 2 3" xfId="33759" xr:uid="{C914ABDF-BBDE-4140-949D-6771FC842CBB}"/>
    <cellStyle name="Comma 4 3 3 2 6 2 3" xfId="43058" xr:uid="{5D3818A0-AE15-4162-A08C-2D96A5E0F411}"/>
    <cellStyle name="Comma 4 3 3 2 6 2 4" xfId="24460" xr:uid="{9C8079A2-8E86-4F97-A23B-1036B1696BCB}"/>
    <cellStyle name="Comma 4 3 3 2 6 3" xfId="11796" xr:uid="{C77B3C7E-EBA6-42D1-B1B9-F3FD46872865}"/>
    <cellStyle name="Comma 4 3 3 2 6 3 2" xfId="48138" xr:uid="{FE7B97D0-1310-4B9B-9499-DA8088969EC4}"/>
    <cellStyle name="Comma 4 3 3 2 6 3 3" xfId="29542" xr:uid="{F7C5654F-F42A-42BC-A221-49A0511B376C}"/>
    <cellStyle name="Comma 4 3 3 2 6 4" xfId="38841" xr:uid="{B05A02DB-26B9-4DA1-A40F-302BF671FA62}"/>
    <cellStyle name="Comma 4 3 3 2 6 5" xfId="20243" xr:uid="{E96C5653-4B29-4B24-9638-6A468380A95E}"/>
    <cellStyle name="Comma 4 3 3 2 7" xfId="2360" xr:uid="{00000000-0005-0000-0000-000082090000}"/>
    <cellStyle name="Comma 4 3 3 2 8" xfId="2781" xr:uid="{00000000-0005-0000-0000-000083090000}"/>
    <cellStyle name="Comma 4 3 3 2 8 2" xfId="7004" xr:uid="{00000000-0005-0000-0000-000084090000}"/>
    <cellStyle name="Comma 4 3 3 2 8 2 2" xfId="16330" xr:uid="{89BBB89F-038B-491C-B734-C9FB9B95E731}"/>
    <cellStyle name="Comma 4 3 3 2 8 2 2 2" xfId="52672" xr:uid="{8D75E42E-CB9E-48BC-A4A1-39381B7797D2}"/>
    <cellStyle name="Comma 4 3 3 2 8 2 2 3" xfId="34076" xr:uid="{C338D186-7F8F-4D82-9FC4-817084412D52}"/>
    <cellStyle name="Comma 4 3 3 2 8 2 3" xfId="43375" xr:uid="{30543571-4E64-4AF6-9142-A55DDE014E8F}"/>
    <cellStyle name="Comma 4 3 3 2 8 2 4" xfId="24777" xr:uid="{81C0E737-58AC-44AF-ADB3-F0F93F1CA2D9}"/>
    <cellStyle name="Comma 4 3 3 2 8 3" xfId="12113" xr:uid="{7CC59FDF-D8C8-49D7-9EA1-D9378CB705A9}"/>
    <cellStyle name="Comma 4 3 3 2 8 3 2" xfId="48455" xr:uid="{72AF8ECB-A88C-4618-AF5F-A6E7E733A936}"/>
    <cellStyle name="Comma 4 3 3 2 8 3 3" xfId="29859" xr:uid="{DC9E4420-07F2-424B-90C5-66F60AD657AB}"/>
    <cellStyle name="Comma 4 3 3 2 8 4" xfId="39158" xr:uid="{0344EFA0-FE58-47AD-8883-7093BA93E74B}"/>
    <cellStyle name="Comma 4 3 3 2 8 5" xfId="20560" xr:uid="{973C566C-F043-4803-9072-9BE6950DFB19}"/>
    <cellStyle name="Comma 4 3 3 2 9" xfId="4621" xr:uid="{00000000-0005-0000-0000-000085090000}"/>
    <cellStyle name="Comma 4 3 3 2 9 2" xfId="13947" xr:uid="{0099196C-BABC-4492-B4CD-F39EF079A50F}"/>
    <cellStyle name="Comma 4 3 3 2 9 2 2" xfId="50289" xr:uid="{D037A9A5-631C-43E3-B5C7-C7CD5A3471FA}"/>
    <cellStyle name="Comma 4 3 3 2 9 2 3" xfId="31693" xr:uid="{52D37689-268F-473B-82FA-951E065FC9EB}"/>
    <cellStyle name="Comma 4 3 3 2 9 3" xfId="40992" xr:uid="{22610634-1181-497E-A5FA-BD1BBB904462}"/>
    <cellStyle name="Comma 4 3 3 2 9 4" xfId="22394" xr:uid="{C1E603AA-8890-48D8-A849-CD504BF51C45}"/>
    <cellStyle name="Comma 4 3 3 3" xfId="686" xr:uid="{00000000-0005-0000-0000-000086090000}"/>
    <cellStyle name="Comma 4 3 3 3 2" xfId="2957" xr:uid="{00000000-0005-0000-0000-000087090000}"/>
    <cellStyle name="Comma 4 3 3 3 2 2" xfId="7179" xr:uid="{00000000-0005-0000-0000-000088090000}"/>
    <cellStyle name="Comma 4 3 3 3 2 2 2" xfId="16505" xr:uid="{7BFC1BD0-2656-432D-A35F-5042506A4E4A}"/>
    <cellStyle name="Comma 4 3 3 3 2 2 2 2" xfId="52847" xr:uid="{6E73AB57-90C2-48E3-8FF4-11878D53E8BA}"/>
    <cellStyle name="Comma 4 3 3 3 2 2 2 3" xfId="34251" xr:uid="{E68981F9-2E71-4747-8ED2-8B6A9FEE2FA2}"/>
    <cellStyle name="Comma 4 3 3 3 2 2 3" xfId="43550" xr:uid="{163A5070-DB86-4DAA-8EBC-A0C792B1D1AB}"/>
    <cellStyle name="Comma 4 3 3 3 2 2 4" xfId="24952" xr:uid="{E14D059F-51E2-4BB6-8942-04743DC56A85}"/>
    <cellStyle name="Comma 4 3 3 3 2 3" xfId="12288" xr:uid="{D11D4244-D561-46F7-9953-919D4BDB7116}"/>
    <cellStyle name="Comma 4 3 3 3 2 3 2" xfId="48630" xr:uid="{A0099CFD-3351-4541-94A0-A90F3DFE4AC9}"/>
    <cellStyle name="Comma 4 3 3 3 2 3 3" xfId="30034" xr:uid="{8FD7E339-6378-402A-9FE5-1D7ED49ED201}"/>
    <cellStyle name="Comma 4 3 3 3 2 4" xfId="39333" xr:uid="{4EE087F8-B517-4DA5-A95A-B421EDDF9F13}"/>
    <cellStyle name="Comma 4 3 3 3 2 5" xfId="20735" xr:uid="{4DDF1EEB-66EB-4234-BCB8-27CE185E1097}"/>
    <cellStyle name="Comma 4 3 3 3 3" xfId="5034" xr:uid="{00000000-0005-0000-0000-000089090000}"/>
    <cellStyle name="Comma 4 3 3 3 3 2" xfId="14360" xr:uid="{2F65FB06-1DEA-43AB-A9FF-51A7EAEA3218}"/>
    <cellStyle name="Comma 4 3 3 3 3 2 2" xfId="50702" xr:uid="{D416F925-A47B-4C35-9462-5EB4790392AC}"/>
    <cellStyle name="Comma 4 3 3 3 3 2 3" xfId="32106" xr:uid="{FD6EE08F-FF9C-4DDD-822B-685361826E59}"/>
    <cellStyle name="Comma 4 3 3 3 3 3" xfId="41405" xr:uid="{17A7A9E8-B89B-49AB-B3D9-39200B3D857C}"/>
    <cellStyle name="Comma 4 3 3 3 3 4" xfId="22807" xr:uid="{9E9CB6C6-0A14-44EE-B229-F2D3052E92A5}"/>
    <cellStyle name="Comma 4 3 3 3 4" xfId="9306" xr:uid="{6AC2749B-EC1D-4760-AD4B-F36381A669B6}"/>
    <cellStyle name="Comma 4 3 3 3 4 2" xfId="36367" xr:uid="{BB14FB6B-BF71-4357-A9CD-CB911C3BF8CF}"/>
    <cellStyle name="Comma 4 3 3 3 4 2 2" xfId="54961" xr:uid="{8EB72ED8-AB39-4BA8-9EF7-6EF5010B84C6}"/>
    <cellStyle name="Comma 4 3 3 3 4 3" xfId="45664" xr:uid="{DBA9DEE4-A762-4103-A14A-B5A7BDE63607}"/>
    <cellStyle name="Comma 4 3 3 3 4 4" xfId="27068" xr:uid="{8CD61F81-3923-497B-867E-00D7101EC32D}"/>
    <cellStyle name="Comma 4 3 3 3 5" xfId="10143" xr:uid="{9996C172-7C10-4DAD-8A5A-51A194DB7153}"/>
    <cellStyle name="Comma 4 3 3 3 5 2" xfId="46485" xr:uid="{C7F6CCCA-F9B9-4C65-9B26-6873ADC272D9}"/>
    <cellStyle name="Comma 4 3 3 3 5 3" xfId="27889" xr:uid="{DBEB85D5-1055-49AC-B923-101AC69BB3BB}"/>
    <cellStyle name="Comma 4 3 3 3 6" xfId="37188" xr:uid="{929F83C2-0B66-44B2-A20E-7D4C8732DC54}"/>
    <cellStyle name="Comma 4 3 3 3 7" xfId="18590" xr:uid="{CD889638-6E46-4C7A-AEB8-81BE6FA964CC}"/>
    <cellStyle name="Comma 4 3 3 4" xfId="1139" xr:uid="{00000000-0005-0000-0000-00008A090000}"/>
    <cellStyle name="Comma 4 3 3 4 2" xfId="3370" xr:uid="{00000000-0005-0000-0000-00008B090000}"/>
    <cellStyle name="Comma 4 3 3 4 2 2" xfId="7592" xr:uid="{00000000-0005-0000-0000-00008C090000}"/>
    <cellStyle name="Comma 4 3 3 4 2 2 2" xfId="16918" xr:uid="{F1A9E1C6-79F8-482F-BB21-05761B9E29AC}"/>
    <cellStyle name="Comma 4 3 3 4 2 2 2 2" xfId="53260" xr:uid="{6E412AA5-D2FC-4861-B28B-23217378F0C4}"/>
    <cellStyle name="Comma 4 3 3 4 2 2 2 3" xfId="34664" xr:uid="{89446941-8C83-4D77-80F2-6DF288318B69}"/>
    <cellStyle name="Comma 4 3 3 4 2 2 3" xfId="43963" xr:uid="{98821A71-30C2-4A7F-9E0A-F01877A04B0E}"/>
    <cellStyle name="Comma 4 3 3 4 2 2 4" xfId="25365" xr:uid="{54082CFF-AC75-462B-AD92-0F7B689539A0}"/>
    <cellStyle name="Comma 4 3 3 4 2 3" xfId="12701" xr:uid="{DBEAEDAB-D0D7-43E2-9626-1F4A8EBEE79B}"/>
    <cellStyle name="Comma 4 3 3 4 2 3 2" xfId="49043" xr:uid="{95B17322-3ADD-4DC4-AB04-6F182CB3DD6E}"/>
    <cellStyle name="Comma 4 3 3 4 2 3 3" xfId="30447" xr:uid="{F167E2BE-F334-405A-B097-8AD7D9B5B1CA}"/>
    <cellStyle name="Comma 4 3 3 4 2 4" xfId="39746" xr:uid="{FEB5B01F-D2C7-44F4-9FC4-95E458C69CF9}"/>
    <cellStyle name="Comma 4 3 3 4 2 5" xfId="21148" xr:uid="{147EEE0A-0F07-4426-8E7B-C124729B8472}"/>
    <cellStyle name="Comma 4 3 3 4 3" xfId="5447" xr:uid="{00000000-0005-0000-0000-00008D090000}"/>
    <cellStyle name="Comma 4 3 3 4 3 2" xfId="14773" xr:uid="{AECBCEC3-AB79-4AA2-BD3F-DB308F9E2BD3}"/>
    <cellStyle name="Comma 4 3 3 4 3 2 2" xfId="51115" xr:uid="{B3EE87BE-6C9D-4E96-832F-32EB0B41AC24}"/>
    <cellStyle name="Comma 4 3 3 4 3 2 3" xfId="32519" xr:uid="{6014D060-0303-48BF-AEF7-FDBDF714E024}"/>
    <cellStyle name="Comma 4 3 3 4 3 3" xfId="41818" xr:uid="{150E0F49-2716-46C5-81D4-3D63D5482B6C}"/>
    <cellStyle name="Comma 4 3 3 4 3 4" xfId="23220" xr:uid="{54E68B1A-3983-4D82-9D4D-6AE53C7D99DC}"/>
    <cellStyle name="Comma 4 3 3 4 4" xfId="10556" xr:uid="{DBA9BC97-82DF-4DF7-A370-5DDDDDD83BE1}"/>
    <cellStyle name="Comma 4 3 3 4 4 2" xfId="46898" xr:uid="{5C4805D1-87E8-4250-9EE9-0EA7146EA768}"/>
    <cellStyle name="Comma 4 3 3 4 4 3" xfId="28302" xr:uid="{E00FEF12-93E7-4515-B5E6-7B2E6B2568ED}"/>
    <cellStyle name="Comma 4 3 3 4 5" xfId="37601" xr:uid="{8B6CF384-89BE-45D1-BD0A-C25BF24132BA}"/>
    <cellStyle name="Comma 4 3 3 4 6" xfId="19003" xr:uid="{F776413E-7AED-4F83-BC5A-47D48CBF03C0}"/>
    <cellStyle name="Comma 4 3 3 5" xfId="1553" xr:uid="{00000000-0005-0000-0000-00008E090000}"/>
    <cellStyle name="Comma 4 3 3 5 2" xfId="3783" xr:uid="{00000000-0005-0000-0000-00008F090000}"/>
    <cellStyle name="Comma 4 3 3 5 2 2" xfId="8005" xr:uid="{00000000-0005-0000-0000-000090090000}"/>
    <cellStyle name="Comma 4 3 3 5 2 2 2" xfId="17331" xr:uid="{C7C75AEC-D9B9-4AF1-9541-DB58986875E3}"/>
    <cellStyle name="Comma 4 3 3 5 2 2 2 2" xfId="53673" xr:uid="{ED0C2FA8-0CA7-420D-9CBF-9DC495E33703}"/>
    <cellStyle name="Comma 4 3 3 5 2 2 2 3" xfId="35077" xr:uid="{1E9F1ABF-C9E3-4A2C-8015-F430E115BF9D}"/>
    <cellStyle name="Comma 4 3 3 5 2 2 3" xfId="44376" xr:uid="{0AB4D421-1D19-4B1B-A99E-79188CC5804D}"/>
    <cellStyle name="Comma 4 3 3 5 2 2 4" xfId="25778" xr:uid="{B276F696-A359-401E-B628-9F91EFB2FB2A}"/>
    <cellStyle name="Comma 4 3 3 5 2 3" xfId="13114" xr:uid="{2C0A0DA4-8FDD-4077-A5E0-1DBC1D51D439}"/>
    <cellStyle name="Comma 4 3 3 5 2 3 2" xfId="49456" xr:uid="{8CB639C7-7AAD-4AF7-A42D-1DBBF7E10CBC}"/>
    <cellStyle name="Comma 4 3 3 5 2 3 3" xfId="30860" xr:uid="{B86F2B5E-241A-4128-86D2-FD4C9ED5B656}"/>
    <cellStyle name="Comma 4 3 3 5 2 4" xfId="40159" xr:uid="{9911430C-A2B4-447D-AAFF-01B20937FD54}"/>
    <cellStyle name="Comma 4 3 3 5 2 5" xfId="21561" xr:uid="{9503DAF5-A5C8-4983-8780-437166206B12}"/>
    <cellStyle name="Comma 4 3 3 5 3" xfId="5860" xr:uid="{00000000-0005-0000-0000-000091090000}"/>
    <cellStyle name="Comma 4 3 3 5 3 2" xfId="15186" xr:uid="{3087A73E-D261-467C-BC38-923BFDC33785}"/>
    <cellStyle name="Comma 4 3 3 5 3 2 2" xfId="51528" xr:uid="{96183A31-5021-4815-8D27-E8B81723F754}"/>
    <cellStyle name="Comma 4 3 3 5 3 2 3" xfId="32932" xr:uid="{3F5AD607-01AB-41F5-BEC4-00509D5056FA}"/>
    <cellStyle name="Comma 4 3 3 5 3 3" xfId="42231" xr:uid="{BC8E81F9-DEAF-4D49-9EE1-806D9AAC9C4B}"/>
    <cellStyle name="Comma 4 3 3 5 3 4" xfId="23633" xr:uid="{7842918D-8E92-4CDE-9A25-EA9274E3EA15}"/>
    <cellStyle name="Comma 4 3 3 5 4" xfId="10969" xr:uid="{35BABC86-DA0C-4D84-8860-7D38236F5AC2}"/>
    <cellStyle name="Comma 4 3 3 5 4 2" xfId="47311" xr:uid="{9C481630-F79E-49B0-8539-D8BF79DCB476}"/>
    <cellStyle name="Comma 4 3 3 5 4 3" xfId="28715" xr:uid="{8696A53A-102F-4782-B6C3-CCA7F053F8AD}"/>
    <cellStyle name="Comma 4 3 3 5 5" xfId="38014" xr:uid="{4CFE0CEC-81D4-45AF-B3E9-089C9E8B8A31}"/>
    <cellStyle name="Comma 4 3 3 5 6" xfId="19416" xr:uid="{FA1F5E92-5856-4A16-9C2C-90FBD8BDCFE3}"/>
    <cellStyle name="Comma 4 3 3 6" xfId="1967" xr:uid="{00000000-0005-0000-0000-000092090000}"/>
    <cellStyle name="Comma 4 3 3 6 2" xfId="4196" xr:uid="{00000000-0005-0000-0000-000093090000}"/>
    <cellStyle name="Comma 4 3 3 6 2 2" xfId="8418" xr:uid="{00000000-0005-0000-0000-000094090000}"/>
    <cellStyle name="Comma 4 3 3 6 2 2 2" xfId="17744" xr:uid="{4F289DF9-427B-471D-BBCD-44B4A4FBD07C}"/>
    <cellStyle name="Comma 4 3 3 6 2 2 2 2" xfId="54086" xr:uid="{8E864ED7-8B44-47E2-BFE8-BEFD06379B53}"/>
    <cellStyle name="Comma 4 3 3 6 2 2 2 3" xfId="35490" xr:uid="{43A1219E-CE17-4326-8C66-128D844B607C}"/>
    <cellStyle name="Comma 4 3 3 6 2 2 3" xfId="44789" xr:uid="{8092A762-0FDF-4026-AF10-4B5B33070C50}"/>
    <cellStyle name="Comma 4 3 3 6 2 2 4" xfId="26191" xr:uid="{CF0F79F7-9C5F-4CCB-8F62-4521BDF1CFE0}"/>
    <cellStyle name="Comma 4 3 3 6 2 3" xfId="13527" xr:uid="{1580539B-9B11-4EE1-BBCE-8AD1C3765FE5}"/>
    <cellStyle name="Comma 4 3 3 6 2 3 2" xfId="49869" xr:uid="{8666C742-064E-4834-8840-9F529434D4CB}"/>
    <cellStyle name="Comma 4 3 3 6 2 3 3" xfId="31273" xr:uid="{4F22A622-8D60-42C4-9CC4-EE25197CE4A6}"/>
    <cellStyle name="Comma 4 3 3 6 2 4" xfId="40572" xr:uid="{4AF01ACF-A30B-4F0F-9F4D-192693F29684}"/>
    <cellStyle name="Comma 4 3 3 6 2 5" xfId="21974" xr:uid="{6CBE66D4-D2B6-4B20-A4DC-4CCC779E3637}"/>
    <cellStyle name="Comma 4 3 3 6 3" xfId="6273" xr:uid="{00000000-0005-0000-0000-000095090000}"/>
    <cellStyle name="Comma 4 3 3 6 3 2" xfId="15599" xr:uid="{DE1F8924-9814-411C-9509-0DD70608ED19}"/>
    <cellStyle name="Comma 4 3 3 6 3 2 2" xfId="51941" xr:uid="{B8D98F44-D63E-4823-A9DD-DDB7CB1191E3}"/>
    <cellStyle name="Comma 4 3 3 6 3 2 3" xfId="33345" xr:uid="{143DE2EE-021C-4DFB-982F-024EE686B0AE}"/>
    <cellStyle name="Comma 4 3 3 6 3 3" xfId="42644" xr:uid="{ED7D449C-D03D-4153-816D-9A0EC984112E}"/>
    <cellStyle name="Comma 4 3 3 6 3 4" xfId="24046" xr:uid="{93849A6C-E85B-41DC-99E9-E095A5CF8B5A}"/>
    <cellStyle name="Comma 4 3 3 6 4" xfId="11382" xr:uid="{167B4F7B-8998-45C9-9308-267A1D71E4F5}"/>
    <cellStyle name="Comma 4 3 3 6 4 2" xfId="47724" xr:uid="{583942A8-7A24-48A5-B2F4-F15F290E56C7}"/>
    <cellStyle name="Comma 4 3 3 6 4 3" xfId="29128" xr:uid="{BC217E8B-6BD4-49C0-AB41-8B4ABB23541C}"/>
    <cellStyle name="Comma 4 3 3 6 5" xfId="38427" xr:uid="{88124834-3390-4309-A2C3-101C109B2032}"/>
    <cellStyle name="Comma 4 3 3 6 6" xfId="19829" xr:uid="{5E97C258-6308-401B-A467-8B40D2DD55C4}"/>
    <cellStyle name="Comma 4 3 3 7" xfId="2402" xr:uid="{00000000-0005-0000-0000-000096090000}"/>
    <cellStyle name="Comma 4 3 3 7 2" xfId="6686" xr:uid="{00000000-0005-0000-0000-000097090000}"/>
    <cellStyle name="Comma 4 3 3 7 2 2" xfId="16012" xr:uid="{A670E0A4-1C57-481A-9762-100F2CF3A5A9}"/>
    <cellStyle name="Comma 4 3 3 7 2 2 2" xfId="52354" xr:uid="{71AC0C85-BE29-4866-BBD6-5A45806A0B11}"/>
    <cellStyle name="Comma 4 3 3 7 2 2 3" xfId="33758" xr:uid="{EB2B30DF-2461-48E4-8E26-7B6C2A378100}"/>
    <cellStyle name="Comma 4 3 3 7 2 3" xfId="43057" xr:uid="{4FE6F426-EC67-4B73-B26C-4F7E8F90139C}"/>
    <cellStyle name="Comma 4 3 3 7 2 4" xfId="24459" xr:uid="{65A4CAE1-E618-46C5-A964-4D32119063C8}"/>
    <cellStyle name="Comma 4 3 3 7 3" xfId="11795" xr:uid="{AD8C5837-DB5F-4DF0-A682-31B24C43CAA3}"/>
    <cellStyle name="Comma 4 3 3 7 3 2" xfId="48137" xr:uid="{E610D651-6B40-41B0-8A26-6BBAE38EAAAD}"/>
    <cellStyle name="Comma 4 3 3 7 3 3" xfId="29541" xr:uid="{4F3AA257-91BE-4CBF-9340-D4E2BCA1A5F9}"/>
    <cellStyle name="Comma 4 3 3 7 4" xfId="38840" xr:uid="{017A33A2-9BDC-4AF8-A3A0-D7216EBC23C1}"/>
    <cellStyle name="Comma 4 3 3 7 5" xfId="20242" xr:uid="{9E55D25E-DA6B-4424-9C37-E4134B3C4988}"/>
    <cellStyle name="Comma 4 3 3 8" xfId="2361" xr:uid="{00000000-0005-0000-0000-000098090000}"/>
    <cellStyle name="Comma 4 3 3 9" xfId="2780" xr:uid="{00000000-0005-0000-0000-000099090000}"/>
    <cellStyle name="Comma 4 3 3 9 2" xfId="7003" xr:uid="{00000000-0005-0000-0000-00009A090000}"/>
    <cellStyle name="Comma 4 3 3 9 2 2" xfId="16329" xr:uid="{591FC19F-187A-4F43-8095-514AF9F12768}"/>
    <cellStyle name="Comma 4 3 3 9 2 2 2" xfId="52671" xr:uid="{22087282-F6AD-46A4-A5BD-9E92B8402B8D}"/>
    <cellStyle name="Comma 4 3 3 9 2 2 3" xfId="34075" xr:uid="{597B5A81-D2AD-4FCD-B183-633FB00280FB}"/>
    <cellStyle name="Comma 4 3 3 9 2 3" xfId="43374" xr:uid="{A3694498-6895-4A20-88E4-8F09C6E89ED2}"/>
    <cellStyle name="Comma 4 3 3 9 2 4" xfId="24776" xr:uid="{1B0644E3-99D9-4965-B259-508940B70895}"/>
    <cellStyle name="Comma 4 3 3 9 3" xfId="12112" xr:uid="{239C41A5-7C73-4C93-ACEB-F5D5A95FA361}"/>
    <cellStyle name="Comma 4 3 3 9 3 2" xfId="48454" xr:uid="{76C962E7-AE0E-44D5-8345-B7DB3699CE1B}"/>
    <cellStyle name="Comma 4 3 3 9 3 3" xfId="29858" xr:uid="{24833085-A5E9-4CB1-9206-425DB7B3AEEE}"/>
    <cellStyle name="Comma 4 3 3 9 4" xfId="39157" xr:uid="{915AC0DB-105E-489A-A66A-5ADABE0386A7}"/>
    <cellStyle name="Comma 4 3 3 9 5" xfId="20559" xr:uid="{B2811135-A3A7-4442-B21F-1E90D5CF607D}"/>
    <cellStyle name="Comma 4 3 4" xfId="151" xr:uid="{00000000-0005-0000-0000-00009B090000}"/>
    <cellStyle name="Comma 4 3 4 10" xfId="8985" xr:uid="{E965CEC1-A932-4F91-9E18-794CBF7DC7FC}"/>
    <cellStyle name="Comma 4 3 4 10 2" xfId="36055" xr:uid="{AAA3BBCF-D218-4C22-9F11-124CF8C227B1}"/>
    <cellStyle name="Comma 4 3 4 10 2 2" xfId="54650" xr:uid="{2CA18B0B-6F2B-4A9B-9B87-9510145A19CC}"/>
    <cellStyle name="Comma 4 3 4 10 3" xfId="45353" xr:uid="{FCE347AD-3D05-492F-8A21-A3CB40075929}"/>
    <cellStyle name="Comma 4 3 4 10 4" xfId="26756" xr:uid="{B72F5F32-F9C1-4A13-9AAF-38F833E85152}"/>
    <cellStyle name="Comma 4 3 4 11" xfId="9731" xr:uid="{636A7EB8-C2CE-4FDA-9146-8623EDEB3CA5}"/>
    <cellStyle name="Comma 4 3 4 11 2" xfId="46073" xr:uid="{D590A91D-6DCB-4E06-BC28-4AEA237A1DB3}"/>
    <cellStyle name="Comma 4 3 4 11 3" xfId="27477" xr:uid="{847E392C-A63B-485D-92F7-9B761AD9DCCF}"/>
    <cellStyle name="Comma 4 3 4 12" xfId="36776" xr:uid="{E09BFA3E-3B4D-434D-8D7D-F9B0065DBD88}"/>
    <cellStyle name="Comma 4 3 4 13" xfId="18178" xr:uid="{3B88FF56-14B7-4555-BDB7-01C9612FA9FF}"/>
    <cellStyle name="Comma 4 3 4 2" xfId="688" xr:uid="{00000000-0005-0000-0000-00009C090000}"/>
    <cellStyle name="Comma 4 3 4 2 2" xfId="2959" xr:uid="{00000000-0005-0000-0000-00009D090000}"/>
    <cellStyle name="Comma 4 3 4 2 2 2" xfId="7181" xr:uid="{00000000-0005-0000-0000-00009E090000}"/>
    <cellStyle name="Comma 4 3 4 2 2 2 2" xfId="16507" xr:uid="{0FF8AB7A-3EEE-4FB0-9DA0-F2AE66064393}"/>
    <cellStyle name="Comma 4 3 4 2 2 2 2 2" xfId="52849" xr:uid="{2AF86F57-E0F9-4895-9004-F2BDFA6DE573}"/>
    <cellStyle name="Comma 4 3 4 2 2 2 2 3" xfId="34253" xr:uid="{0F6C81EC-AD18-42B3-8E2E-E5283172CF16}"/>
    <cellStyle name="Comma 4 3 4 2 2 2 3" xfId="43552" xr:uid="{4E0E5C13-F9F7-46FB-A978-BD40C2F8A920}"/>
    <cellStyle name="Comma 4 3 4 2 2 2 4" xfId="24954" xr:uid="{5B6C6B95-8835-4F94-A8A9-E2D4C6911D08}"/>
    <cellStyle name="Comma 4 3 4 2 2 3" xfId="12290" xr:uid="{4B408F5D-3C36-4DBB-B0A8-82570657AC86}"/>
    <cellStyle name="Comma 4 3 4 2 2 3 2" xfId="48632" xr:uid="{60D378E1-32FB-4FB4-B9D0-D91101043DA2}"/>
    <cellStyle name="Comma 4 3 4 2 2 3 3" xfId="30036" xr:uid="{79F21F92-6E6B-4F98-9FE0-089810A730DA}"/>
    <cellStyle name="Comma 4 3 4 2 2 4" xfId="39335" xr:uid="{D3C0D82C-A21D-462E-9461-15D206C6C4D8}"/>
    <cellStyle name="Comma 4 3 4 2 2 5" xfId="20737" xr:uid="{99C2B816-DC25-4879-8BD1-830B267B350D}"/>
    <cellStyle name="Comma 4 3 4 2 3" xfId="5036" xr:uid="{00000000-0005-0000-0000-00009F090000}"/>
    <cellStyle name="Comma 4 3 4 2 3 2" xfId="14362" xr:uid="{1773B258-A0C6-42C3-B3CE-1CDE8AA4855C}"/>
    <cellStyle name="Comma 4 3 4 2 3 2 2" xfId="50704" xr:uid="{8D800D73-3188-4F82-AE2F-A21806FA4C06}"/>
    <cellStyle name="Comma 4 3 4 2 3 2 3" xfId="32108" xr:uid="{929F09B7-5D49-4ED8-922D-92637219C62E}"/>
    <cellStyle name="Comma 4 3 4 2 3 3" xfId="41407" xr:uid="{0AAC76ED-FBA7-4211-AE45-A2B3153F2992}"/>
    <cellStyle name="Comma 4 3 4 2 3 4" xfId="22809" xr:uid="{A73060B8-F0D5-4191-B5CB-44295AAAFCA9}"/>
    <cellStyle name="Comma 4 3 4 2 4" xfId="9410" xr:uid="{54DEC146-6204-4AAF-A15F-BAC0A12B5984}"/>
    <cellStyle name="Comma 4 3 4 2 4 2" xfId="36471" xr:uid="{6F85AD1B-8671-460E-9616-B45CBFC9BA67}"/>
    <cellStyle name="Comma 4 3 4 2 4 2 2" xfId="55065" xr:uid="{9C4C08D7-58D4-4999-BCAA-D136B320AEDF}"/>
    <cellStyle name="Comma 4 3 4 2 4 3" xfId="45768" xr:uid="{6BAAC103-A821-48FE-B379-D67AE8699A2C}"/>
    <cellStyle name="Comma 4 3 4 2 4 4" xfId="27172" xr:uid="{9E3570A7-1462-46D7-A140-2CE902881C72}"/>
    <cellStyle name="Comma 4 3 4 2 5" xfId="10145" xr:uid="{2F8B8C49-2FE7-4E73-B80D-BAAEE7893B20}"/>
    <cellStyle name="Comma 4 3 4 2 5 2" xfId="46487" xr:uid="{71569818-9516-4AF9-BEA2-91307741E29E}"/>
    <cellStyle name="Comma 4 3 4 2 5 3" xfId="27891" xr:uid="{BDC862A9-4286-4290-A17D-2BDA334D4C26}"/>
    <cellStyle name="Comma 4 3 4 2 6" xfId="37190" xr:uid="{47B30DD9-7FE1-4A82-A3BC-CC68DDC62546}"/>
    <cellStyle name="Comma 4 3 4 2 7" xfId="18592" xr:uid="{637F285B-E06C-4378-8FEA-E04C86D0997C}"/>
    <cellStyle name="Comma 4 3 4 3" xfId="1141" xr:uid="{00000000-0005-0000-0000-0000A0090000}"/>
    <cellStyle name="Comma 4 3 4 3 2" xfId="3372" xr:uid="{00000000-0005-0000-0000-0000A1090000}"/>
    <cellStyle name="Comma 4 3 4 3 2 2" xfId="7594" xr:uid="{00000000-0005-0000-0000-0000A2090000}"/>
    <cellStyle name="Comma 4 3 4 3 2 2 2" xfId="16920" xr:uid="{A44A5D12-BF1A-468A-B0ED-5DAC0E7FF0E2}"/>
    <cellStyle name="Comma 4 3 4 3 2 2 2 2" xfId="53262" xr:uid="{0AC41CCE-3016-48FE-905A-C268C01E0B68}"/>
    <cellStyle name="Comma 4 3 4 3 2 2 2 3" xfId="34666" xr:uid="{67905B29-30CF-4929-BCA7-1F08BBE39934}"/>
    <cellStyle name="Comma 4 3 4 3 2 2 3" xfId="43965" xr:uid="{9667EF51-84AB-4C9D-AAC5-33EE1283EC08}"/>
    <cellStyle name="Comma 4 3 4 3 2 2 4" xfId="25367" xr:uid="{B32687B0-D2B4-4558-81D8-BE1DD657C5DC}"/>
    <cellStyle name="Comma 4 3 4 3 2 3" xfId="12703" xr:uid="{F81C4388-291E-4E3F-B7B8-7BA63A6A246C}"/>
    <cellStyle name="Comma 4 3 4 3 2 3 2" xfId="49045" xr:uid="{3CFB3019-6BD9-45AE-AD47-40079374A77A}"/>
    <cellStyle name="Comma 4 3 4 3 2 3 3" xfId="30449" xr:uid="{E6492879-D573-41E4-AC08-6ADF654232BD}"/>
    <cellStyle name="Comma 4 3 4 3 2 4" xfId="39748" xr:uid="{044F0254-5D13-4FC3-AD94-A8160B13D5D6}"/>
    <cellStyle name="Comma 4 3 4 3 2 5" xfId="21150" xr:uid="{6E5C3629-BDCC-4F5B-BA5E-FAB60F371F65}"/>
    <cellStyle name="Comma 4 3 4 3 3" xfId="5449" xr:uid="{00000000-0005-0000-0000-0000A3090000}"/>
    <cellStyle name="Comma 4 3 4 3 3 2" xfId="14775" xr:uid="{A41B2006-14C9-4F16-83BE-FCEB4342CA0A}"/>
    <cellStyle name="Comma 4 3 4 3 3 2 2" xfId="51117" xr:uid="{E78AB512-BFDA-4F40-B52B-A6E970FE2B4E}"/>
    <cellStyle name="Comma 4 3 4 3 3 2 3" xfId="32521" xr:uid="{3B5AF5D9-CADA-4629-AFB7-3B49299DFF3E}"/>
    <cellStyle name="Comma 4 3 4 3 3 3" xfId="41820" xr:uid="{83833764-2C0A-4084-AD1E-07B939091C25}"/>
    <cellStyle name="Comma 4 3 4 3 3 4" xfId="23222" xr:uid="{7E6C8898-D4D2-431A-9FF3-25771DA60CC5}"/>
    <cellStyle name="Comma 4 3 4 3 4" xfId="10558" xr:uid="{02515F75-CB9A-41F3-85ED-01897E9F0D54}"/>
    <cellStyle name="Comma 4 3 4 3 4 2" xfId="46900" xr:uid="{5661EA33-3860-4B87-838D-BF3578ED85C9}"/>
    <cellStyle name="Comma 4 3 4 3 4 3" xfId="28304" xr:uid="{0BFF2726-881E-46FA-AED7-A63545E162D4}"/>
    <cellStyle name="Comma 4 3 4 3 5" xfId="37603" xr:uid="{1CCB7372-707E-41A8-866D-5DAB1EB05378}"/>
    <cellStyle name="Comma 4 3 4 3 6" xfId="19005" xr:uid="{5A5C1DC6-26E1-44B7-8847-74873D9B535E}"/>
    <cellStyle name="Comma 4 3 4 4" xfId="1555" xr:uid="{00000000-0005-0000-0000-0000A4090000}"/>
    <cellStyle name="Comma 4 3 4 4 2" xfId="3785" xr:uid="{00000000-0005-0000-0000-0000A5090000}"/>
    <cellStyle name="Comma 4 3 4 4 2 2" xfId="8007" xr:uid="{00000000-0005-0000-0000-0000A6090000}"/>
    <cellStyle name="Comma 4 3 4 4 2 2 2" xfId="17333" xr:uid="{2F62A292-4D0F-4D97-9A6D-BAF1E38E4EBA}"/>
    <cellStyle name="Comma 4 3 4 4 2 2 2 2" xfId="53675" xr:uid="{95CABBD7-49CA-4156-ABAC-8DA418FEDD67}"/>
    <cellStyle name="Comma 4 3 4 4 2 2 2 3" xfId="35079" xr:uid="{AEA78249-67BA-4811-9212-0393E166CD6D}"/>
    <cellStyle name="Comma 4 3 4 4 2 2 3" xfId="44378" xr:uid="{886BC43D-1784-46E4-928E-2EDD7A36FB25}"/>
    <cellStyle name="Comma 4 3 4 4 2 2 4" xfId="25780" xr:uid="{594B4B2D-5EB4-41E3-840C-0F2B63169958}"/>
    <cellStyle name="Comma 4 3 4 4 2 3" xfId="13116" xr:uid="{03D5CDED-4210-450F-9AE9-D7F90EEA0396}"/>
    <cellStyle name="Comma 4 3 4 4 2 3 2" xfId="49458" xr:uid="{C88E1F6C-0EB2-4C20-8260-388678F825C7}"/>
    <cellStyle name="Comma 4 3 4 4 2 3 3" xfId="30862" xr:uid="{260302B2-00E4-41C2-BD08-F8746493480E}"/>
    <cellStyle name="Comma 4 3 4 4 2 4" xfId="40161" xr:uid="{ED02B792-26BF-4BAB-A87E-C52A16CAFAC3}"/>
    <cellStyle name="Comma 4 3 4 4 2 5" xfId="21563" xr:uid="{AA453CE1-89F8-433B-BBFF-B0E93EE47767}"/>
    <cellStyle name="Comma 4 3 4 4 3" xfId="5862" xr:uid="{00000000-0005-0000-0000-0000A7090000}"/>
    <cellStyle name="Comma 4 3 4 4 3 2" xfId="15188" xr:uid="{88DB3931-0305-44CB-88B1-F9E4FAD32E04}"/>
    <cellStyle name="Comma 4 3 4 4 3 2 2" xfId="51530" xr:uid="{5C67A20A-D89D-4FEB-AB05-2A3CD7E0A276}"/>
    <cellStyle name="Comma 4 3 4 4 3 2 3" xfId="32934" xr:uid="{34D2C7BA-0A63-4F60-AB25-D3E4127485BE}"/>
    <cellStyle name="Comma 4 3 4 4 3 3" xfId="42233" xr:uid="{84066793-76E7-43AE-A352-FB15E04AA6B8}"/>
    <cellStyle name="Comma 4 3 4 4 3 4" xfId="23635" xr:uid="{80693991-6B11-4BC9-9849-CEB9611E1D1E}"/>
    <cellStyle name="Comma 4 3 4 4 4" xfId="10971" xr:uid="{F51A0678-1932-4FF7-BE00-9A25663A3035}"/>
    <cellStyle name="Comma 4 3 4 4 4 2" xfId="47313" xr:uid="{23B1C7BC-5E6A-4F85-9FAB-B10444CA5D0B}"/>
    <cellStyle name="Comma 4 3 4 4 4 3" xfId="28717" xr:uid="{15434E8F-53BE-459E-A592-A8EF829F6036}"/>
    <cellStyle name="Comma 4 3 4 4 5" xfId="38016" xr:uid="{BF153F39-608F-4F3C-8630-A7F922F5F210}"/>
    <cellStyle name="Comma 4 3 4 4 6" xfId="19418" xr:uid="{2B5B6650-C279-40BF-B348-2B1EFA15DBC1}"/>
    <cellStyle name="Comma 4 3 4 5" xfId="1969" xr:uid="{00000000-0005-0000-0000-0000A8090000}"/>
    <cellStyle name="Comma 4 3 4 5 2" xfId="4198" xr:uid="{00000000-0005-0000-0000-0000A9090000}"/>
    <cellStyle name="Comma 4 3 4 5 2 2" xfId="8420" xr:uid="{00000000-0005-0000-0000-0000AA090000}"/>
    <cellStyle name="Comma 4 3 4 5 2 2 2" xfId="17746" xr:uid="{323816EB-53F4-43C8-8C5E-99F1601ECD7F}"/>
    <cellStyle name="Comma 4 3 4 5 2 2 2 2" xfId="54088" xr:uid="{44809F42-9BB5-45D4-B22F-C22273428E15}"/>
    <cellStyle name="Comma 4 3 4 5 2 2 2 3" xfId="35492" xr:uid="{D0846336-2B3E-4F11-A710-B5408452BC70}"/>
    <cellStyle name="Comma 4 3 4 5 2 2 3" xfId="44791" xr:uid="{1943D46B-FDD4-400C-868A-A25082AF7AA5}"/>
    <cellStyle name="Comma 4 3 4 5 2 2 4" xfId="26193" xr:uid="{77E33031-D326-4A0E-90E9-ACEF05ED0A1D}"/>
    <cellStyle name="Comma 4 3 4 5 2 3" xfId="13529" xr:uid="{1522FF6F-055C-4C1B-9687-89C884414901}"/>
    <cellStyle name="Comma 4 3 4 5 2 3 2" xfId="49871" xr:uid="{64DABE28-2463-497D-B6B4-67C8F1E85244}"/>
    <cellStyle name="Comma 4 3 4 5 2 3 3" xfId="31275" xr:uid="{EFCD6E21-1CA1-49E7-81D8-07F74A67CD18}"/>
    <cellStyle name="Comma 4 3 4 5 2 4" xfId="40574" xr:uid="{5373F31A-75D4-4843-9F23-30C00D7221D1}"/>
    <cellStyle name="Comma 4 3 4 5 2 5" xfId="21976" xr:uid="{A0B1F20D-5C6E-4CDB-893F-7C8815F3D2CF}"/>
    <cellStyle name="Comma 4 3 4 5 3" xfId="6275" xr:uid="{00000000-0005-0000-0000-0000AB090000}"/>
    <cellStyle name="Comma 4 3 4 5 3 2" xfId="15601" xr:uid="{050CB255-FCB5-4B23-BC13-DAB0415AED6B}"/>
    <cellStyle name="Comma 4 3 4 5 3 2 2" xfId="51943" xr:uid="{6D109E68-1FBB-4DB9-8C28-572D4772DF93}"/>
    <cellStyle name="Comma 4 3 4 5 3 2 3" xfId="33347" xr:uid="{3797ACA2-539A-42AB-85FF-D34C58AE3EBC}"/>
    <cellStyle name="Comma 4 3 4 5 3 3" xfId="42646" xr:uid="{C9645ECB-D0C0-448D-82A1-D2EE12328688}"/>
    <cellStyle name="Comma 4 3 4 5 3 4" xfId="24048" xr:uid="{5C08B2FB-D3B2-4D9F-B8DE-60F834F144A1}"/>
    <cellStyle name="Comma 4 3 4 5 4" xfId="11384" xr:uid="{EDEC8994-6370-4DD3-8A5F-9EE475850483}"/>
    <cellStyle name="Comma 4 3 4 5 4 2" xfId="47726" xr:uid="{B1E30E6E-6642-4E34-8439-74A6FA63BFED}"/>
    <cellStyle name="Comma 4 3 4 5 4 3" xfId="29130" xr:uid="{F028E336-0195-48E5-A0D8-3AE3CA59F645}"/>
    <cellStyle name="Comma 4 3 4 5 5" xfId="38429" xr:uid="{604E3466-37F8-41FA-A6DE-6CAB6501B02D}"/>
    <cellStyle name="Comma 4 3 4 5 6" xfId="19831" xr:uid="{8CA8C2FA-575F-44FA-ADC2-007EC0D513C0}"/>
    <cellStyle name="Comma 4 3 4 6" xfId="2404" xr:uid="{00000000-0005-0000-0000-0000AC090000}"/>
    <cellStyle name="Comma 4 3 4 6 2" xfId="6688" xr:uid="{00000000-0005-0000-0000-0000AD090000}"/>
    <cellStyle name="Comma 4 3 4 6 2 2" xfId="16014" xr:uid="{ED909C08-4C57-4C49-BC88-E007BF8AB0BF}"/>
    <cellStyle name="Comma 4 3 4 6 2 2 2" xfId="52356" xr:uid="{7A74E713-8F85-4F71-8405-88D5427F72B3}"/>
    <cellStyle name="Comma 4 3 4 6 2 2 3" xfId="33760" xr:uid="{DDFB9A3F-2D97-46D8-A749-57A526C4FBCA}"/>
    <cellStyle name="Comma 4 3 4 6 2 3" xfId="43059" xr:uid="{CC738E5C-E744-4E17-8F5D-2D9816629C49}"/>
    <cellStyle name="Comma 4 3 4 6 2 4" xfId="24461" xr:uid="{67FE880D-48C7-40D1-8C96-5CA2D0951108}"/>
    <cellStyle name="Comma 4 3 4 6 3" xfId="11797" xr:uid="{B6034CB8-86D7-4401-BA7C-81A855A6C702}"/>
    <cellStyle name="Comma 4 3 4 6 3 2" xfId="48139" xr:uid="{45ECF8AF-93F2-4319-94AC-D6F55D087579}"/>
    <cellStyle name="Comma 4 3 4 6 3 3" xfId="29543" xr:uid="{B4C0DAC1-3298-4A4C-AEA4-D09BB2702D59}"/>
    <cellStyle name="Comma 4 3 4 6 4" xfId="38842" xr:uid="{5B3C6C1F-72B1-48CB-9086-8FF9E15D627D}"/>
    <cellStyle name="Comma 4 3 4 6 5" xfId="20244" xr:uid="{5EE95F25-8BFA-4D8F-B2AF-7F49C1FB393B}"/>
    <cellStyle name="Comma 4 3 4 7" xfId="2700" xr:uid="{00000000-0005-0000-0000-0000AE090000}"/>
    <cellStyle name="Comma 4 3 4 8" xfId="2782" xr:uid="{00000000-0005-0000-0000-0000AF090000}"/>
    <cellStyle name="Comma 4 3 4 8 2" xfId="7005" xr:uid="{00000000-0005-0000-0000-0000B0090000}"/>
    <cellStyle name="Comma 4 3 4 8 2 2" xfId="16331" xr:uid="{ED6098E2-452A-47DD-8799-817073BA9477}"/>
    <cellStyle name="Comma 4 3 4 8 2 2 2" xfId="52673" xr:uid="{F99CE093-124F-4E3C-BEA8-B76DF19FB616}"/>
    <cellStyle name="Comma 4 3 4 8 2 2 3" xfId="34077" xr:uid="{65F531AE-A2C9-43FC-B1BB-531CB525FC26}"/>
    <cellStyle name="Comma 4 3 4 8 2 3" xfId="43376" xr:uid="{E7848B78-C030-43BF-A2A8-67BC125AE110}"/>
    <cellStyle name="Comma 4 3 4 8 2 4" xfId="24778" xr:uid="{5E13671D-44E6-4C7D-9CBC-4D50156F053C}"/>
    <cellStyle name="Comma 4 3 4 8 3" xfId="12114" xr:uid="{44F6770B-63CB-4082-AC8C-725C33E6873C}"/>
    <cellStyle name="Comma 4 3 4 8 3 2" xfId="48456" xr:uid="{22A9608F-599F-4F2A-8FCD-CD35A28F5547}"/>
    <cellStyle name="Comma 4 3 4 8 3 3" xfId="29860" xr:uid="{D4E8D20B-DC80-44B1-B88C-95CCC4338242}"/>
    <cellStyle name="Comma 4 3 4 8 4" xfId="39159" xr:uid="{18C84AA1-F59E-4F36-8716-75149DAC5210}"/>
    <cellStyle name="Comma 4 3 4 8 5" xfId="20561" xr:uid="{E2912C84-A835-41E7-ABE2-1285D7BF09C4}"/>
    <cellStyle name="Comma 4 3 4 9" xfId="4622" xr:uid="{00000000-0005-0000-0000-0000B1090000}"/>
    <cellStyle name="Comma 4 3 4 9 2" xfId="13948" xr:uid="{584F5C4C-43B4-46F8-ADD0-1D0D749101BA}"/>
    <cellStyle name="Comma 4 3 4 9 2 2" xfId="50290" xr:uid="{D1365C03-BE07-4412-917B-EF514204FE8B}"/>
    <cellStyle name="Comma 4 3 4 9 2 3" xfId="31694" xr:uid="{6D1DD1C7-298C-4DAF-9D08-768CAE2BB87C}"/>
    <cellStyle name="Comma 4 3 4 9 3" xfId="40993" xr:uid="{CD351A4A-57BF-4A86-8554-8ADC755650A8}"/>
    <cellStyle name="Comma 4 3 4 9 4" xfId="22395" xr:uid="{849BB851-8282-497E-80EB-383653915C8D}"/>
    <cellStyle name="Comma 4 3 5" xfId="152" xr:uid="{00000000-0005-0000-0000-0000B2090000}"/>
    <cellStyle name="Comma 4 3 5 10" xfId="9202" xr:uid="{BF5456DA-E11C-47BD-8210-21F45D9E5F79}"/>
    <cellStyle name="Comma 4 3 5 10 2" xfId="36264" xr:uid="{ECCD41A1-7A4E-4DF0-9DCC-F1D73E3CADCC}"/>
    <cellStyle name="Comma 4 3 5 10 2 2" xfId="54858" xr:uid="{2447CDA4-64F2-4A37-BA41-90B6AA161026}"/>
    <cellStyle name="Comma 4 3 5 10 3" xfId="45561" xr:uid="{9343B6E5-5C5D-4912-9A09-CAFBB0BF54B4}"/>
    <cellStyle name="Comma 4 3 5 10 4" xfId="26965" xr:uid="{3984AF11-F58A-4503-8C14-89B56497508F}"/>
    <cellStyle name="Comma 4 3 5 11" xfId="9732" xr:uid="{9E5D0B43-3F94-4F95-9B07-EFF4C61EA9B0}"/>
    <cellStyle name="Comma 4 3 5 11 2" xfId="46074" xr:uid="{D59939EC-26E4-4925-9F17-E0276B11692D}"/>
    <cellStyle name="Comma 4 3 5 11 3" xfId="27478" xr:uid="{7298AE24-EE1D-4A7F-A3A7-C73D162DC1DD}"/>
    <cellStyle name="Comma 4 3 5 12" xfId="36777" xr:uid="{B869DAAE-F647-422B-9401-FEDAFBCBD34B}"/>
    <cellStyle name="Comma 4 3 5 13" xfId="18179" xr:uid="{97819DC7-0A62-4ECB-A75C-2247CBD142FC}"/>
    <cellStyle name="Comma 4 3 5 2" xfId="689" xr:uid="{00000000-0005-0000-0000-0000B3090000}"/>
    <cellStyle name="Comma 4 3 5 2 2" xfId="2960" xr:uid="{00000000-0005-0000-0000-0000B4090000}"/>
    <cellStyle name="Comma 4 3 5 2 2 2" xfId="7182" xr:uid="{00000000-0005-0000-0000-0000B5090000}"/>
    <cellStyle name="Comma 4 3 5 2 2 2 2" xfId="16508" xr:uid="{18E7ED01-2A20-4445-B5A3-63022887C949}"/>
    <cellStyle name="Comma 4 3 5 2 2 2 2 2" xfId="52850" xr:uid="{7C484048-1F2B-4D32-B9D6-011F6795EA86}"/>
    <cellStyle name="Comma 4 3 5 2 2 2 2 3" xfId="34254" xr:uid="{36F159EF-9D47-49E0-9669-C776B3CD7E5E}"/>
    <cellStyle name="Comma 4 3 5 2 2 2 3" xfId="43553" xr:uid="{7F34D8EB-DE41-49DB-B111-787E115A4A9B}"/>
    <cellStyle name="Comma 4 3 5 2 2 2 4" xfId="24955" xr:uid="{875B2A8C-E794-48E9-806C-1BCB96A067FA}"/>
    <cellStyle name="Comma 4 3 5 2 2 3" xfId="12291" xr:uid="{086BF024-CD0A-4F8E-BF2C-98A540DF35D7}"/>
    <cellStyle name="Comma 4 3 5 2 2 3 2" xfId="48633" xr:uid="{6A935425-EB16-46C6-98A7-286ACDAA203A}"/>
    <cellStyle name="Comma 4 3 5 2 2 3 3" xfId="30037" xr:uid="{A8F0B74E-A30D-462C-A6A2-779EB4826198}"/>
    <cellStyle name="Comma 4 3 5 2 2 4" xfId="39336" xr:uid="{82A8EA9F-DAD4-488A-8B24-5D34941E7E30}"/>
    <cellStyle name="Comma 4 3 5 2 2 5" xfId="20738" xr:uid="{BA522A65-74F5-4A83-B41E-C9C85C7775EF}"/>
    <cellStyle name="Comma 4 3 5 2 3" xfId="5037" xr:uid="{00000000-0005-0000-0000-0000B6090000}"/>
    <cellStyle name="Comma 4 3 5 2 3 2" xfId="14363" xr:uid="{1EF95F65-A7ED-41AE-8760-7218EAB580AA}"/>
    <cellStyle name="Comma 4 3 5 2 3 2 2" xfId="50705" xr:uid="{BB1C3299-3DA6-4B4B-93C0-1B87A9A1BCDA}"/>
    <cellStyle name="Comma 4 3 5 2 3 2 3" xfId="32109" xr:uid="{5FAB87B0-BA76-4DF9-BDEB-FA3BA739D50E}"/>
    <cellStyle name="Comma 4 3 5 2 3 3" xfId="41408" xr:uid="{64FFF4DC-6797-4C4E-8A14-38A5B130BE5E}"/>
    <cellStyle name="Comma 4 3 5 2 3 4" xfId="22810" xr:uid="{C19E755C-AA2D-4316-8B89-14CABA23A107}"/>
    <cellStyle name="Comma 4 3 5 2 4" xfId="9595" xr:uid="{3E6BF710-D2EA-4AFB-83F1-C6BF1C2192FF}"/>
    <cellStyle name="Comma 4 3 5 2 4 2" xfId="36645" xr:uid="{F3D9F6A8-1E96-44E7-A0B9-8EB75DB92CCF}"/>
    <cellStyle name="Comma 4 3 5 2 4 2 2" xfId="55239" xr:uid="{4292A593-0349-4DA7-BC69-6D95D04B19CD}"/>
    <cellStyle name="Comma 4 3 5 2 4 3" xfId="45942" xr:uid="{C563B021-7A44-4DD4-84FC-162499555221}"/>
    <cellStyle name="Comma 4 3 5 2 4 4" xfId="27346" xr:uid="{A7AC53D0-35EB-4DC0-ABC3-3CD56E9635C9}"/>
    <cellStyle name="Comma 4 3 5 2 5" xfId="10146" xr:uid="{F02DE7AF-FDF6-4A4E-8120-443759DE7193}"/>
    <cellStyle name="Comma 4 3 5 2 5 2" xfId="46488" xr:uid="{184DCB77-E20D-4460-A898-7E3DE0B8FCC9}"/>
    <cellStyle name="Comma 4 3 5 2 5 3" xfId="27892" xr:uid="{08260153-50E4-4213-A333-62534E6789E1}"/>
    <cellStyle name="Comma 4 3 5 2 6" xfId="37191" xr:uid="{85E9E418-EE40-4D18-A236-3EE89B09C95C}"/>
    <cellStyle name="Comma 4 3 5 2 7" xfId="18593" xr:uid="{9DD0B907-BD9E-454A-A0D9-104D3A10827D}"/>
    <cellStyle name="Comma 4 3 5 3" xfId="1142" xr:uid="{00000000-0005-0000-0000-0000B7090000}"/>
    <cellStyle name="Comma 4 3 5 3 2" xfId="3373" xr:uid="{00000000-0005-0000-0000-0000B8090000}"/>
    <cellStyle name="Comma 4 3 5 3 2 2" xfId="7595" xr:uid="{00000000-0005-0000-0000-0000B9090000}"/>
    <cellStyle name="Comma 4 3 5 3 2 2 2" xfId="16921" xr:uid="{C5421344-EE99-464D-8A61-602A804276A6}"/>
    <cellStyle name="Comma 4 3 5 3 2 2 2 2" xfId="53263" xr:uid="{36D482C2-3659-4851-A617-EEECEA576D1A}"/>
    <cellStyle name="Comma 4 3 5 3 2 2 2 3" xfId="34667" xr:uid="{7D47E48A-E3F3-4F68-9B4C-C4A4642785FE}"/>
    <cellStyle name="Comma 4 3 5 3 2 2 3" xfId="43966" xr:uid="{79AAC547-098C-4974-9928-83AA686A9D8F}"/>
    <cellStyle name="Comma 4 3 5 3 2 2 4" xfId="25368" xr:uid="{36654048-F91E-4C24-985B-1C49A0C97237}"/>
    <cellStyle name="Comma 4 3 5 3 2 3" xfId="12704" xr:uid="{A22D249C-3953-421D-9B68-E96EC003BF51}"/>
    <cellStyle name="Comma 4 3 5 3 2 3 2" xfId="49046" xr:uid="{544A7307-ED5B-40D9-94EB-C1DF3DF9AC86}"/>
    <cellStyle name="Comma 4 3 5 3 2 3 3" xfId="30450" xr:uid="{24B33EC3-7496-4A76-A2DA-C22C6A9F564E}"/>
    <cellStyle name="Comma 4 3 5 3 2 4" xfId="39749" xr:uid="{D32683C0-FAAB-4D75-8D01-F31CEA15BB50}"/>
    <cellStyle name="Comma 4 3 5 3 2 5" xfId="21151" xr:uid="{501C44E9-8F6B-4267-8D83-519C4D1EA5D4}"/>
    <cellStyle name="Comma 4 3 5 3 3" xfId="5450" xr:uid="{00000000-0005-0000-0000-0000BA090000}"/>
    <cellStyle name="Comma 4 3 5 3 3 2" xfId="14776" xr:uid="{9BEB88BE-FAEE-47BC-8820-375B650FE551}"/>
    <cellStyle name="Comma 4 3 5 3 3 2 2" xfId="51118" xr:uid="{8566AB8D-D3D1-431E-971E-421E1A55FF5D}"/>
    <cellStyle name="Comma 4 3 5 3 3 2 3" xfId="32522" xr:uid="{042C85A1-0283-4482-834A-61B67FC4CAFF}"/>
    <cellStyle name="Comma 4 3 5 3 3 3" xfId="41821" xr:uid="{02ED4E1E-0FD0-429D-A579-F9824389BEEF}"/>
    <cellStyle name="Comma 4 3 5 3 3 4" xfId="23223" xr:uid="{A5F3D8E5-8460-4E77-B495-F7FDD6E88B1E}"/>
    <cellStyle name="Comma 4 3 5 3 4" xfId="10559" xr:uid="{910804AD-CD77-429A-80B9-F7E82EC7707C}"/>
    <cellStyle name="Comma 4 3 5 3 4 2" xfId="46901" xr:uid="{4EC424A6-0829-4959-9ADE-7870618CAF0C}"/>
    <cellStyle name="Comma 4 3 5 3 4 3" xfId="28305" xr:uid="{C7816841-5DCC-4184-9551-8AA2165BD2C3}"/>
    <cellStyle name="Comma 4 3 5 3 5" xfId="37604" xr:uid="{FAA14D38-FF29-4F7F-84A4-C5520EFA0852}"/>
    <cellStyle name="Comma 4 3 5 3 6" xfId="19006" xr:uid="{8ADF7E62-14FF-49C4-B656-7238A3541215}"/>
    <cellStyle name="Comma 4 3 5 4" xfId="1556" xr:uid="{00000000-0005-0000-0000-0000BB090000}"/>
    <cellStyle name="Comma 4 3 5 4 2" xfId="3786" xr:uid="{00000000-0005-0000-0000-0000BC090000}"/>
    <cellStyle name="Comma 4 3 5 4 2 2" xfId="8008" xr:uid="{00000000-0005-0000-0000-0000BD090000}"/>
    <cellStyle name="Comma 4 3 5 4 2 2 2" xfId="17334" xr:uid="{3BA97EAA-6E79-42EB-9426-F247D031D65E}"/>
    <cellStyle name="Comma 4 3 5 4 2 2 2 2" xfId="53676" xr:uid="{1C8696B2-1920-401A-9EDA-0E69FD553577}"/>
    <cellStyle name="Comma 4 3 5 4 2 2 2 3" xfId="35080" xr:uid="{0A8CC32F-4B03-42C4-8C5D-21827B258D78}"/>
    <cellStyle name="Comma 4 3 5 4 2 2 3" xfId="44379" xr:uid="{EA3E9D06-5860-44FC-A4B8-3E5C65643323}"/>
    <cellStyle name="Comma 4 3 5 4 2 2 4" xfId="25781" xr:uid="{467998E3-5C9B-4FD5-8D85-E2A49C9CFDC7}"/>
    <cellStyle name="Comma 4 3 5 4 2 3" xfId="13117" xr:uid="{7FB8D242-A91F-4670-BAC4-71028EC77D7C}"/>
    <cellStyle name="Comma 4 3 5 4 2 3 2" xfId="49459" xr:uid="{8E7E4F87-B23F-4320-81A1-7A466CB85DB0}"/>
    <cellStyle name="Comma 4 3 5 4 2 3 3" xfId="30863" xr:uid="{BCD12BA7-563C-4E16-B7FA-D5B9C81F6D69}"/>
    <cellStyle name="Comma 4 3 5 4 2 4" xfId="40162" xr:uid="{3F84AFA2-1549-4BDA-9711-458D68588DAA}"/>
    <cellStyle name="Comma 4 3 5 4 2 5" xfId="21564" xr:uid="{ADB0C99B-F52A-4818-A5D6-49BBE7951E78}"/>
    <cellStyle name="Comma 4 3 5 4 3" xfId="5863" xr:uid="{00000000-0005-0000-0000-0000BE090000}"/>
    <cellStyle name="Comma 4 3 5 4 3 2" xfId="15189" xr:uid="{798120DE-457A-4B07-82EB-4C734AD90338}"/>
    <cellStyle name="Comma 4 3 5 4 3 2 2" xfId="51531" xr:uid="{2B296861-8326-44D0-BA9E-8169003C49BC}"/>
    <cellStyle name="Comma 4 3 5 4 3 2 3" xfId="32935" xr:uid="{A12C89EE-E85E-4B13-8CD9-280DBE88D3E0}"/>
    <cellStyle name="Comma 4 3 5 4 3 3" xfId="42234" xr:uid="{BB1DC33C-1066-4996-B968-4BF54355AD4B}"/>
    <cellStyle name="Comma 4 3 5 4 3 4" xfId="23636" xr:uid="{8846E679-43F9-4365-A2C5-322C6C208BFF}"/>
    <cellStyle name="Comma 4 3 5 4 4" xfId="10972" xr:uid="{C3C8359F-5764-4FB1-8842-6232809EAD57}"/>
    <cellStyle name="Comma 4 3 5 4 4 2" xfId="47314" xr:uid="{7809D393-1ECA-4CB6-B020-D03C772A1DEF}"/>
    <cellStyle name="Comma 4 3 5 4 4 3" xfId="28718" xr:uid="{710F5F7A-F1E5-4A71-A2A0-A99F487A6D8E}"/>
    <cellStyle name="Comma 4 3 5 4 5" xfId="38017" xr:uid="{209C244F-F870-4082-A9AF-499E66ACE29B}"/>
    <cellStyle name="Comma 4 3 5 4 6" xfId="19419" xr:uid="{E1A8334A-02E7-4620-B18B-34B79F689D34}"/>
    <cellStyle name="Comma 4 3 5 5" xfId="1970" xr:uid="{00000000-0005-0000-0000-0000BF090000}"/>
    <cellStyle name="Comma 4 3 5 5 2" xfId="4199" xr:uid="{00000000-0005-0000-0000-0000C0090000}"/>
    <cellStyle name="Comma 4 3 5 5 2 2" xfId="8421" xr:uid="{00000000-0005-0000-0000-0000C1090000}"/>
    <cellStyle name="Comma 4 3 5 5 2 2 2" xfId="17747" xr:uid="{F10B6991-3CFF-4084-B457-37775F4DEEA9}"/>
    <cellStyle name="Comma 4 3 5 5 2 2 2 2" xfId="54089" xr:uid="{22AD1710-CBEA-4589-88D9-5A88537238F3}"/>
    <cellStyle name="Comma 4 3 5 5 2 2 2 3" xfId="35493" xr:uid="{07E174BD-82CB-4252-89C0-6B78AF38EDB2}"/>
    <cellStyle name="Comma 4 3 5 5 2 2 3" xfId="44792" xr:uid="{FFBEFF7C-BE98-481D-A2E3-802064F77D82}"/>
    <cellStyle name="Comma 4 3 5 5 2 2 4" xfId="26194" xr:uid="{73819B72-8961-46F8-88FE-0E70112F6E93}"/>
    <cellStyle name="Comma 4 3 5 5 2 3" xfId="13530" xr:uid="{9CAC5B0F-4B5A-4582-811D-3138895C4334}"/>
    <cellStyle name="Comma 4 3 5 5 2 3 2" xfId="49872" xr:uid="{8E78D7C1-2E77-43E7-960F-EFAE6CA61171}"/>
    <cellStyle name="Comma 4 3 5 5 2 3 3" xfId="31276" xr:uid="{B6F6D8AB-CF2A-402C-9102-55D0C0D15803}"/>
    <cellStyle name="Comma 4 3 5 5 2 4" xfId="40575" xr:uid="{529EBDD8-A9E7-4B0D-9B0D-C3391B78E9DB}"/>
    <cellStyle name="Comma 4 3 5 5 2 5" xfId="21977" xr:uid="{4A3655F9-B345-41CB-AA8D-E9069576737D}"/>
    <cellStyle name="Comma 4 3 5 5 3" xfId="6276" xr:uid="{00000000-0005-0000-0000-0000C2090000}"/>
    <cellStyle name="Comma 4 3 5 5 3 2" xfId="15602" xr:uid="{2028A5BF-B72A-4C64-818D-AB133BE1C053}"/>
    <cellStyle name="Comma 4 3 5 5 3 2 2" xfId="51944" xr:uid="{1B7CD61D-C295-4F5D-919D-FCBDF212A61A}"/>
    <cellStyle name="Comma 4 3 5 5 3 2 3" xfId="33348" xr:uid="{07CFE5FC-A87C-4A95-955C-205839C6FE34}"/>
    <cellStyle name="Comma 4 3 5 5 3 3" xfId="42647" xr:uid="{3007CF35-19F6-41D6-9D07-33ED79CC82C4}"/>
    <cellStyle name="Comma 4 3 5 5 3 4" xfId="24049" xr:uid="{81943B16-5C23-4437-A319-54CB652B487C}"/>
    <cellStyle name="Comma 4 3 5 5 4" xfId="11385" xr:uid="{AD24ED3D-E602-4CB1-BD6D-AF406966948D}"/>
    <cellStyle name="Comma 4 3 5 5 4 2" xfId="47727" xr:uid="{0D3EBB37-C4DF-4131-8E2C-C11C238F55A0}"/>
    <cellStyle name="Comma 4 3 5 5 4 3" xfId="29131" xr:uid="{5E0E9A14-B4E8-432D-A49F-024633E8C3B0}"/>
    <cellStyle name="Comma 4 3 5 5 5" xfId="38430" xr:uid="{63F4125E-D044-4DA4-BD82-1100CBE4881B}"/>
    <cellStyle name="Comma 4 3 5 5 6" xfId="19832" xr:uid="{141A962F-50DE-421C-B548-FA4DA34FC6C2}"/>
    <cellStyle name="Comma 4 3 5 6" xfId="2405" xr:uid="{00000000-0005-0000-0000-0000C3090000}"/>
    <cellStyle name="Comma 4 3 5 6 2" xfId="6689" xr:uid="{00000000-0005-0000-0000-0000C4090000}"/>
    <cellStyle name="Comma 4 3 5 6 2 2" xfId="16015" xr:uid="{545A81FD-DC8E-46E6-80F1-955ABEF17732}"/>
    <cellStyle name="Comma 4 3 5 6 2 2 2" xfId="52357" xr:uid="{B8FEB71D-B716-4DF3-869D-6472680F4367}"/>
    <cellStyle name="Comma 4 3 5 6 2 2 3" xfId="33761" xr:uid="{3928FD07-B518-4C41-BD11-E88A8AF32CC4}"/>
    <cellStyle name="Comma 4 3 5 6 2 3" xfId="43060" xr:uid="{419172A2-F6A7-4C05-B8AE-7B522CC1365B}"/>
    <cellStyle name="Comma 4 3 5 6 2 4" xfId="24462" xr:uid="{8690234F-B422-4569-85CC-CE961887F892}"/>
    <cellStyle name="Comma 4 3 5 6 3" xfId="11798" xr:uid="{C152AEEC-88E6-4A9F-9E37-126A75CDC5A4}"/>
    <cellStyle name="Comma 4 3 5 6 3 2" xfId="48140" xr:uid="{EA4D8FB0-A389-497F-AC29-4830FE23D142}"/>
    <cellStyle name="Comma 4 3 5 6 3 3" xfId="29544" xr:uid="{4F161732-48AB-427A-ACA3-F0B6429CF8A9}"/>
    <cellStyle name="Comma 4 3 5 6 4" xfId="38843" xr:uid="{933AFD1F-0DFE-426D-8DC2-66F5FA8B300D}"/>
    <cellStyle name="Comma 4 3 5 6 5" xfId="20245" xr:uid="{64290CE0-A6EA-4842-8CD0-6C98D6816677}"/>
    <cellStyle name="Comma 4 3 5 7" xfId="2701" xr:uid="{00000000-0005-0000-0000-0000C5090000}"/>
    <cellStyle name="Comma 4 3 5 8" xfId="2783" xr:uid="{00000000-0005-0000-0000-0000C6090000}"/>
    <cellStyle name="Comma 4 3 5 8 2" xfId="7006" xr:uid="{00000000-0005-0000-0000-0000C7090000}"/>
    <cellStyle name="Comma 4 3 5 8 2 2" xfId="16332" xr:uid="{145ABC3C-7B6C-425E-86F2-66B385B7EB47}"/>
    <cellStyle name="Comma 4 3 5 8 2 2 2" xfId="52674" xr:uid="{40906245-1093-4899-B611-0FD57085F51D}"/>
    <cellStyle name="Comma 4 3 5 8 2 2 3" xfId="34078" xr:uid="{D09FD878-C01C-46E0-AD50-6B6138DADD35}"/>
    <cellStyle name="Comma 4 3 5 8 2 3" xfId="43377" xr:uid="{AFB2109D-5762-44E1-9D22-9452FF9B3E24}"/>
    <cellStyle name="Comma 4 3 5 8 2 4" xfId="24779" xr:uid="{2C6A68F0-1E8E-4988-8A5E-41802A3D9C09}"/>
    <cellStyle name="Comma 4 3 5 8 3" xfId="12115" xr:uid="{E44AACC6-CBC8-4F93-95BC-468BA99407FD}"/>
    <cellStyle name="Comma 4 3 5 8 3 2" xfId="48457" xr:uid="{918655AF-A8A9-4FBD-BDDE-852C14AD4F1A}"/>
    <cellStyle name="Comma 4 3 5 8 3 3" xfId="29861" xr:uid="{04D781FC-07C2-44D2-B0AE-BF96CCF28418}"/>
    <cellStyle name="Comma 4 3 5 8 4" xfId="39160" xr:uid="{3DB698F5-86F1-4B45-BFC4-03F2D8E589D5}"/>
    <cellStyle name="Comma 4 3 5 8 5" xfId="20562" xr:uid="{29224A60-334A-4BAB-BD17-33E6DA505729}"/>
    <cellStyle name="Comma 4 3 5 9" xfId="4623" xr:uid="{00000000-0005-0000-0000-0000C8090000}"/>
    <cellStyle name="Comma 4 3 5 9 2" xfId="13949" xr:uid="{2C696D85-A281-4B4F-B534-6A9856CDC319}"/>
    <cellStyle name="Comma 4 3 5 9 2 2" xfId="50291" xr:uid="{0C2E5B91-D1D7-4108-AEE0-2B3E0A78C1EC}"/>
    <cellStyle name="Comma 4 3 5 9 2 3" xfId="31695" xr:uid="{6508BAD4-146E-4F20-BB61-4DD5CB968800}"/>
    <cellStyle name="Comma 4 3 5 9 3" xfId="40994" xr:uid="{E0E4E651-355E-4470-9C4B-424EBEDCD5AE}"/>
    <cellStyle name="Comma 4 3 5 9 4" xfId="22396" xr:uid="{A8BBDEC9-96AF-4297-99C4-9F00D7B0AC28}"/>
    <cellStyle name="Comma 4 3 6" xfId="9582" xr:uid="{F1B74700-6F25-44D3-B4B6-1EFC63A6078B}"/>
    <cellStyle name="Comma 4 3 7" xfId="8778" xr:uid="{01CB0168-3495-42C5-9A13-F25D4D0EF35E}"/>
    <cellStyle name="Comma 4 3 7 2" xfId="35848" xr:uid="{A3ECFA06-795D-4479-813C-1C35E036CE99}"/>
    <cellStyle name="Comma 4 3 7 2 2" xfId="54443" xr:uid="{39F30513-56DC-4EDD-88E7-14625FC753AC}"/>
    <cellStyle name="Comma 4 3 7 3" xfId="45146" xr:uid="{AA598FC6-F8C3-4979-8E0C-3BDFF9CE1370}"/>
    <cellStyle name="Comma 4 3 7 4" xfId="26549" xr:uid="{A0846353-8229-4EAC-BDC6-33F473D69B8A}"/>
    <cellStyle name="Comma 4 4" xfId="153" xr:uid="{00000000-0005-0000-0000-0000C9090000}"/>
    <cellStyle name="Comma 4 4 10" xfId="2784" xr:uid="{00000000-0005-0000-0000-0000CA090000}"/>
    <cellStyle name="Comma 4 4 10 2" xfId="7007" xr:uid="{00000000-0005-0000-0000-0000CB090000}"/>
    <cellStyle name="Comma 4 4 10 2 2" xfId="16333" xr:uid="{0384E332-C52B-4467-BF65-B97057B57CB6}"/>
    <cellStyle name="Comma 4 4 10 2 2 2" xfId="52675" xr:uid="{13B8FA52-A927-492C-B083-EEDFD7C51842}"/>
    <cellStyle name="Comma 4 4 10 2 2 3" xfId="34079" xr:uid="{A15CA034-D166-4A43-BB13-DC617CA39B72}"/>
    <cellStyle name="Comma 4 4 10 2 3" xfId="43378" xr:uid="{1E428D38-F5FE-4988-9859-811748C34D7D}"/>
    <cellStyle name="Comma 4 4 10 2 4" xfId="24780" xr:uid="{BF0FDB49-9362-4160-8C4B-2BE9B80EB40A}"/>
    <cellStyle name="Comma 4 4 10 3" xfId="12116" xr:uid="{D29D2BEF-B24C-4C23-AD6A-B9A71C558367}"/>
    <cellStyle name="Comma 4 4 10 3 2" xfId="48458" xr:uid="{B0787AD8-2908-4CF9-B70E-C3DED420AD1A}"/>
    <cellStyle name="Comma 4 4 10 3 3" xfId="29862" xr:uid="{F66955E6-2439-48C7-8490-0E046EFE98CF}"/>
    <cellStyle name="Comma 4 4 10 4" xfId="39161" xr:uid="{2712597B-2662-486D-ABBA-C05F621C65F9}"/>
    <cellStyle name="Comma 4 4 10 5" xfId="20563" xr:uid="{4BC27F4E-6F5D-4ECB-8016-15DA2B3634F4}"/>
    <cellStyle name="Comma 4 4 11" xfId="4624" xr:uid="{00000000-0005-0000-0000-0000CC090000}"/>
    <cellStyle name="Comma 4 4 11 2" xfId="13950" xr:uid="{64E8AC72-1771-454B-BA6C-6558B01FC596}"/>
    <cellStyle name="Comma 4 4 11 2 2" xfId="50292" xr:uid="{5C69B052-E5E5-4F01-8492-E08636291B18}"/>
    <cellStyle name="Comma 4 4 11 2 3" xfId="31696" xr:uid="{234177FE-CF49-42EA-8ABE-BF342E3540A9}"/>
    <cellStyle name="Comma 4 4 11 3" xfId="40995" xr:uid="{762ECDD6-E245-4B38-BC8E-987A60F64971}"/>
    <cellStyle name="Comma 4 4 11 4" xfId="22397" xr:uid="{04C56BBF-0990-4A50-BF28-F463D0A255CF}"/>
    <cellStyle name="Comma 4 4 12" xfId="8804" xr:uid="{A2BB6322-7771-45CD-845C-77E2FE03AC7A}"/>
    <cellStyle name="Comma 4 4 12 2" xfId="35874" xr:uid="{7B0F4CA4-8609-41DD-8DAA-62E1C66A174B}"/>
    <cellStyle name="Comma 4 4 12 2 2" xfId="54469" xr:uid="{EE3A942E-026F-4D6A-84EE-075948C4B375}"/>
    <cellStyle name="Comma 4 4 12 3" xfId="45172" xr:uid="{2A1A3B1E-F94C-4DF2-A713-9AE6C5B37053}"/>
    <cellStyle name="Comma 4 4 12 4" xfId="26575" xr:uid="{301720C9-0B00-40BB-9A5A-346843404C46}"/>
    <cellStyle name="Comma 4 4 13" xfId="9733" xr:uid="{51216312-F772-4C04-9E78-3A349F81FFBE}"/>
    <cellStyle name="Comma 4 4 13 2" xfId="46075" xr:uid="{C40A4DA7-0C80-46F0-AE76-20A043E76FC1}"/>
    <cellStyle name="Comma 4 4 13 3" xfId="27479" xr:uid="{292D47A4-9222-444E-9FA0-858F7E682570}"/>
    <cellStyle name="Comma 4 4 14" xfId="36778" xr:uid="{E93029F7-5580-437B-BCE9-DE14232C4040}"/>
    <cellStyle name="Comma 4 4 15" xfId="18180" xr:uid="{D86C98A2-13FA-42B6-A178-8A120C92D842}"/>
    <cellStyle name="Comma 4 4 2" xfId="154" xr:uid="{00000000-0005-0000-0000-0000CD090000}"/>
    <cellStyle name="Comma 4 4 2 10" xfId="4625" xr:uid="{00000000-0005-0000-0000-0000CE090000}"/>
    <cellStyle name="Comma 4 4 2 10 2" xfId="13951" xr:uid="{30B845C1-CF93-460D-9D1E-072971F174BA}"/>
    <cellStyle name="Comma 4 4 2 10 2 2" xfId="50293" xr:uid="{F8DF2DC7-0C7D-48B7-9EFD-BB30959C7518}"/>
    <cellStyle name="Comma 4 4 2 10 2 3" xfId="31697" xr:uid="{7EB12A68-D69B-4D23-ADE2-788AB3B7098D}"/>
    <cellStyle name="Comma 4 4 2 10 3" xfId="40996" xr:uid="{E5CC8811-717A-485D-86E2-2189D285C877}"/>
    <cellStyle name="Comma 4 4 2 10 4" xfId="22398" xr:uid="{D37A8D25-0551-4E11-9903-026A6A2BD99C}"/>
    <cellStyle name="Comma 4 4 2 11" xfId="8907" xr:uid="{F9F87618-3BA1-4211-A686-62CF5BBA5770}"/>
    <cellStyle name="Comma 4 4 2 11 2" xfId="35977" xr:uid="{5A4FD2C0-7848-4F26-B8D0-52C6328C5320}"/>
    <cellStyle name="Comma 4 4 2 11 2 2" xfId="54572" xr:uid="{7AE97D4C-F89B-48D9-9581-A25E25EACF54}"/>
    <cellStyle name="Comma 4 4 2 11 3" xfId="45275" xr:uid="{9E59553F-EF4C-4FE4-88AA-9C328E10FAD2}"/>
    <cellStyle name="Comma 4 4 2 11 4" xfId="26678" xr:uid="{5FD1A8BF-72EA-40F7-A837-EF42B81B00C8}"/>
    <cellStyle name="Comma 4 4 2 12" xfId="9734" xr:uid="{6D2A80CC-BF35-475D-9883-47C0F6361282}"/>
    <cellStyle name="Comma 4 4 2 12 2" xfId="46076" xr:uid="{1A6D0B29-CA01-4E0F-87F8-C44B2C75D6B4}"/>
    <cellStyle name="Comma 4 4 2 12 3" xfId="27480" xr:uid="{64D47D46-A1BB-4003-A50E-E91997EA7A08}"/>
    <cellStyle name="Comma 4 4 2 13" xfId="36779" xr:uid="{011EDE09-1B3F-4C21-93F1-47328293D9BF}"/>
    <cellStyle name="Comma 4 4 2 14" xfId="18181" xr:uid="{ADFDDD66-56BB-471D-8B8C-F7147CEB3B0A}"/>
    <cellStyle name="Comma 4 4 2 2" xfId="155" xr:uid="{00000000-0005-0000-0000-0000CF090000}"/>
    <cellStyle name="Comma 4 4 2 2 10" xfId="9114" xr:uid="{871FAC03-A44E-4C24-806C-3CC0605FD124}"/>
    <cellStyle name="Comma 4 4 2 2 10 2" xfId="36184" xr:uid="{4E865CB5-2214-4149-8951-40A42D451E80}"/>
    <cellStyle name="Comma 4 4 2 2 10 2 2" xfId="54779" xr:uid="{A738C34B-0310-4E88-8B04-84C9A2D925E7}"/>
    <cellStyle name="Comma 4 4 2 2 10 3" xfId="45482" xr:uid="{C6036D44-7259-4CD1-B63D-499C5E6F99F1}"/>
    <cellStyle name="Comma 4 4 2 2 10 4" xfId="26885" xr:uid="{2F7A113A-D63D-4018-AEBF-7E0A586C6AC1}"/>
    <cellStyle name="Comma 4 4 2 2 11" xfId="9735" xr:uid="{336B8339-5701-4B88-9E9E-570161BFF24E}"/>
    <cellStyle name="Comma 4 4 2 2 11 2" xfId="46077" xr:uid="{6362FCE8-7315-4376-817E-C7EF21C8BC20}"/>
    <cellStyle name="Comma 4 4 2 2 11 3" xfId="27481" xr:uid="{73997DA0-7DEA-4E5A-85F6-DC6849850783}"/>
    <cellStyle name="Comma 4 4 2 2 12" xfId="36780" xr:uid="{47014FFF-AE9D-4BDC-9522-A127D739AE9C}"/>
    <cellStyle name="Comma 4 4 2 2 13" xfId="18182" xr:uid="{E04B2C06-C441-488E-912A-99D590C31FA5}"/>
    <cellStyle name="Comma 4 4 2 2 2" xfId="692" xr:uid="{00000000-0005-0000-0000-0000D0090000}"/>
    <cellStyle name="Comma 4 4 2 2 2 2" xfId="2963" xr:uid="{00000000-0005-0000-0000-0000D1090000}"/>
    <cellStyle name="Comma 4 4 2 2 2 2 2" xfId="7185" xr:uid="{00000000-0005-0000-0000-0000D2090000}"/>
    <cellStyle name="Comma 4 4 2 2 2 2 2 2" xfId="16511" xr:uid="{70ED2EF4-7557-40B6-9FDB-29CBFD0D23B4}"/>
    <cellStyle name="Comma 4 4 2 2 2 2 2 2 2" xfId="52853" xr:uid="{A0EFEE69-EC7C-4AD2-974F-B82F9E590C2D}"/>
    <cellStyle name="Comma 4 4 2 2 2 2 2 2 3" xfId="34257" xr:uid="{776E5B67-17B9-4C10-AC6D-13769590354B}"/>
    <cellStyle name="Comma 4 4 2 2 2 2 2 3" xfId="43556" xr:uid="{962242F8-FD9C-4A12-ABA0-F16D24CAD130}"/>
    <cellStyle name="Comma 4 4 2 2 2 2 2 4" xfId="24958" xr:uid="{F30177E1-0AF1-466C-A704-1EE54CDA4018}"/>
    <cellStyle name="Comma 4 4 2 2 2 2 3" xfId="12294" xr:uid="{02E484F6-7655-4DCF-9149-F38CA705EEC3}"/>
    <cellStyle name="Comma 4 4 2 2 2 2 3 2" xfId="48636" xr:uid="{014F4837-1D2F-4D11-A5DD-7898FB61A3F2}"/>
    <cellStyle name="Comma 4 4 2 2 2 2 3 3" xfId="30040" xr:uid="{1A3C7520-4302-45AE-987C-BC327900C534}"/>
    <cellStyle name="Comma 4 4 2 2 2 2 4" xfId="39339" xr:uid="{E1CBF57F-20E9-4E7B-B151-60D7A252E3DE}"/>
    <cellStyle name="Comma 4 4 2 2 2 2 5" xfId="20741" xr:uid="{C5BFA72D-3F88-4E64-8298-B28328FE7F30}"/>
    <cellStyle name="Comma 4 4 2 2 2 3" xfId="5040" xr:uid="{00000000-0005-0000-0000-0000D3090000}"/>
    <cellStyle name="Comma 4 4 2 2 2 3 2" xfId="14366" xr:uid="{69B8919B-43D1-4B17-A8C0-CA4B43A7D2BB}"/>
    <cellStyle name="Comma 4 4 2 2 2 3 2 2" xfId="50708" xr:uid="{F97DCF78-8867-4B3B-BDD4-DFDF31365BEE}"/>
    <cellStyle name="Comma 4 4 2 2 2 3 2 3" xfId="32112" xr:uid="{B5367FE6-D2DB-4B7B-924E-F3433D44623F}"/>
    <cellStyle name="Comma 4 4 2 2 2 3 3" xfId="41411" xr:uid="{06EC480A-0F84-4FC5-9F78-153023BAB7AF}"/>
    <cellStyle name="Comma 4 4 2 2 2 3 4" xfId="22813" xr:uid="{A72F0160-31DF-4944-A8C3-D4C35A8DDF4E}"/>
    <cellStyle name="Comma 4 4 2 2 2 4" xfId="9539" xr:uid="{6209A471-8158-46C6-9ADA-C828BB6621B2}"/>
    <cellStyle name="Comma 4 4 2 2 2 4 2" xfId="36600" xr:uid="{53B1B684-AC4C-4A67-AD36-328D81947475}"/>
    <cellStyle name="Comma 4 4 2 2 2 4 2 2" xfId="55194" xr:uid="{CF9C8A9A-6B4A-4576-8489-EA7D2C094F57}"/>
    <cellStyle name="Comma 4 4 2 2 2 4 3" xfId="45897" xr:uid="{165A5EB7-8462-4AD8-B887-7906812F29F4}"/>
    <cellStyle name="Comma 4 4 2 2 2 4 4" xfId="27301" xr:uid="{AD38417F-2026-45B5-A432-E159898D7354}"/>
    <cellStyle name="Comma 4 4 2 2 2 5" xfId="10149" xr:uid="{E9A62D5D-38B0-4C00-899F-E0E2C745AE73}"/>
    <cellStyle name="Comma 4 4 2 2 2 5 2" xfId="46491" xr:uid="{1A3832F8-73D0-4949-A5C3-59169E37FA58}"/>
    <cellStyle name="Comma 4 4 2 2 2 5 3" xfId="27895" xr:uid="{52B2B64D-D5FC-4207-8900-6BAE0B4A27FD}"/>
    <cellStyle name="Comma 4 4 2 2 2 6" xfId="37194" xr:uid="{21F43EBB-B703-47B1-BC8F-4D4B07E654B2}"/>
    <cellStyle name="Comma 4 4 2 2 2 7" xfId="18596" xr:uid="{7483406A-3D86-4B3A-B41B-2D85EB746DB2}"/>
    <cellStyle name="Comma 4 4 2 2 3" xfId="1145" xr:uid="{00000000-0005-0000-0000-0000D4090000}"/>
    <cellStyle name="Comma 4 4 2 2 3 2" xfId="3376" xr:uid="{00000000-0005-0000-0000-0000D5090000}"/>
    <cellStyle name="Comma 4 4 2 2 3 2 2" xfId="7598" xr:uid="{00000000-0005-0000-0000-0000D6090000}"/>
    <cellStyle name="Comma 4 4 2 2 3 2 2 2" xfId="16924" xr:uid="{98E48EB3-EF01-4086-82FA-D5C437706576}"/>
    <cellStyle name="Comma 4 4 2 2 3 2 2 2 2" xfId="53266" xr:uid="{8F1B1FB3-CA9E-4BD7-86A3-9B4DA169631C}"/>
    <cellStyle name="Comma 4 4 2 2 3 2 2 2 3" xfId="34670" xr:uid="{A41E27C6-22D2-46A3-A5BC-D7CAB03B6425}"/>
    <cellStyle name="Comma 4 4 2 2 3 2 2 3" xfId="43969" xr:uid="{E3BDD225-1FA0-4AAA-86AB-36F88515CF34}"/>
    <cellStyle name="Comma 4 4 2 2 3 2 2 4" xfId="25371" xr:uid="{FFA4927A-3178-4480-96CB-FDE6FF7A4E5D}"/>
    <cellStyle name="Comma 4 4 2 2 3 2 3" xfId="12707" xr:uid="{3C91E189-C82C-48AE-A085-E006F523FC55}"/>
    <cellStyle name="Comma 4 4 2 2 3 2 3 2" xfId="49049" xr:uid="{C9099834-48AA-4843-BB29-BF81AF32509D}"/>
    <cellStyle name="Comma 4 4 2 2 3 2 3 3" xfId="30453" xr:uid="{F0CC92AC-14BD-4423-81FB-E0A6C849511E}"/>
    <cellStyle name="Comma 4 4 2 2 3 2 4" xfId="39752" xr:uid="{1C3BE65D-C5E7-4528-B9EE-2051D6595C32}"/>
    <cellStyle name="Comma 4 4 2 2 3 2 5" xfId="21154" xr:uid="{95FF6BEA-7DF1-45DD-9AB0-AB8D1A62806B}"/>
    <cellStyle name="Comma 4 4 2 2 3 3" xfId="5453" xr:uid="{00000000-0005-0000-0000-0000D7090000}"/>
    <cellStyle name="Comma 4 4 2 2 3 3 2" xfId="14779" xr:uid="{16ABE40D-9318-4E6A-8EB5-C4BD38EC8AD8}"/>
    <cellStyle name="Comma 4 4 2 2 3 3 2 2" xfId="51121" xr:uid="{53134D23-F6F1-498F-A0A6-E8503138FE6D}"/>
    <cellStyle name="Comma 4 4 2 2 3 3 2 3" xfId="32525" xr:uid="{D484015A-544B-453A-8A41-A2D857868D7C}"/>
    <cellStyle name="Comma 4 4 2 2 3 3 3" xfId="41824" xr:uid="{866AA79E-6F24-4E81-9E5C-761597F5BF3F}"/>
    <cellStyle name="Comma 4 4 2 2 3 3 4" xfId="23226" xr:uid="{15BFD40E-8E83-48D0-AB77-E7D8FACE075E}"/>
    <cellStyle name="Comma 4 4 2 2 3 4" xfId="10562" xr:uid="{442AF95D-E1CE-4AFF-90D9-D0F84B0F679D}"/>
    <cellStyle name="Comma 4 4 2 2 3 4 2" xfId="46904" xr:uid="{8F68C8D8-98F4-40B4-9F43-CC129955927F}"/>
    <cellStyle name="Comma 4 4 2 2 3 4 3" xfId="28308" xr:uid="{A7C9BEFD-6F59-4F50-969F-C08B0D1F0AB1}"/>
    <cellStyle name="Comma 4 4 2 2 3 5" xfId="37607" xr:uid="{E691E163-1C55-4ED3-A4E9-2DA92F021874}"/>
    <cellStyle name="Comma 4 4 2 2 3 6" xfId="19009" xr:uid="{EBC084FC-8C7C-4E15-94F5-15899F954891}"/>
    <cellStyle name="Comma 4 4 2 2 4" xfId="1559" xr:uid="{00000000-0005-0000-0000-0000D8090000}"/>
    <cellStyle name="Comma 4 4 2 2 4 2" xfId="3789" xr:uid="{00000000-0005-0000-0000-0000D9090000}"/>
    <cellStyle name="Comma 4 4 2 2 4 2 2" xfId="8011" xr:uid="{00000000-0005-0000-0000-0000DA090000}"/>
    <cellStyle name="Comma 4 4 2 2 4 2 2 2" xfId="17337" xr:uid="{1B7FFC51-BEBB-4ADB-92FD-7A393B765358}"/>
    <cellStyle name="Comma 4 4 2 2 4 2 2 2 2" xfId="53679" xr:uid="{292DAFA2-7CF6-4CAB-A319-66EBC006A7B4}"/>
    <cellStyle name="Comma 4 4 2 2 4 2 2 2 3" xfId="35083" xr:uid="{10B51BA6-94FB-4DA8-B339-AFCC6D265F1A}"/>
    <cellStyle name="Comma 4 4 2 2 4 2 2 3" xfId="44382" xr:uid="{854E4E25-C657-4917-BCE7-45F6A2273297}"/>
    <cellStyle name="Comma 4 4 2 2 4 2 2 4" xfId="25784" xr:uid="{AC58E099-4D00-4301-9D00-D004AF968353}"/>
    <cellStyle name="Comma 4 4 2 2 4 2 3" xfId="13120" xr:uid="{3FE33F64-713F-4C9F-A602-8DFF60DD7DAC}"/>
    <cellStyle name="Comma 4 4 2 2 4 2 3 2" xfId="49462" xr:uid="{7349FACD-21C2-446C-82E6-AF6904DA741D}"/>
    <cellStyle name="Comma 4 4 2 2 4 2 3 3" xfId="30866" xr:uid="{B4300971-2178-45EE-83C0-52D744B52D3C}"/>
    <cellStyle name="Comma 4 4 2 2 4 2 4" xfId="40165" xr:uid="{1BA9AA6C-9FAE-4C4B-9816-611D4AB4C173}"/>
    <cellStyle name="Comma 4 4 2 2 4 2 5" xfId="21567" xr:uid="{47E6F768-BA27-4FE8-BC07-DE90E401FB3B}"/>
    <cellStyle name="Comma 4 4 2 2 4 3" xfId="5866" xr:uid="{00000000-0005-0000-0000-0000DB090000}"/>
    <cellStyle name="Comma 4 4 2 2 4 3 2" xfId="15192" xr:uid="{F4521386-BB26-4C1F-9D35-A505470D9BBD}"/>
    <cellStyle name="Comma 4 4 2 2 4 3 2 2" xfId="51534" xr:uid="{69F3DD54-D257-4268-8A9E-4F0A0FF05BDB}"/>
    <cellStyle name="Comma 4 4 2 2 4 3 2 3" xfId="32938" xr:uid="{6F285EAB-DFA2-46BF-9BC7-35250808516D}"/>
    <cellStyle name="Comma 4 4 2 2 4 3 3" xfId="42237" xr:uid="{5192ED30-BBE7-494D-AF40-CD43A3B0B520}"/>
    <cellStyle name="Comma 4 4 2 2 4 3 4" xfId="23639" xr:uid="{076EE91D-0DF4-4FF7-933B-BE43AEF9A3C1}"/>
    <cellStyle name="Comma 4 4 2 2 4 4" xfId="10975" xr:uid="{0C864284-C43C-4265-9165-74B06CDE5FB6}"/>
    <cellStyle name="Comma 4 4 2 2 4 4 2" xfId="47317" xr:uid="{505948D0-5684-466C-B38E-E9B757F046AE}"/>
    <cellStyle name="Comma 4 4 2 2 4 4 3" xfId="28721" xr:uid="{74D58790-E3C7-403F-A730-B0EF8B9DADE4}"/>
    <cellStyle name="Comma 4 4 2 2 4 5" xfId="38020" xr:uid="{EF29D508-199B-440C-9FB4-62CA98089D4B}"/>
    <cellStyle name="Comma 4 4 2 2 4 6" xfId="19422" xr:uid="{EF0EC36C-B245-4F9B-9A46-B40507697E47}"/>
    <cellStyle name="Comma 4 4 2 2 5" xfId="1973" xr:uid="{00000000-0005-0000-0000-0000DC090000}"/>
    <cellStyle name="Comma 4 4 2 2 5 2" xfId="4202" xr:uid="{00000000-0005-0000-0000-0000DD090000}"/>
    <cellStyle name="Comma 4 4 2 2 5 2 2" xfId="8424" xr:uid="{00000000-0005-0000-0000-0000DE090000}"/>
    <cellStyle name="Comma 4 4 2 2 5 2 2 2" xfId="17750" xr:uid="{D566264C-283D-4A9E-B67B-DDDCF332B5D8}"/>
    <cellStyle name="Comma 4 4 2 2 5 2 2 2 2" xfId="54092" xr:uid="{A0343195-550D-431C-98E7-A26EA2322573}"/>
    <cellStyle name="Comma 4 4 2 2 5 2 2 2 3" xfId="35496" xr:uid="{695BAB4B-5600-4ECE-9946-5AAA51F0F03F}"/>
    <cellStyle name="Comma 4 4 2 2 5 2 2 3" xfId="44795" xr:uid="{0638148F-7D2B-42E2-91C8-300850667040}"/>
    <cellStyle name="Comma 4 4 2 2 5 2 2 4" xfId="26197" xr:uid="{86655E9F-8D7B-4B0F-A641-EFD33AF54217}"/>
    <cellStyle name="Comma 4 4 2 2 5 2 3" xfId="13533" xr:uid="{330E99AB-5855-44AF-B12E-B720940A3223}"/>
    <cellStyle name="Comma 4 4 2 2 5 2 3 2" xfId="49875" xr:uid="{B18C7B48-82DF-4ECA-80E5-10889A2B5F2C}"/>
    <cellStyle name="Comma 4 4 2 2 5 2 3 3" xfId="31279" xr:uid="{0A683BAA-888A-4FCA-ABBC-9288FB6C71B2}"/>
    <cellStyle name="Comma 4 4 2 2 5 2 4" xfId="40578" xr:uid="{485A7604-E7E3-4ECA-9E1A-30A8E733C2B8}"/>
    <cellStyle name="Comma 4 4 2 2 5 2 5" xfId="21980" xr:uid="{DA9A3424-9547-4899-8FE8-2BED3EA35489}"/>
    <cellStyle name="Comma 4 4 2 2 5 3" xfId="6279" xr:uid="{00000000-0005-0000-0000-0000DF090000}"/>
    <cellStyle name="Comma 4 4 2 2 5 3 2" xfId="15605" xr:uid="{9AA0F3B8-99AC-4B45-8C15-A980A8EA98C4}"/>
    <cellStyle name="Comma 4 4 2 2 5 3 2 2" xfId="51947" xr:uid="{852D5A53-482A-4371-871E-07B2D3B6C589}"/>
    <cellStyle name="Comma 4 4 2 2 5 3 2 3" xfId="33351" xr:uid="{C461FF3A-3385-40D8-90C5-35461AB3F670}"/>
    <cellStyle name="Comma 4 4 2 2 5 3 3" xfId="42650" xr:uid="{A3B1537F-A66D-45E0-902F-40B143B8B182}"/>
    <cellStyle name="Comma 4 4 2 2 5 3 4" xfId="24052" xr:uid="{68337441-D55B-4DF2-8A94-F9CBE39F4FA9}"/>
    <cellStyle name="Comma 4 4 2 2 5 4" xfId="11388" xr:uid="{4A684289-9597-465C-8818-99C3B2684836}"/>
    <cellStyle name="Comma 4 4 2 2 5 4 2" xfId="47730" xr:uid="{6C3D26ED-0D95-4488-866F-63EE14566BEE}"/>
    <cellStyle name="Comma 4 4 2 2 5 4 3" xfId="29134" xr:uid="{EC8E77EF-11C9-414C-A1CB-A30BDCC16E06}"/>
    <cellStyle name="Comma 4 4 2 2 5 5" xfId="38433" xr:uid="{6BE83EF7-B66A-47E8-A39F-26138D2F6D8A}"/>
    <cellStyle name="Comma 4 4 2 2 5 6" xfId="19835" xr:uid="{FB53A9AA-1198-492E-928C-541051AB1547}"/>
    <cellStyle name="Comma 4 4 2 2 6" xfId="2408" xr:uid="{00000000-0005-0000-0000-0000E0090000}"/>
    <cellStyle name="Comma 4 4 2 2 6 2" xfId="6692" xr:uid="{00000000-0005-0000-0000-0000E1090000}"/>
    <cellStyle name="Comma 4 4 2 2 6 2 2" xfId="16018" xr:uid="{950EA30A-4E41-407A-A675-3554B33A1BAF}"/>
    <cellStyle name="Comma 4 4 2 2 6 2 2 2" xfId="52360" xr:uid="{093D7125-A5A6-4D50-962F-5D8804AA583A}"/>
    <cellStyle name="Comma 4 4 2 2 6 2 2 3" xfId="33764" xr:uid="{C2283773-7515-4B31-92A5-565383E48370}"/>
    <cellStyle name="Comma 4 4 2 2 6 2 3" xfId="43063" xr:uid="{6A61115D-1FD6-4217-A291-1D7DBBE4C1C2}"/>
    <cellStyle name="Comma 4 4 2 2 6 2 4" xfId="24465" xr:uid="{6CA9EA60-524A-45FA-AF86-02A640A3B53F}"/>
    <cellStyle name="Comma 4 4 2 2 6 3" xfId="11801" xr:uid="{F58ED0D8-1C5D-4F42-9DBC-A14A902CF139}"/>
    <cellStyle name="Comma 4 4 2 2 6 3 2" xfId="48143" xr:uid="{C633EC94-C173-4D9E-8A74-6BB002192209}"/>
    <cellStyle name="Comma 4 4 2 2 6 3 3" xfId="29547" xr:uid="{5547EB8C-6EFD-4AF0-BB01-1645338CE5E9}"/>
    <cellStyle name="Comma 4 4 2 2 6 4" xfId="38846" xr:uid="{C1A96533-F9B3-4BAF-B84E-F86FE2494ACD}"/>
    <cellStyle name="Comma 4 4 2 2 6 5" xfId="20248" xr:uid="{DA0A197F-BA66-47A3-8C61-0D00682C6062}"/>
    <cellStyle name="Comma 4 4 2 2 7" xfId="2704" xr:uid="{00000000-0005-0000-0000-0000E2090000}"/>
    <cellStyle name="Comma 4 4 2 2 8" xfId="2786" xr:uid="{00000000-0005-0000-0000-0000E3090000}"/>
    <cellStyle name="Comma 4 4 2 2 8 2" xfId="7009" xr:uid="{00000000-0005-0000-0000-0000E4090000}"/>
    <cellStyle name="Comma 4 4 2 2 8 2 2" xfId="16335" xr:uid="{CE7F33BC-FE56-49FD-A804-0FB97283B10D}"/>
    <cellStyle name="Comma 4 4 2 2 8 2 2 2" xfId="52677" xr:uid="{6C5503C4-9482-4B83-819E-59AA988E7DA0}"/>
    <cellStyle name="Comma 4 4 2 2 8 2 2 3" xfId="34081" xr:uid="{22836812-8E20-4B3A-99F2-AA764F880B59}"/>
    <cellStyle name="Comma 4 4 2 2 8 2 3" xfId="43380" xr:uid="{92B02016-A7EA-47CA-AFAF-E527D96FBFD5}"/>
    <cellStyle name="Comma 4 4 2 2 8 2 4" xfId="24782" xr:uid="{1693EC1C-3787-4524-956A-01742F9D1A99}"/>
    <cellStyle name="Comma 4 4 2 2 8 3" xfId="12118" xr:uid="{2DEE4943-1929-4FB3-8F8C-6DA9528E51A3}"/>
    <cellStyle name="Comma 4 4 2 2 8 3 2" xfId="48460" xr:uid="{9D74A937-5C06-413F-80A7-21DEB6BAB5F2}"/>
    <cellStyle name="Comma 4 4 2 2 8 3 3" xfId="29864" xr:uid="{0400D1EE-6814-4369-B5D1-18A620680050}"/>
    <cellStyle name="Comma 4 4 2 2 8 4" xfId="39163" xr:uid="{B6A3C706-E3CC-4864-B618-88C77200E489}"/>
    <cellStyle name="Comma 4 4 2 2 8 5" xfId="20565" xr:uid="{16523D13-C5BA-44B1-9E2D-33130509D5B2}"/>
    <cellStyle name="Comma 4 4 2 2 9" xfId="4626" xr:uid="{00000000-0005-0000-0000-0000E5090000}"/>
    <cellStyle name="Comma 4 4 2 2 9 2" xfId="13952" xr:uid="{30F8EC86-38D5-4B1B-84CF-29605B53723C}"/>
    <cellStyle name="Comma 4 4 2 2 9 2 2" xfId="50294" xr:uid="{F9F946C1-F6A9-4644-BEB8-38865B2A3660}"/>
    <cellStyle name="Comma 4 4 2 2 9 2 3" xfId="31698" xr:uid="{642657AB-306A-4F0A-AED2-ED241DA7828B}"/>
    <cellStyle name="Comma 4 4 2 2 9 3" xfId="40997" xr:uid="{C6CFB091-2099-426A-B7D7-0EC0E38B87FF}"/>
    <cellStyle name="Comma 4 4 2 2 9 4" xfId="22399" xr:uid="{62AD6122-AA1B-4E61-AE3F-C42762E13F2D}"/>
    <cellStyle name="Comma 4 4 2 3" xfId="691" xr:uid="{00000000-0005-0000-0000-0000E6090000}"/>
    <cellStyle name="Comma 4 4 2 3 2" xfId="2962" xr:uid="{00000000-0005-0000-0000-0000E7090000}"/>
    <cellStyle name="Comma 4 4 2 3 2 2" xfId="7184" xr:uid="{00000000-0005-0000-0000-0000E8090000}"/>
    <cellStyle name="Comma 4 4 2 3 2 2 2" xfId="16510" xr:uid="{04A78EB5-E5E8-4854-B5CD-3CBA5FB71413}"/>
    <cellStyle name="Comma 4 4 2 3 2 2 2 2" xfId="52852" xr:uid="{78CD6090-3335-442D-9600-30D922865F78}"/>
    <cellStyle name="Comma 4 4 2 3 2 2 2 3" xfId="34256" xr:uid="{57A91BFD-E1B5-4DB0-BC9B-3F1A935F03C2}"/>
    <cellStyle name="Comma 4 4 2 3 2 2 3" xfId="43555" xr:uid="{229F8D7A-99A1-4586-BCDF-268ECBA8C3B6}"/>
    <cellStyle name="Comma 4 4 2 3 2 2 4" xfId="24957" xr:uid="{96A8324F-7973-4E6F-B3C5-226E26A42293}"/>
    <cellStyle name="Comma 4 4 2 3 2 3" xfId="12293" xr:uid="{B44AA261-8462-426F-A2CD-19B074FA8C3A}"/>
    <cellStyle name="Comma 4 4 2 3 2 3 2" xfId="48635" xr:uid="{256FDAE7-89EC-4F89-BB07-940DB99B14C1}"/>
    <cellStyle name="Comma 4 4 2 3 2 3 3" xfId="30039" xr:uid="{126329B5-A712-4831-B927-DC82E725B09A}"/>
    <cellStyle name="Comma 4 4 2 3 2 4" xfId="39338" xr:uid="{487580B6-79B9-4D34-B13B-21A4F03FB239}"/>
    <cellStyle name="Comma 4 4 2 3 2 5" xfId="20740" xr:uid="{0AF0AF06-9F46-4DDE-B949-53E56CA902A4}"/>
    <cellStyle name="Comma 4 4 2 3 3" xfId="5039" xr:uid="{00000000-0005-0000-0000-0000E9090000}"/>
    <cellStyle name="Comma 4 4 2 3 3 2" xfId="14365" xr:uid="{956314D6-86BF-42F6-9C5D-55E58B7D10BF}"/>
    <cellStyle name="Comma 4 4 2 3 3 2 2" xfId="50707" xr:uid="{3BDACEE7-6EB7-42B0-B376-1321BA05C70A}"/>
    <cellStyle name="Comma 4 4 2 3 3 2 3" xfId="32111" xr:uid="{32036FF5-128A-4094-A11C-0F4B9E251A13}"/>
    <cellStyle name="Comma 4 4 2 3 3 3" xfId="41410" xr:uid="{F097B680-A053-4C91-88BA-5E07940239CB}"/>
    <cellStyle name="Comma 4 4 2 3 3 4" xfId="22812" xr:uid="{12606EB9-F17D-44DD-A056-3C8A3B6D5580}"/>
    <cellStyle name="Comma 4 4 2 3 4" xfId="9332" xr:uid="{00F59ECD-64D7-476B-90FD-CD86F054AE4D}"/>
    <cellStyle name="Comma 4 4 2 3 4 2" xfId="36393" xr:uid="{455C9D4F-20BA-4080-9FD9-870DE1689B67}"/>
    <cellStyle name="Comma 4 4 2 3 4 2 2" xfId="54987" xr:uid="{602E94A7-F3C9-4246-93C2-BFEFE8146D51}"/>
    <cellStyle name="Comma 4 4 2 3 4 3" xfId="45690" xr:uid="{886DB251-6418-4390-951A-88ADDD34143B}"/>
    <cellStyle name="Comma 4 4 2 3 4 4" xfId="27094" xr:uid="{4E7FAFD5-BB38-43B2-A8E3-D2E1BE17FFE3}"/>
    <cellStyle name="Comma 4 4 2 3 5" xfId="10148" xr:uid="{9B1EADBB-4320-453C-AC7B-070890F2148C}"/>
    <cellStyle name="Comma 4 4 2 3 5 2" xfId="46490" xr:uid="{DA6EFDAB-DAB3-42F0-B6B3-B4424D152916}"/>
    <cellStyle name="Comma 4 4 2 3 5 3" xfId="27894" xr:uid="{9524C2F3-051F-4649-B19A-A54A95977DDB}"/>
    <cellStyle name="Comma 4 4 2 3 6" xfId="37193" xr:uid="{02C6DB49-116E-43E7-AAE9-450EB03BE29A}"/>
    <cellStyle name="Comma 4 4 2 3 7" xfId="18595" xr:uid="{ACBEA064-FD1C-47AB-99CD-CB8CB4D7B74E}"/>
    <cellStyle name="Comma 4 4 2 4" xfId="1144" xr:uid="{00000000-0005-0000-0000-0000EA090000}"/>
    <cellStyle name="Comma 4 4 2 4 2" xfId="3375" xr:uid="{00000000-0005-0000-0000-0000EB090000}"/>
    <cellStyle name="Comma 4 4 2 4 2 2" xfId="7597" xr:uid="{00000000-0005-0000-0000-0000EC090000}"/>
    <cellStyle name="Comma 4 4 2 4 2 2 2" xfId="16923" xr:uid="{9DE03EE4-DD74-43AB-96AA-097DB9822A68}"/>
    <cellStyle name="Comma 4 4 2 4 2 2 2 2" xfId="53265" xr:uid="{68DED9B1-E353-4BEB-84D9-2E922E54D6F5}"/>
    <cellStyle name="Comma 4 4 2 4 2 2 2 3" xfId="34669" xr:uid="{FE50541E-7718-4D0A-BB07-F09079FE6763}"/>
    <cellStyle name="Comma 4 4 2 4 2 2 3" xfId="43968" xr:uid="{F2D67027-6944-4028-88A2-79D9AC32AC06}"/>
    <cellStyle name="Comma 4 4 2 4 2 2 4" xfId="25370" xr:uid="{6E7083F2-95A6-46E6-A98C-10F6D5805B7F}"/>
    <cellStyle name="Comma 4 4 2 4 2 3" xfId="12706" xr:uid="{9FAC0263-9A58-470B-8644-5532161FE80F}"/>
    <cellStyle name="Comma 4 4 2 4 2 3 2" xfId="49048" xr:uid="{B2829FB9-1E1A-428E-9274-513B186AC3D6}"/>
    <cellStyle name="Comma 4 4 2 4 2 3 3" xfId="30452" xr:uid="{4F6E87C4-DDF6-43E5-8296-BED7C806685D}"/>
    <cellStyle name="Comma 4 4 2 4 2 4" xfId="39751" xr:uid="{AA12EB1F-B70E-4808-9F8E-393FB341D173}"/>
    <cellStyle name="Comma 4 4 2 4 2 5" xfId="21153" xr:uid="{8A400AFF-69E0-4310-8A32-F0DC20A210C7}"/>
    <cellStyle name="Comma 4 4 2 4 3" xfId="5452" xr:uid="{00000000-0005-0000-0000-0000ED090000}"/>
    <cellStyle name="Comma 4 4 2 4 3 2" xfId="14778" xr:uid="{03DA7D49-4422-4A30-A713-2B716C3C811E}"/>
    <cellStyle name="Comma 4 4 2 4 3 2 2" xfId="51120" xr:uid="{FE13CD11-6824-48F9-A300-7AE8A9067406}"/>
    <cellStyle name="Comma 4 4 2 4 3 2 3" xfId="32524" xr:uid="{2E8F26C0-44D6-4A2A-97C6-64B9ABABAB31}"/>
    <cellStyle name="Comma 4 4 2 4 3 3" xfId="41823" xr:uid="{EE05629B-633A-4574-BA41-17FE5A5EE7DA}"/>
    <cellStyle name="Comma 4 4 2 4 3 4" xfId="23225" xr:uid="{58A83DC6-4AC7-49DA-8C5C-68AEEEDB427F}"/>
    <cellStyle name="Comma 4 4 2 4 4" xfId="10561" xr:uid="{ADE43BDF-B887-42AB-9400-3E2F6053D0A5}"/>
    <cellStyle name="Comma 4 4 2 4 4 2" xfId="46903" xr:uid="{F43488EA-A24B-4803-A79C-655E4DA82891}"/>
    <cellStyle name="Comma 4 4 2 4 4 3" xfId="28307" xr:uid="{9A09E105-6D04-4260-A71A-AC4CC943C623}"/>
    <cellStyle name="Comma 4 4 2 4 5" xfId="37606" xr:uid="{E7F40590-2328-4147-9EF2-50B4E9A56A56}"/>
    <cellStyle name="Comma 4 4 2 4 6" xfId="19008" xr:uid="{793DA132-EF32-44B7-9ACC-057B7D790308}"/>
    <cellStyle name="Comma 4 4 2 5" xfId="1558" xr:uid="{00000000-0005-0000-0000-0000EE090000}"/>
    <cellStyle name="Comma 4 4 2 5 2" xfId="3788" xr:uid="{00000000-0005-0000-0000-0000EF090000}"/>
    <cellStyle name="Comma 4 4 2 5 2 2" xfId="8010" xr:uid="{00000000-0005-0000-0000-0000F0090000}"/>
    <cellStyle name="Comma 4 4 2 5 2 2 2" xfId="17336" xr:uid="{D983D466-9BDA-45FD-A6E6-732CACCE1702}"/>
    <cellStyle name="Comma 4 4 2 5 2 2 2 2" xfId="53678" xr:uid="{7506F838-77E6-43AA-988F-3BAB99EA97A2}"/>
    <cellStyle name="Comma 4 4 2 5 2 2 2 3" xfId="35082" xr:uid="{0C9D156D-BCB7-4B58-9C61-FE74E6526101}"/>
    <cellStyle name="Comma 4 4 2 5 2 2 3" xfId="44381" xr:uid="{A23517D8-877A-4AB3-AD9F-52C8B7CA00C2}"/>
    <cellStyle name="Comma 4 4 2 5 2 2 4" xfId="25783" xr:uid="{B686ABAE-A05D-4C17-9D1C-44E6B20C5928}"/>
    <cellStyle name="Comma 4 4 2 5 2 3" xfId="13119" xr:uid="{9115FCB3-1136-448A-9CE7-543FECFDAA71}"/>
    <cellStyle name="Comma 4 4 2 5 2 3 2" xfId="49461" xr:uid="{4CD23F2C-5F08-477B-9434-E44DCD3865B9}"/>
    <cellStyle name="Comma 4 4 2 5 2 3 3" xfId="30865" xr:uid="{F1DF273A-EC3E-4394-8666-F99E0076C167}"/>
    <cellStyle name="Comma 4 4 2 5 2 4" xfId="40164" xr:uid="{AF9DADEC-69F0-448F-97E3-61DBA0C43056}"/>
    <cellStyle name="Comma 4 4 2 5 2 5" xfId="21566" xr:uid="{4B9C398A-8516-4DAD-8033-7936F05AFFCC}"/>
    <cellStyle name="Comma 4 4 2 5 3" xfId="5865" xr:uid="{00000000-0005-0000-0000-0000F1090000}"/>
    <cellStyle name="Comma 4 4 2 5 3 2" xfId="15191" xr:uid="{42087795-4764-42D3-93FC-D80EC77D69D6}"/>
    <cellStyle name="Comma 4 4 2 5 3 2 2" xfId="51533" xr:uid="{46F02062-597A-44F5-B8BF-7FCBB2863906}"/>
    <cellStyle name="Comma 4 4 2 5 3 2 3" xfId="32937" xr:uid="{B5DF77C4-02DB-4158-90B4-19602633F0A2}"/>
    <cellStyle name="Comma 4 4 2 5 3 3" xfId="42236" xr:uid="{09498995-A620-4B19-B4E4-F6E1B30EAF25}"/>
    <cellStyle name="Comma 4 4 2 5 3 4" xfId="23638" xr:uid="{2EA1BE60-3872-410A-8ADE-CFB8B0AE6687}"/>
    <cellStyle name="Comma 4 4 2 5 4" xfId="10974" xr:uid="{33BB2A3F-C981-4CE9-9E92-11A636B39D2B}"/>
    <cellStyle name="Comma 4 4 2 5 4 2" xfId="47316" xr:uid="{8A9D9257-021F-41EA-A82F-4AAAB3AFD755}"/>
    <cellStyle name="Comma 4 4 2 5 4 3" xfId="28720" xr:uid="{54167576-4AEF-47BB-AAC4-49BBDC38D3A0}"/>
    <cellStyle name="Comma 4 4 2 5 5" xfId="38019" xr:uid="{85362EC3-DF17-45AE-BF50-1E86F641E771}"/>
    <cellStyle name="Comma 4 4 2 5 6" xfId="19421" xr:uid="{FF5FE4AB-3F1E-46BD-A079-1ABCF97CA9A1}"/>
    <cellStyle name="Comma 4 4 2 6" xfId="1972" xr:uid="{00000000-0005-0000-0000-0000F2090000}"/>
    <cellStyle name="Comma 4 4 2 6 2" xfId="4201" xr:uid="{00000000-0005-0000-0000-0000F3090000}"/>
    <cellStyle name="Comma 4 4 2 6 2 2" xfId="8423" xr:uid="{00000000-0005-0000-0000-0000F4090000}"/>
    <cellStyle name="Comma 4 4 2 6 2 2 2" xfId="17749" xr:uid="{55EEBBB7-293B-45E2-9AA1-6524E9A91B84}"/>
    <cellStyle name="Comma 4 4 2 6 2 2 2 2" xfId="54091" xr:uid="{AE6265D6-A979-44B0-A334-1D76008FEEA1}"/>
    <cellStyle name="Comma 4 4 2 6 2 2 2 3" xfId="35495" xr:uid="{92D078BB-08D4-4165-8A83-F047199C6CF3}"/>
    <cellStyle name="Comma 4 4 2 6 2 2 3" xfId="44794" xr:uid="{668D37A9-B5B4-4D6F-A43F-3EAE5CAFE929}"/>
    <cellStyle name="Comma 4 4 2 6 2 2 4" xfId="26196" xr:uid="{8F1ACB11-3147-4D4B-AFD7-598AB88DA026}"/>
    <cellStyle name="Comma 4 4 2 6 2 3" xfId="13532" xr:uid="{FAACABCF-CD98-419E-BAE2-23B2B5EBF17A}"/>
    <cellStyle name="Comma 4 4 2 6 2 3 2" xfId="49874" xr:uid="{406AA489-7B20-4D8E-BE7D-E99768BEC71E}"/>
    <cellStyle name="Comma 4 4 2 6 2 3 3" xfId="31278" xr:uid="{F4899F2F-B437-49CB-8640-8CDA07A60B2E}"/>
    <cellStyle name="Comma 4 4 2 6 2 4" xfId="40577" xr:uid="{593FBA5D-7D41-406E-8C7F-B42604D9D8AB}"/>
    <cellStyle name="Comma 4 4 2 6 2 5" xfId="21979" xr:uid="{7EF5ACA6-7CC9-408A-8993-2F118C54F0D8}"/>
    <cellStyle name="Comma 4 4 2 6 3" xfId="6278" xr:uid="{00000000-0005-0000-0000-0000F5090000}"/>
    <cellStyle name="Comma 4 4 2 6 3 2" xfId="15604" xr:uid="{EAB7A5C9-FF8F-44F3-AD4D-73C0B2EB5283}"/>
    <cellStyle name="Comma 4 4 2 6 3 2 2" xfId="51946" xr:uid="{7347D577-4641-4DB6-82AC-24E60B401A61}"/>
    <cellStyle name="Comma 4 4 2 6 3 2 3" xfId="33350" xr:uid="{A800BB9B-B05B-473F-970A-C46A50282B93}"/>
    <cellStyle name="Comma 4 4 2 6 3 3" xfId="42649" xr:uid="{5084AF74-A2A0-4554-8E52-CE27C2E3DF92}"/>
    <cellStyle name="Comma 4 4 2 6 3 4" xfId="24051" xr:uid="{E19EF7A4-496C-4016-BD39-ADA64AFABBE1}"/>
    <cellStyle name="Comma 4 4 2 6 4" xfId="11387" xr:uid="{E968CFF7-1A16-4132-855F-FF2490E2E50C}"/>
    <cellStyle name="Comma 4 4 2 6 4 2" xfId="47729" xr:uid="{2023E798-D99B-4F7B-95F9-962697E57131}"/>
    <cellStyle name="Comma 4 4 2 6 4 3" xfId="29133" xr:uid="{8D8030C0-EB98-4EF9-9D19-EAE1C2B0F768}"/>
    <cellStyle name="Comma 4 4 2 6 5" xfId="38432" xr:uid="{3AF81C86-5A86-4305-AF7C-5AC4A6F9BBCF}"/>
    <cellStyle name="Comma 4 4 2 6 6" xfId="19834" xr:uid="{EB28A820-7BE0-4082-9DB4-9296FAED1E70}"/>
    <cellStyle name="Comma 4 4 2 7" xfId="2407" xr:uid="{00000000-0005-0000-0000-0000F6090000}"/>
    <cellStyle name="Comma 4 4 2 7 2" xfId="6691" xr:uid="{00000000-0005-0000-0000-0000F7090000}"/>
    <cellStyle name="Comma 4 4 2 7 2 2" xfId="16017" xr:uid="{3515C99B-0AD4-4342-81F3-E73A8A31A6ED}"/>
    <cellStyle name="Comma 4 4 2 7 2 2 2" xfId="52359" xr:uid="{CB444768-3E42-48E5-A2B2-07CE18A73367}"/>
    <cellStyle name="Comma 4 4 2 7 2 2 3" xfId="33763" xr:uid="{2478C480-197E-4414-86D2-DCB148FDBEA6}"/>
    <cellStyle name="Comma 4 4 2 7 2 3" xfId="43062" xr:uid="{47F97B9B-63E3-4994-A208-221801178FCC}"/>
    <cellStyle name="Comma 4 4 2 7 2 4" xfId="24464" xr:uid="{E9F73958-AB4C-46DE-B431-48D7FD0E42E1}"/>
    <cellStyle name="Comma 4 4 2 7 3" xfId="11800" xr:uid="{56C2F21A-0F66-41E1-B190-5FF5F51F58C7}"/>
    <cellStyle name="Comma 4 4 2 7 3 2" xfId="48142" xr:uid="{7DF53EF5-C53A-4C41-8D1D-D73184DBB57E}"/>
    <cellStyle name="Comma 4 4 2 7 3 3" xfId="29546" xr:uid="{15895BF0-ED66-48EA-96BF-80908D9361A1}"/>
    <cellStyle name="Comma 4 4 2 7 4" xfId="38845" xr:uid="{B6699D0D-7F4B-4847-B7CE-390488895CD8}"/>
    <cellStyle name="Comma 4 4 2 7 5" xfId="20247" xr:uid="{312A560A-67FE-4ADA-A173-B7265A7D667B}"/>
    <cellStyle name="Comma 4 4 2 8" xfId="2703" xr:uid="{00000000-0005-0000-0000-0000F8090000}"/>
    <cellStyle name="Comma 4 4 2 9" xfId="2785" xr:uid="{00000000-0005-0000-0000-0000F9090000}"/>
    <cellStyle name="Comma 4 4 2 9 2" xfId="7008" xr:uid="{00000000-0005-0000-0000-0000FA090000}"/>
    <cellStyle name="Comma 4 4 2 9 2 2" xfId="16334" xr:uid="{A9B957DB-9E4A-4B4E-8AAB-AA877FE7CBD6}"/>
    <cellStyle name="Comma 4 4 2 9 2 2 2" xfId="52676" xr:uid="{4FCBC5DC-E59D-4F67-A19F-E2A7F403BB9C}"/>
    <cellStyle name="Comma 4 4 2 9 2 2 3" xfId="34080" xr:uid="{AE5A9C36-80FD-42D3-AED7-678B12F282B6}"/>
    <cellStyle name="Comma 4 4 2 9 2 3" xfId="43379" xr:uid="{7D8351A7-234B-444C-B78B-973BD2F737CF}"/>
    <cellStyle name="Comma 4 4 2 9 2 4" xfId="24781" xr:uid="{264FEF34-D14E-483C-93DF-FA2424866682}"/>
    <cellStyle name="Comma 4 4 2 9 3" xfId="12117" xr:uid="{7D73EF7E-D6B0-4D5E-A5A0-614B372F6670}"/>
    <cellStyle name="Comma 4 4 2 9 3 2" xfId="48459" xr:uid="{89A3F7D6-3683-4359-BE8C-507BAE2F2A58}"/>
    <cellStyle name="Comma 4 4 2 9 3 3" xfId="29863" xr:uid="{3DA15FFA-DA0C-4128-8869-DD5083E121F3}"/>
    <cellStyle name="Comma 4 4 2 9 4" xfId="39162" xr:uid="{8AE5D285-37DE-407E-8C63-F75501BD362B}"/>
    <cellStyle name="Comma 4 4 2 9 5" xfId="20564" xr:uid="{13D25B27-89EB-4E73-BE47-88BB1992A975}"/>
    <cellStyle name="Comma 4 4 3" xfId="156" xr:uid="{00000000-0005-0000-0000-0000FB090000}"/>
    <cellStyle name="Comma 4 4 3 10" xfId="9011" xr:uid="{31ED03AD-AB12-49AF-9AD4-B783F0BF7322}"/>
    <cellStyle name="Comma 4 4 3 10 2" xfId="36081" xr:uid="{13430C07-2B6C-4DF0-9D4B-12B39E2DA9D9}"/>
    <cellStyle name="Comma 4 4 3 10 2 2" xfId="54676" xr:uid="{3163E2FE-92B3-49E5-A925-04B329FA3F27}"/>
    <cellStyle name="Comma 4 4 3 10 3" xfId="45379" xr:uid="{BE780020-6FB0-454B-889B-40542E2A38D6}"/>
    <cellStyle name="Comma 4 4 3 10 4" xfId="26782" xr:uid="{7EC59446-A6A5-49C1-9C2F-DD4A132C620D}"/>
    <cellStyle name="Comma 4 4 3 11" xfId="9736" xr:uid="{590B6214-D902-4D6A-B4C6-7CB72461C09C}"/>
    <cellStyle name="Comma 4 4 3 11 2" xfId="46078" xr:uid="{E9CB71B1-AC8D-43D8-9E01-7446045A2A0F}"/>
    <cellStyle name="Comma 4 4 3 11 3" xfId="27482" xr:uid="{6D9BD6C0-45AF-4228-B4F0-260B0924187D}"/>
    <cellStyle name="Comma 4 4 3 12" xfId="36781" xr:uid="{046B01DA-B1FB-405A-87F3-A84DC1B9C0F9}"/>
    <cellStyle name="Comma 4 4 3 13" xfId="18183" xr:uid="{DA4556F8-A16E-4471-9C67-DED94B368C32}"/>
    <cellStyle name="Comma 4 4 3 2" xfId="693" xr:uid="{00000000-0005-0000-0000-0000FC090000}"/>
    <cellStyle name="Comma 4 4 3 2 2" xfId="2964" xr:uid="{00000000-0005-0000-0000-0000FD090000}"/>
    <cellStyle name="Comma 4 4 3 2 2 2" xfId="7186" xr:uid="{00000000-0005-0000-0000-0000FE090000}"/>
    <cellStyle name="Comma 4 4 3 2 2 2 2" xfId="16512" xr:uid="{30081B36-481F-440E-A106-AE71D62A2B9E}"/>
    <cellStyle name="Comma 4 4 3 2 2 2 2 2" xfId="52854" xr:uid="{5226F333-5550-49DD-934E-7B6A44E7EAB0}"/>
    <cellStyle name="Comma 4 4 3 2 2 2 2 3" xfId="34258" xr:uid="{80DD7890-6C5A-4C56-833B-B6A818016184}"/>
    <cellStyle name="Comma 4 4 3 2 2 2 3" xfId="43557" xr:uid="{5ADA6895-D52D-4DC7-ABB0-23995DE6BDE0}"/>
    <cellStyle name="Comma 4 4 3 2 2 2 4" xfId="24959" xr:uid="{5A1ACA91-2EFD-452B-8F7F-5294BD1A641F}"/>
    <cellStyle name="Comma 4 4 3 2 2 3" xfId="12295" xr:uid="{AD652A30-ABEB-46B4-A73B-C306C954B046}"/>
    <cellStyle name="Comma 4 4 3 2 2 3 2" xfId="48637" xr:uid="{2CE38D70-6EB7-4398-801A-D1A3A112C632}"/>
    <cellStyle name="Comma 4 4 3 2 2 3 3" xfId="30041" xr:uid="{DBAFAA9C-ABF4-4170-946E-4B40BFC5FB46}"/>
    <cellStyle name="Comma 4 4 3 2 2 4" xfId="39340" xr:uid="{D085993A-0775-471F-AB98-E6D5869C07FB}"/>
    <cellStyle name="Comma 4 4 3 2 2 5" xfId="20742" xr:uid="{C83BC2F8-8A20-4A39-83EB-9E5F16FAD8B0}"/>
    <cellStyle name="Comma 4 4 3 2 3" xfId="5041" xr:uid="{00000000-0005-0000-0000-0000FF090000}"/>
    <cellStyle name="Comma 4 4 3 2 3 2" xfId="14367" xr:uid="{A1024D2E-C41A-4242-9017-4F9165E7DFE9}"/>
    <cellStyle name="Comma 4 4 3 2 3 2 2" xfId="50709" xr:uid="{24BCE34F-7510-48DD-ADA5-2A31674571EB}"/>
    <cellStyle name="Comma 4 4 3 2 3 2 3" xfId="32113" xr:uid="{A4ACC134-0DC3-4CD8-921F-2FBD2D54040C}"/>
    <cellStyle name="Comma 4 4 3 2 3 3" xfId="41412" xr:uid="{1D36CF55-86EE-46C3-9AAE-CB43B7F05697}"/>
    <cellStyle name="Comma 4 4 3 2 3 4" xfId="22814" xr:uid="{91F455AE-244C-4D37-8593-814FB6B310B2}"/>
    <cellStyle name="Comma 4 4 3 2 4" xfId="9436" xr:uid="{5B7DDC25-9095-4E8E-BD31-668F46BBD33F}"/>
    <cellStyle name="Comma 4 4 3 2 4 2" xfId="36497" xr:uid="{05D451F5-C1B3-47E8-ADB1-FD3C2A3FD1BC}"/>
    <cellStyle name="Comma 4 4 3 2 4 2 2" xfId="55091" xr:uid="{7C38F4A0-648E-4095-AB4C-A45DEF2DF208}"/>
    <cellStyle name="Comma 4 4 3 2 4 3" xfId="45794" xr:uid="{76E490A2-34FC-422B-8DD0-CB59F27334E3}"/>
    <cellStyle name="Comma 4 4 3 2 4 4" xfId="27198" xr:uid="{B612EF35-97D9-4133-8E89-848FCF01F3B5}"/>
    <cellStyle name="Comma 4 4 3 2 5" xfId="10150" xr:uid="{C83D3CF8-0284-4C8D-9510-9BC9836E28FB}"/>
    <cellStyle name="Comma 4 4 3 2 5 2" xfId="46492" xr:uid="{CEA3122C-1EA8-46C1-A64B-6A5C7532AE08}"/>
    <cellStyle name="Comma 4 4 3 2 5 3" xfId="27896" xr:uid="{1DF844DE-36DD-405F-8589-7E19D03BB7EC}"/>
    <cellStyle name="Comma 4 4 3 2 6" xfId="37195" xr:uid="{F5291757-31E8-45B6-B3C9-52572FE82C0F}"/>
    <cellStyle name="Comma 4 4 3 2 7" xfId="18597" xr:uid="{C618CF25-8FCB-4194-B468-E9FEB41CB4FD}"/>
    <cellStyle name="Comma 4 4 3 3" xfId="1146" xr:uid="{00000000-0005-0000-0000-0000000A0000}"/>
    <cellStyle name="Comma 4 4 3 3 2" xfId="3377" xr:uid="{00000000-0005-0000-0000-0000010A0000}"/>
    <cellStyle name="Comma 4 4 3 3 2 2" xfId="7599" xr:uid="{00000000-0005-0000-0000-0000020A0000}"/>
    <cellStyle name="Comma 4 4 3 3 2 2 2" xfId="16925" xr:uid="{B8E08593-D573-474B-855E-D6854077FFA5}"/>
    <cellStyle name="Comma 4 4 3 3 2 2 2 2" xfId="53267" xr:uid="{CEBD7215-ED46-4924-B2E2-1A214095AC4A}"/>
    <cellStyle name="Comma 4 4 3 3 2 2 2 3" xfId="34671" xr:uid="{04D2A7B6-F637-4C62-B4A4-72ED72F54643}"/>
    <cellStyle name="Comma 4 4 3 3 2 2 3" xfId="43970" xr:uid="{57657D45-E58D-4D7A-BB68-52718D58D5CA}"/>
    <cellStyle name="Comma 4 4 3 3 2 2 4" xfId="25372" xr:uid="{AF676687-15E0-4483-B54F-C654FF7B8211}"/>
    <cellStyle name="Comma 4 4 3 3 2 3" xfId="12708" xr:uid="{B5E1C5B2-6A2D-4EB3-8FD0-2A0153A1DE61}"/>
    <cellStyle name="Comma 4 4 3 3 2 3 2" xfId="49050" xr:uid="{B6F11EDF-0FB3-4307-881D-E24AF1E677E7}"/>
    <cellStyle name="Comma 4 4 3 3 2 3 3" xfId="30454" xr:uid="{BC7C7862-8686-4F09-842F-7D754593ED72}"/>
    <cellStyle name="Comma 4 4 3 3 2 4" xfId="39753" xr:uid="{E8BABC66-4238-4B5A-825D-14F7A2CE2A74}"/>
    <cellStyle name="Comma 4 4 3 3 2 5" xfId="21155" xr:uid="{5AF9E680-47FA-49B1-ACD0-54520CB21575}"/>
    <cellStyle name="Comma 4 4 3 3 3" xfId="5454" xr:uid="{00000000-0005-0000-0000-0000030A0000}"/>
    <cellStyle name="Comma 4 4 3 3 3 2" xfId="14780" xr:uid="{0F8AC4AD-86A7-4038-8CF3-E8849EB2159A}"/>
    <cellStyle name="Comma 4 4 3 3 3 2 2" xfId="51122" xr:uid="{2A35522B-911D-4B46-B400-467BB09C3831}"/>
    <cellStyle name="Comma 4 4 3 3 3 2 3" xfId="32526" xr:uid="{E3BC2F14-E170-47AF-AAF7-E2F6BC36B640}"/>
    <cellStyle name="Comma 4 4 3 3 3 3" xfId="41825" xr:uid="{C1023F18-7D75-4A8E-B2A9-CAFD6103E22A}"/>
    <cellStyle name="Comma 4 4 3 3 3 4" xfId="23227" xr:uid="{34338D99-BB92-4F0F-9BE6-AEEE534993F6}"/>
    <cellStyle name="Comma 4 4 3 3 4" xfId="10563" xr:uid="{440FEFEE-174C-4EF6-8309-069D058571ED}"/>
    <cellStyle name="Comma 4 4 3 3 4 2" xfId="46905" xr:uid="{A2A50C9E-9633-418F-B888-38C89FBF2143}"/>
    <cellStyle name="Comma 4 4 3 3 4 3" xfId="28309" xr:uid="{EE67200E-0F2A-4CF6-BC5D-CEBD7CB1B9A5}"/>
    <cellStyle name="Comma 4 4 3 3 5" xfId="37608" xr:uid="{436C40F4-D508-48C8-95A2-4C050AF27C1D}"/>
    <cellStyle name="Comma 4 4 3 3 6" xfId="19010" xr:uid="{5A88B9A3-8CE4-483E-AE79-4305CFCAEE98}"/>
    <cellStyle name="Comma 4 4 3 4" xfId="1560" xr:uid="{00000000-0005-0000-0000-0000040A0000}"/>
    <cellStyle name="Comma 4 4 3 4 2" xfId="3790" xr:uid="{00000000-0005-0000-0000-0000050A0000}"/>
    <cellStyle name="Comma 4 4 3 4 2 2" xfId="8012" xr:uid="{00000000-0005-0000-0000-0000060A0000}"/>
    <cellStyle name="Comma 4 4 3 4 2 2 2" xfId="17338" xr:uid="{4D95CAF4-9E75-41C0-A710-C392537702C3}"/>
    <cellStyle name="Comma 4 4 3 4 2 2 2 2" xfId="53680" xr:uid="{AA39A992-5694-4B2F-974E-12B5158C04CC}"/>
    <cellStyle name="Comma 4 4 3 4 2 2 2 3" xfId="35084" xr:uid="{F81EBCC4-BA77-4663-A708-CF436668DC6A}"/>
    <cellStyle name="Comma 4 4 3 4 2 2 3" xfId="44383" xr:uid="{C6F40AE7-B09E-4740-9273-D52C17B372D5}"/>
    <cellStyle name="Comma 4 4 3 4 2 2 4" xfId="25785" xr:uid="{00CF1737-FB31-4F9B-B7BD-D98FE2E62DA8}"/>
    <cellStyle name="Comma 4 4 3 4 2 3" xfId="13121" xr:uid="{562E14F1-BE45-42DF-9AF3-0CE871D6B831}"/>
    <cellStyle name="Comma 4 4 3 4 2 3 2" xfId="49463" xr:uid="{D6E751B4-5D13-4286-908D-86772556D4C4}"/>
    <cellStyle name="Comma 4 4 3 4 2 3 3" xfId="30867" xr:uid="{A10174E3-1436-483D-8EB4-8D4F502D029D}"/>
    <cellStyle name="Comma 4 4 3 4 2 4" xfId="40166" xr:uid="{BD17A7AA-F6AD-4573-A245-3EDB2DA89782}"/>
    <cellStyle name="Comma 4 4 3 4 2 5" xfId="21568" xr:uid="{94258C98-6156-47CA-88D3-76BD7FB4AA4B}"/>
    <cellStyle name="Comma 4 4 3 4 3" xfId="5867" xr:uid="{00000000-0005-0000-0000-0000070A0000}"/>
    <cellStyle name="Comma 4 4 3 4 3 2" xfId="15193" xr:uid="{E06AEFC3-3A8A-4573-A033-A10FEC7FBBA7}"/>
    <cellStyle name="Comma 4 4 3 4 3 2 2" xfId="51535" xr:uid="{DBB44894-78B7-4254-87F6-226333BFED2B}"/>
    <cellStyle name="Comma 4 4 3 4 3 2 3" xfId="32939" xr:uid="{7346B2A9-882F-4ED5-BA06-37F3DB687163}"/>
    <cellStyle name="Comma 4 4 3 4 3 3" xfId="42238" xr:uid="{C4B49953-A171-43CA-9DB6-0BAD882AE74C}"/>
    <cellStyle name="Comma 4 4 3 4 3 4" xfId="23640" xr:uid="{62B07E01-854E-4455-B474-C79188420841}"/>
    <cellStyle name="Comma 4 4 3 4 4" xfId="10976" xr:uid="{47175898-CF18-48DD-A4DA-83282096E37D}"/>
    <cellStyle name="Comma 4 4 3 4 4 2" xfId="47318" xr:uid="{52119785-6ED2-4B72-8C06-E26D66A84FBE}"/>
    <cellStyle name="Comma 4 4 3 4 4 3" xfId="28722" xr:uid="{0304031D-C074-4336-82CE-B10DA6F331A2}"/>
    <cellStyle name="Comma 4 4 3 4 5" xfId="38021" xr:uid="{5707DFA8-E18C-4A51-B551-38C52FA41235}"/>
    <cellStyle name="Comma 4 4 3 4 6" xfId="19423" xr:uid="{41D5F630-8E5F-4279-85B8-3C3DEDC1582D}"/>
    <cellStyle name="Comma 4 4 3 5" xfId="1974" xr:uid="{00000000-0005-0000-0000-0000080A0000}"/>
    <cellStyle name="Comma 4 4 3 5 2" xfId="4203" xr:uid="{00000000-0005-0000-0000-0000090A0000}"/>
    <cellStyle name="Comma 4 4 3 5 2 2" xfId="8425" xr:uid="{00000000-0005-0000-0000-00000A0A0000}"/>
    <cellStyle name="Comma 4 4 3 5 2 2 2" xfId="17751" xr:uid="{E1BED3F2-B3D7-4AC2-8006-EA0B4D0B199D}"/>
    <cellStyle name="Comma 4 4 3 5 2 2 2 2" xfId="54093" xr:uid="{CBB4779A-0ABD-48F7-A7EC-DAD3BA6687FB}"/>
    <cellStyle name="Comma 4 4 3 5 2 2 2 3" xfId="35497" xr:uid="{4938F433-22CC-4293-A0A2-802C5AE32FCA}"/>
    <cellStyle name="Comma 4 4 3 5 2 2 3" xfId="44796" xr:uid="{3E027057-2E84-4F7A-86B4-CA14B8803E2B}"/>
    <cellStyle name="Comma 4 4 3 5 2 2 4" xfId="26198" xr:uid="{9287FAEE-01A2-4E6A-B19D-19225A008B58}"/>
    <cellStyle name="Comma 4 4 3 5 2 3" xfId="13534" xr:uid="{F594205D-F919-4BFB-A2B1-BBAC1DAAE379}"/>
    <cellStyle name="Comma 4 4 3 5 2 3 2" xfId="49876" xr:uid="{01751F2D-7D27-445E-BB0E-8450922922B6}"/>
    <cellStyle name="Comma 4 4 3 5 2 3 3" xfId="31280" xr:uid="{1D7681A0-0742-4BC1-B3DB-DB320894E48B}"/>
    <cellStyle name="Comma 4 4 3 5 2 4" xfId="40579" xr:uid="{ADE50B52-637D-405D-B545-35EFD63280C8}"/>
    <cellStyle name="Comma 4 4 3 5 2 5" xfId="21981" xr:uid="{F1D870EB-9212-4863-B6CF-C7ED31596998}"/>
    <cellStyle name="Comma 4 4 3 5 3" xfId="6280" xr:uid="{00000000-0005-0000-0000-00000B0A0000}"/>
    <cellStyle name="Comma 4 4 3 5 3 2" xfId="15606" xr:uid="{8F0976D0-F184-4A7F-8C22-475C3383CA94}"/>
    <cellStyle name="Comma 4 4 3 5 3 2 2" xfId="51948" xr:uid="{DD8143E4-3E51-47DB-AC9F-B2EE55A4B995}"/>
    <cellStyle name="Comma 4 4 3 5 3 2 3" xfId="33352" xr:uid="{7A15D21D-EA96-4139-9B84-3ECF16C04F33}"/>
    <cellStyle name="Comma 4 4 3 5 3 3" xfId="42651" xr:uid="{A4852B7C-4061-45F2-8915-58C166766A2F}"/>
    <cellStyle name="Comma 4 4 3 5 3 4" xfId="24053" xr:uid="{545349C1-3D36-453E-AB69-756810D9BD91}"/>
    <cellStyle name="Comma 4 4 3 5 4" xfId="11389" xr:uid="{0DDC6365-EB96-4130-BC25-BE1CBC2F8C63}"/>
    <cellStyle name="Comma 4 4 3 5 4 2" xfId="47731" xr:uid="{9851A330-8949-4927-BF80-422ABB62097D}"/>
    <cellStyle name="Comma 4 4 3 5 4 3" xfId="29135" xr:uid="{71AB6DE2-064A-4A90-9865-AA774E9A33BF}"/>
    <cellStyle name="Comma 4 4 3 5 5" xfId="38434" xr:uid="{CC7CB41B-9A1E-4D79-A29D-468A4B7D5C70}"/>
    <cellStyle name="Comma 4 4 3 5 6" xfId="19836" xr:uid="{ECB1CE15-3A2A-4FE4-99D7-01E3A891297A}"/>
    <cellStyle name="Comma 4 4 3 6" xfId="2409" xr:uid="{00000000-0005-0000-0000-00000C0A0000}"/>
    <cellStyle name="Comma 4 4 3 6 2" xfId="6693" xr:uid="{00000000-0005-0000-0000-00000D0A0000}"/>
    <cellStyle name="Comma 4 4 3 6 2 2" xfId="16019" xr:uid="{4B839456-24BF-432E-B9B3-D4656EFF895B}"/>
    <cellStyle name="Comma 4 4 3 6 2 2 2" xfId="52361" xr:uid="{746C954C-ED57-4BDA-AD52-C83F1E16295C}"/>
    <cellStyle name="Comma 4 4 3 6 2 2 3" xfId="33765" xr:uid="{473F616D-DA6D-4A2A-A02F-A1A7F75E1B88}"/>
    <cellStyle name="Comma 4 4 3 6 2 3" xfId="43064" xr:uid="{125CA55D-58DB-4615-8CEF-2665B4031582}"/>
    <cellStyle name="Comma 4 4 3 6 2 4" xfId="24466" xr:uid="{07A06ECE-8ABB-43EE-A455-474E9C096C37}"/>
    <cellStyle name="Comma 4 4 3 6 3" xfId="11802" xr:uid="{1B48CFBD-9D11-4369-8110-6F8D14F66311}"/>
    <cellStyle name="Comma 4 4 3 6 3 2" xfId="48144" xr:uid="{E618398A-5BA1-4D69-8AFA-93DF5270B087}"/>
    <cellStyle name="Comma 4 4 3 6 3 3" xfId="29548" xr:uid="{02B7521B-3555-415F-A2E7-D92ACC94CEB3}"/>
    <cellStyle name="Comma 4 4 3 6 4" xfId="38847" xr:uid="{F3AC6A6E-AB9F-4E4B-955B-D9A8CC84B9F2}"/>
    <cellStyle name="Comma 4 4 3 6 5" xfId="20249" xr:uid="{CBB0C950-6352-4944-8035-BB27B3EDB415}"/>
    <cellStyle name="Comma 4 4 3 7" xfId="2705" xr:uid="{00000000-0005-0000-0000-00000E0A0000}"/>
    <cellStyle name="Comma 4 4 3 8" xfId="2787" xr:uid="{00000000-0005-0000-0000-00000F0A0000}"/>
    <cellStyle name="Comma 4 4 3 8 2" xfId="7010" xr:uid="{00000000-0005-0000-0000-0000100A0000}"/>
    <cellStyle name="Comma 4 4 3 8 2 2" xfId="16336" xr:uid="{BEBD07FD-17BA-44FC-95D0-CCCD18FEC9CC}"/>
    <cellStyle name="Comma 4 4 3 8 2 2 2" xfId="52678" xr:uid="{0EEEA395-E6EC-48C1-9476-51C288C105E2}"/>
    <cellStyle name="Comma 4 4 3 8 2 2 3" xfId="34082" xr:uid="{5FCD96E6-B67B-4AA3-9AE3-15663ABFBED6}"/>
    <cellStyle name="Comma 4 4 3 8 2 3" xfId="43381" xr:uid="{D6A87AED-CEEB-41EC-8089-4073EB0D9F52}"/>
    <cellStyle name="Comma 4 4 3 8 2 4" xfId="24783" xr:uid="{437DA299-0727-49EA-8986-7AF0C4D8187A}"/>
    <cellStyle name="Comma 4 4 3 8 3" xfId="12119" xr:uid="{9396A3FB-3108-44A0-9BDC-815E79CDC6E6}"/>
    <cellStyle name="Comma 4 4 3 8 3 2" xfId="48461" xr:uid="{EEBA31FE-FF4B-4ECD-B403-A1D68D784065}"/>
    <cellStyle name="Comma 4 4 3 8 3 3" xfId="29865" xr:uid="{5A3853C2-6F4A-4809-8C95-38AB6D41D3A9}"/>
    <cellStyle name="Comma 4 4 3 8 4" xfId="39164" xr:uid="{15CB0856-B169-4376-AA9F-E5BC1D5FAC0E}"/>
    <cellStyle name="Comma 4 4 3 8 5" xfId="20566" xr:uid="{2E6CAE8C-4A1C-41A3-AB2A-6170A0A2ED92}"/>
    <cellStyle name="Comma 4 4 3 9" xfId="4627" xr:uid="{00000000-0005-0000-0000-0000110A0000}"/>
    <cellStyle name="Comma 4 4 3 9 2" xfId="13953" xr:uid="{0A15FB60-51BF-46EA-A94E-548ECF4D3EC1}"/>
    <cellStyle name="Comma 4 4 3 9 2 2" xfId="50295" xr:uid="{48FEC958-3140-402E-A038-F63B4C2FE4EF}"/>
    <cellStyle name="Comma 4 4 3 9 2 3" xfId="31699" xr:uid="{AC338535-62B4-4002-9646-D982AA644E90}"/>
    <cellStyle name="Comma 4 4 3 9 3" xfId="40998" xr:uid="{F98E6F29-4031-4C58-BA8D-2F2DA01D8B08}"/>
    <cellStyle name="Comma 4 4 3 9 4" xfId="22400" xr:uid="{F6977E3B-CC91-48CF-AFF0-46E13145864C}"/>
    <cellStyle name="Comma 4 4 4" xfId="690" xr:uid="{00000000-0005-0000-0000-0000120A0000}"/>
    <cellStyle name="Comma 4 4 4 2" xfId="2961" xr:uid="{00000000-0005-0000-0000-0000130A0000}"/>
    <cellStyle name="Comma 4 4 4 2 2" xfId="7183" xr:uid="{00000000-0005-0000-0000-0000140A0000}"/>
    <cellStyle name="Comma 4 4 4 2 2 2" xfId="16509" xr:uid="{3F1CA95B-6697-4D94-9939-8F54FACA870F}"/>
    <cellStyle name="Comma 4 4 4 2 2 2 2" xfId="52851" xr:uid="{821EDDEC-079F-4CBB-A981-6DA5787096C3}"/>
    <cellStyle name="Comma 4 4 4 2 2 2 3" xfId="34255" xr:uid="{8D273633-6844-455D-9070-E1F3156FB440}"/>
    <cellStyle name="Comma 4 4 4 2 2 3" xfId="43554" xr:uid="{12D86FA9-29F2-4EB5-9D67-FFEA5F35FDB3}"/>
    <cellStyle name="Comma 4 4 4 2 2 4" xfId="24956" xr:uid="{E0FD24DB-C8B4-4DFA-8FFB-67BAEB126F93}"/>
    <cellStyle name="Comma 4 4 4 2 3" xfId="12292" xr:uid="{69F21215-8D06-4D5F-BAF0-642F44020914}"/>
    <cellStyle name="Comma 4 4 4 2 3 2" xfId="48634" xr:uid="{A3DB7C27-E1A1-43B4-8BE3-ECCFF82574FF}"/>
    <cellStyle name="Comma 4 4 4 2 3 3" xfId="30038" xr:uid="{8F0559D5-9034-4F7A-BE31-7F04DF284B69}"/>
    <cellStyle name="Comma 4 4 4 2 4" xfId="39337" xr:uid="{F03D01AB-3834-46B0-AC73-AE75D6052F36}"/>
    <cellStyle name="Comma 4 4 4 2 5" xfId="20739" xr:uid="{3F45D789-0A4E-4855-8E80-A93DC1FF51B9}"/>
    <cellStyle name="Comma 4 4 4 3" xfId="5038" xr:uid="{00000000-0005-0000-0000-0000150A0000}"/>
    <cellStyle name="Comma 4 4 4 3 2" xfId="14364" xr:uid="{80F25720-BD3E-4447-AF89-AE165DB10EF0}"/>
    <cellStyle name="Comma 4 4 4 3 2 2" xfId="50706" xr:uid="{2AAC43F3-2704-4E91-95C1-D2EAC8929E8F}"/>
    <cellStyle name="Comma 4 4 4 3 2 3" xfId="32110" xr:uid="{908EBD5A-449E-4CE2-9A28-1F8157A2477A}"/>
    <cellStyle name="Comma 4 4 4 3 3" xfId="41409" xr:uid="{25AA72BD-AD35-4BC2-85A8-97768E5FCD73}"/>
    <cellStyle name="Comma 4 4 4 3 4" xfId="22811" xr:uid="{8CA2136C-B5CB-47C4-8110-EA7D923BB5E2}"/>
    <cellStyle name="Comma 4 4 4 4" xfId="9229" xr:uid="{5D655A80-2199-4116-9BF2-7327D5827395}"/>
    <cellStyle name="Comma 4 4 4 4 2" xfId="36290" xr:uid="{30B5BE83-CFB3-48FE-AA48-53BCAA7985B9}"/>
    <cellStyle name="Comma 4 4 4 4 2 2" xfId="54884" xr:uid="{C6EFF66C-1B65-4832-AD39-D467E1ACEB12}"/>
    <cellStyle name="Comma 4 4 4 4 3" xfId="45587" xr:uid="{7D9E32D6-D9AA-45C3-ADFF-B68472839C10}"/>
    <cellStyle name="Comma 4 4 4 4 4" xfId="26991" xr:uid="{401077B5-2FDA-4C36-A2E1-F9773597AE3E}"/>
    <cellStyle name="Comma 4 4 4 5" xfId="10147" xr:uid="{34A93C5A-FB7B-4415-92E3-48888818D42B}"/>
    <cellStyle name="Comma 4 4 4 5 2" xfId="46489" xr:uid="{8C70DD0C-B450-4B55-B073-180BCACFE3D0}"/>
    <cellStyle name="Comma 4 4 4 5 3" xfId="27893" xr:uid="{5DC5D234-D858-4F24-9359-EF2238B41951}"/>
    <cellStyle name="Comma 4 4 4 6" xfId="37192" xr:uid="{4088094A-1593-46CB-84BC-5290F0E097F3}"/>
    <cellStyle name="Comma 4 4 4 7" xfId="18594" xr:uid="{5C9471F9-2776-4AEF-B154-C41AA51F7868}"/>
    <cellStyle name="Comma 4 4 5" xfId="1143" xr:uid="{00000000-0005-0000-0000-0000160A0000}"/>
    <cellStyle name="Comma 4 4 5 2" xfId="3374" xr:uid="{00000000-0005-0000-0000-0000170A0000}"/>
    <cellStyle name="Comma 4 4 5 2 2" xfId="7596" xr:uid="{00000000-0005-0000-0000-0000180A0000}"/>
    <cellStyle name="Comma 4 4 5 2 2 2" xfId="16922" xr:uid="{56BC4B8C-7B6D-441E-81F6-564BAFD23701}"/>
    <cellStyle name="Comma 4 4 5 2 2 2 2" xfId="53264" xr:uid="{562BB0AD-5A0C-429B-BB45-4DC1B34B3376}"/>
    <cellStyle name="Comma 4 4 5 2 2 2 3" xfId="34668" xr:uid="{A6F3743C-4186-4F8C-845F-CE9525FA3E0F}"/>
    <cellStyle name="Comma 4 4 5 2 2 3" xfId="43967" xr:uid="{029120B3-DE67-4668-9E0F-B26209048670}"/>
    <cellStyle name="Comma 4 4 5 2 2 4" xfId="25369" xr:uid="{F1529E53-EC48-400E-8EC7-518A8362B026}"/>
    <cellStyle name="Comma 4 4 5 2 3" xfId="12705" xr:uid="{F9F31482-1D8E-42F4-A386-6F5FC37EA454}"/>
    <cellStyle name="Comma 4 4 5 2 3 2" xfId="49047" xr:uid="{4326B002-37AB-4A4B-B1CC-3BF97E591694}"/>
    <cellStyle name="Comma 4 4 5 2 3 3" xfId="30451" xr:uid="{FC97C041-4BEA-4A1D-9C55-B4D48EE42729}"/>
    <cellStyle name="Comma 4 4 5 2 4" xfId="39750" xr:uid="{07B4AD45-F050-4792-B716-670B7234601F}"/>
    <cellStyle name="Comma 4 4 5 2 5" xfId="21152" xr:uid="{E71FD07F-39BD-417F-84B4-D39D366EC19F}"/>
    <cellStyle name="Comma 4 4 5 3" xfId="5451" xr:uid="{00000000-0005-0000-0000-0000190A0000}"/>
    <cellStyle name="Comma 4 4 5 3 2" xfId="14777" xr:uid="{42C0AEE0-3B7C-4327-9FE7-2AC3BDE2A7AB}"/>
    <cellStyle name="Comma 4 4 5 3 2 2" xfId="51119" xr:uid="{0FCA8729-0095-4FD8-918B-C034E98E6E1A}"/>
    <cellStyle name="Comma 4 4 5 3 2 3" xfId="32523" xr:uid="{8C437DBF-0F86-469C-B924-EB86D21871AC}"/>
    <cellStyle name="Comma 4 4 5 3 3" xfId="41822" xr:uid="{5F04BD2C-81E7-4E5F-A48E-67E9804518D5}"/>
    <cellStyle name="Comma 4 4 5 3 4" xfId="23224" xr:uid="{756E9C88-F318-4B83-B16F-99FFE5B33766}"/>
    <cellStyle name="Comma 4 4 5 4" xfId="10560" xr:uid="{6D31BDEE-80B5-4ABF-B16C-790C791DA858}"/>
    <cellStyle name="Comma 4 4 5 4 2" xfId="46902" xr:uid="{8C6733CB-8F4A-4D50-9C15-0324C2638572}"/>
    <cellStyle name="Comma 4 4 5 4 3" xfId="28306" xr:uid="{F816CB85-93B7-4D36-A4C5-5399750E7438}"/>
    <cellStyle name="Comma 4 4 5 5" xfId="37605" xr:uid="{AEB5AB65-0AA0-4B98-99CE-D081AA85AE60}"/>
    <cellStyle name="Comma 4 4 5 6" xfId="19007" xr:uid="{A56BD307-53C4-4DF6-AD3F-6AE8B19DCA3E}"/>
    <cellStyle name="Comma 4 4 6" xfId="1557" xr:uid="{00000000-0005-0000-0000-00001A0A0000}"/>
    <cellStyle name="Comma 4 4 6 2" xfId="3787" xr:uid="{00000000-0005-0000-0000-00001B0A0000}"/>
    <cellStyle name="Comma 4 4 6 2 2" xfId="8009" xr:uid="{00000000-0005-0000-0000-00001C0A0000}"/>
    <cellStyle name="Comma 4 4 6 2 2 2" xfId="17335" xr:uid="{E1D73604-D732-482D-AD2D-205324B039B4}"/>
    <cellStyle name="Comma 4 4 6 2 2 2 2" xfId="53677" xr:uid="{B3787320-65D4-40BF-8ED5-0F65E518F00B}"/>
    <cellStyle name="Comma 4 4 6 2 2 2 3" xfId="35081" xr:uid="{F5394DF7-A7B5-45B5-9D5F-319D1CC28525}"/>
    <cellStyle name="Comma 4 4 6 2 2 3" xfId="44380" xr:uid="{79EA492B-C49F-4C76-96C8-846F610B49A9}"/>
    <cellStyle name="Comma 4 4 6 2 2 4" xfId="25782" xr:uid="{FD6E00B0-6C04-449C-AEC6-72D703BA89D3}"/>
    <cellStyle name="Comma 4 4 6 2 3" xfId="13118" xr:uid="{D81DB635-3FEB-487D-922C-EB5B4F90AD53}"/>
    <cellStyle name="Comma 4 4 6 2 3 2" xfId="49460" xr:uid="{B9F429EB-F45F-4013-AA21-ED7180522EE6}"/>
    <cellStyle name="Comma 4 4 6 2 3 3" xfId="30864" xr:uid="{6E0A47FC-561F-48E7-A3A6-2BE258963092}"/>
    <cellStyle name="Comma 4 4 6 2 4" xfId="40163" xr:uid="{B804D6EE-8568-4560-B841-630A149B944F}"/>
    <cellStyle name="Comma 4 4 6 2 5" xfId="21565" xr:uid="{A508CAF0-6EDD-4F99-9AD1-6F7526B9723C}"/>
    <cellStyle name="Comma 4 4 6 3" xfId="5864" xr:uid="{00000000-0005-0000-0000-00001D0A0000}"/>
    <cellStyle name="Comma 4 4 6 3 2" xfId="15190" xr:uid="{D0474CB9-80B3-4DD4-9E16-24767B5FF66E}"/>
    <cellStyle name="Comma 4 4 6 3 2 2" xfId="51532" xr:uid="{36577A69-C10E-4BA2-A23E-8A1F13CA7584}"/>
    <cellStyle name="Comma 4 4 6 3 2 3" xfId="32936" xr:uid="{B16989F3-315F-47D5-B726-4F9135675C23}"/>
    <cellStyle name="Comma 4 4 6 3 3" xfId="42235" xr:uid="{FCC3EDF0-55F8-48A9-A3E2-4048A5FAECC8}"/>
    <cellStyle name="Comma 4 4 6 3 4" xfId="23637" xr:uid="{E1EC2D27-4630-4D60-A6B9-9F42F0CBFD44}"/>
    <cellStyle name="Comma 4 4 6 4" xfId="10973" xr:uid="{C4F17A9E-7F2B-43EE-9035-1F8DB09E78FC}"/>
    <cellStyle name="Comma 4 4 6 4 2" xfId="47315" xr:uid="{5B5B08B9-83E6-4139-B18C-ACFD655C078A}"/>
    <cellStyle name="Comma 4 4 6 4 3" xfId="28719" xr:uid="{3124CEE0-22D6-40B8-8C55-CD860F5250C8}"/>
    <cellStyle name="Comma 4 4 6 5" xfId="38018" xr:uid="{7226D6BB-B8F7-418D-B5BD-DDD8D56B2846}"/>
    <cellStyle name="Comma 4 4 6 6" xfId="19420" xr:uid="{CEAB421B-6B06-4001-B4EF-E8D6CDC92D8C}"/>
    <cellStyle name="Comma 4 4 7" xfId="1971" xr:uid="{00000000-0005-0000-0000-00001E0A0000}"/>
    <cellStyle name="Comma 4 4 7 2" xfId="4200" xr:uid="{00000000-0005-0000-0000-00001F0A0000}"/>
    <cellStyle name="Comma 4 4 7 2 2" xfId="8422" xr:uid="{00000000-0005-0000-0000-0000200A0000}"/>
    <cellStyle name="Comma 4 4 7 2 2 2" xfId="17748" xr:uid="{3C26262F-A407-4AD6-8614-AE7B7B578604}"/>
    <cellStyle name="Comma 4 4 7 2 2 2 2" xfId="54090" xr:uid="{B598CFAE-BA57-493F-BB2D-A705D6D558CB}"/>
    <cellStyle name="Comma 4 4 7 2 2 2 3" xfId="35494" xr:uid="{A9A26CA5-166F-4D50-B177-372A5CA7820F}"/>
    <cellStyle name="Comma 4 4 7 2 2 3" xfId="44793" xr:uid="{CF49CEB0-3386-468A-82BD-7B11E2D6FBD3}"/>
    <cellStyle name="Comma 4 4 7 2 2 4" xfId="26195" xr:uid="{38118715-FBFC-47D2-B073-72BC934DC9A3}"/>
    <cellStyle name="Comma 4 4 7 2 3" xfId="13531" xr:uid="{0EEBA477-3767-4B2F-8707-6D8EB9FF5EE6}"/>
    <cellStyle name="Comma 4 4 7 2 3 2" xfId="49873" xr:uid="{F77B8F8F-81DC-4D97-9363-6B40D7BEB25F}"/>
    <cellStyle name="Comma 4 4 7 2 3 3" xfId="31277" xr:uid="{EB913F30-3027-412D-BD6B-B8C9B3833A9E}"/>
    <cellStyle name="Comma 4 4 7 2 4" xfId="40576" xr:uid="{B0941276-ACF9-4AD0-AD7B-2A29A5C25EAD}"/>
    <cellStyle name="Comma 4 4 7 2 5" xfId="21978" xr:uid="{E715EA2C-0C47-4AA6-ADA4-702DD00E6D14}"/>
    <cellStyle name="Comma 4 4 7 3" xfId="6277" xr:uid="{00000000-0005-0000-0000-0000210A0000}"/>
    <cellStyle name="Comma 4 4 7 3 2" xfId="15603" xr:uid="{3B6FE2E7-B3BD-448E-A240-402F2F7E525D}"/>
    <cellStyle name="Comma 4 4 7 3 2 2" xfId="51945" xr:uid="{43EDE47E-1F5C-4EB4-BA4B-C1A2DB4D4AE3}"/>
    <cellStyle name="Comma 4 4 7 3 2 3" xfId="33349" xr:uid="{1B3BF711-DD67-4D5D-BEDB-01C048691F33}"/>
    <cellStyle name="Comma 4 4 7 3 3" xfId="42648" xr:uid="{9702616F-238C-42A8-9B8E-803419766404}"/>
    <cellStyle name="Comma 4 4 7 3 4" xfId="24050" xr:uid="{A75D00C3-039F-404A-8CE6-4F66ED8D14AF}"/>
    <cellStyle name="Comma 4 4 7 4" xfId="11386" xr:uid="{D9856561-A64B-4BF6-BB33-40C66620E18B}"/>
    <cellStyle name="Comma 4 4 7 4 2" xfId="47728" xr:uid="{708791AE-2F23-4280-89EB-9FA4F4F215CA}"/>
    <cellStyle name="Comma 4 4 7 4 3" xfId="29132" xr:uid="{FF4AC08A-20CD-4370-AC88-19D5BCB0D6ED}"/>
    <cellStyle name="Comma 4 4 7 5" xfId="38431" xr:uid="{D39F8892-1563-4271-9053-FB865AE72B46}"/>
    <cellStyle name="Comma 4 4 7 6" xfId="19833" xr:uid="{C9037002-815F-43CE-9AF3-E3804C63CF3F}"/>
    <cellStyle name="Comma 4 4 8" xfId="2406" xr:uid="{00000000-0005-0000-0000-0000220A0000}"/>
    <cellStyle name="Comma 4 4 8 2" xfId="6690" xr:uid="{00000000-0005-0000-0000-0000230A0000}"/>
    <cellStyle name="Comma 4 4 8 2 2" xfId="16016" xr:uid="{7C63F793-5F84-4475-84CF-FDAEADDDB74E}"/>
    <cellStyle name="Comma 4 4 8 2 2 2" xfId="52358" xr:uid="{ACB6FC40-94CD-46C6-876E-13DA8AED3EAC}"/>
    <cellStyle name="Comma 4 4 8 2 2 3" xfId="33762" xr:uid="{30C536D2-AA74-4C41-801A-F2570564795A}"/>
    <cellStyle name="Comma 4 4 8 2 3" xfId="43061" xr:uid="{2797F029-A257-4DD1-AFDD-083B25A095B3}"/>
    <cellStyle name="Comma 4 4 8 2 4" xfId="24463" xr:uid="{60472CAC-9D49-4E79-A0C7-7F6A78047FAC}"/>
    <cellStyle name="Comma 4 4 8 3" xfId="11799" xr:uid="{A08EEC04-2919-4B7D-9435-744119DC0321}"/>
    <cellStyle name="Comma 4 4 8 3 2" xfId="48141" xr:uid="{7862942D-C566-4467-A60B-3076BE777105}"/>
    <cellStyle name="Comma 4 4 8 3 3" xfId="29545" xr:uid="{423CC9E8-5AE5-40C7-8FBA-EBD576EBDFDD}"/>
    <cellStyle name="Comma 4 4 8 4" xfId="38844" xr:uid="{AC5AE6CA-4E7F-4D15-A261-C06546E15D71}"/>
    <cellStyle name="Comma 4 4 8 5" xfId="20246" xr:uid="{366A17B7-434C-4756-9ADD-0AF095F42562}"/>
    <cellStyle name="Comma 4 4 9" xfId="2702" xr:uid="{00000000-0005-0000-0000-0000240A0000}"/>
    <cellStyle name="Comma 4 5" xfId="157" xr:uid="{00000000-0005-0000-0000-0000250A0000}"/>
    <cellStyle name="Comma 4 5 10" xfId="4628" xr:uid="{00000000-0005-0000-0000-0000260A0000}"/>
    <cellStyle name="Comma 4 5 10 2" xfId="13954" xr:uid="{BEA714BC-5310-4EDA-B759-152CF7FEA5C4}"/>
    <cellStyle name="Comma 4 5 10 2 2" xfId="50296" xr:uid="{72107805-9B51-43BC-BCFD-B404ED09BF59}"/>
    <cellStyle name="Comma 4 5 10 2 3" xfId="31700" xr:uid="{5A95D025-A840-47F3-8C24-58AB52CC286F}"/>
    <cellStyle name="Comma 4 5 10 3" xfId="40999" xr:uid="{CDDE4E81-8E2E-437A-AE0E-08CA04614F95}"/>
    <cellStyle name="Comma 4 5 10 4" xfId="22401" xr:uid="{F8CB079C-81A9-4024-A87C-22E353BBB0D1}"/>
    <cellStyle name="Comma 4 5 11" xfId="8849" xr:uid="{344CCE08-63E3-41E8-B38A-00347480820F}"/>
    <cellStyle name="Comma 4 5 11 2" xfId="35919" xr:uid="{93A3B766-D6AA-4CF6-8267-F5C9559A91E1}"/>
    <cellStyle name="Comma 4 5 11 2 2" xfId="54514" xr:uid="{0C1DC820-7F24-4225-A04E-8E8A20A8CB9B}"/>
    <cellStyle name="Comma 4 5 11 3" xfId="45217" xr:uid="{F766F0D8-922D-4ABD-896C-7C166458375E}"/>
    <cellStyle name="Comma 4 5 11 4" xfId="26620" xr:uid="{F085E3AB-5278-451D-803B-FCA4739BB1ED}"/>
    <cellStyle name="Comma 4 5 12" xfId="9737" xr:uid="{91E40905-D396-4212-AB2F-7AAC7CD23F16}"/>
    <cellStyle name="Comma 4 5 12 2" xfId="46079" xr:uid="{F4BDDDE0-7C85-4541-98CE-41A71F3F239B}"/>
    <cellStyle name="Comma 4 5 12 3" xfId="27483" xr:uid="{118CF293-81D7-43F1-835B-CEEBC75633A7}"/>
    <cellStyle name="Comma 4 5 13" xfId="36782" xr:uid="{9F1612ED-BDE6-49CC-B715-441DD03DDBB4}"/>
    <cellStyle name="Comma 4 5 14" xfId="18184" xr:uid="{E885BDD7-DC68-4666-865E-133C49FFDF9F}"/>
    <cellStyle name="Comma 4 5 2" xfId="158" xr:uid="{00000000-0005-0000-0000-0000270A0000}"/>
    <cellStyle name="Comma 4 5 2 10" xfId="9056" xr:uid="{C7C2153B-7EAA-4A13-9C28-1151ACD100A8}"/>
    <cellStyle name="Comma 4 5 2 10 2" xfId="36126" xr:uid="{D0B39FEE-134E-41CF-9953-AADB842C3C82}"/>
    <cellStyle name="Comma 4 5 2 10 2 2" xfId="54721" xr:uid="{32341402-32FB-47A3-BDC4-C0C58A1FAA76}"/>
    <cellStyle name="Comma 4 5 2 10 3" xfId="45424" xr:uid="{41B3FBCC-EF11-4779-9BF4-423C159AED25}"/>
    <cellStyle name="Comma 4 5 2 10 4" xfId="26827" xr:uid="{1F233949-1799-41D7-8DAC-AE55410D126B}"/>
    <cellStyle name="Comma 4 5 2 11" xfId="9738" xr:uid="{A1315AFF-31A2-4D5B-8AE6-34C9645CECD6}"/>
    <cellStyle name="Comma 4 5 2 11 2" xfId="46080" xr:uid="{10EE1C21-5C10-4CFB-9A2E-9932C9259C1A}"/>
    <cellStyle name="Comma 4 5 2 11 3" xfId="27484" xr:uid="{155C3BD4-645F-49B3-8A5E-A3567C2F6FB2}"/>
    <cellStyle name="Comma 4 5 2 12" xfId="36783" xr:uid="{BEA72C97-D461-46C5-B1A4-80E1C408CF16}"/>
    <cellStyle name="Comma 4 5 2 13" xfId="18185" xr:uid="{552D0F59-F552-460F-833E-C6BDCBB4DCBB}"/>
    <cellStyle name="Comma 4 5 2 2" xfId="695" xr:uid="{00000000-0005-0000-0000-0000280A0000}"/>
    <cellStyle name="Comma 4 5 2 2 2" xfId="2966" xr:uid="{00000000-0005-0000-0000-0000290A0000}"/>
    <cellStyle name="Comma 4 5 2 2 2 2" xfId="7188" xr:uid="{00000000-0005-0000-0000-00002A0A0000}"/>
    <cellStyle name="Comma 4 5 2 2 2 2 2" xfId="16514" xr:uid="{925DAE9D-C3A4-44D7-B993-166A24BB6CDD}"/>
    <cellStyle name="Comma 4 5 2 2 2 2 2 2" xfId="52856" xr:uid="{7BAB8FB8-BB79-40E1-8184-342E37F3E326}"/>
    <cellStyle name="Comma 4 5 2 2 2 2 2 3" xfId="34260" xr:uid="{979FE15B-6FEA-4214-8D26-1F15B3F2CBE2}"/>
    <cellStyle name="Comma 4 5 2 2 2 2 3" xfId="43559" xr:uid="{5A97EED7-0CF3-46FD-BAE8-004387F42B12}"/>
    <cellStyle name="Comma 4 5 2 2 2 2 4" xfId="24961" xr:uid="{DB9E10C6-6233-407C-9FC6-B3DDF868D9AF}"/>
    <cellStyle name="Comma 4 5 2 2 2 3" xfId="12297" xr:uid="{7C836B0A-A017-4420-BCF7-A36CDD672E83}"/>
    <cellStyle name="Comma 4 5 2 2 2 3 2" xfId="48639" xr:uid="{227A3355-3F5C-41BB-9C66-EEAE41905ED0}"/>
    <cellStyle name="Comma 4 5 2 2 2 3 3" xfId="30043" xr:uid="{E9172F2B-1648-4EB2-B5A7-6689E89C16EE}"/>
    <cellStyle name="Comma 4 5 2 2 2 4" xfId="39342" xr:uid="{8DC6B68A-BE3E-4A27-AED1-00C9E142BBDF}"/>
    <cellStyle name="Comma 4 5 2 2 2 5" xfId="20744" xr:uid="{D05C4749-84DE-42B7-8C90-959F26A47264}"/>
    <cellStyle name="Comma 4 5 2 2 3" xfId="5043" xr:uid="{00000000-0005-0000-0000-00002B0A0000}"/>
    <cellStyle name="Comma 4 5 2 2 3 2" xfId="14369" xr:uid="{93579F1A-D880-4FE0-8258-ADB57176D1ED}"/>
    <cellStyle name="Comma 4 5 2 2 3 2 2" xfId="50711" xr:uid="{2FC0A21C-88D7-4278-9C49-F3394E9F1A89}"/>
    <cellStyle name="Comma 4 5 2 2 3 2 3" xfId="32115" xr:uid="{2C5F2842-E979-4B02-A2A5-CBB0AE2EF0A5}"/>
    <cellStyle name="Comma 4 5 2 2 3 3" xfId="41414" xr:uid="{3E1DA6DE-BA45-40AA-A93D-680D6772A929}"/>
    <cellStyle name="Comma 4 5 2 2 3 4" xfId="22816" xr:uid="{EB526997-E91B-44D6-9E7C-9BCD74D80CB3}"/>
    <cellStyle name="Comma 4 5 2 2 4" xfId="9481" xr:uid="{47C88F6D-21B1-4457-908C-FFAB8FF83BD1}"/>
    <cellStyle name="Comma 4 5 2 2 4 2" xfId="36542" xr:uid="{A45DB3D2-083A-4937-BB1C-58B9206937C6}"/>
    <cellStyle name="Comma 4 5 2 2 4 2 2" xfId="55136" xr:uid="{F2501A74-27C3-461A-9EB9-2047C45E7C65}"/>
    <cellStyle name="Comma 4 5 2 2 4 3" xfId="45839" xr:uid="{BB55C3C0-AA49-4661-A5C1-2D64DB6C0AB8}"/>
    <cellStyle name="Comma 4 5 2 2 4 4" xfId="27243" xr:uid="{1F811819-C1ED-43C6-8A10-2955CB664513}"/>
    <cellStyle name="Comma 4 5 2 2 5" xfId="10152" xr:uid="{F133A096-44C4-4E4B-A4F6-6D22DA104384}"/>
    <cellStyle name="Comma 4 5 2 2 5 2" xfId="46494" xr:uid="{BD3DA5F5-4C10-48F0-863D-1FD7E499C4B8}"/>
    <cellStyle name="Comma 4 5 2 2 5 3" xfId="27898" xr:uid="{0D34871C-F6F9-4395-B373-E6366AC64883}"/>
    <cellStyle name="Comma 4 5 2 2 6" xfId="37197" xr:uid="{5E30178A-7BF2-430B-BBE2-3CB51F7F4306}"/>
    <cellStyle name="Comma 4 5 2 2 7" xfId="18599" xr:uid="{EEC9BE40-C954-4CFD-BDF8-D9F41D39BA69}"/>
    <cellStyle name="Comma 4 5 2 3" xfId="1148" xr:uid="{00000000-0005-0000-0000-00002C0A0000}"/>
    <cellStyle name="Comma 4 5 2 3 2" xfId="3379" xr:uid="{00000000-0005-0000-0000-00002D0A0000}"/>
    <cellStyle name="Comma 4 5 2 3 2 2" xfId="7601" xr:uid="{00000000-0005-0000-0000-00002E0A0000}"/>
    <cellStyle name="Comma 4 5 2 3 2 2 2" xfId="16927" xr:uid="{AC2E7F28-BCD9-4220-B0E6-2619868525AF}"/>
    <cellStyle name="Comma 4 5 2 3 2 2 2 2" xfId="53269" xr:uid="{1C922ABA-BD73-4334-8E4C-2924BA99B1EF}"/>
    <cellStyle name="Comma 4 5 2 3 2 2 2 3" xfId="34673" xr:uid="{0B2B2843-F060-44FD-927C-634E3E851BD6}"/>
    <cellStyle name="Comma 4 5 2 3 2 2 3" xfId="43972" xr:uid="{BB062EEF-060A-4845-BD69-51D2D399FA53}"/>
    <cellStyle name="Comma 4 5 2 3 2 2 4" xfId="25374" xr:uid="{8B9308B0-5340-468D-83A9-A42945BD02A8}"/>
    <cellStyle name="Comma 4 5 2 3 2 3" xfId="12710" xr:uid="{379EAE0E-0D96-4247-80EC-4BB04B34C03A}"/>
    <cellStyle name="Comma 4 5 2 3 2 3 2" xfId="49052" xr:uid="{36564E70-8111-48AD-B3A9-F139FD71FA3E}"/>
    <cellStyle name="Comma 4 5 2 3 2 3 3" xfId="30456" xr:uid="{66483B85-616D-401E-980F-23E2DFC8CA9D}"/>
    <cellStyle name="Comma 4 5 2 3 2 4" xfId="39755" xr:uid="{7E82B5AC-D090-4EDA-957E-7E98C27204B2}"/>
    <cellStyle name="Comma 4 5 2 3 2 5" xfId="21157" xr:uid="{B120BFC7-76DC-4BA8-B25C-122692E53009}"/>
    <cellStyle name="Comma 4 5 2 3 3" xfId="5456" xr:uid="{00000000-0005-0000-0000-00002F0A0000}"/>
    <cellStyle name="Comma 4 5 2 3 3 2" xfId="14782" xr:uid="{3C1944C0-958D-4FCF-8C6F-70DB9252EA25}"/>
    <cellStyle name="Comma 4 5 2 3 3 2 2" xfId="51124" xr:uid="{3F70D7C3-16A0-4E82-B907-DF85ADA5C0D5}"/>
    <cellStyle name="Comma 4 5 2 3 3 2 3" xfId="32528" xr:uid="{DDD51D4D-82E1-4672-B88F-7DF8CBD69ADF}"/>
    <cellStyle name="Comma 4 5 2 3 3 3" xfId="41827" xr:uid="{004ABE80-BC9B-419A-BC96-5A7446611757}"/>
    <cellStyle name="Comma 4 5 2 3 3 4" xfId="23229" xr:uid="{DBC00CA2-20CC-461E-8EB5-73FCDE1917AB}"/>
    <cellStyle name="Comma 4 5 2 3 4" xfId="10565" xr:uid="{22E62723-BCF2-4751-9560-90BAE0BD2F5B}"/>
    <cellStyle name="Comma 4 5 2 3 4 2" xfId="46907" xr:uid="{A767C3BF-9022-4294-8D03-0E1810DB70D9}"/>
    <cellStyle name="Comma 4 5 2 3 4 3" xfId="28311" xr:uid="{84CD5789-0260-4C38-8CDE-1ADFF443A227}"/>
    <cellStyle name="Comma 4 5 2 3 5" xfId="37610" xr:uid="{500B2182-C46B-47E8-96DB-7883CBD08ED2}"/>
    <cellStyle name="Comma 4 5 2 3 6" xfId="19012" xr:uid="{FCD7B541-2E35-4919-96F5-4B6823ED10DA}"/>
    <cellStyle name="Comma 4 5 2 4" xfId="1562" xr:uid="{00000000-0005-0000-0000-0000300A0000}"/>
    <cellStyle name="Comma 4 5 2 4 2" xfId="3792" xr:uid="{00000000-0005-0000-0000-0000310A0000}"/>
    <cellStyle name="Comma 4 5 2 4 2 2" xfId="8014" xr:uid="{00000000-0005-0000-0000-0000320A0000}"/>
    <cellStyle name="Comma 4 5 2 4 2 2 2" xfId="17340" xr:uid="{96403346-3C53-4426-BDFC-9275B4C7EAD7}"/>
    <cellStyle name="Comma 4 5 2 4 2 2 2 2" xfId="53682" xr:uid="{1424C3F6-791F-4997-98E6-AFCB665A8756}"/>
    <cellStyle name="Comma 4 5 2 4 2 2 2 3" xfId="35086" xr:uid="{BAAC4044-AC33-4FAE-9876-7D31A9214550}"/>
    <cellStyle name="Comma 4 5 2 4 2 2 3" xfId="44385" xr:uid="{2617F17E-2A92-429F-A978-76D9638FDD9B}"/>
    <cellStyle name="Comma 4 5 2 4 2 2 4" xfId="25787" xr:uid="{4C3D719D-2A36-485F-B96E-A0703924FA49}"/>
    <cellStyle name="Comma 4 5 2 4 2 3" xfId="13123" xr:uid="{B6B166C3-C6E2-47F5-8C37-192B74DA17E8}"/>
    <cellStyle name="Comma 4 5 2 4 2 3 2" xfId="49465" xr:uid="{11C7AF00-AD66-4FA9-AA6D-82D114FFB85C}"/>
    <cellStyle name="Comma 4 5 2 4 2 3 3" xfId="30869" xr:uid="{FA39AB47-E34E-4D4B-A087-E69DBC86819A}"/>
    <cellStyle name="Comma 4 5 2 4 2 4" xfId="40168" xr:uid="{B06EBB6F-6CE4-4D25-AD65-12E245ED402C}"/>
    <cellStyle name="Comma 4 5 2 4 2 5" xfId="21570" xr:uid="{F361D0D9-41FB-44EF-969B-2199C0091F00}"/>
    <cellStyle name="Comma 4 5 2 4 3" xfId="5869" xr:uid="{00000000-0005-0000-0000-0000330A0000}"/>
    <cellStyle name="Comma 4 5 2 4 3 2" xfId="15195" xr:uid="{123CE608-9BB6-409D-A091-89065AA308DD}"/>
    <cellStyle name="Comma 4 5 2 4 3 2 2" xfId="51537" xr:uid="{C3D0A2E2-B68C-44B0-92F6-E664850BFCE6}"/>
    <cellStyle name="Comma 4 5 2 4 3 2 3" xfId="32941" xr:uid="{56505442-8A85-4A01-90B6-03EAE620AB24}"/>
    <cellStyle name="Comma 4 5 2 4 3 3" xfId="42240" xr:uid="{13CBC2B9-6CC2-40CD-8624-0A9301ADF38B}"/>
    <cellStyle name="Comma 4 5 2 4 3 4" xfId="23642" xr:uid="{DE7521AD-2277-425E-B503-A170C82C27AD}"/>
    <cellStyle name="Comma 4 5 2 4 4" xfId="10978" xr:uid="{ED5ABF01-904D-4F5E-AC34-0BF34C46404E}"/>
    <cellStyle name="Comma 4 5 2 4 4 2" xfId="47320" xr:uid="{B0AA3C1B-D5B4-4194-A0F7-053375F0D2F0}"/>
    <cellStyle name="Comma 4 5 2 4 4 3" xfId="28724" xr:uid="{00066470-A3ED-4E90-9616-24E02B8DBCB2}"/>
    <cellStyle name="Comma 4 5 2 4 5" xfId="38023" xr:uid="{F78C76F0-63EA-43BF-8CED-FB97C57162E6}"/>
    <cellStyle name="Comma 4 5 2 4 6" xfId="19425" xr:uid="{57D5D9B2-8568-44CD-A53F-8E658A211D07}"/>
    <cellStyle name="Comma 4 5 2 5" xfId="1976" xr:uid="{00000000-0005-0000-0000-0000340A0000}"/>
    <cellStyle name="Comma 4 5 2 5 2" xfId="4205" xr:uid="{00000000-0005-0000-0000-0000350A0000}"/>
    <cellStyle name="Comma 4 5 2 5 2 2" xfId="8427" xr:uid="{00000000-0005-0000-0000-0000360A0000}"/>
    <cellStyle name="Comma 4 5 2 5 2 2 2" xfId="17753" xr:uid="{06CD20CD-843B-48D8-B19E-147EB7EE2C9F}"/>
    <cellStyle name="Comma 4 5 2 5 2 2 2 2" xfId="54095" xr:uid="{FEA141DF-1986-4B60-AEFE-E982E8FEB642}"/>
    <cellStyle name="Comma 4 5 2 5 2 2 2 3" xfId="35499" xr:uid="{9FE0A985-E929-465E-81AD-A220F6DE272E}"/>
    <cellStyle name="Comma 4 5 2 5 2 2 3" xfId="44798" xr:uid="{DE12E4D4-F7E5-4522-8F74-28934DE7AF57}"/>
    <cellStyle name="Comma 4 5 2 5 2 2 4" xfId="26200" xr:uid="{05B5E28A-0BBF-4268-9E9C-C2167AEC5310}"/>
    <cellStyle name="Comma 4 5 2 5 2 3" xfId="13536" xr:uid="{AC8DC2D6-EE55-4310-AB9A-731719E3785C}"/>
    <cellStyle name="Comma 4 5 2 5 2 3 2" xfId="49878" xr:uid="{5A562500-01F7-4C23-8C74-A77C959EE862}"/>
    <cellStyle name="Comma 4 5 2 5 2 3 3" xfId="31282" xr:uid="{A9C1CDA6-9D37-4A03-8A2C-50F5F92E7A32}"/>
    <cellStyle name="Comma 4 5 2 5 2 4" xfId="40581" xr:uid="{E2801474-B43B-461D-9032-DAF1917118E2}"/>
    <cellStyle name="Comma 4 5 2 5 2 5" xfId="21983" xr:uid="{D34670CB-EC80-40CE-8380-6F2FBA78BF73}"/>
    <cellStyle name="Comma 4 5 2 5 3" xfId="6282" xr:uid="{00000000-0005-0000-0000-0000370A0000}"/>
    <cellStyle name="Comma 4 5 2 5 3 2" xfId="15608" xr:uid="{F925B6CA-54A7-4A4E-98F0-EC42242648BA}"/>
    <cellStyle name="Comma 4 5 2 5 3 2 2" xfId="51950" xr:uid="{5F5C7C36-F76A-44C1-B887-54B9CADE2307}"/>
    <cellStyle name="Comma 4 5 2 5 3 2 3" xfId="33354" xr:uid="{E66C65EC-83C2-4D0C-8137-BB649F6271E6}"/>
    <cellStyle name="Comma 4 5 2 5 3 3" xfId="42653" xr:uid="{AD1EB7F8-7A33-4C70-9B71-ADFAB6B428FA}"/>
    <cellStyle name="Comma 4 5 2 5 3 4" xfId="24055" xr:uid="{3F48B1EB-A5AD-4E96-9350-5FCEDBED5FD0}"/>
    <cellStyle name="Comma 4 5 2 5 4" xfId="11391" xr:uid="{B573D58D-724F-4846-9327-1D9AE77FE5EE}"/>
    <cellStyle name="Comma 4 5 2 5 4 2" xfId="47733" xr:uid="{77C27F5A-4AF6-4F5D-8975-F6B3BF2D2708}"/>
    <cellStyle name="Comma 4 5 2 5 4 3" xfId="29137" xr:uid="{9EBA0374-3901-436A-9786-95601214949B}"/>
    <cellStyle name="Comma 4 5 2 5 5" xfId="38436" xr:uid="{1C073B35-292A-483D-8C64-52D3F593D51A}"/>
    <cellStyle name="Comma 4 5 2 5 6" xfId="19838" xr:uid="{12E694FB-39A0-440A-B2F8-73F955EC6B22}"/>
    <cellStyle name="Comma 4 5 2 6" xfId="2411" xr:uid="{00000000-0005-0000-0000-0000380A0000}"/>
    <cellStyle name="Comma 4 5 2 6 2" xfId="6695" xr:uid="{00000000-0005-0000-0000-0000390A0000}"/>
    <cellStyle name="Comma 4 5 2 6 2 2" xfId="16021" xr:uid="{FC0474DB-8A94-43E3-94C0-268727F57419}"/>
    <cellStyle name="Comma 4 5 2 6 2 2 2" xfId="52363" xr:uid="{945AC115-1110-47F5-9F69-8D01755529CA}"/>
    <cellStyle name="Comma 4 5 2 6 2 2 3" xfId="33767" xr:uid="{C26C68BF-BCBE-41FE-996D-21F1D2038028}"/>
    <cellStyle name="Comma 4 5 2 6 2 3" xfId="43066" xr:uid="{58FB9C83-D88A-41C5-AF99-5F7A945C6EB4}"/>
    <cellStyle name="Comma 4 5 2 6 2 4" xfId="24468" xr:uid="{03D844E9-FAE1-4212-A7F7-416F93651485}"/>
    <cellStyle name="Comma 4 5 2 6 3" xfId="11804" xr:uid="{5DB98059-787B-4EC7-95AC-4E67BC9E3654}"/>
    <cellStyle name="Comma 4 5 2 6 3 2" xfId="48146" xr:uid="{32ED15D9-812A-4039-9FB3-13D8CC5919E6}"/>
    <cellStyle name="Comma 4 5 2 6 3 3" xfId="29550" xr:uid="{3DD6E4AC-B41D-47C1-9DE3-39C41366E775}"/>
    <cellStyle name="Comma 4 5 2 6 4" xfId="38849" xr:uid="{B1CFF506-99B9-4251-9C4F-CC7C96AE224B}"/>
    <cellStyle name="Comma 4 5 2 6 5" xfId="20251" xr:uid="{5C85CFB9-258B-4D90-BD21-B15EABC7982D}"/>
    <cellStyle name="Comma 4 5 2 7" xfId="2707" xr:uid="{00000000-0005-0000-0000-00003A0A0000}"/>
    <cellStyle name="Comma 4 5 2 8" xfId="2789" xr:uid="{00000000-0005-0000-0000-00003B0A0000}"/>
    <cellStyle name="Comma 4 5 2 8 2" xfId="7012" xr:uid="{00000000-0005-0000-0000-00003C0A0000}"/>
    <cellStyle name="Comma 4 5 2 8 2 2" xfId="16338" xr:uid="{68D548E8-6A69-4A87-8634-0E13391CC4C8}"/>
    <cellStyle name="Comma 4 5 2 8 2 2 2" xfId="52680" xr:uid="{244B5B8C-B6EB-4044-A7A9-3F68293215A3}"/>
    <cellStyle name="Comma 4 5 2 8 2 2 3" xfId="34084" xr:uid="{6EB35112-0B72-4E69-A379-682D139D8A1A}"/>
    <cellStyle name="Comma 4 5 2 8 2 3" xfId="43383" xr:uid="{CCB27C6B-8895-48A9-A39B-FE1EA7900FBD}"/>
    <cellStyle name="Comma 4 5 2 8 2 4" xfId="24785" xr:uid="{A1D0F4FF-F4E4-4EFA-860F-53FD79AD63D1}"/>
    <cellStyle name="Comma 4 5 2 8 3" xfId="12121" xr:uid="{9C825739-49A6-419F-9851-D26A2271B0ED}"/>
    <cellStyle name="Comma 4 5 2 8 3 2" xfId="48463" xr:uid="{FB601C6D-84CA-43A7-A9C0-142D3462049A}"/>
    <cellStyle name="Comma 4 5 2 8 3 3" xfId="29867" xr:uid="{6AC202DA-0B8B-44D5-A11E-27D84B85E87D}"/>
    <cellStyle name="Comma 4 5 2 8 4" xfId="39166" xr:uid="{C89C4F74-8F58-4E71-9834-5DC189217F89}"/>
    <cellStyle name="Comma 4 5 2 8 5" xfId="20568" xr:uid="{31ABA567-2078-4C5E-AFD2-7FE28EF700B5}"/>
    <cellStyle name="Comma 4 5 2 9" xfId="4629" xr:uid="{00000000-0005-0000-0000-00003D0A0000}"/>
    <cellStyle name="Comma 4 5 2 9 2" xfId="13955" xr:uid="{267C9EF6-6CE0-4EDF-88BD-513A85931B94}"/>
    <cellStyle name="Comma 4 5 2 9 2 2" xfId="50297" xr:uid="{29D831A7-6FE3-4BB2-BE46-CE99E135B195}"/>
    <cellStyle name="Comma 4 5 2 9 2 3" xfId="31701" xr:uid="{F714D16E-EAC1-479B-AF8D-ABA1628BF027}"/>
    <cellStyle name="Comma 4 5 2 9 3" xfId="41000" xr:uid="{5440504C-C9C4-41BD-A227-F46374B759CC}"/>
    <cellStyle name="Comma 4 5 2 9 4" xfId="22402" xr:uid="{A8C39727-B536-49CC-B20E-8BEF87F1A3A0}"/>
    <cellStyle name="Comma 4 5 3" xfId="694" xr:uid="{00000000-0005-0000-0000-00003E0A0000}"/>
    <cellStyle name="Comma 4 5 3 2" xfId="2965" xr:uid="{00000000-0005-0000-0000-00003F0A0000}"/>
    <cellStyle name="Comma 4 5 3 2 2" xfId="7187" xr:uid="{00000000-0005-0000-0000-0000400A0000}"/>
    <cellStyle name="Comma 4 5 3 2 2 2" xfId="16513" xr:uid="{2198E0A1-11B1-4123-B460-712E347D345A}"/>
    <cellStyle name="Comma 4 5 3 2 2 2 2" xfId="52855" xr:uid="{A11BF0B8-CCC6-4479-8036-F1E5A60A0643}"/>
    <cellStyle name="Comma 4 5 3 2 2 2 3" xfId="34259" xr:uid="{D0D23D7D-6C61-480C-8B14-04A257323E54}"/>
    <cellStyle name="Comma 4 5 3 2 2 3" xfId="43558" xr:uid="{33D5AEA4-AC7A-4104-B74E-17CBD4A3BCD0}"/>
    <cellStyle name="Comma 4 5 3 2 2 4" xfId="24960" xr:uid="{A8956617-327B-4074-93B2-3DDE0D010613}"/>
    <cellStyle name="Comma 4 5 3 2 3" xfId="12296" xr:uid="{67331778-D652-4D1A-82B2-E5F767B2E797}"/>
    <cellStyle name="Comma 4 5 3 2 3 2" xfId="48638" xr:uid="{95174FE9-4FC5-4659-9350-EBC27BE9EE73}"/>
    <cellStyle name="Comma 4 5 3 2 3 3" xfId="30042" xr:uid="{D8502633-F2F4-4D72-BD1D-77BBA16E7FC4}"/>
    <cellStyle name="Comma 4 5 3 2 4" xfId="39341" xr:uid="{3DC35690-EC00-44E7-A9A1-A6FEF12FAE19}"/>
    <cellStyle name="Comma 4 5 3 2 5" xfId="20743" xr:uid="{68C188B9-61B7-4F17-8CFF-A523E937ED5E}"/>
    <cellStyle name="Comma 4 5 3 3" xfId="5042" xr:uid="{00000000-0005-0000-0000-0000410A0000}"/>
    <cellStyle name="Comma 4 5 3 3 2" xfId="14368" xr:uid="{65B71A00-AE68-40F2-85B7-8F5FFA897302}"/>
    <cellStyle name="Comma 4 5 3 3 2 2" xfId="50710" xr:uid="{CDE4BF94-7DBB-4839-AD45-DC043C00AFB8}"/>
    <cellStyle name="Comma 4 5 3 3 2 3" xfId="32114" xr:uid="{9F524DE6-6054-45B2-B28B-88C019D77BBC}"/>
    <cellStyle name="Comma 4 5 3 3 3" xfId="41413" xr:uid="{DDC22A2C-0875-44B5-9D9B-EC44242034AA}"/>
    <cellStyle name="Comma 4 5 3 3 4" xfId="22815" xr:uid="{09E10F0E-6391-40FF-99FA-BDB156BB7861}"/>
    <cellStyle name="Comma 4 5 3 4" xfId="9274" xr:uid="{04AC3EF2-4A78-4DC5-BAB4-87936023C7E5}"/>
    <cellStyle name="Comma 4 5 3 4 2" xfId="36335" xr:uid="{1660ED1E-09D9-4D9A-9E6C-6E36533F0546}"/>
    <cellStyle name="Comma 4 5 3 4 2 2" xfId="54929" xr:uid="{DA6D91E5-AC34-4B5C-ACD9-0AE318161870}"/>
    <cellStyle name="Comma 4 5 3 4 3" xfId="45632" xr:uid="{1B83CA76-6A56-4FB7-9BB7-7546084A3B41}"/>
    <cellStyle name="Comma 4 5 3 4 4" xfId="27036" xr:uid="{F1211DCA-9604-448E-B42A-A427E6AF73BA}"/>
    <cellStyle name="Comma 4 5 3 5" xfId="10151" xr:uid="{D21478A4-0926-459A-8132-A5CFFF7B7D7E}"/>
    <cellStyle name="Comma 4 5 3 5 2" xfId="46493" xr:uid="{626C8447-7D33-42C1-98F9-A9596AFA1932}"/>
    <cellStyle name="Comma 4 5 3 5 3" xfId="27897" xr:uid="{C8F45AEA-122C-459D-9E65-55EF74D47F8B}"/>
    <cellStyle name="Comma 4 5 3 6" xfId="37196" xr:uid="{4BAD50E0-53A1-4D43-BF2B-F6D0C7569033}"/>
    <cellStyle name="Comma 4 5 3 7" xfId="18598" xr:uid="{A61012F9-F5D8-4C0B-98D9-81BF87C8C1CC}"/>
    <cellStyle name="Comma 4 5 4" xfId="1147" xr:uid="{00000000-0005-0000-0000-0000420A0000}"/>
    <cellStyle name="Comma 4 5 4 2" xfId="3378" xr:uid="{00000000-0005-0000-0000-0000430A0000}"/>
    <cellStyle name="Comma 4 5 4 2 2" xfId="7600" xr:uid="{00000000-0005-0000-0000-0000440A0000}"/>
    <cellStyle name="Comma 4 5 4 2 2 2" xfId="16926" xr:uid="{A37FC2E7-DDFA-4CDF-AD00-249623D14138}"/>
    <cellStyle name="Comma 4 5 4 2 2 2 2" xfId="53268" xr:uid="{A9F5A159-1FEF-41FC-8321-BDCE63FE4C42}"/>
    <cellStyle name="Comma 4 5 4 2 2 2 3" xfId="34672" xr:uid="{7FAAFB4C-500A-4E13-BFD5-68A26D95634D}"/>
    <cellStyle name="Comma 4 5 4 2 2 3" xfId="43971" xr:uid="{36FA285C-45E8-45F8-98CF-9F20B2DAEE52}"/>
    <cellStyle name="Comma 4 5 4 2 2 4" xfId="25373" xr:uid="{88FF3AC9-6B37-4EE0-9A34-35FE651417AB}"/>
    <cellStyle name="Comma 4 5 4 2 3" xfId="12709" xr:uid="{8C6FA12A-23A6-4564-A102-38B2F1E52C9E}"/>
    <cellStyle name="Comma 4 5 4 2 3 2" xfId="49051" xr:uid="{7BE93A11-DB05-46E9-AD7C-0D24D26625BB}"/>
    <cellStyle name="Comma 4 5 4 2 3 3" xfId="30455" xr:uid="{428144C1-0E55-4E2F-9AE3-8B3B714C3903}"/>
    <cellStyle name="Comma 4 5 4 2 4" xfId="39754" xr:uid="{4783DBA3-B37E-4D81-8259-ED2015A968E1}"/>
    <cellStyle name="Comma 4 5 4 2 5" xfId="21156" xr:uid="{C897B3F3-13F8-4B1E-B5FB-0A0CC85E800C}"/>
    <cellStyle name="Comma 4 5 4 3" xfId="5455" xr:uid="{00000000-0005-0000-0000-0000450A0000}"/>
    <cellStyle name="Comma 4 5 4 3 2" xfId="14781" xr:uid="{ABCAC685-91A8-44D1-B9F7-5FE1BD2F9C37}"/>
    <cellStyle name="Comma 4 5 4 3 2 2" xfId="51123" xr:uid="{58E4BBB2-4E2B-464E-9CD5-A5742670FF80}"/>
    <cellStyle name="Comma 4 5 4 3 2 3" xfId="32527" xr:uid="{8B9B8EC4-53BB-4921-AD24-B5D22C0B5BAA}"/>
    <cellStyle name="Comma 4 5 4 3 3" xfId="41826" xr:uid="{3BCFCF68-9D57-464B-A151-35A46315BA0D}"/>
    <cellStyle name="Comma 4 5 4 3 4" xfId="23228" xr:uid="{C95DAC1B-B153-453E-8BD7-A7E64BCBF89B}"/>
    <cellStyle name="Comma 4 5 4 4" xfId="10564" xr:uid="{ED082000-5E71-4FB0-AA58-90964769B495}"/>
    <cellStyle name="Comma 4 5 4 4 2" xfId="46906" xr:uid="{7F606219-B4DF-49A5-A4EC-120691E8C8A8}"/>
    <cellStyle name="Comma 4 5 4 4 3" xfId="28310" xr:uid="{6A451898-8850-4096-BD67-7C2B3C23EAB4}"/>
    <cellStyle name="Comma 4 5 4 5" xfId="37609" xr:uid="{787DA69E-A166-48DD-BE1C-AA371CA1A3C5}"/>
    <cellStyle name="Comma 4 5 4 6" xfId="19011" xr:uid="{AC198588-141D-45F5-9E32-DC66F2E0B08F}"/>
    <cellStyle name="Comma 4 5 5" xfId="1561" xr:uid="{00000000-0005-0000-0000-0000460A0000}"/>
    <cellStyle name="Comma 4 5 5 2" xfId="3791" xr:uid="{00000000-0005-0000-0000-0000470A0000}"/>
    <cellStyle name="Comma 4 5 5 2 2" xfId="8013" xr:uid="{00000000-0005-0000-0000-0000480A0000}"/>
    <cellStyle name="Comma 4 5 5 2 2 2" xfId="17339" xr:uid="{A521545C-4A6C-4EB6-96C8-826309241C14}"/>
    <cellStyle name="Comma 4 5 5 2 2 2 2" xfId="53681" xr:uid="{E427C236-0F40-4978-BA84-B84964EDA77A}"/>
    <cellStyle name="Comma 4 5 5 2 2 2 3" xfId="35085" xr:uid="{6BDCE72D-6314-47B0-AEC5-FC72E6F29EBE}"/>
    <cellStyle name="Comma 4 5 5 2 2 3" xfId="44384" xr:uid="{BB25BD1D-57CA-41EC-AE52-D6B1350DAC23}"/>
    <cellStyle name="Comma 4 5 5 2 2 4" xfId="25786" xr:uid="{7C687134-4E33-4B5C-B74A-FADA9BDBEA28}"/>
    <cellStyle name="Comma 4 5 5 2 3" xfId="13122" xr:uid="{38962BBA-4EFD-4A75-86C7-EA16FAF17ADA}"/>
    <cellStyle name="Comma 4 5 5 2 3 2" xfId="49464" xr:uid="{6A74FF69-A2F9-4AEE-8364-C255803F4BA1}"/>
    <cellStyle name="Comma 4 5 5 2 3 3" xfId="30868" xr:uid="{09B64579-3484-4213-912F-BA09A8FE86E2}"/>
    <cellStyle name="Comma 4 5 5 2 4" xfId="40167" xr:uid="{040312EF-A306-4F04-891A-0DD77B97F2F4}"/>
    <cellStyle name="Comma 4 5 5 2 5" xfId="21569" xr:uid="{618A6884-A7D6-428E-92CE-BB9F7E4325EA}"/>
    <cellStyle name="Comma 4 5 5 3" xfId="5868" xr:uid="{00000000-0005-0000-0000-0000490A0000}"/>
    <cellStyle name="Comma 4 5 5 3 2" xfId="15194" xr:uid="{2974EF65-D9F7-4765-BC56-74A5CAC03F7B}"/>
    <cellStyle name="Comma 4 5 5 3 2 2" xfId="51536" xr:uid="{1025A2EE-60B0-49AD-B842-2D3211784037}"/>
    <cellStyle name="Comma 4 5 5 3 2 3" xfId="32940" xr:uid="{6BAB4CED-BE86-4F48-8B70-B4FD109FFC5E}"/>
    <cellStyle name="Comma 4 5 5 3 3" xfId="42239" xr:uid="{4A8F7C6C-FD62-46D8-8E02-D59D154EB5B9}"/>
    <cellStyle name="Comma 4 5 5 3 4" xfId="23641" xr:uid="{EEAF68FF-9153-483C-AFDD-07F58C292AC3}"/>
    <cellStyle name="Comma 4 5 5 4" xfId="10977" xr:uid="{D1466A4B-977D-4EA9-877D-EBDE4F6C7034}"/>
    <cellStyle name="Comma 4 5 5 4 2" xfId="47319" xr:uid="{0D0D4F3E-7DC0-40BC-A436-B6E081359E6F}"/>
    <cellStyle name="Comma 4 5 5 4 3" xfId="28723" xr:uid="{5E97051B-F63C-4287-9242-17B6C3A36B98}"/>
    <cellStyle name="Comma 4 5 5 5" xfId="38022" xr:uid="{F37D7F98-75C4-47E6-8AA0-217F472138BF}"/>
    <cellStyle name="Comma 4 5 5 6" xfId="19424" xr:uid="{5F78DD48-7DAC-4A97-99C9-9510838EA334}"/>
    <cellStyle name="Comma 4 5 6" xfId="1975" xr:uid="{00000000-0005-0000-0000-00004A0A0000}"/>
    <cellStyle name="Comma 4 5 6 2" xfId="4204" xr:uid="{00000000-0005-0000-0000-00004B0A0000}"/>
    <cellStyle name="Comma 4 5 6 2 2" xfId="8426" xr:uid="{00000000-0005-0000-0000-00004C0A0000}"/>
    <cellStyle name="Comma 4 5 6 2 2 2" xfId="17752" xr:uid="{29511442-3B69-44D8-9EBF-9B2EF8D87812}"/>
    <cellStyle name="Comma 4 5 6 2 2 2 2" xfId="54094" xr:uid="{7B7B7BE3-B464-44C0-AE9B-4F28D0680CCC}"/>
    <cellStyle name="Comma 4 5 6 2 2 2 3" xfId="35498" xr:uid="{29D888EE-799F-455C-9C14-93A851B5B8AB}"/>
    <cellStyle name="Comma 4 5 6 2 2 3" xfId="44797" xr:uid="{2162E4A1-9157-4A19-9B22-74E3679308A6}"/>
    <cellStyle name="Comma 4 5 6 2 2 4" xfId="26199" xr:uid="{F6EB8160-89A2-4A15-BDAE-75739E95AAD4}"/>
    <cellStyle name="Comma 4 5 6 2 3" xfId="13535" xr:uid="{E2E524DF-1CE5-44F6-99F7-FC43213FB103}"/>
    <cellStyle name="Comma 4 5 6 2 3 2" xfId="49877" xr:uid="{96C1E5CA-DAE0-43EE-9E3E-D012B8F284BF}"/>
    <cellStyle name="Comma 4 5 6 2 3 3" xfId="31281" xr:uid="{D428EF87-AD08-494D-947E-D93CC23FDB42}"/>
    <cellStyle name="Comma 4 5 6 2 4" xfId="40580" xr:uid="{BA47356A-2C84-4408-BA86-3DA0976ABD69}"/>
    <cellStyle name="Comma 4 5 6 2 5" xfId="21982" xr:uid="{D65DE922-1853-422A-AAE8-3CD4152B027D}"/>
    <cellStyle name="Comma 4 5 6 3" xfId="6281" xr:uid="{00000000-0005-0000-0000-00004D0A0000}"/>
    <cellStyle name="Comma 4 5 6 3 2" xfId="15607" xr:uid="{26EDF073-794B-4651-ABE4-4FA4B208AE02}"/>
    <cellStyle name="Comma 4 5 6 3 2 2" xfId="51949" xr:uid="{C7DCA50B-FF47-47EC-BFB0-E36BF63A6443}"/>
    <cellStyle name="Comma 4 5 6 3 2 3" xfId="33353" xr:uid="{FF1283DF-AA22-41FB-BBCD-E9AAC71C189E}"/>
    <cellStyle name="Comma 4 5 6 3 3" xfId="42652" xr:uid="{C61D8671-9DED-413C-A313-EBDD0C32AABE}"/>
    <cellStyle name="Comma 4 5 6 3 4" xfId="24054" xr:uid="{6943247D-5D68-4894-BE78-1F55C11CE5C9}"/>
    <cellStyle name="Comma 4 5 6 4" xfId="11390" xr:uid="{449532BA-556C-4CF1-8708-714F1729650E}"/>
    <cellStyle name="Comma 4 5 6 4 2" xfId="47732" xr:uid="{DFB2CA48-39FA-4807-A4B4-89986783E111}"/>
    <cellStyle name="Comma 4 5 6 4 3" xfId="29136" xr:uid="{BDBEDA4B-EC3A-46DB-8EC2-B288C76BB8A9}"/>
    <cellStyle name="Comma 4 5 6 5" xfId="38435" xr:uid="{74C1803D-7429-4610-A130-474A2DE3C075}"/>
    <cellStyle name="Comma 4 5 6 6" xfId="19837" xr:uid="{6B787FE6-4E07-4D95-940B-76A0B88A10D4}"/>
    <cellStyle name="Comma 4 5 7" xfId="2410" xr:uid="{00000000-0005-0000-0000-00004E0A0000}"/>
    <cellStyle name="Comma 4 5 7 2" xfId="6694" xr:uid="{00000000-0005-0000-0000-00004F0A0000}"/>
    <cellStyle name="Comma 4 5 7 2 2" xfId="16020" xr:uid="{DA195779-0645-4098-80D2-F4DB4693A999}"/>
    <cellStyle name="Comma 4 5 7 2 2 2" xfId="52362" xr:uid="{E26A4541-CD44-46AC-827B-D1A35FCBAE08}"/>
    <cellStyle name="Comma 4 5 7 2 2 3" xfId="33766" xr:uid="{92268354-03AC-4BC5-B197-C512391380A4}"/>
    <cellStyle name="Comma 4 5 7 2 3" xfId="43065" xr:uid="{B581E69D-E064-4E43-990F-E824DA55056B}"/>
    <cellStyle name="Comma 4 5 7 2 4" xfId="24467" xr:uid="{487A2EF1-BF33-4817-B821-2A65C9F3652F}"/>
    <cellStyle name="Comma 4 5 7 3" xfId="11803" xr:uid="{51A0947F-5C66-4652-8DA8-D3C67415A6FF}"/>
    <cellStyle name="Comma 4 5 7 3 2" xfId="48145" xr:uid="{E30F856D-2BCF-41CB-A3EC-46CBE87DC6F9}"/>
    <cellStyle name="Comma 4 5 7 3 3" xfId="29549" xr:uid="{B8CA1D88-568D-4E47-B106-10EC0F532F23}"/>
    <cellStyle name="Comma 4 5 7 4" xfId="38848" xr:uid="{423BBE2C-8F7D-4EEC-8553-F6AFC2B049E1}"/>
    <cellStyle name="Comma 4 5 7 5" xfId="20250" xr:uid="{445479DE-D8AD-4133-A121-71AF8130E980}"/>
    <cellStyle name="Comma 4 5 8" xfId="2706" xr:uid="{00000000-0005-0000-0000-0000500A0000}"/>
    <cellStyle name="Comma 4 5 9" xfId="2788" xr:uid="{00000000-0005-0000-0000-0000510A0000}"/>
    <cellStyle name="Comma 4 5 9 2" xfId="7011" xr:uid="{00000000-0005-0000-0000-0000520A0000}"/>
    <cellStyle name="Comma 4 5 9 2 2" xfId="16337" xr:uid="{F2CED857-B3C5-4763-B8F6-567E36190BBE}"/>
    <cellStyle name="Comma 4 5 9 2 2 2" xfId="52679" xr:uid="{9D6671AE-1EB0-4133-AB34-661AFB7142AB}"/>
    <cellStyle name="Comma 4 5 9 2 2 3" xfId="34083" xr:uid="{1BF2BF72-E4F2-4A11-A3CC-999C0AF64B5B}"/>
    <cellStyle name="Comma 4 5 9 2 3" xfId="43382" xr:uid="{717F4806-B47A-44A9-8186-D946F7CE2BFF}"/>
    <cellStyle name="Comma 4 5 9 2 4" xfId="24784" xr:uid="{4BBFD47A-F8AE-43FD-91D6-84B8056D9050}"/>
    <cellStyle name="Comma 4 5 9 3" xfId="12120" xr:uid="{69FE810E-5E80-46AF-B21D-475B59781E20}"/>
    <cellStyle name="Comma 4 5 9 3 2" xfId="48462" xr:uid="{55ECA063-32DB-43F8-B6F1-0872CAED4265}"/>
    <cellStyle name="Comma 4 5 9 3 3" xfId="29866" xr:uid="{F55EDEB5-7D4F-4873-824E-1DAD5F76615D}"/>
    <cellStyle name="Comma 4 5 9 4" xfId="39165" xr:uid="{972D5E40-C1B8-43FA-A419-204B78C712F6}"/>
    <cellStyle name="Comma 4 5 9 5" xfId="20567" xr:uid="{96FFFDA8-F3A0-452C-9FA7-7CA39D1EB260}"/>
    <cellStyle name="Comma 4 6" xfId="159" xr:uid="{00000000-0005-0000-0000-0000530A0000}"/>
    <cellStyle name="Comma 4 6 10" xfId="8965" xr:uid="{FDA33E7D-96B8-46F2-87D8-5CB6C30A4CC6}"/>
    <cellStyle name="Comma 4 6 10 2" xfId="36035" xr:uid="{C547488C-18F7-47E9-951C-84C42623C7DD}"/>
    <cellStyle name="Comma 4 6 10 2 2" xfId="54630" xr:uid="{137E1E52-5A07-45A2-B2C3-D589709E52DC}"/>
    <cellStyle name="Comma 4 6 10 3" xfId="45333" xr:uid="{EC96A453-3331-430D-8CD3-E605987CBF26}"/>
    <cellStyle name="Comma 4 6 10 4" xfId="26736" xr:uid="{B18096E8-0A4A-4DF7-8466-E46A2CBCF7F2}"/>
    <cellStyle name="Comma 4 6 11" xfId="9739" xr:uid="{67C3F1B8-1DC4-4895-A581-F461F480D57F}"/>
    <cellStyle name="Comma 4 6 11 2" xfId="46081" xr:uid="{687465BA-10DB-4611-929C-0A0DFEAC5456}"/>
    <cellStyle name="Comma 4 6 11 3" xfId="27485" xr:uid="{14C98C2B-EC36-43BC-8D5A-5271B6256633}"/>
    <cellStyle name="Comma 4 6 12" xfId="36784" xr:uid="{D7723F80-7E60-4D04-902B-1D120EE0A426}"/>
    <cellStyle name="Comma 4 6 13" xfId="18186" xr:uid="{8AE4B34A-28AE-4549-BA8A-2EC0EB8AC5D7}"/>
    <cellStyle name="Comma 4 6 2" xfId="696" xr:uid="{00000000-0005-0000-0000-0000540A0000}"/>
    <cellStyle name="Comma 4 6 2 2" xfId="2967" xr:uid="{00000000-0005-0000-0000-0000550A0000}"/>
    <cellStyle name="Comma 4 6 2 2 2" xfId="7189" xr:uid="{00000000-0005-0000-0000-0000560A0000}"/>
    <cellStyle name="Comma 4 6 2 2 2 2" xfId="16515" xr:uid="{4FEDD543-E6C5-4486-AC27-03683F95ACA2}"/>
    <cellStyle name="Comma 4 6 2 2 2 2 2" xfId="52857" xr:uid="{EACF2084-0ACF-49C3-95E4-791CE7E6FE38}"/>
    <cellStyle name="Comma 4 6 2 2 2 2 3" xfId="34261" xr:uid="{E8A26599-7CBE-4FAE-8056-4AE4AEC0095C}"/>
    <cellStyle name="Comma 4 6 2 2 2 3" xfId="43560" xr:uid="{B68BC051-C8BC-4D03-A80F-2AF1A0087C12}"/>
    <cellStyle name="Comma 4 6 2 2 2 4" xfId="24962" xr:uid="{065B1165-6BEC-41AB-83B3-38F1EE4CA92D}"/>
    <cellStyle name="Comma 4 6 2 2 3" xfId="12298" xr:uid="{8BD7DE8D-4EF8-4032-A3ED-3E93656C620C}"/>
    <cellStyle name="Comma 4 6 2 2 3 2" xfId="48640" xr:uid="{FBD2F03B-9E27-4C04-8E49-666B28263CC1}"/>
    <cellStyle name="Comma 4 6 2 2 3 3" xfId="30044" xr:uid="{CCD1C96F-DB91-4A73-90C8-804A88A21982}"/>
    <cellStyle name="Comma 4 6 2 2 4" xfId="39343" xr:uid="{775C56C6-CEE0-4CB3-B4C4-207C895D5666}"/>
    <cellStyle name="Comma 4 6 2 2 5" xfId="20745" xr:uid="{BD74BC4C-1370-4126-83D6-5D53BA1163D9}"/>
    <cellStyle name="Comma 4 6 2 3" xfId="5044" xr:uid="{00000000-0005-0000-0000-0000570A0000}"/>
    <cellStyle name="Comma 4 6 2 3 2" xfId="14370" xr:uid="{6F385F22-861C-4ABC-A85C-E312BA102D34}"/>
    <cellStyle name="Comma 4 6 2 3 2 2" xfId="50712" xr:uid="{C891FC25-D162-45A6-8505-A4E627CDD3E1}"/>
    <cellStyle name="Comma 4 6 2 3 2 3" xfId="32116" xr:uid="{5AB37C3B-81AB-4E66-B65B-739EA54E9B6D}"/>
    <cellStyle name="Comma 4 6 2 3 3" xfId="41415" xr:uid="{C9B878D1-CFFF-4B55-860D-F8550D8B584D}"/>
    <cellStyle name="Comma 4 6 2 3 4" xfId="22817" xr:uid="{96478DC4-171E-4C46-BCA1-027EAC0A69D3}"/>
    <cellStyle name="Comma 4 6 2 4" xfId="9390" xr:uid="{F8012948-A58F-476A-B4CF-A63C8F36D5B6}"/>
    <cellStyle name="Comma 4 6 2 4 2" xfId="36451" xr:uid="{ED7D7328-3565-47FF-96A0-29C0BD23E290}"/>
    <cellStyle name="Comma 4 6 2 4 2 2" xfId="55045" xr:uid="{DF590502-1F01-4071-9C80-462A9C94BC81}"/>
    <cellStyle name="Comma 4 6 2 4 3" xfId="45748" xr:uid="{96970F48-4BFC-45AC-8CBF-3300BFFE3E33}"/>
    <cellStyle name="Comma 4 6 2 4 4" xfId="27152" xr:uid="{CC90ED90-B3E7-43E2-8CFE-03620973D967}"/>
    <cellStyle name="Comma 4 6 2 5" xfId="10153" xr:uid="{2596032E-4FBA-4FFC-8020-D64C3BDFFEFD}"/>
    <cellStyle name="Comma 4 6 2 5 2" xfId="46495" xr:uid="{F00D5CA2-7A9B-4EE4-8563-AB3B7B86E797}"/>
    <cellStyle name="Comma 4 6 2 5 3" xfId="27899" xr:uid="{6564D428-5E79-4DCB-ABF3-1304466E9B98}"/>
    <cellStyle name="Comma 4 6 2 6" xfId="37198" xr:uid="{A34BD2BE-3199-4AC8-96CF-13FAC8AC0ED8}"/>
    <cellStyle name="Comma 4 6 2 7" xfId="18600" xr:uid="{B2935E11-D269-4E57-80E2-213EB299511D}"/>
    <cellStyle name="Comma 4 6 3" xfId="1149" xr:uid="{00000000-0005-0000-0000-0000580A0000}"/>
    <cellStyle name="Comma 4 6 3 2" xfId="3380" xr:uid="{00000000-0005-0000-0000-0000590A0000}"/>
    <cellStyle name="Comma 4 6 3 2 2" xfId="7602" xr:uid="{00000000-0005-0000-0000-00005A0A0000}"/>
    <cellStyle name="Comma 4 6 3 2 2 2" xfId="16928" xr:uid="{D7D5CC94-3B5D-49A4-8CCC-3775732AD825}"/>
    <cellStyle name="Comma 4 6 3 2 2 2 2" xfId="53270" xr:uid="{2F6F8360-2E9C-4C45-BEC5-485E81EF7C15}"/>
    <cellStyle name="Comma 4 6 3 2 2 2 3" xfId="34674" xr:uid="{3B480E9D-D7DF-44FB-A132-4742136414E0}"/>
    <cellStyle name="Comma 4 6 3 2 2 3" xfId="43973" xr:uid="{EFF5F24E-D1F4-426B-8833-2CF4A62A17DA}"/>
    <cellStyle name="Comma 4 6 3 2 2 4" xfId="25375" xr:uid="{102DA9F0-7370-4CFE-AD1F-DC5DBD8F7FEC}"/>
    <cellStyle name="Comma 4 6 3 2 3" xfId="12711" xr:uid="{7012D7F9-352B-4331-A3AB-7513FA367A39}"/>
    <cellStyle name="Comma 4 6 3 2 3 2" xfId="49053" xr:uid="{B8006D58-1B2B-4DF1-B037-BFCF2AC3CD98}"/>
    <cellStyle name="Comma 4 6 3 2 3 3" xfId="30457" xr:uid="{84854DBF-C4E8-4983-A4F0-AFDB945B5CC4}"/>
    <cellStyle name="Comma 4 6 3 2 4" xfId="39756" xr:uid="{999FD179-8BC3-466E-928A-49B9F4B78C90}"/>
    <cellStyle name="Comma 4 6 3 2 5" xfId="21158" xr:uid="{C699D9B7-13FB-4762-B4FF-2B415576FD10}"/>
    <cellStyle name="Comma 4 6 3 3" xfId="5457" xr:uid="{00000000-0005-0000-0000-00005B0A0000}"/>
    <cellStyle name="Comma 4 6 3 3 2" xfId="14783" xr:uid="{299F2C96-CBDE-4771-8748-7E88FBBDF0F4}"/>
    <cellStyle name="Comma 4 6 3 3 2 2" xfId="51125" xr:uid="{BCFDE55A-6745-4842-AE17-9A6F5B00EB9F}"/>
    <cellStyle name="Comma 4 6 3 3 2 3" xfId="32529" xr:uid="{8F5F1A82-C9CF-4E34-94DE-6A20CE4CE33D}"/>
    <cellStyle name="Comma 4 6 3 3 3" xfId="41828" xr:uid="{D7536BFD-FB6A-43A2-98D3-46F7AFD0EED9}"/>
    <cellStyle name="Comma 4 6 3 3 4" xfId="23230" xr:uid="{16C0080F-D747-4F27-8B0A-606FC027A6A0}"/>
    <cellStyle name="Comma 4 6 3 4" xfId="10566" xr:uid="{77A3DB20-9602-4CA1-8183-05FA20C1C8A1}"/>
    <cellStyle name="Comma 4 6 3 4 2" xfId="46908" xr:uid="{33E050A7-4C46-43BE-863A-D9B056B8305A}"/>
    <cellStyle name="Comma 4 6 3 4 3" xfId="28312" xr:uid="{B4E3F83D-9E67-4028-AFA7-53D11E034E71}"/>
    <cellStyle name="Comma 4 6 3 5" xfId="37611" xr:uid="{25AB1600-B414-4B0C-B733-3F2A95F41570}"/>
    <cellStyle name="Comma 4 6 3 6" xfId="19013" xr:uid="{5162E502-902F-4BEA-91A0-902481C3644B}"/>
    <cellStyle name="Comma 4 6 4" xfId="1563" xr:uid="{00000000-0005-0000-0000-00005C0A0000}"/>
    <cellStyle name="Comma 4 6 4 2" xfId="3793" xr:uid="{00000000-0005-0000-0000-00005D0A0000}"/>
    <cellStyle name="Comma 4 6 4 2 2" xfId="8015" xr:uid="{00000000-0005-0000-0000-00005E0A0000}"/>
    <cellStyle name="Comma 4 6 4 2 2 2" xfId="17341" xr:uid="{213DD5E4-7282-44C9-BE97-93DC4B87D8E3}"/>
    <cellStyle name="Comma 4 6 4 2 2 2 2" xfId="53683" xr:uid="{22D120E5-5837-4BD2-B852-6C4224DE332C}"/>
    <cellStyle name="Comma 4 6 4 2 2 2 3" xfId="35087" xr:uid="{E87BED9C-694E-4917-B145-B434511AEA53}"/>
    <cellStyle name="Comma 4 6 4 2 2 3" xfId="44386" xr:uid="{21F8AE85-5A06-44B6-8A4B-DAE23779BBA7}"/>
    <cellStyle name="Comma 4 6 4 2 2 4" xfId="25788" xr:uid="{2D30E7D1-4237-47B7-905C-CF4220807821}"/>
    <cellStyle name="Comma 4 6 4 2 3" xfId="13124" xr:uid="{C5590089-3808-44D3-9566-96F28ECC712A}"/>
    <cellStyle name="Comma 4 6 4 2 3 2" xfId="49466" xr:uid="{41496774-B2CB-41B1-9734-FD9E50EC24F0}"/>
    <cellStyle name="Comma 4 6 4 2 3 3" xfId="30870" xr:uid="{1FD9E598-A879-479A-A27E-28B4C2E8E806}"/>
    <cellStyle name="Comma 4 6 4 2 4" xfId="40169" xr:uid="{2167CB3E-F2AB-4128-810D-40D3948DAFEF}"/>
    <cellStyle name="Comma 4 6 4 2 5" xfId="21571" xr:uid="{F5F3276F-B184-4CD5-96BD-3C4A049926A5}"/>
    <cellStyle name="Comma 4 6 4 3" xfId="5870" xr:uid="{00000000-0005-0000-0000-00005F0A0000}"/>
    <cellStyle name="Comma 4 6 4 3 2" xfId="15196" xr:uid="{A06BF2BE-4D0A-4118-BDC2-A3091209C30B}"/>
    <cellStyle name="Comma 4 6 4 3 2 2" xfId="51538" xr:uid="{1EC5FFF6-ACF5-4290-BF65-493E4C69A751}"/>
    <cellStyle name="Comma 4 6 4 3 2 3" xfId="32942" xr:uid="{9307C9EE-20DE-47E3-89FF-03094718F2E5}"/>
    <cellStyle name="Comma 4 6 4 3 3" xfId="42241" xr:uid="{E48C6DA1-2091-4534-AA3F-294B39AC4107}"/>
    <cellStyle name="Comma 4 6 4 3 4" xfId="23643" xr:uid="{647A377C-2EB6-49E5-896B-05CD8A99648E}"/>
    <cellStyle name="Comma 4 6 4 4" xfId="10979" xr:uid="{51D50AAE-BB22-40BF-96F3-BD45C9A19469}"/>
    <cellStyle name="Comma 4 6 4 4 2" xfId="47321" xr:uid="{127BC7AA-E465-4B3D-8C91-CD9330454498}"/>
    <cellStyle name="Comma 4 6 4 4 3" xfId="28725" xr:uid="{7BB2962D-17BD-4038-B8F8-7138133826FA}"/>
    <cellStyle name="Comma 4 6 4 5" xfId="38024" xr:uid="{2A92A2AB-717E-40F1-AFA7-347228712B8B}"/>
    <cellStyle name="Comma 4 6 4 6" xfId="19426" xr:uid="{BD864EE2-4C74-4426-A7B7-868B25545972}"/>
    <cellStyle name="Comma 4 6 5" xfId="1977" xr:uid="{00000000-0005-0000-0000-0000600A0000}"/>
    <cellStyle name="Comma 4 6 5 2" xfId="4206" xr:uid="{00000000-0005-0000-0000-0000610A0000}"/>
    <cellStyle name="Comma 4 6 5 2 2" xfId="8428" xr:uid="{00000000-0005-0000-0000-0000620A0000}"/>
    <cellStyle name="Comma 4 6 5 2 2 2" xfId="17754" xr:uid="{FC6C6407-53AC-437B-8E7F-361A19D9951A}"/>
    <cellStyle name="Comma 4 6 5 2 2 2 2" xfId="54096" xr:uid="{37E984FF-4535-445D-9024-D027752256DF}"/>
    <cellStyle name="Comma 4 6 5 2 2 2 3" xfId="35500" xr:uid="{CCF437B5-DC85-48D4-B091-612BB408D4B6}"/>
    <cellStyle name="Comma 4 6 5 2 2 3" xfId="44799" xr:uid="{CDE9E960-620D-4C49-B1F7-36AEE9B119E7}"/>
    <cellStyle name="Comma 4 6 5 2 2 4" xfId="26201" xr:uid="{79705805-E065-4B30-A1F2-68A0A69FC875}"/>
    <cellStyle name="Comma 4 6 5 2 3" xfId="13537" xr:uid="{AE1AD4FE-F718-4337-97A4-F67921657902}"/>
    <cellStyle name="Comma 4 6 5 2 3 2" xfId="49879" xr:uid="{F8926969-EE6B-4DF8-A7D4-7822B1D9CBE3}"/>
    <cellStyle name="Comma 4 6 5 2 3 3" xfId="31283" xr:uid="{AF5FA16F-AFA3-408B-A945-9E976CF4487D}"/>
    <cellStyle name="Comma 4 6 5 2 4" xfId="40582" xr:uid="{350880F5-1CD0-4D7C-82AC-89AE00B94648}"/>
    <cellStyle name="Comma 4 6 5 2 5" xfId="21984" xr:uid="{D6CFB889-55CB-4AA1-A855-6540E513FCD8}"/>
    <cellStyle name="Comma 4 6 5 3" xfId="6283" xr:uid="{00000000-0005-0000-0000-0000630A0000}"/>
    <cellStyle name="Comma 4 6 5 3 2" xfId="15609" xr:uid="{B9F8B6F3-CB0B-4B6A-BDEE-0BBFF8417996}"/>
    <cellStyle name="Comma 4 6 5 3 2 2" xfId="51951" xr:uid="{58975371-ED74-4040-8BE3-9A365B21BE82}"/>
    <cellStyle name="Comma 4 6 5 3 2 3" xfId="33355" xr:uid="{77D3F6B4-40F6-4497-9661-5F49C4EA8079}"/>
    <cellStyle name="Comma 4 6 5 3 3" xfId="42654" xr:uid="{EB2A20ED-0D04-4A1D-8FDF-CA53FB004B03}"/>
    <cellStyle name="Comma 4 6 5 3 4" xfId="24056" xr:uid="{D60F4C55-6289-4A6A-AA92-8679A4493DC8}"/>
    <cellStyle name="Comma 4 6 5 4" xfId="11392" xr:uid="{AC64E317-57E0-408C-BD99-542A0576A673}"/>
    <cellStyle name="Comma 4 6 5 4 2" xfId="47734" xr:uid="{CF861CAD-BADA-4986-8A5E-ACED6AE72F6D}"/>
    <cellStyle name="Comma 4 6 5 4 3" xfId="29138" xr:uid="{6D7FC27C-4277-4057-80B3-F62BCBFFE4E0}"/>
    <cellStyle name="Comma 4 6 5 5" xfId="38437" xr:uid="{AEF32B4B-34FE-4984-9DC0-933B05194989}"/>
    <cellStyle name="Comma 4 6 5 6" xfId="19839" xr:uid="{F3019BA5-B1AA-4565-BBD3-B9128B00B656}"/>
    <cellStyle name="Comma 4 6 6" xfId="2412" xr:uid="{00000000-0005-0000-0000-0000640A0000}"/>
    <cellStyle name="Comma 4 6 6 2" xfId="6696" xr:uid="{00000000-0005-0000-0000-0000650A0000}"/>
    <cellStyle name="Comma 4 6 6 2 2" xfId="16022" xr:uid="{2189D1F3-95FC-41BC-8F4A-087A98F2CF02}"/>
    <cellStyle name="Comma 4 6 6 2 2 2" xfId="52364" xr:uid="{3F4043CE-E268-43F8-91B4-7DEAA88D1AF1}"/>
    <cellStyle name="Comma 4 6 6 2 2 3" xfId="33768" xr:uid="{F63EFBBA-3B32-4635-9A8C-44EE332BFAF7}"/>
    <cellStyle name="Comma 4 6 6 2 3" xfId="43067" xr:uid="{5D7F5A27-954D-47E6-833C-98C5AD775F4B}"/>
    <cellStyle name="Comma 4 6 6 2 4" xfId="24469" xr:uid="{290ECBC9-9CBA-4A15-A2DC-FFE41B71C2A3}"/>
    <cellStyle name="Comma 4 6 6 3" xfId="11805" xr:uid="{26081559-60C8-45F6-AE34-CC8A9E607638}"/>
    <cellStyle name="Comma 4 6 6 3 2" xfId="48147" xr:uid="{4221E57A-BB66-4272-8A65-B612D6DAA1AE}"/>
    <cellStyle name="Comma 4 6 6 3 3" xfId="29551" xr:uid="{AAC96579-A9B6-46CC-B09B-C8025F8339CD}"/>
    <cellStyle name="Comma 4 6 6 4" xfId="38850" xr:uid="{FC7478F5-EFE4-43DA-99EB-27E981DC14FE}"/>
    <cellStyle name="Comma 4 6 6 5" xfId="20252" xr:uid="{C785A308-A519-45F2-90DF-6C2D1AFF981E}"/>
    <cellStyle name="Comma 4 6 7" xfId="2708" xr:uid="{00000000-0005-0000-0000-0000660A0000}"/>
    <cellStyle name="Comma 4 6 8" xfId="2790" xr:uid="{00000000-0005-0000-0000-0000670A0000}"/>
    <cellStyle name="Comma 4 6 8 2" xfId="7013" xr:uid="{00000000-0005-0000-0000-0000680A0000}"/>
    <cellStyle name="Comma 4 6 8 2 2" xfId="16339" xr:uid="{7B06B90C-769D-4440-B60B-E188DAA8BD7B}"/>
    <cellStyle name="Comma 4 6 8 2 2 2" xfId="52681" xr:uid="{644C3858-E01F-40D9-BF93-9DD0C25104AD}"/>
    <cellStyle name="Comma 4 6 8 2 2 3" xfId="34085" xr:uid="{9C3AF0AB-CD48-49E5-8010-FF88A95D6B46}"/>
    <cellStyle name="Comma 4 6 8 2 3" xfId="43384" xr:uid="{D497F27F-4DE1-4E3E-9E34-8B9ED1FA35F4}"/>
    <cellStyle name="Comma 4 6 8 2 4" xfId="24786" xr:uid="{431E0BD8-1453-484B-A52D-C64C1A0B1A6E}"/>
    <cellStyle name="Comma 4 6 8 3" xfId="12122" xr:uid="{58DAE2E6-EA01-4981-8A65-8B4E04F0F170}"/>
    <cellStyle name="Comma 4 6 8 3 2" xfId="48464" xr:uid="{8E556A3E-48F0-4205-94AD-FD557EE371B6}"/>
    <cellStyle name="Comma 4 6 8 3 3" xfId="29868" xr:uid="{F9524DE7-B1AD-4008-94A3-C3CAC09A7B54}"/>
    <cellStyle name="Comma 4 6 8 4" xfId="39167" xr:uid="{CF436E33-5E17-45D2-A09A-DEDE7A26F8A8}"/>
    <cellStyle name="Comma 4 6 8 5" xfId="20569" xr:uid="{FD37E5A3-1F6A-4543-9028-16C48A22B9F8}"/>
    <cellStyle name="Comma 4 6 9" xfId="4630" xr:uid="{00000000-0005-0000-0000-0000690A0000}"/>
    <cellStyle name="Comma 4 6 9 2" xfId="13956" xr:uid="{C12804B6-0305-41F5-A62F-FBD6AF26B724}"/>
    <cellStyle name="Comma 4 6 9 2 2" xfId="50298" xr:uid="{04AAA089-FCBB-4885-8637-233512FA6DEA}"/>
    <cellStyle name="Comma 4 6 9 2 3" xfId="31702" xr:uid="{4F0208F8-C741-4B5E-8C5E-B10A7687BA81}"/>
    <cellStyle name="Comma 4 6 9 3" xfId="41001" xr:uid="{BCE85182-BF9D-4934-958E-48A96F00F18F}"/>
    <cellStyle name="Comma 4 6 9 4" xfId="22403" xr:uid="{A1A415B8-09BE-451F-A8F3-CB4F78298037}"/>
    <cellStyle name="Comma 4 7" xfId="160" xr:uid="{00000000-0005-0000-0000-00006A0A0000}"/>
    <cellStyle name="Comma 4 7 10" xfId="9168" xr:uid="{C5EF0C72-87BD-43A9-8A23-92F9D9423F50}"/>
    <cellStyle name="Comma 4 7 10 2" xfId="36232" xr:uid="{B959A5D0-E935-44A4-9389-E871F26A5099}"/>
    <cellStyle name="Comma 4 7 10 2 2" xfId="54826" xr:uid="{12297A88-7CD1-4068-B72A-168CD9F17628}"/>
    <cellStyle name="Comma 4 7 10 3" xfId="45529" xr:uid="{C585F61C-0ABE-4403-B558-4BA1E5240A99}"/>
    <cellStyle name="Comma 4 7 10 4" xfId="26933" xr:uid="{4C17E0E6-F053-470A-A3DA-2DDC16D34A21}"/>
    <cellStyle name="Comma 4 7 11" xfId="9740" xr:uid="{86393832-F253-4780-AB90-450BEDDE320D}"/>
    <cellStyle name="Comma 4 7 11 2" xfId="46082" xr:uid="{EFDC4B6E-6BF9-4B3B-AF43-1FA2FCEF9BA6}"/>
    <cellStyle name="Comma 4 7 11 3" xfId="27486" xr:uid="{A106FB7E-20E4-4B14-9B0E-0DD72FEE5859}"/>
    <cellStyle name="Comma 4 7 12" xfId="36785" xr:uid="{DF2969FB-E93A-41B1-9AF9-DE8D0486652F}"/>
    <cellStyle name="Comma 4 7 13" xfId="18187" xr:uid="{1D648DFD-8B81-4984-8460-78C9C034D1C4}"/>
    <cellStyle name="Comma 4 7 2" xfId="697" xr:uid="{00000000-0005-0000-0000-00006B0A0000}"/>
    <cellStyle name="Comma 4 7 2 2" xfId="2968" xr:uid="{00000000-0005-0000-0000-00006C0A0000}"/>
    <cellStyle name="Comma 4 7 2 2 2" xfId="7190" xr:uid="{00000000-0005-0000-0000-00006D0A0000}"/>
    <cellStyle name="Comma 4 7 2 2 2 2" xfId="16516" xr:uid="{8F2EB41A-1A6D-4FFB-8D11-E9A70F82F0F2}"/>
    <cellStyle name="Comma 4 7 2 2 2 2 2" xfId="52858" xr:uid="{874C09E5-1C6B-4828-931D-57FAD0E75FC4}"/>
    <cellStyle name="Comma 4 7 2 2 2 2 3" xfId="34262" xr:uid="{B6BF5AA3-5FED-4A12-A159-09FCEB9CC604}"/>
    <cellStyle name="Comma 4 7 2 2 2 3" xfId="43561" xr:uid="{1053F90F-7F47-4234-912B-72B7CD481810}"/>
    <cellStyle name="Comma 4 7 2 2 2 4" xfId="24963" xr:uid="{C318C207-235F-4E62-A33F-7E0B7CB29490}"/>
    <cellStyle name="Comma 4 7 2 2 3" xfId="12299" xr:uid="{BE9E7C8F-80C5-41A9-AE07-53A60A226A0F}"/>
    <cellStyle name="Comma 4 7 2 2 3 2" xfId="48641" xr:uid="{61450C38-1A89-4700-BD68-C1627DA0B192}"/>
    <cellStyle name="Comma 4 7 2 2 3 3" xfId="30045" xr:uid="{B28784CE-6C05-4F38-A014-6DBE2985F642}"/>
    <cellStyle name="Comma 4 7 2 2 4" xfId="39344" xr:uid="{13E548C1-8EEE-4321-B823-94BB70670F2C}"/>
    <cellStyle name="Comma 4 7 2 2 5" xfId="20746" xr:uid="{BA751BAC-880E-485C-AACA-AF88346B261C}"/>
    <cellStyle name="Comma 4 7 2 3" xfId="5045" xr:uid="{00000000-0005-0000-0000-00006E0A0000}"/>
    <cellStyle name="Comma 4 7 2 3 2" xfId="14371" xr:uid="{AE265953-17D7-405E-A48C-77C10D239910}"/>
    <cellStyle name="Comma 4 7 2 3 2 2" xfId="50713" xr:uid="{6DD911C1-BCD1-420E-B24E-44E4C082B3F2}"/>
    <cellStyle name="Comma 4 7 2 3 2 3" xfId="32117" xr:uid="{33EAA529-18F0-4FE5-BDBD-52BFAC55B63C}"/>
    <cellStyle name="Comma 4 7 2 3 3" xfId="41416" xr:uid="{65F41ED0-352B-463E-8B6C-6E08519F3357}"/>
    <cellStyle name="Comma 4 7 2 3 4" xfId="22818" xr:uid="{97141FF8-F83F-4DD0-BD86-07F289761FA1}"/>
    <cellStyle name="Comma 4 7 2 4" xfId="9596" xr:uid="{F4A1C070-02C1-4F2A-89F2-15465D9BEBB2}"/>
    <cellStyle name="Comma 4 7 2 4 2" xfId="36646" xr:uid="{7C610119-6892-4C00-993B-F4611112DCCA}"/>
    <cellStyle name="Comma 4 7 2 4 2 2" xfId="55240" xr:uid="{7E1F5B84-CC51-4F93-9B9F-71938D5D759F}"/>
    <cellStyle name="Comma 4 7 2 4 3" xfId="45943" xr:uid="{BB9D456F-522D-43D6-AFE0-96AE62297BBC}"/>
    <cellStyle name="Comma 4 7 2 4 4" xfId="27347" xr:uid="{79523881-2DB0-4539-AE15-62A2B4C9C21D}"/>
    <cellStyle name="Comma 4 7 2 5" xfId="10154" xr:uid="{CB54EB16-FE19-4CB7-A6D7-1B3C0D49375A}"/>
    <cellStyle name="Comma 4 7 2 5 2" xfId="46496" xr:uid="{92323416-F480-475C-B758-191EF4ED9626}"/>
    <cellStyle name="Comma 4 7 2 5 3" xfId="27900" xr:uid="{E3100A03-CBDA-4429-93CC-6AC04DDB5712}"/>
    <cellStyle name="Comma 4 7 2 6" xfId="37199" xr:uid="{F30B3600-8B08-48FA-9A98-019E81CF1A49}"/>
    <cellStyle name="Comma 4 7 2 7" xfId="18601" xr:uid="{A943339D-3E1F-4FD8-919B-720A1903FC4D}"/>
    <cellStyle name="Comma 4 7 3" xfId="1150" xr:uid="{00000000-0005-0000-0000-00006F0A0000}"/>
    <cellStyle name="Comma 4 7 3 2" xfId="3381" xr:uid="{00000000-0005-0000-0000-0000700A0000}"/>
    <cellStyle name="Comma 4 7 3 2 2" xfId="7603" xr:uid="{00000000-0005-0000-0000-0000710A0000}"/>
    <cellStyle name="Comma 4 7 3 2 2 2" xfId="16929" xr:uid="{2ED74002-204B-43CC-8B74-4AC3BC6EEDFB}"/>
    <cellStyle name="Comma 4 7 3 2 2 2 2" xfId="53271" xr:uid="{3E781D4B-BE27-452A-A30B-AE85D7D89FBA}"/>
    <cellStyle name="Comma 4 7 3 2 2 2 3" xfId="34675" xr:uid="{3B2933D4-B10B-49FD-8058-86BED8D92BB2}"/>
    <cellStyle name="Comma 4 7 3 2 2 3" xfId="43974" xr:uid="{47A765FD-216F-4988-BA78-8E81E1C6398A}"/>
    <cellStyle name="Comma 4 7 3 2 2 4" xfId="25376" xr:uid="{975CD40E-57FA-4341-A2B9-301067ACD59A}"/>
    <cellStyle name="Comma 4 7 3 2 3" xfId="12712" xr:uid="{B9628136-4AA5-4C1F-B7B1-B3531EE3F682}"/>
    <cellStyle name="Comma 4 7 3 2 3 2" xfId="49054" xr:uid="{9CBC3B82-DFE5-4D23-9AAD-859841BA25E7}"/>
    <cellStyle name="Comma 4 7 3 2 3 3" xfId="30458" xr:uid="{8D3704E4-6FBD-4C19-8040-D835B3B58318}"/>
    <cellStyle name="Comma 4 7 3 2 4" xfId="39757" xr:uid="{D18213B4-113A-4E80-93DA-B75E9E376D48}"/>
    <cellStyle name="Comma 4 7 3 2 5" xfId="21159" xr:uid="{F193051A-F1DF-4DD3-94FD-1D332664648E}"/>
    <cellStyle name="Comma 4 7 3 3" xfId="5458" xr:uid="{00000000-0005-0000-0000-0000720A0000}"/>
    <cellStyle name="Comma 4 7 3 3 2" xfId="14784" xr:uid="{8D027937-4A45-4E8A-9E54-ACFFA6F93E3A}"/>
    <cellStyle name="Comma 4 7 3 3 2 2" xfId="51126" xr:uid="{449CE57C-DFE5-4443-B15E-207B852781B2}"/>
    <cellStyle name="Comma 4 7 3 3 2 3" xfId="32530" xr:uid="{0B2EE8CF-A12B-4474-AF5B-6AF80BD6A277}"/>
    <cellStyle name="Comma 4 7 3 3 3" xfId="41829" xr:uid="{ECAA70E5-5AF1-4E67-B357-462F3CFD006B}"/>
    <cellStyle name="Comma 4 7 3 3 4" xfId="23231" xr:uid="{96AD65A7-C369-4503-86B2-BF4E1A391D6B}"/>
    <cellStyle name="Comma 4 7 3 4" xfId="10567" xr:uid="{A7AD5E22-FE13-4303-9367-E879C45A082E}"/>
    <cellStyle name="Comma 4 7 3 4 2" xfId="46909" xr:uid="{18578B1E-1955-49AE-9300-2F79B3A4D105}"/>
    <cellStyle name="Comma 4 7 3 4 3" xfId="28313" xr:uid="{C5AC0482-AB62-42C8-8C4E-F1EFD1F49301}"/>
    <cellStyle name="Comma 4 7 3 5" xfId="37612" xr:uid="{338DF7C6-29DC-41C8-B645-5CB006A5DD37}"/>
    <cellStyle name="Comma 4 7 3 6" xfId="19014" xr:uid="{677F84C2-2578-4979-A6F2-2074F0254F13}"/>
    <cellStyle name="Comma 4 7 4" xfId="1564" xr:uid="{00000000-0005-0000-0000-0000730A0000}"/>
    <cellStyle name="Comma 4 7 4 2" xfId="3794" xr:uid="{00000000-0005-0000-0000-0000740A0000}"/>
    <cellStyle name="Comma 4 7 4 2 2" xfId="8016" xr:uid="{00000000-0005-0000-0000-0000750A0000}"/>
    <cellStyle name="Comma 4 7 4 2 2 2" xfId="17342" xr:uid="{7F8191F4-3F93-4B2C-946C-E4313AC6AB37}"/>
    <cellStyle name="Comma 4 7 4 2 2 2 2" xfId="53684" xr:uid="{7354FD53-2198-49A0-B82F-AAE167CA1C34}"/>
    <cellStyle name="Comma 4 7 4 2 2 2 3" xfId="35088" xr:uid="{2BC2E2CD-FE11-43BF-9AF6-4212BA1E2E9E}"/>
    <cellStyle name="Comma 4 7 4 2 2 3" xfId="44387" xr:uid="{9CBCCD41-09B2-4113-875B-B33738E05DDA}"/>
    <cellStyle name="Comma 4 7 4 2 2 4" xfId="25789" xr:uid="{2A602844-6BF4-4D0F-A6A5-093226EEE396}"/>
    <cellStyle name="Comma 4 7 4 2 3" xfId="13125" xr:uid="{30925945-CBDD-435F-9A54-0865303C19B8}"/>
    <cellStyle name="Comma 4 7 4 2 3 2" xfId="49467" xr:uid="{8529EC87-C657-4DC4-99F5-2469C57CF598}"/>
    <cellStyle name="Comma 4 7 4 2 3 3" xfId="30871" xr:uid="{8296A4DC-8101-405C-AF65-543DACFB5C85}"/>
    <cellStyle name="Comma 4 7 4 2 4" xfId="40170" xr:uid="{3184B973-FDB6-4D7A-A5B0-D80D0FA89F41}"/>
    <cellStyle name="Comma 4 7 4 2 5" xfId="21572" xr:uid="{D6B9FDBB-3861-46C7-928B-F3A0AC17ED79}"/>
    <cellStyle name="Comma 4 7 4 3" xfId="5871" xr:uid="{00000000-0005-0000-0000-0000760A0000}"/>
    <cellStyle name="Comma 4 7 4 3 2" xfId="15197" xr:uid="{E9F8E488-BC44-4DCB-9B64-4844CB06588C}"/>
    <cellStyle name="Comma 4 7 4 3 2 2" xfId="51539" xr:uid="{F757ED0C-49F7-495D-B09C-B8982BAF7193}"/>
    <cellStyle name="Comma 4 7 4 3 2 3" xfId="32943" xr:uid="{38B1917D-E9CE-4169-BB76-67EDA1ED4381}"/>
    <cellStyle name="Comma 4 7 4 3 3" xfId="42242" xr:uid="{13C1BE57-FA9F-4368-84AE-F12FACAF6801}"/>
    <cellStyle name="Comma 4 7 4 3 4" xfId="23644" xr:uid="{4BC406FC-7E77-4AD5-A8F9-87FD6F6E3E8F}"/>
    <cellStyle name="Comma 4 7 4 4" xfId="10980" xr:uid="{92F1F9E1-D48D-47E8-81EF-4E8B43F326D1}"/>
    <cellStyle name="Comma 4 7 4 4 2" xfId="47322" xr:uid="{AB204A82-F26F-4520-8576-E4C5C475C655}"/>
    <cellStyle name="Comma 4 7 4 4 3" xfId="28726" xr:uid="{487305A3-14DB-4E75-B6D1-D9553F5F316F}"/>
    <cellStyle name="Comma 4 7 4 5" xfId="38025" xr:uid="{43DBCB1E-E817-4278-AA0A-E60B4541355F}"/>
    <cellStyle name="Comma 4 7 4 6" xfId="19427" xr:uid="{EE602697-0A18-4371-BF7C-22583DE98541}"/>
    <cellStyle name="Comma 4 7 5" xfId="1978" xr:uid="{00000000-0005-0000-0000-0000770A0000}"/>
    <cellStyle name="Comma 4 7 5 2" xfId="4207" xr:uid="{00000000-0005-0000-0000-0000780A0000}"/>
    <cellStyle name="Comma 4 7 5 2 2" xfId="8429" xr:uid="{00000000-0005-0000-0000-0000790A0000}"/>
    <cellStyle name="Comma 4 7 5 2 2 2" xfId="17755" xr:uid="{A578228F-0B42-44E5-877E-936A17180E11}"/>
    <cellStyle name="Comma 4 7 5 2 2 2 2" xfId="54097" xr:uid="{DC86CB0E-9560-4812-9281-35F788053648}"/>
    <cellStyle name="Comma 4 7 5 2 2 2 3" xfId="35501" xr:uid="{EFD4CD37-DBFB-4709-8491-3A0C075DFB7A}"/>
    <cellStyle name="Comma 4 7 5 2 2 3" xfId="44800" xr:uid="{9AA04DE7-04A5-4788-BC49-2A34804F9F86}"/>
    <cellStyle name="Comma 4 7 5 2 2 4" xfId="26202" xr:uid="{EC11776E-FBD0-4096-97FA-349EA160B38F}"/>
    <cellStyle name="Comma 4 7 5 2 3" xfId="13538" xr:uid="{30B7CD39-5C1E-4C5D-BB79-E069621E618F}"/>
    <cellStyle name="Comma 4 7 5 2 3 2" xfId="49880" xr:uid="{C393978B-D755-411A-960F-4C065AE4CAAC}"/>
    <cellStyle name="Comma 4 7 5 2 3 3" xfId="31284" xr:uid="{3C783B70-6963-48CE-ABF2-F4E6A810F87A}"/>
    <cellStyle name="Comma 4 7 5 2 4" xfId="40583" xr:uid="{36E1D893-05B8-4288-B148-FD9359076B53}"/>
    <cellStyle name="Comma 4 7 5 2 5" xfId="21985" xr:uid="{42B05CB6-EE45-4D87-BFDB-1C710D2FB486}"/>
    <cellStyle name="Comma 4 7 5 3" xfId="6284" xr:uid="{00000000-0005-0000-0000-00007A0A0000}"/>
    <cellStyle name="Comma 4 7 5 3 2" xfId="15610" xr:uid="{29031DED-53BD-4065-A08E-221B512AF27C}"/>
    <cellStyle name="Comma 4 7 5 3 2 2" xfId="51952" xr:uid="{0B729A92-F83C-4563-B3AC-C851C21A28A9}"/>
    <cellStyle name="Comma 4 7 5 3 2 3" xfId="33356" xr:uid="{A5823AFE-A4DE-4EC5-8457-DF44D66D11AC}"/>
    <cellStyle name="Comma 4 7 5 3 3" xfId="42655" xr:uid="{471DF36C-55D5-4766-817B-3B0551E53192}"/>
    <cellStyle name="Comma 4 7 5 3 4" xfId="24057" xr:uid="{1652CF70-2893-4F03-95AD-99F22F261E40}"/>
    <cellStyle name="Comma 4 7 5 4" xfId="11393" xr:uid="{A6EF273E-D760-46E7-B6C6-C9A35511AC6F}"/>
    <cellStyle name="Comma 4 7 5 4 2" xfId="47735" xr:uid="{AD5415D5-07E1-4DB3-955C-D43E620188A9}"/>
    <cellStyle name="Comma 4 7 5 4 3" xfId="29139" xr:uid="{B876787E-93C0-49AF-907C-D1A051EF4ED4}"/>
    <cellStyle name="Comma 4 7 5 5" xfId="38438" xr:uid="{8D1798E4-2708-4F40-A763-907DEF558261}"/>
    <cellStyle name="Comma 4 7 5 6" xfId="19840" xr:uid="{A71E459E-0DA3-4D22-9425-F76AF19D8A1E}"/>
    <cellStyle name="Comma 4 7 6" xfId="2413" xr:uid="{00000000-0005-0000-0000-00007B0A0000}"/>
    <cellStyle name="Comma 4 7 6 2" xfId="6697" xr:uid="{00000000-0005-0000-0000-00007C0A0000}"/>
    <cellStyle name="Comma 4 7 6 2 2" xfId="16023" xr:uid="{766A967C-D2D1-4D27-91DF-4D2A9A42E2C3}"/>
    <cellStyle name="Comma 4 7 6 2 2 2" xfId="52365" xr:uid="{DFCA55D6-CE00-46B9-9778-6674DF18869E}"/>
    <cellStyle name="Comma 4 7 6 2 2 3" xfId="33769" xr:uid="{C564B6E7-3223-45A4-A20B-CA808C73222B}"/>
    <cellStyle name="Comma 4 7 6 2 3" xfId="43068" xr:uid="{30903E90-B20A-4B17-A354-AFEA11A1DBAE}"/>
    <cellStyle name="Comma 4 7 6 2 4" xfId="24470" xr:uid="{D6B833A9-3741-4E82-9C4D-98D937803E98}"/>
    <cellStyle name="Comma 4 7 6 3" xfId="11806" xr:uid="{9353ECF7-5D94-4420-8305-ADD94EA71A8E}"/>
    <cellStyle name="Comma 4 7 6 3 2" xfId="48148" xr:uid="{979DF994-1AE6-4323-A850-CD379B7DE50C}"/>
    <cellStyle name="Comma 4 7 6 3 3" xfId="29552" xr:uid="{303BFB15-510F-4DA7-B1CD-DF0C21535694}"/>
    <cellStyle name="Comma 4 7 6 4" xfId="38851" xr:uid="{C6A4E47C-8EA2-496B-A4A3-0452A4800B32}"/>
    <cellStyle name="Comma 4 7 6 5" xfId="20253" xr:uid="{E16B61EC-E498-4BE9-9785-9B26434CB660}"/>
    <cellStyle name="Comma 4 7 7" xfId="2709" xr:uid="{00000000-0005-0000-0000-00007D0A0000}"/>
    <cellStyle name="Comma 4 7 8" xfId="2791" xr:uid="{00000000-0005-0000-0000-00007E0A0000}"/>
    <cellStyle name="Comma 4 7 8 2" xfId="7014" xr:uid="{00000000-0005-0000-0000-00007F0A0000}"/>
    <cellStyle name="Comma 4 7 8 2 2" xfId="16340" xr:uid="{E7A67A25-E2AE-477F-8530-C8DB6E3BBD93}"/>
    <cellStyle name="Comma 4 7 8 2 2 2" xfId="52682" xr:uid="{067F2C90-11A6-4CA0-9138-6358AC0914E3}"/>
    <cellStyle name="Comma 4 7 8 2 2 3" xfId="34086" xr:uid="{EFCEFFF2-15A3-4D7C-8639-C0C29A2DC928}"/>
    <cellStyle name="Comma 4 7 8 2 3" xfId="43385" xr:uid="{188CF4A5-E578-4264-B9E1-4444CA6CFDB8}"/>
    <cellStyle name="Comma 4 7 8 2 4" xfId="24787" xr:uid="{1DA4ABE2-2016-4E71-855A-28A2CD2F11BC}"/>
    <cellStyle name="Comma 4 7 8 3" xfId="12123" xr:uid="{726A0060-F2EA-41BA-A00A-4953464B7500}"/>
    <cellStyle name="Comma 4 7 8 3 2" xfId="48465" xr:uid="{5FF8E304-D3B9-44DF-B18D-1AF39DBE9230}"/>
    <cellStyle name="Comma 4 7 8 3 3" xfId="29869" xr:uid="{7330E205-9B8C-41E5-BDB8-208B99D7EFA9}"/>
    <cellStyle name="Comma 4 7 8 4" xfId="39168" xr:uid="{8D0AE176-5534-4684-8E15-683BEF25429A}"/>
    <cellStyle name="Comma 4 7 8 5" xfId="20570" xr:uid="{1A2A8A10-33C2-4307-A5DE-BC302FC354E3}"/>
    <cellStyle name="Comma 4 7 9" xfId="4631" xr:uid="{00000000-0005-0000-0000-0000800A0000}"/>
    <cellStyle name="Comma 4 7 9 2" xfId="13957" xr:uid="{1B35967F-23AE-46BA-AF48-DF289F54905F}"/>
    <cellStyle name="Comma 4 7 9 2 2" xfId="50299" xr:uid="{4DCCBBF9-F569-427D-8C6A-367695E1F168}"/>
    <cellStyle name="Comma 4 7 9 2 3" xfId="31703" xr:uid="{2558319B-189B-4548-B2D2-011B1772DA19}"/>
    <cellStyle name="Comma 4 7 9 3" xfId="41002" xr:uid="{1285AE7D-C6E3-40FC-AEFF-02A9A73D8AFC}"/>
    <cellStyle name="Comma 4 7 9 4" xfId="22404" xr:uid="{1BC718B2-B72D-41CC-BADC-D39683B696C9}"/>
    <cellStyle name="Comma 4 8" xfId="9193" xr:uid="{D2F7B7D5-1187-4B94-96D8-1D61B28E4E34}"/>
    <cellStyle name="Comma 4 9" xfId="8746" xr:uid="{EB6F8E1D-15EE-4A1C-A7FF-36C2A43F5A26}"/>
    <cellStyle name="Comma 4 9 2" xfId="35816" xr:uid="{E3FFA29A-7612-417A-B006-11123AEE304E}"/>
    <cellStyle name="Comma 4 9 2 2" xfId="54411" xr:uid="{9BC31278-2D1A-4430-A70D-6334E6CCB347}"/>
    <cellStyle name="Comma 4 9 3" xfId="45114" xr:uid="{8A43D06F-05CE-43DF-B898-75BD8A7C3C13}"/>
    <cellStyle name="Comma 4 9 4" xfId="26517" xr:uid="{58E542AD-9693-49EE-9AFE-CD697299B772}"/>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2 2" xfId="36641" xr:uid="{214AB204-F03D-4333-8BDF-05A6631759DD}"/>
    <cellStyle name="Comma 7 2 2 2" xfId="55235" xr:uid="{1281E8B4-FD83-46BE-9A16-441EED74B329}"/>
    <cellStyle name="Comma 7 2 3" xfId="45938" xr:uid="{91F94B6D-97CA-455B-A011-2281C51D171C}"/>
    <cellStyle name="Comma 7 2 4" xfId="27342" xr:uid="{6B449A80-F7B0-4D79-9D0D-C421F38098C6}"/>
    <cellStyle name="Comma 7 3" xfId="9589" xr:uid="{E5FB568C-33F4-49EE-BE6E-4022B43BCBB9}"/>
    <cellStyle name="Comma 7 4" xfId="13825" xr:uid="{407C59EB-C24C-4963-886C-7F3ED86140F0}"/>
    <cellStyle name="Comma 7 4 2" xfId="50167" xr:uid="{FF7DFDC7-9065-4CE4-A48B-B2E5731DABC6}"/>
    <cellStyle name="Comma 7 4 3" xfId="31571" xr:uid="{66EBA113-B803-41DA-ABF0-BAD7DC73D632}"/>
    <cellStyle name="Comma 7 5" xfId="40870" xr:uid="{33A9FC69-B598-40E7-AFC4-5D228A8203DB}"/>
    <cellStyle name="Comma 7 6" xfId="22272" xr:uid="{4D5CC0BF-29DE-498F-801B-ED500E5ABB5A}"/>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18042" xr:uid="{1DC55E55-E182-4A03-8B43-E7AE729E6D66}"/>
    <cellStyle name="Currency 14 2 2 2" xfId="54384" xr:uid="{AA3CEECE-F4DF-470C-8D0C-43D0806FC956}"/>
    <cellStyle name="Currency 14 2 2 3" xfId="35788" xr:uid="{F774EA3F-2D20-4A42-8688-F366DDB0A64D}"/>
    <cellStyle name="Currency 14 2 3" xfId="45087" xr:uid="{90FC160F-D9B3-4A5F-851F-C998FDE897B8}"/>
    <cellStyle name="Currency 14 2 4" xfId="26489" xr:uid="{5E10D600-F523-4769-B76A-7133EB889C6E}"/>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14 3 2 2 2 2 2 2" xfId="35807" xr:uid="{A10E9276-DE83-4CD0-A9A2-B9D6F946E76E}"/>
    <cellStyle name="Currency 14 3 2 2 2 2 2 2 2" xfId="54403" xr:uid="{E02F00DB-7AE1-42F1-B6F8-9E6B83DB5D24}"/>
    <cellStyle name="Currency 14 3 2 2 2 2 2 3" xfId="45106" xr:uid="{735C020C-0402-44B7-B4D7-19F5A6814E34}"/>
    <cellStyle name="Currency 14 3 2 2 2 2 2 4" xfId="26508" xr:uid="{C1C00930-8CBB-4CBA-9497-DB916D603567}"/>
    <cellStyle name="Currency 14 3 2 2 2 2 3" xfId="18058" xr:uid="{E05325E9-32E6-4940-932A-E7C341A3A7E6}"/>
    <cellStyle name="Currency 14 3 2 2 2 2 3 2" xfId="54400" xr:uid="{E737B280-8DF5-4733-87D8-BAA83A04AB3E}"/>
    <cellStyle name="Currency 14 3 2 2 2 2 3 3" xfId="35804" xr:uid="{4B76D485-70BD-4D88-8FC7-72A71929F9F7}"/>
    <cellStyle name="Currency 14 3 2 2 2 2 4" xfId="45103" xr:uid="{4959966A-1F62-49EB-AEC4-16A63ABF82E8}"/>
    <cellStyle name="Currency 14 3 2 2 2 2 5" xfId="26505" xr:uid="{4EB7AF93-EEDF-4220-A589-C316F8E4FAE3}"/>
    <cellStyle name="Currency 14 3 2 2 2 3" xfId="18055" xr:uid="{E53C9B1D-7FC3-474C-AFBA-34B99BB1EE36}"/>
    <cellStyle name="Currency 14 3 2 2 2 3 2" xfId="54397" xr:uid="{15912F73-09A7-4CA2-9B57-2EC11F1F182B}"/>
    <cellStyle name="Currency 14 3 2 2 2 3 3" xfId="35801" xr:uid="{ABE53B76-A15B-4CD9-871E-2C1648F698CD}"/>
    <cellStyle name="Currency 14 3 2 2 2 4" xfId="45100" xr:uid="{DE97DEEE-B82A-4A9D-9223-D3D0EA797448}"/>
    <cellStyle name="Currency 14 3 2 2 2 5" xfId="26502" xr:uid="{FF0B60F6-3D29-413B-92ED-EA799BC1540B}"/>
    <cellStyle name="Currency 14 3 2 2 3" xfId="18051" xr:uid="{27597FE4-098D-4AED-9E9D-7F27B579B6C0}"/>
    <cellStyle name="Currency 14 3 2 2 3 2" xfId="54393" xr:uid="{9D6126D2-A63E-4928-BD5C-5C5E6090B758}"/>
    <cellStyle name="Currency 14 3 2 2 3 3" xfId="35797" xr:uid="{1DFC0019-2BFA-45D8-8E98-BAD4A0D9CA53}"/>
    <cellStyle name="Currency 14 3 2 2 4" xfId="45096" xr:uid="{A71E4258-D869-4A12-ACED-DE0F0F676A9D}"/>
    <cellStyle name="Currency 14 3 2 2 5" xfId="26498" xr:uid="{533882B5-13D8-436E-9037-92A9ED5FA7D7}"/>
    <cellStyle name="Currency 14 3 2 3" xfId="18048" xr:uid="{E5DDFF04-B7B9-4ACD-B01B-3F54CA0FA9B5}"/>
    <cellStyle name="Currency 14 3 2 3 2" xfId="54390" xr:uid="{855DEDE9-BFAC-4F0F-8956-1086DF879153}"/>
    <cellStyle name="Currency 14 3 2 3 3" xfId="35794" xr:uid="{FD21EEB4-B2FA-4529-93F4-B902A328B5AD}"/>
    <cellStyle name="Currency 14 3 2 4" xfId="45093" xr:uid="{D199029D-3335-4A3B-83BD-47D7018AB151}"/>
    <cellStyle name="Currency 14 3 2 5" xfId="26495" xr:uid="{6658909A-82BE-4E28-9283-BC31EED83B67}"/>
    <cellStyle name="Currency 14 3 3" xfId="18045" xr:uid="{5CBD870C-5CD8-4E4B-9709-1A94AD2E93D9}"/>
    <cellStyle name="Currency 14 3 3 2" xfId="54387" xr:uid="{1E61C366-D758-4129-BAEE-70D57698099B}"/>
    <cellStyle name="Currency 14 3 3 3" xfId="35791" xr:uid="{F2661C14-F452-4A83-835F-919779271B47}"/>
    <cellStyle name="Currency 14 3 4" xfId="45090" xr:uid="{9BD73770-C2A2-4EC0-A095-F314D99493C8}"/>
    <cellStyle name="Currency 14 3 5" xfId="26492" xr:uid="{82A711F5-E963-4509-8C69-599DE16147D0}"/>
    <cellStyle name="Currency 14 4" xfId="13828" xr:uid="{44620A5F-7FF6-4DAE-901D-4F794F0EFD9A}"/>
    <cellStyle name="Currency 14 4 2" xfId="50170" xr:uid="{FA70C630-3095-4134-A61B-A72180E905A9}"/>
    <cellStyle name="Currency 14 4 3" xfId="31574" xr:uid="{B1E9BEC4-1739-4D5F-B5FB-EA1A51E9C397}"/>
    <cellStyle name="Currency 14 5" xfId="40873" xr:uid="{2DAB0C24-CCF3-47C7-AA5C-B88857CEC933}"/>
    <cellStyle name="Currency 14 6" xfId="22275" xr:uid="{64E5A96F-9F41-417E-BEF5-1EE4A6EEFE8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16341" xr:uid="{25622DBF-D75C-4227-9C4C-AEF7B117A0EC}"/>
    <cellStyle name="Currency 3 2 2 10 2 2 2" xfId="52683" xr:uid="{A2AFCA4A-EDE6-47D2-A57A-D779D90EC313}"/>
    <cellStyle name="Currency 3 2 2 10 2 2 3" xfId="34087" xr:uid="{E93183D8-17FA-41F9-88E8-9D343181D9A5}"/>
    <cellStyle name="Currency 3 2 2 10 2 3" xfId="43386" xr:uid="{3970684C-64A6-4F8D-AACB-32722E59A646}"/>
    <cellStyle name="Currency 3 2 2 10 2 4" xfId="24788" xr:uid="{9D2CEA17-16F1-433E-8498-2608AFD1BED7}"/>
    <cellStyle name="Currency 3 2 2 10 3" xfId="12124" xr:uid="{2C4457FF-26F1-48F3-918D-6A58341D0FF4}"/>
    <cellStyle name="Currency 3 2 2 10 3 2" xfId="48466" xr:uid="{2BC7A0E4-4E3A-4002-B690-4455493342FB}"/>
    <cellStyle name="Currency 3 2 2 10 3 3" xfId="29870" xr:uid="{5584C73E-AFEE-4F9D-8AA2-A88901322C7C}"/>
    <cellStyle name="Currency 3 2 2 10 4" xfId="39169" xr:uid="{47FB8CB8-8208-42E1-B840-A79CA22D72CB}"/>
    <cellStyle name="Currency 3 2 2 10 5" xfId="20571" xr:uid="{F4F3380D-9648-4709-ADFA-B1F9CD4DB302}"/>
    <cellStyle name="Currency 3 2 2 11" xfId="4632" xr:uid="{00000000-0005-0000-0000-0000A50A0000}"/>
    <cellStyle name="Currency 3 2 2 11 2" xfId="13958" xr:uid="{E324897D-04C9-4B3C-B5B8-326098BBF477}"/>
    <cellStyle name="Currency 3 2 2 11 2 2" xfId="50300" xr:uid="{BDAC63AB-2BA0-4F62-8DC9-E39D4E7534DB}"/>
    <cellStyle name="Currency 3 2 2 11 2 3" xfId="31704" xr:uid="{9BF724EC-049C-449B-9709-EA395285A233}"/>
    <cellStyle name="Currency 3 2 2 11 3" xfId="41003" xr:uid="{8D14747E-50CF-4703-9D23-287E904E5690}"/>
    <cellStyle name="Currency 3 2 2 11 4" xfId="22405" xr:uid="{7263774D-1AE4-4130-B0C6-A02D617CDDF8}"/>
    <cellStyle name="Currency 3 2 2 12" xfId="8808" xr:uid="{5CD24693-181E-456A-9199-DC057509AC96}"/>
    <cellStyle name="Currency 3 2 2 12 2" xfId="35878" xr:uid="{2240F013-DFCE-468A-ACBB-24B08A5E4924}"/>
    <cellStyle name="Currency 3 2 2 12 2 2" xfId="54473" xr:uid="{D8794D25-D790-4DE5-957A-858C30D06637}"/>
    <cellStyle name="Currency 3 2 2 12 3" xfId="45176" xr:uid="{BF584BAC-BBE2-4C6B-97B0-EB22B48185A6}"/>
    <cellStyle name="Currency 3 2 2 12 4" xfId="26579" xr:uid="{04A34C83-22A7-48F7-944E-AD220712FDDA}"/>
    <cellStyle name="Currency 3 2 2 13" xfId="9741" xr:uid="{1D51802D-5CD3-40F4-A7C1-C23AD552E728}"/>
    <cellStyle name="Currency 3 2 2 13 2" xfId="46083" xr:uid="{046B84E6-90F5-483A-90E4-DBB53872F6CA}"/>
    <cellStyle name="Currency 3 2 2 13 3" xfId="27487" xr:uid="{B0201F52-883C-478B-9F8E-B5ADD03081DE}"/>
    <cellStyle name="Currency 3 2 2 14" xfId="36786" xr:uid="{E414D1CB-C0EE-4369-8747-484C8DBE58DE}"/>
    <cellStyle name="Currency 3 2 2 15" xfId="18188" xr:uid="{ECAEE605-B15B-4A27-B972-9296A65ECFE2}"/>
    <cellStyle name="Currency 3 2 2 2" xfId="179" xr:uid="{00000000-0005-0000-0000-0000A60A0000}"/>
    <cellStyle name="Currency 3 2 2 2 10" xfId="4633" xr:uid="{00000000-0005-0000-0000-0000A70A0000}"/>
    <cellStyle name="Currency 3 2 2 2 10 2" xfId="13959" xr:uid="{A52FE7BB-38D9-48F8-82D6-D40B94DE80FA}"/>
    <cellStyle name="Currency 3 2 2 2 10 2 2" xfId="50301" xr:uid="{64C14F0E-F947-4477-AA71-4B76AC4A1EB4}"/>
    <cellStyle name="Currency 3 2 2 2 10 2 3" xfId="31705" xr:uid="{7C56021A-1A0E-4D7F-80DF-0016451BEA50}"/>
    <cellStyle name="Currency 3 2 2 2 10 3" xfId="41004" xr:uid="{2BD7BFC6-4EAE-4C59-81D3-9C62B1519F3A}"/>
    <cellStyle name="Currency 3 2 2 2 10 4" xfId="22406" xr:uid="{E86DDFEE-EDF1-4942-87DF-A82D78126290}"/>
    <cellStyle name="Currency 3 2 2 2 11" xfId="8911" xr:uid="{177A45F7-B130-49DA-829A-AA3BF41B848C}"/>
    <cellStyle name="Currency 3 2 2 2 11 2" xfId="35981" xr:uid="{0CC558C1-81D7-4569-B170-76AEF8AFE671}"/>
    <cellStyle name="Currency 3 2 2 2 11 2 2" xfId="54576" xr:uid="{2D6AE2F8-7F2A-4C19-8B80-37FAAD54C969}"/>
    <cellStyle name="Currency 3 2 2 2 11 3" xfId="45279" xr:uid="{FE6CF9E8-C960-46BD-9D45-86BC5F4A907F}"/>
    <cellStyle name="Currency 3 2 2 2 11 4" xfId="26682" xr:uid="{A104D871-B8EB-4EEA-AC5C-F73A0E149828}"/>
    <cellStyle name="Currency 3 2 2 2 12" xfId="9742" xr:uid="{BE495077-42FC-49B9-AF9A-2161D5761022}"/>
    <cellStyle name="Currency 3 2 2 2 12 2" xfId="46084" xr:uid="{CE585C40-AB81-4ED6-8C55-179E57A43874}"/>
    <cellStyle name="Currency 3 2 2 2 12 3" xfId="27488" xr:uid="{672B06A4-B775-44F6-B920-CD9E3CFB79C1}"/>
    <cellStyle name="Currency 3 2 2 2 13" xfId="36787" xr:uid="{48CB90AE-2CE9-4276-AB8C-A17C9AA2218B}"/>
    <cellStyle name="Currency 3 2 2 2 14" xfId="18189" xr:uid="{CA720E7E-A3AF-4111-8965-8F02D1F7227B}"/>
    <cellStyle name="Currency 3 2 2 2 2" xfId="180" xr:uid="{00000000-0005-0000-0000-0000A80A0000}"/>
    <cellStyle name="Currency 3 2 2 2 2 10" xfId="9118" xr:uid="{4DDBDF88-B997-49F5-AF34-322CC93508E5}"/>
    <cellStyle name="Currency 3 2 2 2 2 10 2" xfId="36188" xr:uid="{9DB7FB62-B868-48E5-A074-C4BF621375AB}"/>
    <cellStyle name="Currency 3 2 2 2 2 10 2 2" xfId="54783" xr:uid="{148F9EE6-8A5C-4850-83B5-BD7EB219D816}"/>
    <cellStyle name="Currency 3 2 2 2 2 10 3" xfId="45486" xr:uid="{913D6348-32BA-4CE0-BF49-E9ADD4A0D5D4}"/>
    <cellStyle name="Currency 3 2 2 2 2 10 4" xfId="26889" xr:uid="{D33EA87C-9E0B-4453-9E0E-2A68C0F5006C}"/>
    <cellStyle name="Currency 3 2 2 2 2 11" xfId="9743" xr:uid="{CFD1E5A7-9139-4EC4-8DFF-EA5B283EC8A9}"/>
    <cellStyle name="Currency 3 2 2 2 2 11 2" xfId="46085" xr:uid="{224A7C82-BBE6-4875-A49E-FEDDD7EF690A}"/>
    <cellStyle name="Currency 3 2 2 2 2 11 3" xfId="27489" xr:uid="{26F6FD3A-44A4-4F0B-B63A-DA66EDC414B6}"/>
    <cellStyle name="Currency 3 2 2 2 2 12" xfId="36788" xr:uid="{5C8ECCFD-61AD-4DF1-9FDC-9065E688A877}"/>
    <cellStyle name="Currency 3 2 2 2 2 13" xfId="18190" xr:uid="{76054C9B-BC48-4872-8A26-4E385BCB089E}"/>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16519" xr:uid="{733436EA-E0C4-4519-9217-73F797BC5341}"/>
    <cellStyle name="Currency 3 2 2 2 2 2 2 2 2 2" xfId="52861" xr:uid="{C709244C-3AD7-4915-854D-814192E6C144}"/>
    <cellStyle name="Currency 3 2 2 2 2 2 2 2 2 3" xfId="34265" xr:uid="{B821764D-AE00-4BA4-B583-908BBF31B997}"/>
    <cellStyle name="Currency 3 2 2 2 2 2 2 2 3" xfId="43564" xr:uid="{659DA3D4-015F-41F7-AC5A-84813CF1BD2F}"/>
    <cellStyle name="Currency 3 2 2 2 2 2 2 2 4" xfId="24966" xr:uid="{A3E9B5D5-6803-4652-932C-1D6B89AE4968}"/>
    <cellStyle name="Currency 3 2 2 2 2 2 2 3" xfId="12302" xr:uid="{B537E47E-17DC-46E6-AB4A-66E578C507C8}"/>
    <cellStyle name="Currency 3 2 2 2 2 2 2 3 2" xfId="48644" xr:uid="{E7FAE94F-2862-44D5-B4B8-5E8E7171C864}"/>
    <cellStyle name="Currency 3 2 2 2 2 2 2 3 3" xfId="30048" xr:uid="{FB492697-331B-4F43-9D72-1A380489108C}"/>
    <cellStyle name="Currency 3 2 2 2 2 2 2 4" xfId="39347" xr:uid="{01EB4189-0166-4AE2-8A6B-03905E9033CE}"/>
    <cellStyle name="Currency 3 2 2 2 2 2 2 5" xfId="20749" xr:uid="{54C208BE-7A02-411D-8635-AD7E38A77133}"/>
    <cellStyle name="Currency 3 2 2 2 2 2 3" xfId="5048" xr:uid="{00000000-0005-0000-0000-0000AC0A0000}"/>
    <cellStyle name="Currency 3 2 2 2 2 2 3 2" xfId="14374" xr:uid="{A572F638-485E-48BB-AF21-316010E2D9C5}"/>
    <cellStyle name="Currency 3 2 2 2 2 2 3 2 2" xfId="50716" xr:uid="{67B338AD-81BC-4F24-A891-E74A52C0218C}"/>
    <cellStyle name="Currency 3 2 2 2 2 2 3 2 3" xfId="32120" xr:uid="{3E82F86A-C368-4ED2-905F-3E26D4D01EF1}"/>
    <cellStyle name="Currency 3 2 2 2 2 2 3 3" xfId="41419" xr:uid="{1ADB5EE9-7283-4430-B5C5-AEA9A3AD7759}"/>
    <cellStyle name="Currency 3 2 2 2 2 2 3 4" xfId="22821" xr:uid="{B06FD812-9BA6-49F8-9F23-B07AB66F338F}"/>
    <cellStyle name="Currency 3 2 2 2 2 2 4" xfId="9543" xr:uid="{08990697-BAC1-4B06-A86B-C554A35267E6}"/>
    <cellStyle name="Currency 3 2 2 2 2 2 4 2" xfId="36604" xr:uid="{E0BA5043-BC48-42FE-8BB4-4E89F995FBF5}"/>
    <cellStyle name="Currency 3 2 2 2 2 2 4 2 2" xfId="55198" xr:uid="{B6F2F87B-CF4F-4299-999E-9985F9E93BF7}"/>
    <cellStyle name="Currency 3 2 2 2 2 2 4 3" xfId="45901" xr:uid="{0CA4C36A-F6E2-4BB3-BE91-622E4C6C6874}"/>
    <cellStyle name="Currency 3 2 2 2 2 2 4 4" xfId="27305" xr:uid="{B1F93578-3587-4F13-852E-68DD0B3DD896}"/>
    <cellStyle name="Currency 3 2 2 2 2 2 5" xfId="10157" xr:uid="{EDCBFCAB-F89D-4583-92A5-8549D3B383F7}"/>
    <cellStyle name="Currency 3 2 2 2 2 2 5 2" xfId="46499" xr:uid="{EEA12E49-3C71-4AC6-947C-65BD0EAC2C81}"/>
    <cellStyle name="Currency 3 2 2 2 2 2 5 3" xfId="27903" xr:uid="{1521070E-0C86-4CFC-99E9-C07820B1AA13}"/>
    <cellStyle name="Currency 3 2 2 2 2 2 6" xfId="37202" xr:uid="{F29A6520-6434-4A60-B745-EFA24518A33A}"/>
    <cellStyle name="Currency 3 2 2 2 2 2 7" xfId="18604" xr:uid="{42375613-CC3E-408E-90ED-AC7E063C732F}"/>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16932" xr:uid="{C896EEAE-9F5E-428A-9FAD-90CB0448F759}"/>
    <cellStyle name="Currency 3 2 2 2 2 3 2 2 2 2" xfId="53274" xr:uid="{C218ECF8-3CFC-4D73-A291-285197012FB9}"/>
    <cellStyle name="Currency 3 2 2 2 2 3 2 2 2 3" xfId="34678" xr:uid="{E49FF939-EAD3-442C-8372-547268F1C92B}"/>
    <cellStyle name="Currency 3 2 2 2 2 3 2 2 3" xfId="43977" xr:uid="{7A31FE7F-405B-4366-BFC4-8C6314C1559C}"/>
    <cellStyle name="Currency 3 2 2 2 2 3 2 2 4" xfId="25379" xr:uid="{4CB2BBFD-A6FB-4FB4-AAFC-CC11555BFFB5}"/>
    <cellStyle name="Currency 3 2 2 2 2 3 2 3" xfId="12715" xr:uid="{1C002448-937F-4549-8F17-BA2AF2D8013D}"/>
    <cellStyle name="Currency 3 2 2 2 2 3 2 3 2" xfId="49057" xr:uid="{4DA7F7EE-5525-48FF-A7AB-ED99CDB151A6}"/>
    <cellStyle name="Currency 3 2 2 2 2 3 2 3 3" xfId="30461" xr:uid="{65B7F4EE-7280-4352-9DAF-C0D3D83F4485}"/>
    <cellStyle name="Currency 3 2 2 2 2 3 2 4" xfId="39760" xr:uid="{87317143-3612-4EA3-8AC4-40AAC1A3A623}"/>
    <cellStyle name="Currency 3 2 2 2 2 3 2 5" xfId="21162" xr:uid="{AFEAFA07-C941-42C7-A6E0-3D8A9BDA55D9}"/>
    <cellStyle name="Currency 3 2 2 2 2 3 3" xfId="5461" xr:uid="{00000000-0005-0000-0000-0000B00A0000}"/>
    <cellStyle name="Currency 3 2 2 2 2 3 3 2" xfId="14787" xr:uid="{14DDD567-0D63-4DEC-971C-8676EC437722}"/>
    <cellStyle name="Currency 3 2 2 2 2 3 3 2 2" xfId="51129" xr:uid="{F0512B24-F726-48CC-9FD9-5F1F80581743}"/>
    <cellStyle name="Currency 3 2 2 2 2 3 3 2 3" xfId="32533" xr:uid="{E0B0CD62-267F-4950-83E2-0E9C0556226A}"/>
    <cellStyle name="Currency 3 2 2 2 2 3 3 3" xfId="41832" xr:uid="{1C8264B7-6B5B-450E-9DE2-7E6ACA056E75}"/>
    <cellStyle name="Currency 3 2 2 2 2 3 3 4" xfId="23234" xr:uid="{91F846B5-6EF3-442D-B445-5180C59C0AF6}"/>
    <cellStyle name="Currency 3 2 2 2 2 3 4" xfId="10570" xr:uid="{29A86AFD-AA7F-4B86-8FC1-BBF8A7B59BB5}"/>
    <cellStyle name="Currency 3 2 2 2 2 3 4 2" xfId="46912" xr:uid="{93CFC723-5932-49B2-B5E9-34F05F07D0ED}"/>
    <cellStyle name="Currency 3 2 2 2 2 3 4 3" xfId="28316" xr:uid="{12AF14DC-D7E7-430D-ABCF-49318DC5D8C0}"/>
    <cellStyle name="Currency 3 2 2 2 2 3 5" xfId="37615" xr:uid="{0424C645-B0B8-4708-ADB4-E3D8CFFD3F87}"/>
    <cellStyle name="Currency 3 2 2 2 2 3 6" xfId="19017" xr:uid="{B894E8DA-BED7-4D65-8482-66DE083A4CB8}"/>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17345" xr:uid="{67C4CFDD-9EA2-465D-A2E1-5BC5A5E3F915}"/>
    <cellStyle name="Currency 3 2 2 2 2 4 2 2 2 2" xfId="53687" xr:uid="{BCF620D9-D384-454E-819E-A27409550114}"/>
    <cellStyle name="Currency 3 2 2 2 2 4 2 2 2 3" xfId="35091" xr:uid="{60C89B9D-BC9F-4F04-AD2B-1F2D68565BDF}"/>
    <cellStyle name="Currency 3 2 2 2 2 4 2 2 3" xfId="44390" xr:uid="{4657574C-D8D4-40A4-BD35-04DE4957A922}"/>
    <cellStyle name="Currency 3 2 2 2 2 4 2 2 4" xfId="25792" xr:uid="{0F9F6E71-0085-450C-9C19-13650B90713F}"/>
    <cellStyle name="Currency 3 2 2 2 2 4 2 3" xfId="13128" xr:uid="{31C8DAC6-8B49-4331-811C-3CB890DE4A23}"/>
    <cellStyle name="Currency 3 2 2 2 2 4 2 3 2" xfId="49470" xr:uid="{576FD43A-8F57-4E11-8786-7DC0353C128D}"/>
    <cellStyle name="Currency 3 2 2 2 2 4 2 3 3" xfId="30874" xr:uid="{7CD13893-BB8B-4424-9DA6-D524A06F3BE7}"/>
    <cellStyle name="Currency 3 2 2 2 2 4 2 4" xfId="40173" xr:uid="{0FE7E26A-FB25-4D90-BF55-D4428B457B90}"/>
    <cellStyle name="Currency 3 2 2 2 2 4 2 5" xfId="21575" xr:uid="{329DB448-DAC5-4F3E-AD4F-9B1DD4FEBA1F}"/>
    <cellStyle name="Currency 3 2 2 2 2 4 3" xfId="5874" xr:uid="{00000000-0005-0000-0000-0000B40A0000}"/>
    <cellStyle name="Currency 3 2 2 2 2 4 3 2" xfId="15200" xr:uid="{A0109F10-41C4-4DC0-BC33-0174C1C46F83}"/>
    <cellStyle name="Currency 3 2 2 2 2 4 3 2 2" xfId="51542" xr:uid="{C194346F-4C36-4CAB-AA3B-6755041E98AA}"/>
    <cellStyle name="Currency 3 2 2 2 2 4 3 2 3" xfId="32946" xr:uid="{7AFE12C4-C8F6-4F35-81DC-9CAA91DBAB54}"/>
    <cellStyle name="Currency 3 2 2 2 2 4 3 3" xfId="42245" xr:uid="{DB53E4D7-8F85-490A-94C4-9A82D6E851BE}"/>
    <cellStyle name="Currency 3 2 2 2 2 4 3 4" xfId="23647" xr:uid="{A85AA73D-00E9-4BF2-A412-42D7A30F440D}"/>
    <cellStyle name="Currency 3 2 2 2 2 4 4" xfId="10983" xr:uid="{BF712656-EB54-4533-844C-1AF662526C27}"/>
    <cellStyle name="Currency 3 2 2 2 2 4 4 2" xfId="47325" xr:uid="{0BA71BD5-CFF1-4EA9-8723-DE4180131DF7}"/>
    <cellStyle name="Currency 3 2 2 2 2 4 4 3" xfId="28729" xr:uid="{EA8FF6A9-BDD9-481D-B31D-8C6F25CAAFF3}"/>
    <cellStyle name="Currency 3 2 2 2 2 4 5" xfId="38028" xr:uid="{9BFCB8E6-B199-46DC-A138-3559BF4404BF}"/>
    <cellStyle name="Currency 3 2 2 2 2 4 6" xfId="19430" xr:uid="{4EC5014D-4711-4D6A-A8BA-BD4DDEED22C4}"/>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17758" xr:uid="{B8116210-C49A-4408-B269-3E3BE61EC2E5}"/>
    <cellStyle name="Currency 3 2 2 2 2 5 2 2 2 2" xfId="54100" xr:uid="{E7CEDBAF-363C-4767-B261-26A36A51AE2F}"/>
    <cellStyle name="Currency 3 2 2 2 2 5 2 2 2 3" xfId="35504" xr:uid="{FF8D20C1-C9AA-4437-99AD-626622F72E77}"/>
    <cellStyle name="Currency 3 2 2 2 2 5 2 2 3" xfId="44803" xr:uid="{2DD2D8FE-F369-48A0-A0BC-AA2EE0BFFE8C}"/>
    <cellStyle name="Currency 3 2 2 2 2 5 2 2 4" xfId="26205" xr:uid="{B3F1C3A4-7966-4451-9956-A2281CA2A258}"/>
    <cellStyle name="Currency 3 2 2 2 2 5 2 3" xfId="13541" xr:uid="{78753D00-02D8-41C7-90F9-02526624D49D}"/>
    <cellStyle name="Currency 3 2 2 2 2 5 2 3 2" xfId="49883" xr:uid="{3E848C9A-BB12-479E-87C2-14B58D647FC7}"/>
    <cellStyle name="Currency 3 2 2 2 2 5 2 3 3" xfId="31287" xr:uid="{0E467C34-FB5E-4A9A-B894-F335520990DA}"/>
    <cellStyle name="Currency 3 2 2 2 2 5 2 4" xfId="40586" xr:uid="{AA6FDBB0-A473-44BC-990A-53155C898AF1}"/>
    <cellStyle name="Currency 3 2 2 2 2 5 2 5" xfId="21988" xr:uid="{AB8940AD-96A9-43AC-8CA3-EEF3514C3070}"/>
    <cellStyle name="Currency 3 2 2 2 2 5 3" xfId="6287" xr:uid="{00000000-0005-0000-0000-0000B80A0000}"/>
    <cellStyle name="Currency 3 2 2 2 2 5 3 2" xfId="15613" xr:uid="{AE0B11C3-B0F4-4866-9A8B-B954809696A3}"/>
    <cellStyle name="Currency 3 2 2 2 2 5 3 2 2" xfId="51955" xr:uid="{89AC647C-72D7-417E-819A-1C8C970B9C11}"/>
    <cellStyle name="Currency 3 2 2 2 2 5 3 2 3" xfId="33359" xr:uid="{E7358A4B-0EB2-4C5B-9764-D8F78A74E00F}"/>
    <cellStyle name="Currency 3 2 2 2 2 5 3 3" xfId="42658" xr:uid="{A6126251-40F6-424A-B7DD-7228E77DCABC}"/>
    <cellStyle name="Currency 3 2 2 2 2 5 3 4" xfId="24060" xr:uid="{A3F87A19-C570-4D61-A420-35D8F6816231}"/>
    <cellStyle name="Currency 3 2 2 2 2 5 4" xfId="11396" xr:uid="{289333D8-512A-4DDF-A9FF-903F8A399FC9}"/>
    <cellStyle name="Currency 3 2 2 2 2 5 4 2" xfId="47738" xr:uid="{051435F6-F03C-4411-A92E-220D029D8266}"/>
    <cellStyle name="Currency 3 2 2 2 2 5 4 3" xfId="29142" xr:uid="{1DFE1A7B-C6C0-4356-87AB-52932834F524}"/>
    <cellStyle name="Currency 3 2 2 2 2 5 5" xfId="38441" xr:uid="{0DF160B9-D4FF-432F-BCE0-BF6AD2DBDC32}"/>
    <cellStyle name="Currency 3 2 2 2 2 5 6" xfId="19843" xr:uid="{4050B47D-B60C-42E0-AC3A-F59C7B71F9AE}"/>
    <cellStyle name="Currency 3 2 2 2 2 6" xfId="2416" xr:uid="{00000000-0005-0000-0000-0000B90A0000}"/>
    <cellStyle name="Currency 3 2 2 2 2 6 2" xfId="6700" xr:uid="{00000000-0005-0000-0000-0000BA0A0000}"/>
    <cellStyle name="Currency 3 2 2 2 2 6 2 2" xfId="16026" xr:uid="{D8E88A9F-502C-4828-A5BB-B0FD1E1CD3EF}"/>
    <cellStyle name="Currency 3 2 2 2 2 6 2 2 2" xfId="52368" xr:uid="{65D70338-44A9-4030-A377-6EE2205A6A2D}"/>
    <cellStyle name="Currency 3 2 2 2 2 6 2 2 3" xfId="33772" xr:uid="{2BD02073-1E0E-4010-9AAC-9E9F97536DE0}"/>
    <cellStyle name="Currency 3 2 2 2 2 6 2 3" xfId="43071" xr:uid="{0D27C309-DDC9-46DA-9D5B-07A73F75981B}"/>
    <cellStyle name="Currency 3 2 2 2 2 6 2 4" xfId="24473" xr:uid="{FF59EE27-380A-4BB1-A9B0-AC962362B35C}"/>
    <cellStyle name="Currency 3 2 2 2 2 6 3" xfId="11809" xr:uid="{2335A6D1-467D-4C04-AB28-EFD018E5ED2C}"/>
    <cellStyle name="Currency 3 2 2 2 2 6 3 2" xfId="48151" xr:uid="{AD156553-365A-4230-A614-0584A687F327}"/>
    <cellStyle name="Currency 3 2 2 2 2 6 3 3" xfId="29555" xr:uid="{F500048F-F739-405E-8BBC-426BFAB5C197}"/>
    <cellStyle name="Currency 3 2 2 2 2 6 4" xfId="38854" xr:uid="{798944D9-A1C3-4167-8C11-5C5BD24E5A19}"/>
    <cellStyle name="Currency 3 2 2 2 2 6 5" xfId="20256" xr:uid="{8AE0D3AE-B057-46E9-85EE-8B7DCC20767A}"/>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16343" xr:uid="{9500A116-347D-4DDD-91D7-6E7524C4EADE}"/>
    <cellStyle name="Currency 3 2 2 2 2 8 2 2 2" xfId="52685" xr:uid="{017596D7-4E04-4D24-908C-9ACE619B53E4}"/>
    <cellStyle name="Currency 3 2 2 2 2 8 2 2 3" xfId="34089" xr:uid="{9F787EB1-A792-48BF-8203-C8277B2934DC}"/>
    <cellStyle name="Currency 3 2 2 2 2 8 2 3" xfId="43388" xr:uid="{20391E16-DC5D-451F-B1CC-9DF83D5B6B68}"/>
    <cellStyle name="Currency 3 2 2 2 2 8 2 4" xfId="24790" xr:uid="{FFFE9E3C-B50F-4AA0-BC95-0CA477B8461F}"/>
    <cellStyle name="Currency 3 2 2 2 2 8 3" xfId="12126" xr:uid="{540D981A-5974-4F6E-8359-3F9CF1AF199D}"/>
    <cellStyle name="Currency 3 2 2 2 2 8 3 2" xfId="48468" xr:uid="{D5A6A2A9-C793-4FC0-A4BC-3612ACACFA38}"/>
    <cellStyle name="Currency 3 2 2 2 2 8 3 3" xfId="29872" xr:uid="{A05D487A-4D86-4741-ADBB-9D8D4256072E}"/>
    <cellStyle name="Currency 3 2 2 2 2 8 4" xfId="39171" xr:uid="{D4B966B8-662E-463E-9135-63A4F11B7B3F}"/>
    <cellStyle name="Currency 3 2 2 2 2 8 5" xfId="20573" xr:uid="{65FB13D5-64FF-49D8-8758-A0B011046297}"/>
    <cellStyle name="Currency 3 2 2 2 2 9" xfId="4634" xr:uid="{00000000-0005-0000-0000-0000BE0A0000}"/>
    <cellStyle name="Currency 3 2 2 2 2 9 2" xfId="13960" xr:uid="{6935495F-D487-4013-93CA-4992E541681B}"/>
    <cellStyle name="Currency 3 2 2 2 2 9 2 2" xfId="50302" xr:uid="{B950C8F7-AC48-4E85-847F-261F9DA6FF94}"/>
    <cellStyle name="Currency 3 2 2 2 2 9 2 3" xfId="31706" xr:uid="{37EE2A23-93C3-46BB-95BC-BD5BD3FF5FC5}"/>
    <cellStyle name="Currency 3 2 2 2 2 9 3" xfId="41005" xr:uid="{3A674194-8769-4105-A690-40FA62C740BA}"/>
    <cellStyle name="Currency 3 2 2 2 2 9 4" xfId="22407" xr:uid="{F42912DB-9A6C-44B5-91B2-AD1556279C81}"/>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16518" xr:uid="{CA60F16E-3E68-44D1-B8C9-DC5ADB688AC9}"/>
    <cellStyle name="Currency 3 2 2 2 3 2 2 2 2" xfId="52860" xr:uid="{7B80058E-C2B1-4CBA-A647-83E68D911F74}"/>
    <cellStyle name="Currency 3 2 2 2 3 2 2 2 3" xfId="34264" xr:uid="{1C22442F-C750-4B3C-928A-587D66B701C8}"/>
    <cellStyle name="Currency 3 2 2 2 3 2 2 3" xfId="43563" xr:uid="{74AD689C-2749-4E4D-B806-89EA1234D0AE}"/>
    <cellStyle name="Currency 3 2 2 2 3 2 2 4" xfId="24965" xr:uid="{A1036BF4-8781-45AE-8DF7-D57A0BBA6D76}"/>
    <cellStyle name="Currency 3 2 2 2 3 2 3" xfId="12301" xr:uid="{E61F7118-B3EC-4B85-9CCD-7A16842C4BCC}"/>
    <cellStyle name="Currency 3 2 2 2 3 2 3 2" xfId="48643" xr:uid="{D330CC35-1BB2-4BC0-8CD3-EDB90C386532}"/>
    <cellStyle name="Currency 3 2 2 2 3 2 3 3" xfId="30047" xr:uid="{CCEADED2-2F4E-4CAA-A222-62C1C1E23F91}"/>
    <cellStyle name="Currency 3 2 2 2 3 2 4" xfId="39346" xr:uid="{1F132765-BCB1-4AFA-93F8-BB4A0D71073F}"/>
    <cellStyle name="Currency 3 2 2 2 3 2 5" xfId="20748" xr:uid="{6C509413-39C4-49ED-BE85-3296DBB090D5}"/>
    <cellStyle name="Currency 3 2 2 2 3 3" xfId="5047" xr:uid="{00000000-0005-0000-0000-0000C20A0000}"/>
    <cellStyle name="Currency 3 2 2 2 3 3 2" xfId="14373" xr:uid="{AFF35A5B-7FCC-4681-97C0-6B6A9F61AA7F}"/>
    <cellStyle name="Currency 3 2 2 2 3 3 2 2" xfId="50715" xr:uid="{43040E11-B55C-4A42-AB4F-716F8F01308E}"/>
    <cellStyle name="Currency 3 2 2 2 3 3 2 3" xfId="32119" xr:uid="{A18A3C91-33B3-4F2A-8EB5-99E5A65246A5}"/>
    <cellStyle name="Currency 3 2 2 2 3 3 3" xfId="41418" xr:uid="{DDC4AE1E-D773-46E4-BC7F-A8EF0C7B0F0E}"/>
    <cellStyle name="Currency 3 2 2 2 3 3 4" xfId="22820" xr:uid="{D3EA1106-AB35-4E98-8943-E6DDC5391F31}"/>
    <cellStyle name="Currency 3 2 2 2 3 4" xfId="9336" xr:uid="{F86D5454-A503-484B-B8F3-81FF219E49D0}"/>
    <cellStyle name="Currency 3 2 2 2 3 4 2" xfId="36397" xr:uid="{B82B4F5D-5A0C-4AC5-A153-EC265E47D72A}"/>
    <cellStyle name="Currency 3 2 2 2 3 4 2 2" xfId="54991" xr:uid="{9C024FDC-1993-49B4-B32A-681685582869}"/>
    <cellStyle name="Currency 3 2 2 2 3 4 3" xfId="45694" xr:uid="{175C6ED8-1B3A-423A-98EB-7F367A0BBDB3}"/>
    <cellStyle name="Currency 3 2 2 2 3 4 4" xfId="27098" xr:uid="{C4FC1604-10D1-4751-BA41-62460E98F806}"/>
    <cellStyle name="Currency 3 2 2 2 3 5" xfId="10156" xr:uid="{BEAC3469-6882-48BD-ACF0-A5E4BE0EBDD3}"/>
    <cellStyle name="Currency 3 2 2 2 3 5 2" xfId="46498" xr:uid="{35F25844-1040-44F8-B309-5C9CA46B593A}"/>
    <cellStyle name="Currency 3 2 2 2 3 5 3" xfId="27902" xr:uid="{92447C75-9FD7-4069-8482-49477438F34E}"/>
    <cellStyle name="Currency 3 2 2 2 3 6" xfId="37201" xr:uid="{4E5912AE-10D6-43EF-AB94-35A816EAC909}"/>
    <cellStyle name="Currency 3 2 2 2 3 7" xfId="18603" xr:uid="{E9BFD775-C56F-4861-899F-0BBECCC9131C}"/>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16931" xr:uid="{6A7F43ED-1BD5-4C42-B5B0-CBB6B3969558}"/>
    <cellStyle name="Currency 3 2 2 2 4 2 2 2 2" xfId="53273" xr:uid="{7E2254AC-6663-485F-969E-56CD641FCA30}"/>
    <cellStyle name="Currency 3 2 2 2 4 2 2 2 3" xfId="34677" xr:uid="{78C4A051-D8E6-48D6-B964-9F909AB1EC57}"/>
    <cellStyle name="Currency 3 2 2 2 4 2 2 3" xfId="43976" xr:uid="{A173748C-1275-428A-B976-1E884A764F9E}"/>
    <cellStyle name="Currency 3 2 2 2 4 2 2 4" xfId="25378" xr:uid="{C2A7CFA4-18BC-4472-8E2C-93BE13B62C6D}"/>
    <cellStyle name="Currency 3 2 2 2 4 2 3" xfId="12714" xr:uid="{8FC7671D-BF55-4F68-9C40-CD713D4FAD10}"/>
    <cellStyle name="Currency 3 2 2 2 4 2 3 2" xfId="49056" xr:uid="{FB7208FC-9BDF-4341-A65B-BF4361480534}"/>
    <cellStyle name="Currency 3 2 2 2 4 2 3 3" xfId="30460" xr:uid="{746557CC-1E0A-469D-BBBF-027423EDC590}"/>
    <cellStyle name="Currency 3 2 2 2 4 2 4" xfId="39759" xr:uid="{B2EEB4ED-2E5C-4D0E-9757-193C7C448B30}"/>
    <cellStyle name="Currency 3 2 2 2 4 2 5" xfId="21161" xr:uid="{B13C4ACB-C16C-4207-9321-32A358C96ADE}"/>
    <cellStyle name="Currency 3 2 2 2 4 3" xfId="5460" xr:uid="{00000000-0005-0000-0000-0000C60A0000}"/>
    <cellStyle name="Currency 3 2 2 2 4 3 2" xfId="14786" xr:uid="{9948D94D-7EB5-4350-9074-B141FBF582B6}"/>
    <cellStyle name="Currency 3 2 2 2 4 3 2 2" xfId="51128" xr:uid="{0A1A17FB-BAD7-458E-A7AD-2301880BB248}"/>
    <cellStyle name="Currency 3 2 2 2 4 3 2 3" xfId="32532" xr:uid="{79A0CBC1-77A8-4ABD-A661-367A4BB7ABC6}"/>
    <cellStyle name="Currency 3 2 2 2 4 3 3" xfId="41831" xr:uid="{3EF28A59-3E7D-4E31-9C09-C855A0A43E7B}"/>
    <cellStyle name="Currency 3 2 2 2 4 3 4" xfId="23233" xr:uid="{DC1B9FB5-F9C6-4242-9D25-F541FDD57A44}"/>
    <cellStyle name="Currency 3 2 2 2 4 4" xfId="10569" xr:uid="{F61DD843-F8A0-4DCA-9690-8A7C71D7C1DD}"/>
    <cellStyle name="Currency 3 2 2 2 4 4 2" xfId="46911" xr:uid="{409510A7-D368-444D-A84F-A300A0F06A35}"/>
    <cellStyle name="Currency 3 2 2 2 4 4 3" xfId="28315" xr:uid="{2905BF39-DB6E-4890-91B0-73B9770A90F7}"/>
    <cellStyle name="Currency 3 2 2 2 4 5" xfId="37614" xr:uid="{20E12480-2917-4EC3-94E2-E0054E086B34}"/>
    <cellStyle name="Currency 3 2 2 2 4 6" xfId="19016" xr:uid="{3A633AF2-85CB-464A-A338-7A753EE67A73}"/>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17344" xr:uid="{D7F539D5-5053-4049-96DC-7E421D498623}"/>
    <cellStyle name="Currency 3 2 2 2 5 2 2 2 2" xfId="53686" xr:uid="{F0F97444-72D6-45C2-BF07-63A2125D0985}"/>
    <cellStyle name="Currency 3 2 2 2 5 2 2 2 3" xfId="35090" xr:uid="{D50ED7EE-73D2-4507-BD0C-A356A78F16E0}"/>
    <cellStyle name="Currency 3 2 2 2 5 2 2 3" xfId="44389" xr:uid="{31766680-1AC6-45B3-8FF0-826BF9119D54}"/>
    <cellStyle name="Currency 3 2 2 2 5 2 2 4" xfId="25791" xr:uid="{15C1BB89-072A-4D8A-90BB-284187C7FBAB}"/>
    <cellStyle name="Currency 3 2 2 2 5 2 3" xfId="13127" xr:uid="{D1D194C2-8A38-4D83-9F16-82D81EEA1170}"/>
    <cellStyle name="Currency 3 2 2 2 5 2 3 2" xfId="49469" xr:uid="{EBEA7C27-FA48-4A49-A701-7FF65B8E51BA}"/>
    <cellStyle name="Currency 3 2 2 2 5 2 3 3" xfId="30873" xr:uid="{9290BADB-B90E-4D9E-86CD-979E83838841}"/>
    <cellStyle name="Currency 3 2 2 2 5 2 4" xfId="40172" xr:uid="{81833247-C2C4-42E7-83C3-CA4B475E1B54}"/>
    <cellStyle name="Currency 3 2 2 2 5 2 5" xfId="21574" xr:uid="{4860719D-1E0A-4865-8A77-B28F819A7BC3}"/>
    <cellStyle name="Currency 3 2 2 2 5 3" xfId="5873" xr:uid="{00000000-0005-0000-0000-0000CA0A0000}"/>
    <cellStyle name="Currency 3 2 2 2 5 3 2" xfId="15199" xr:uid="{C2A28800-9393-40E4-BC98-67F565EB25E8}"/>
    <cellStyle name="Currency 3 2 2 2 5 3 2 2" xfId="51541" xr:uid="{D2809729-272D-4CCE-A7BA-C9BFF8BDAA7E}"/>
    <cellStyle name="Currency 3 2 2 2 5 3 2 3" xfId="32945" xr:uid="{A85B0F9A-3C86-4134-A28F-8699CF93978E}"/>
    <cellStyle name="Currency 3 2 2 2 5 3 3" xfId="42244" xr:uid="{E3EFD105-65E5-410D-8992-0961121ED74A}"/>
    <cellStyle name="Currency 3 2 2 2 5 3 4" xfId="23646" xr:uid="{7F1D2F24-CDD7-4FE0-A281-EE5D4B0AC853}"/>
    <cellStyle name="Currency 3 2 2 2 5 4" xfId="10982" xr:uid="{F0E5F57D-128D-41F8-B5D8-BFE5D3DD1CBB}"/>
    <cellStyle name="Currency 3 2 2 2 5 4 2" xfId="47324" xr:uid="{B48930A6-B3FF-4C8F-BB83-171D3EB0BEB5}"/>
    <cellStyle name="Currency 3 2 2 2 5 4 3" xfId="28728" xr:uid="{DA0D96EE-E924-45E6-BAB1-1AE52D16609D}"/>
    <cellStyle name="Currency 3 2 2 2 5 5" xfId="38027" xr:uid="{9BB69EA0-4327-459B-BC73-37111AA28C54}"/>
    <cellStyle name="Currency 3 2 2 2 5 6" xfId="19429" xr:uid="{46E618F6-A71B-4B72-839E-004DB97DD8BD}"/>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17757" xr:uid="{2F4209A2-388F-40CB-97AE-A0CC84EEF97B}"/>
    <cellStyle name="Currency 3 2 2 2 6 2 2 2 2" xfId="54099" xr:uid="{BC112E9C-1E24-449C-A2B6-24FA47502D3B}"/>
    <cellStyle name="Currency 3 2 2 2 6 2 2 2 3" xfId="35503" xr:uid="{97401DE5-0DDE-40B3-9DD9-BA04035E41D1}"/>
    <cellStyle name="Currency 3 2 2 2 6 2 2 3" xfId="44802" xr:uid="{04BB8881-2326-4537-B84C-A01B8AAD5BF0}"/>
    <cellStyle name="Currency 3 2 2 2 6 2 2 4" xfId="26204" xr:uid="{39416C32-0D31-41EC-ACC8-1DE0F93AA7DE}"/>
    <cellStyle name="Currency 3 2 2 2 6 2 3" xfId="13540" xr:uid="{FF6F74C3-D0B8-40EB-BAC9-BC3F9F7AB98B}"/>
    <cellStyle name="Currency 3 2 2 2 6 2 3 2" xfId="49882" xr:uid="{4DEC752A-9A4B-4C9A-B730-8A8BF8873384}"/>
    <cellStyle name="Currency 3 2 2 2 6 2 3 3" xfId="31286" xr:uid="{F576CE67-5D91-4F7E-A40F-A17F94019765}"/>
    <cellStyle name="Currency 3 2 2 2 6 2 4" xfId="40585" xr:uid="{B53AA228-626E-4643-98A6-145F5D48A2F8}"/>
    <cellStyle name="Currency 3 2 2 2 6 2 5" xfId="21987" xr:uid="{F899DC4D-3661-4F38-8CB3-3ECF5106CAA7}"/>
    <cellStyle name="Currency 3 2 2 2 6 3" xfId="6286" xr:uid="{00000000-0005-0000-0000-0000CE0A0000}"/>
    <cellStyle name="Currency 3 2 2 2 6 3 2" xfId="15612" xr:uid="{5660F924-DFDB-4ED2-A974-A3AFFFF048FB}"/>
    <cellStyle name="Currency 3 2 2 2 6 3 2 2" xfId="51954" xr:uid="{01DF594A-38F8-43CF-B636-B37C0EC0174D}"/>
    <cellStyle name="Currency 3 2 2 2 6 3 2 3" xfId="33358" xr:uid="{4219D741-22ED-45CC-85E6-7B564BE8351B}"/>
    <cellStyle name="Currency 3 2 2 2 6 3 3" xfId="42657" xr:uid="{39530B1D-8E0A-45EC-BBC0-4AC94DAE3520}"/>
    <cellStyle name="Currency 3 2 2 2 6 3 4" xfId="24059" xr:uid="{F9D72A9A-E7D6-4ACA-A131-0B088F1AA3F5}"/>
    <cellStyle name="Currency 3 2 2 2 6 4" xfId="11395" xr:uid="{B5C07D7A-C486-4F97-87F3-1D8B5BC043E6}"/>
    <cellStyle name="Currency 3 2 2 2 6 4 2" xfId="47737" xr:uid="{8BA1897B-E3F0-493E-9DB8-BD76E004B702}"/>
    <cellStyle name="Currency 3 2 2 2 6 4 3" xfId="29141" xr:uid="{F33683BA-08C0-4E97-A09E-75693BBD35E5}"/>
    <cellStyle name="Currency 3 2 2 2 6 5" xfId="38440" xr:uid="{7B12B444-566F-453A-8427-AE6FEFBAA0A6}"/>
    <cellStyle name="Currency 3 2 2 2 6 6" xfId="19842" xr:uid="{DBC916E6-9C13-4FF4-94B1-69AE21C31108}"/>
    <cellStyle name="Currency 3 2 2 2 7" xfId="2415" xr:uid="{00000000-0005-0000-0000-0000CF0A0000}"/>
    <cellStyle name="Currency 3 2 2 2 7 2" xfId="6699" xr:uid="{00000000-0005-0000-0000-0000D00A0000}"/>
    <cellStyle name="Currency 3 2 2 2 7 2 2" xfId="16025" xr:uid="{EA856F2C-EA5D-4993-8633-63CB38EFCC03}"/>
    <cellStyle name="Currency 3 2 2 2 7 2 2 2" xfId="52367" xr:uid="{D27235DD-5A51-4832-8E6E-E689C88D4132}"/>
    <cellStyle name="Currency 3 2 2 2 7 2 2 3" xfId="33771" xr:uid="{11827C5C-2762-4836-B2CB-360DEAD495BD}"/>
    <cellStyle name="Currency 3 2 2 2 7 2 3" xfId="43070" xr:uid="{411D1864-6639-455E-BC8A-F11DD9249397}"/>
    <cellStyle name="Currency 3 2 2 2 7 2 4" xfId="24472" xr:uid="{67C81E7F-BE00-49E5-9BAA-7DFCC85DD23A}"/>
    <cellStyle name="Currency 3 2 2 2 7 3" xfId="11808" xr:uid="{B43D1F35-E443-4EE6-B5AC-D8A34C8A8DA0}"/>
    <cellStyle name="Currency 3 2 2 2 7 3 2" xfId="48150" xr:uid="{6800062F-CF36-45BB-A13F-C9F81050C903}"/>
    <cellStyle name="Currency 3 2 2 2 7 3 3" xfId="29554" xr:uid="{9A3B4CB3-5128-4550-BDBC-92D19E82664C}"/>
    <cellStyle name="Currency 3 2 2 2 7 4" xfId="38853" xr:uid="{2FAA7D1E-A360-4E9E-BE07-EDC79C1B00D2}"/>
    <cellStyle name="Currency 3 2 2 2 7 5" xfId="20255" xr:uid="{CFF870D3-1E09-44A5-BE37-420756C66F1A}"/>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16342" xr:uid="{A299ABBA-41AA-4439-A3CE-1E52B34C44E2}"/>
    <cellStyle name="Currency 3 2 2 2 9 2 2 2" xfId="52684" xr:uid="{F510E570-316E-44C3-8C2D-9699E3275E5B}"/>
    <cellStyle name="Currency 3 2 2 2 9 2 2 3" xfId="34088" xr:uid="{469BF57E-45FC-4D0C-80E6-2330F2016018}"/>
    <cellStyle name="Currency 3 2 2 2 9 2 3" xfId="43387" xr:uid="{0422A1AC-B4E6-4322-8B8B-1E87FB133141}"/>
    <cellStyle name="Currency 3 2 2 2 9 2 4" xfId="24789" xr:uid="{B4BD54D3-1E57-4082-BDF1-23853799B561}"/>
    <cellStyle name="Currency 3 2 2 2 9 3" xfId="12125" xr:uid="{2C19D4C2-BEAF-4D0E-875E-8249EB34FDFA}"/>
    <cellStyle name="Currency 3 2 2 2 9 3 2" xfId="48467" xr:uid="{8C075F44-1241-4FD3-8A7D-4E96CDC9B472}"/>
    <cellStyle name="Currency 3 2 2 2 9 3 3" xfId="29871" xr:uid="{A38F6ACC-FD90-4BA9-AC67-18F674478A73}"/>
    <cellStyle name="Currency 3 2 2 2 9 4" xfId="39170" xr:uid="{AD149BC5-C0E8-4753-B29B-7E093451B3A0}"/>
    <cellStyle name="Currency 3 2 2 2 9 5" xfId="20572" xr:uid="{F4B6D00D-529B-466C-91FB-A7CF29E6281E}"/>
    <cellStyle name="Currency 3 2 2 3" xfId="181" xr:uid="{00000000-0005-0000-0000-0000D40A0000}"/>
    <cellStyle name="Currency 3 2 2 3 10" xfId="9015" xr:uid="{A1C3FAFC-6FB9-45C5-A279-C90E61794A63}"/>
    <cellStyle name="Currency 3 2 2 3 10 2" xfId="36085" xr:uid="{104E5E33-9924-4EA0-9809-389CDAFEF170}"/>
    <cellStyle name="Currency 3 2 2 3 10 2 2" xfId="54680" xr:uid="{7F441979-748D-4BF0-9449-19779F6420DA}"/>
    <cellStyle name="Currency 3 2 2 3 10 3" xfId="45383" xr:uid="{B09F5E91-CF70-41FF-BC25-0C812CB0BAE0}"/>
    <cellStyle name="Currency 3 2 2 3 10 4" xfId="26786" xr:uid="{79E9BBDF-1B12-4CC3-8B38-43411DCE004A}"/>
    <cellStyle name="Currency 3 2 2 3 11" xfId="9744" xr:uid="{ED650FC9-E3B4-4DA8-A9C2-44310EAD63B6}"/>
    <cellStyle name="Currency 3 2 2 3 11 2" xfId="46086" xr:uid="{2EA9C3F1-5F08-43AA-A12D-4A7F87C04C13}"/>
    <cellStyle name="Currency 3 2 2 3 11 3" xfId="27490" xr:uid="{C0A28191-DA67-4817-9018-FCF470B78126}"/>
    <cellStyle name="Currency 3 2 2 3 12" xfId="36789" xr:uid="{524F16BD-9A20-4FD0-9974-025F64B404A2}"/>
    <cellStyle name="Currency 3 2 2 3 13" xfId="18191" xr:uid="{FC92866F-70FA-43EE-A989-4D4C0343089B}"/>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16520" xr:uid="{C7301ECF-7D7A-467F-A923-2A926B9F2677}"/>
    <cellStyle name="Currency 3 2 2 3 2 2 2 2 2" xfId="52862" xr:uid="{0A27CB64-179C-4968-BD81-345519BF33E7}"/>
    <cellStyle name="Currency 3 2 2 3 2 2 2 2 3" xfId="34266" xr:uid="{43197ACE-992B-4C43-9B93-FA3F9F93F996}"/>
    <cellStyle name="Currency 3 2 2 3 2 2 2 3" xfId="43565" xr:uid="{043C7A9E-C4BC-410D-9700-37C8A4C16A66}"/>
    <cellStyle name="Currency 3 2 2 3 2 2 2 4" xfId="24967" xr:uid="{6E9E623C-3D10-4C9E-9F4D-165D8BC73700}"/>
    <cellStyle name="Currency 3 2 2 3 2 2 3" xfId="12303" xr:uid="{C8368300-E4D5-4E33-A218-A643FD2E090F}"/>
    <cellStyle name="Currency 3 2 2 3 2 2 3 2" xfId="48645" xr:uid="{2C4C9745-C9BE-455C-95FF-76C00921F9F0}"/>
    <cellStyle name="Currency 3 2 2 3 2 2 3 3" xfId="30049" xr:uid="{7362234D-DA70-4D9C-86C9-8798F0660076}"/>
    <cellStyle name="Currency 3 2 2 3 2 2 4" xfId="39348" xr:uid="{233ABF33-0F2D-4564-AA9A-D78974CA3DD0}"/>
    <cellStyle name="Currency 3 2 2 3 2 2 5" xfId="20750" xr:uid="{5FFBF728-798C-49F0-B849-4459969198ED}"/>
    <cellStyle name="Currency 3 2 2 3 2 3" xfId="5049" xr:uid="{00000000-0005-0000-0000-0000D80A0000}"/>
    <cellStyle name="Currency 3 2 2 3 2 3 2" xfId="14375" xr:uid="{A0AB4A42-02A0-422A-A125-1E1CD8FA4E65}"/>
    <cellStyle name="Currency 3 2 2 3 2 3 2 2" xfId="50717" xr:uid="{84A5283F-AD24-432A-AA6F-FB117D1758DD}"/>
    <cellStyle name="Currency 3 2 2 3 2 3 2 3" xfId="32121" xr:uid="{69C36D67-02DE-4AB7-88DE-C03E31DB756E}"/>
    <cellStyle name="Currency 3 2 2 3 2 3 3" xfId="41420" xr:uid="{2F4F8BCF-5C13-445E-8968-E33B7A7D4018}"/>
    <cellStyle name="Currency 3 2 2 3 2 3 4" xfId="22822" xr:uid="{74D37102-B8FE-4A61-A038-ED5441138A1B}"/>
    <cellStyle name="Currency 3 2 2 3 2 4" xfId="9440" xr:uid="{774D5512-BCA5-4224-A909-3336A63369C8}"/>
    <cellStyle name="Currency 3 2 2 3 2 4 2" xfId="36501" xr:uid="{4CC33E06-E375-41D8-97ED-E6190A230EC4}"/>
    <cellStyle name="Currency 3 2 2 3 2 4 2 2" xfId="55095" xr:uid="{D95C550F-DA83-4C8A-854D-4CB8D1BBF512}"/>
    <cellStyle name="Currency 3 2 2 3 2 4 3" xfId="45798" xr:uid="{016670D5-3273-4374-8F63-B75E90AB4793}"/>
    <cellStyle name="Currency 3 2 2 3 2 4 4" xfId="27202" xr:uid="{F140AE7A-AF26-432D-9BE8-C4D52C981F9D}"/>
    <cellStyle name="Currency 3 2 2 3 2 5" xfId="10158" xr:uid="{60DDEEC3-102C-4393-ACA0-85A545F8D86B}"/>
    <cellStyle name="Currency 3 2 2 3 2 5 2" xfId="46500" xr:uid="{6606AEFD-DA9E-416F-AAEC-6A9A1EC0E905}"/>
    <cellStyle name="Currency 3 2 2 3 2 5 3" xfId="27904" xr:uid="{67AE0617-76D8-4424-8C00-9332C2C44F5F}"/>
    <cellStyle name="Currency 3 2 2 3 2 6" xfId="37203" xr:uid="{B62F016C-9F9B-435F-9182-CC38E696ED84}"/>
    <cellStyle name="Currency 3 2 2 3 2 7" xfId="18605" xr:uid="{81923EA4-AECE-4B9C-855E-647EECB987C3}"/>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16933" xr:uid="{C1FE4587-ACD8-483D-BA15-5202118C8C30}"/>
    <cellStyle name="Currency 3 2 2 3 3 2 2 2 2" xfId="53275" xr:uid="{CFD1DDD4-B36D-4673-8052-25EF2CCD221C}"/>
    <cellStyle name="Currency 3 2 2 3 3 2 2 2 3" xfId="34679" xr:uid="{F1DD8087-59E3-4ED5-8115-D17B73101149}"/>
    <cellStyle name="Currency 3 2 2 3 3 2 2 3" xfId="43978" xr:uid="{2ED1ED33-6239-4002-A70D-A5E06CF04156}"/>
    <cellStyle name="Currency 3 2 2 3 3 2 2 4" xfId="25380" xr:uid="{32E46791-6560-4E4E-A7CB-AD162735AF34}"/>
    <cellStyle name="Currency 3 2 2 3 3 2 3" xfId="12716" xr:uid="{4AD41D9A-B70F-4C39-BF43-1A275346198B}"/>
    <cellStyle name="Currency 3 2 2 3 3 2 3 2" xfId="49058" xr:uid="{8236D8F3-B1F4-4A78-8C6C-FF0FDC8BBDAF}"/>
    <cellStyle name="Currency 3 2 2 3 3 2 3 3" xfId="30462" xr:uid="{43A60D76-FA85-4D1F-AB69-4F1D6988E1BB}"/>
    <cellStyle name="Currency 3 2 2 3 3 2 4" xfId="39761" xr:uid="{99654319-84E7-4CD5-8418-5152178AFDC3}"/>
    <cellStyle name="Currency 3 2 2 3 3 2 5" xfId="21163" xr:uid="{9CCE0C6F-55EB-45B0-94F6-301FC752324C}"/>
    <cellStyle name="Currency 3 2 2 3 3 3" xfId="5462" xr:uid="{00000000-0005-0000-0000-0000DC0A0000}"/>
    <cellStyle name="Currency 3 2 2 3 3 3 2" xfId="14788" xr:uid="{88338F31-4D9F-464A-8E58-B304B0B5DCE8}"/>
    <cellStyle name="Currency 3 2 2 3 3 3 2 2" xfId="51130" xr:uid="{7E18C584-CC98-47D8-9EA9-825261CD7AE0}"/>
    <cellStyle name="Currency 3 2 2 3 3 3 2 3" xfId="32534" xr:uid="{A9287773-078B-4A46-91CF-9DD627A754D6}"/>
    <cellStyle name="Currency 3 2 2 3 3 3 3" xfId="41833" xr:uid="{17EBE0E0-E766-4DC5-AC0A-9A1A5DC17408}"/>
    <cellStyle name="Currency 3 2 2 3 3 3 4" xfId="23235" xr:uid="{2AD599FB-88DE-41B2-BFA4-DF0B96264502}"/>
    <cellStyle name="Currency 3 2 2 3 3 4" xfId="10571" xr:uid="{9D2A742E-B42F-4179-868A-57ABE021EDC2}"/>
    <cellStyle name="Currency 3 2 2 3 3 4 2" xfId="46913" xr:uid="{F7957689-49C2-45DA-B3F4-CDD0F1E08424}"/>
    <cellStyle name="Currency 3 2 2 3 3 4 3" xfId="28317" xr:uid="{C17EA65F-00B5-46B3-8AF9-E65A638D1F1F}"/>
    <cellStyle name="Currency 3 2 2 3 3 5" xfId="37616" xr:uid="{58FE2162-9026-4F20-8087-1DD65E246138}"/>
    <cellStyle name="Currency 3 2 2 3 3 6" xfId="19018" xr:uid="{C0F802F3-3ABC-4657-95C9-17617CDDCC63}"/>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17346" xr:uid="{62BEF95A-E653-4F7E-BBFC-6CD5563DAB48}"/>
    <cellStyle name="Currency 3 2 2 3 4 2 2 2 2" xfId="53688" xr:uid="{F105CA1F-6390-43BC-ADAC-97EC3C879037}"/>
    <cellStyle name="Currency 3 2 2 3 4 2 2 2 3" xfId="35092" xr:uid="{4F62F5F5-CBF7-4EA7-85C7-A229AA14A358}"/>
    <cellStyle name="Currency 3 2 2 3 4 2 2 3" xfId="44391" xr:uid="{5D70D9FA-C831-4F38-92D7-36669FC37DF8}"/>
    <cellStyle name="Currency 3 2 2 3 4 2 2 4" xfId="25793" xr:uid="{140C3D0C-0EB7-4820-AF3B-DCFA28CEAC6D}"/>
    <cellStyle name="Currency 3 2 2 3 4 2 3" xfId="13129" xr:uid="{A5EDFC27-17D1-4AD0-97B7-64223FA38788}"/>
    <cellStyle name="Currency 3 2 2 3 4 2 3 2" xfId="49471" xr:uid="{31FFF9AB-83DB-4713-9306-E0EA95B67E07}"/>
    <cellStyle name="Currency 3 2 2 3 4 2 3 3" xfId="30875" xr:uid="{3428E5E0-B48B-4492-ACDA-8D6963A9D831}"/>
    <cellStyle name="Currency 3 2 2 3 4 2 4" xfId="40174" xr:uid="{608116B6-6729-4A1D-989D-85A23C6118C0}"/>
    <cellStyle name="Currency 3 2 2 3 4 2 5" xfId="21576" xr:uid="{DC5899D0-A20B-484B-9818-04233E68C0E2}"/>
    <cellStyle name="Currency 3 2 2 3 4 3" xfId="5875" xr:uid="{00000000-0005-0000-0000-0000E00A0000}"/>
    <cellStyle name="Currency 3 2 2 3 4 3 2" xfId="15201" xr:uid="{BDE0C024-7FEF-4AD5-A131-FC0C9ECCE358}"/>
    <cellStyle name="Currency 3 2 2 3 4 3 2 2" xfId="51543" xr:uid="{646D0756-5499-42B1-90B4-736A331CF5EF}"/>
    <cellStyle name="Currency 3 2 2 3 4 3 2 3" xfId="32947" xr:uid="{13B2288C-3B04-456C-8AF8-BA6E22025738}"/>
    <cellStyle name="Currency 3 2 2 3 4 3 3" xfId="42246" xr:uid="{8DDD7C30-AA2A-451C-8B2C-66257066C5B6}"/>
    <cellStyle name="Currency 3 2 2 3 4 3 4" xfId="23648" xr:uid="{EFB5DF86-A1C0-41BA-A7BE-E50D9AC147E1}"/>
    <cellStyle name="Currency 3 2 2 3 4 4" xfId="10984" xr:uid="{85AD04E4-A583-4A40-825E-BE9E23F87E2B}"/>
    <cellStyle name="Currency 3 2 2 3 4 4 2" xfId="47326" xr:uid="{972F6C39-60CD-4AB6-A38D-6F4A6733830B}"/>
    <cellStyle name="Currency 3 2 2 3 4 4 3" xfId="28730" xr:uid="{95A53A14-9B96-4091-A566-3854ACFB78B9}"/>
    <cellStyle name="Currency 3 2 2 3 4 5" xfId="38029" xr:uid="{0D53FC49-9D7D-4ECD-9A7F-29267E6E9273}"/>
    <cellStyle name="Currency 3 2 2 3 4 6" xfId="19431" xr:uid="{6FC17E71-65D1-4649-850B-2AC3416F3B9F}"/>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17759" xr:uid="{835F7B01-63B9-4D73-B3B0-B09999D6A210}"/>
    <cellStyle name="Currency 3 2 2 3 5 2 2 2 2" xfId="54101" xr:uid="{665D4A92-01E0-41A1-B573-4E7F0B5E929C}"/>
    <cellStyle name="Currency 3 2 2 3 5 2 2 2 3" xfId="35505" xr:uid="{BC42A96E-A6BD-4A90-844F-C728504261E0}"/>
    <cellStyle name="Currency 3 2 2 3 5 2 2 3" xfId="44804" xr:uid="{A746349B-8D92-434A-BFDA-E8F67F1D7D9A}"/>
    <cellStyle name="Currency 3 2 2 3 5 2 2 4" xfId="26206" xr:uid="{3029A759-FD00-4D02-8E95-5A2A32A4C994}"/>
    <cellStyle name="Currency 3 2 2 3 5 2 3" xfId="13542" xr:uid="{78CBE07D-7CDC-4CCE-9F35-CA92737F673E}"/>
    <cellStyle name="Currency 3 2 2 3 5 2 3 2" xfId="49884" xr:uid="{C317C719-2ACA-4956-BF2C-44F8450997C5}"/>
    <cellStyle name="Currency 3 2 2 3 5 2 3 3" xfId="31288" xr:uid="{B580E878-6B3A-4305-BAFD-7E2062AFD86D}"/>
    <cellStyle name="Currency 3 2 2 3 5 2 4" xfId="40587" xr:uid="{182BA930-63AA-45CD-9C6C-4C3DBC30C2A6}"/>
    <cellStyle name="Currency 3 2 2 3 5 2 5" xfId="21989" xr:uid="{2EAE9A8C-CE5F-4669-9937-A9031A8C2B19}"/>
    <cellStyle name="Currency 3 2 2 3 5 3" xfId="6288" xr:uid="{00000000-0005-0000-0000-0000E40A0000}"/>
    <cellStyle name="Currency 3 2 2 3 5 3 2" xfId="15614" xr:uid="{9AEF2115-4221-48F1-88C8-8A0325BA94BF}"/>
    <cellStyle name="Currency 3 2 2 3 5 3 2 2" xfId="51956" xr:uid="{312BC0AF-C3FF-4080-A5BE-4E0C9334D84C}"/>
    <cellStyle name="Currency 3 2 2 3 5 3 2 3" xfId="33360" xr:uid="{A3125CA0-E235-4815-A6B1-9D389F5431C9}"/>
    <cellStyle name="Currency 3 2 2 3 5 3 3" xfId="42659" xr:uid="{FB29CB7A-F910-4921-9CEF-192667311D15}"/>
    <cellStyle name="Currency 3 2 2 3 5 3 4" xfId="24061" xr:uid="{8DCAA887-7B0D-4F34-93D3-B2F08B60E16C}"/>
    <cellStyle name="Currency 3 2 2 3 5 4" xfId="11397" xr:uid="{F427FDB0-3DDA-45B2-886F-A0FBCF479294}"/>
    <cellStyle name="Currency 3 2 2 3 5 4 2" xfId="47739" xr:uid="{EEF37D0C-6808-453F-871F-5E1360045B7D}"/>
    <cellStyle name="Currency 3 2 2 3 5 4 3" xfId="29143" xr:uid="{DE777CD2-5A10-4A22-A803-7A152D33C252}"/>
    <cellStyle name="Currency 3 2 2 3 5 5" xfId="38442" xr:uid="{917DA478-9819-43FC-8680-F6EA930BFAB0}"/>
    <cellStyle name="Currency 3 2 2 3 5 6" xfId="19844" xr:uid="{ED15AE6A-652E-48BB-974D-FE37809F8023}"/>
    <cellStyle name="Currency 3 2 2 3 6" xfId="2417" xr:uid="{00000000-0005-0000-0000-0000E50A0000}"/>
    <cellStyle name="Currency 3 2 2 3 6 2" xfId="6701" xr:uid="{00000000-0005-0000-0000-0000E60A0000}"/>
    <cellStyle name="Currency 3 2 2 3 6 2 2" xfId="16027" xr:uid="{23D7C4AC-12E6-4754-87E3-6FC7ED4AD972}"/>
    <cellStyle name="Currency 3 2 2 3 6 2 2 2" xfId="52369" xr:uid="{844D33C0-D4F0-4C83-B124-83A010DD90D8}"/>
    <cellStyle name="Currency 3 2 2 3 6 2 2 3" xfId="33773" xr:uid="{7E75C659-C838-49E8-A8E9-2D682616EC75}"/>
    <cellStyle name="Currency 3 2 2 3 6 2 3" xfId="43072" xr:uid="{12D64D71-6278-46C7-9D48-B00679DE8E90}"/>
    <cellStyle name="Currency 3 2 2 3 6 2 4" xfId="24474" xr:uid="{555FA620-10AB-41B1-8030-4781BED20D59}"/>
    <cellStyle name="Currency 3 2 2 3 6 3" xfId="11810" xr:uid="{6822521E-8E57-47C2-A4DF-EA86F98D1A50}"/>
    <cellStyle name="Currency 3 2 2 3 6 3 2" xfId="48152" xr:uid="{948089D6-BA82-4DE3-8BF8-2988984F86D1}"/>
    <cellStyle name="Currency 3 2 2 3 6 3 3" xfId="29556" xr:uid="{765E4DF5-15C3-4268-BE02-3828DFAB2DE2}"/>
    <cellStyle name="Currency 3 2 2 3 6 4" xfId="38855" xr:uid="{4D6343F2-6CFC-4017-9828-6364650C51D0}"/>
    <cellStyle name="Currency 3 2 2 3 6 5" xfId="20257" xr:uid="{C0586DA1-EF3C-4C6E-94DC-0DAB591C8C81}"/>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16344" xr:uid="{D644E93A-EE45-4E56-A7A9-E583847F643F}"/>
    <cellStyle name="Currency 3 2 2 3 8 2 2 2" xfId="52686" xr:uid="{8C1B8315-A836-4F88-92F7-A3228BBD873D}"/>
    <cellStyle name="Currency 3 2 2 3 8 2 2 3" xfId="34090" xr:uid="{F59473C4-3A33-4387-AC75-B81C8867BD09}"/>
    <cellStyle name="Currency 3 2 2 3 8 2 3" xfId="43389" xr:uid="{F3DAA1FA-4E0E-4BE0-A608-ADDC86ECC7C9}"/>
    <cellStyle name="Currency 3 2 2 3 8 2 4" xfId="24791" xr:uid="{9FB645D3-9E00-43AC-880B-04E9448528E0}"/>
    <cellStyle name="Currency 3 2 2 3 8 3" xfId="12127" xr:uid="{24F90521-EB83-466C-9526-CDF3CBC28FCA}"/>
    <cellStyle name="Currency 3 2 2 3 8 3 2" xfId="48469" xr:uid="{25522B22-7422-4C49-A7BB-F44B153AFE1A}"/>
    <cellStyle name="Currency 3 2 2 3 8 3 3" xfId="29873" xr:uid="{1ABEC538-3232-45D0-B67E-18AE3C8EFD8F}"/>
    <cellStyle name="Currency 3 2 2 3 8 4" xfId="39172" xr:uid="{6317EEA0-919B-4EC6-BC97-9A204F81D35F}"/>
    <cellStyle name="Currency 3 2 2 3 8 5" xfId="20574" xr:uid="{7F642CFE-973E-4A84-9160-FFF9CE6B1FE3}"/>
    <cellStyle name="Currency 3 2 2 3 9" xfId="4635" xr:uid="{00000000-0005-0000-0000-0000EA0A0000}"/>
    <cellStyle name="Currency 3 2 2 3 9 2" xfId="13961" xr:uid="{05861DBE-EBA8-451C-B756-BD68F2FCD4E6}"/>
    <cellStyle name="Currency 3 2 2 3 9 2 2" xfId="50303" xr:uid="{39D44808-BD34-4565-B070-9AD7F5465012}"/>
    <cellStyle name="Currency 3 2 2 3 9 2 3" xfId="31707" xr:uid="{9D7A75EE-1805-4B2A-B02C-C028127F1289}"/>
    <cellStyle name="Currency 3 2 2 3 9 3" xfId="41006" xr:uid="{73B242D7-C8E9-4056-BE3D-4924AFA22F06}"/>
    <cellStyle name="Currency 3 2 2 3 9 4" xfId="22408" xr:uid="{88DE5080-D0B9-41BA-A4FC-EC886D7ADD30}"/>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16517" xr:uid="{D219E4FD-DA51-4E1A-83A7-BCCDE2DAE855}"/>
    <cellStyle name="Currency 3 2 2 4 2 2 2 2" xfId="52859" xr:uid="{9F718CF5-7AF1-45DC-88EE-F8C317CAFE21}"/>
    <cellStyle name="Currency 3 2 2 4 2 2 2 3" xfId="34263" xr:uid="{B241FF30-49B7-4842-87B0-974496F5412B}"/>
    <cellStyle name="Currency 3 2 2 4 2 2 3" xfId="43562" xr:uid="{88936C89-18B4-4C98-880C-B6F4E83CC41D}"/>
    <cellStyle name="Currency 3 2 2 4 2 2 4" xfId="24964" xr:uid="{B74D73CD-4FB5-4700-A5EA-FB21E4065E28}"/>
    <cellStyle name="Currency 3 2 2 4 2 3" xfId="12300" xr:uid="{9048BDA3-CBEF-4EE8-A333-9969BA179F8D}"/>
    <cellStyle name="Currency 3 2 2 4 2 3 2" xfId="48642" xr:uid="{3BC1488C-472B-4E86-8E28-F8104FF354BF}"/>
    <cellStyle name="Currency 3 2 2 4 2 3 3" xfId="30046" xr:uid="{FC97B22B-EBE6-46E0-B013-E5D3AB212C36}"/>
    <cellStyle name="Currency 3 2 2 4 2 4" xfId="39345" xr:uid="{ECDD47D5-97AF-4EA0-93D8-33629A3B5FEC}"/>
    <cellStyle name="Currency 3 2 2 4 2 5" xfId="20747" xr:uid="{CE84F9F7-732E-4FD4-9C06-D1553EAD032F}"/>
    <cellStyle name="Currency 3 2 2 4 3" xfId="5046" xr:uid="{00000000-0005-0000-0000-0000EE0A0000}"/>
    <cellStyle name="Currency 3 2 2 4 3 2" xfId="14372" xr:uid="{2DB5CFCD-C807-4FC3-B55D-3FF3412E88D8}"/>
    <cellStyle name="Currency 3 2 2 4 3 2 2" xfId="50714" xr:uid="{D73EA6B5-4F67-4159-9532-76B05A90AD1A}"/>
    <cellStyle name="Currency 3 2 2 4 3 2 3" xfId="32118" xr:uid="{041B44DB-06BE-4B85-A5A9-1812BFCF8D54}"/>
    <cellStyle name="Currency 3 2 2 4 3 3" xfId="41417" xr:uid="{38E1FF28-6526-4C07-B724-3BD2F68116BA}"/>
    <cellStyle name="Currency 3 2 2 4 3 4" xfId="22819" xr:uid="{FF196C91-28C3-44BB-B617-8AF777B9A8DC}"/>
    <cellStyle name="Currency 3 2 2 4 4" xfId="9233" xr:uid="{A90843BF-65B1-48E5-9C93-A2651D7B4B13}"/>
    <cellStyle name="Currency 3 2 2 4 4 2" xfId="36294" xr:uid="{1641902D-0A79-4AEE-B174-C0A0C0112690}"/>
    <cellStyle name="Currency 3 2 2 4 4 2 2" xfId="54888" xr:uid="{5A1E7B77-E948-4897-91EF-A76EC5530130}"/>
    <cellStyle name="Currency 3 2 2 4 4 3" xfId="45591" xr:uid="{B9C76982-B0E2-46C5-9AFE-DCB794EC61B9}"/>
    <cellStyle name="Currency 3 2 2 4 4 4" xfId="26995" xr:uid="{79DD436D-4C25-4FB9-A498-E3E49678FFEC}"/>
    <cellStyle name="Currency 3 2 2 4 5" xfId="10155" xr:uid="{364F417E-3FE7-4003-9752-30AFA6BE198F}"/>
    <cellStyle name="Currency 3 2 2 4 5 2" xfId="46497" xr:uid="{DC898B09-32EF-4946-9773-20EEA6A0D2A2}"/>
    <cellStyle name="Currency 3 2 2 4 5 3" xfId="27901" xr:uid="{A82A315D-DE8B-47D1-96EF-7B177F171125}"/>
    <cellStyle name="Currency 3 2 2 4 6" xfId="37200" xr:uid="{B55D2020-DC6C-4955-B5DF-60C146060839}"/>
    <cellStyle name="Currency 3 2 2 4 7" xfId="18602" xr:uid="{876FC6CE-EE11-4BA7-8768-A3D4F6FF5020}"/>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16930" xr:uid="{B8A429FD-F7FA-4A67-B004-0DEA8F2DE3EE}"/>
    <cellStyle name="Currency 3 2 2 5 2 2 2 2" xfId="53272" xr:uid="{8C46E352-B40F-4F3D-B7C9-813C98D0C10B}"/>
    <cellStyle name="Currency 3 2 2 5 2 2 2 3" xfId="34676" xr:uid="{40DFCA87-FAE6-4307-9FD0-F9C936913BD2}"/>
    <cellStyle name="Currency 3 2 2 5 2 2 3" xfId="43975" xr:uid="{B8B57421-E4AE-4630-95D4-D54B82507C08}"/>
    <cellStyle name="Currency 3 2 2 5 2 2 4" xfId="25377" xr:uid="{3F9434C9-1494-40BF-9307-FF0DBAFA0C7A}"/>
    <cellStyle name="Currency 3 2 2 5 2 3" xfId="12713" xr:uid="{035CAB35-87D8-4C33-8841-4B60DF7A91D7}"/>
    <cellStyle name="Currency 3 2 2 5 2 3 2" xfId="49055" xr:uid="{B5425D01-8C8F-4531-8E5B-B5561ACB4A66}"/>
    <cellStyle name="Currency 3 2 2 5 2 3 3" xfId="30459" xr:uid="{D90D35A2-CE41-47E2-ABDE-CA5D6217170A}"/>
    <cellStyle name="Currency 3 2 2 5 2 4" xfId="39758" xr:uid="{F5926B58-828D-42EA-BD35-7AA342F6CB9A}"/>
    <cellStyle name="Currency 3 2 2 5 2 5" xfId="21160" xr:uid="{C5DD321A-1883-428D-BAE0-569E19A34F3C}"/>
    <cellStyle name="Currency 3 2 2 5 3" xfId="5459" xr:uid="{00000000-0005-0000-0000-0000F20A0000}"/>
    <cellStyle name="Currency 3 2 2 5 3 2" xfId="14785" xr:uid="{CE2FE1CF-37E2-486F-B214-9F1C2417ED92}"/>
    <cellStyle name="Currency 3 2 2 5 3 2 2" xfId="51127" xr:uid="{9B9AF833-D744-4D3D-802A-CBC69C76B2EB}"/>
    <cellStyle name="Currency 3 2 2 5 3 2 3" xfId="32531" xr:uid="{24CA6A30-608F-4034-86F4-C593D00DCE0E}"/>
    <cellStyle name="Currency 3 2 2 5 3 3" xfId="41830" xr:uid="{9B4495E9-CEB1-430E-9DE5-5B5B59287B69}"/>
    <cellStyle name="Currency 3 2 2 5 3 4" xfId="23232" xr:uid="{EDDE99EF-BCD0-4B35-A82A-79F313FD1B69}"/>
    <cellStyle name="Currency 3 2 2 5 4" xfId="10568" xr:uid="{AC706A24-88F1-47BC-B87E-BDF7EDB4ED2E}"/>
    <cellStyle name="Currency 3 2 2 5 4 2" xfId="46910" xr:uid="{BA4DF101-C508-4DB3-9F44-6D9371B35E4D}"/>
    <cellStyle name="Currency 3 2 2 5 4 3" xfId="28314" xr:uid="{EFEB95F5-F632-44B0-8F85-73F8601A60FE}"/>
    <cellStyle name="Currency 3 2 2 5 5" xfId="37613" xr:uid="{709EBC2D-A96C-448F-BE9B-6F4D698E5AAB}"/>
    <cellStyle name="Currency 3 2 2 5 6" xfId="19015" xr:uid="{8823A97A-0DEC-481C-AB20-12B5475E4A37}"/>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17343" xr:uid="{70B3013C-7D08-46A8-BEC2-4699951D623A}"/>
    <cellStyle name="Currency 3 2 2 6 2 2 2 2" xfId="53685" xr:uid="{4AE57ED4-3433-4165-BF3D-E14C134BDDC1}"/>
    <cellStyle name="Currency 3 2 2 6 2 2 2 3" xfId="35089" xr:uid="{04D0513D-5BA9-4407-887F-1B83B04F8C4E}"/>
    <cellStyle name="Currency 3 2 2 6 2 2 3" xfId="44388" xr:uid="{BF05C583-1E6C-4D27-AF5D-194A39469749}"/>
    <cellStyle name="Currency 3 2 2 6 2 2 4" xfId="25790" xr:uid="{8DAFABE8-5287-42AE-9F8B-C04ED026CC48}"/>
    <cellStyle name="Currency 3 2 2 6 2 3" xfId="13126" xr:uid="{9E3C48AA-FEF4-416C-A8EB-0F05475FD158}"/>
    <cellStyle name="Currency 3 2 2 6 2 3 2" xfId="49468" xr:uid="{6B471214-63DC-4F79-8964-79254823D2AD}"/>
    <cellStyle name="Currency 3 2 2 6 2 3 3" xfId="30872" xr:uid="{629BE5D1-D1DE-435D-AED0-1BEDE204B0C0}"/>
    <cellStyle name="Currency 3 2 2 6 2 4" xfId="40171" xr:uid="{55FE3279-A8C9-4ECD-993D-FA76515A5338}"/>
    <cellStyle name="Currency 3 2 2 6 2 5" xfId="21573" xr:uid="{DB16D22B-2162-451B-BF80-3CE96A4ED306}"/>
    <cellStyle name="Currency 3 2 2 6 3" xfId="5872" xr:uid="{00000000-0005-0000-0000-0000F60A0000}"/>
    <cellStyle name="Currency 3 2 2 6 3 2" xfId="15198" xr:uid="{8C46A064-31BB-4577-8967-45E08F22CEFD}"/>
    <cellStyle name="Currency 3 2 2 6 3 2 2" xfId="51540" xr:uid="{DE4080C7-87E0-4574-B74A-7573854BA0F8}"/>
    <cellStyle name="Currency 3 2 2 6 3 2 3" xfId="32944" xr:uid="{FCB6C55E-CBEA-4658-ADA4-A279FF038F19}"/>
    <cellStyle name="Currency 3 2 2 6 3 3" xfId="42243" xr:uid="{0FA3C072-374F-44EE-98F9-97C84BFE167F}"/>
    <cellStyle name="Currency 3 2 2 6 3 4" xfId="23645" xr:uid="{30D11ABA-F249-470A-AD7F-5F984AD9D1DC}"/>
    <cellStyle name="Currency 3 2 2 6 4" xfId="10981" xr:uid="{9A3CC3F4-6482-4411-9C86-937B39ADBF26}"/>
    <cellStyle name="Currency 3 2 2 6 4 2" xfId="47323" xr:uid="{7FC8A800-DCF4-4290-A62D-7E40F7D91621}"/>
    <cellStyle name="Currency 3 2 2 6 4 3" xfId="28727" xr:uid="{89920DD7-3CAF-4E74-900A-D2EDC4ECA018}"/>
    <cellStyle name="Currency 3 2 2 6 5" xfId="38026" xr:uid="{AD52A52D-C96B-4E51-A72B-6A9A000CB7E9}"/>
    <cellStyle name="Currency 3 2 2 6 6" xfId="19428" xr:uid="{C37A04D4-FB56-4F0A-990D-AEFFCD4402A3}"/>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17756" xr:uid="{9E63018C-EA3F-4CC9-9603-0519F6446B39}"/>
    <cellStyle name="Currency 3 2 2 7 2 2 2 2" xfId="54098" xr:uid="{7ECCCF9D-7972-4118-81BC-3D0C004271A0}"/>
    <cellStyle name="Currency 3 2 2 7 2 2 2 3" xfId="35502" xr:uid="{51DBD972-4250-4C18-87CB-8D7B04199885}"/>
    <cellStyle name="Currency 3 2 2 7 2 2 3" xfId="44801" xr:uid="{F539C4EF-BEC1-468D-929A-8CD63F356F98}"/>
    <cellStyle name="Currency 3 2 2 7 2 2 4" xfId="26203" xr:uid="{92327840-8ADE-4EB9-BC60-48B2543CBB7B}"/>
    <cellStyle name="Currency 3 2 2 7 2 3" xfId="13539" xr:uid="{A005EE72-B0B1-4A01-B523-D3906FFDEEE7}"/>
    <cellStyle name="Currency 3 2 2 7 2 3 2" xfId="49881" xr:uid="{B4CF0CF2-D1C3-450C-9F3E-8E2BF0F437A5}"/>
    <cellStyle name="Currency 3 2 2 7 2 3 3" xfId="31285" xr:uid="{DCBA7675-B6A5-4038-B8BA-AEDA87A03033}"/>
    <cellStyle name="Currency 3 2 2 7 2 4" xfId="40584" xr:uid="{8CB56541-F7CA-4181-BE3C-BBB80EA6E81B}"/>
    <cellStyle name="Currency 3 2 2 7 2 5" xfId="21986" xr:uid="{1198F021-FB91-4D19-A726-B986DDBD079F}"/>
    <cellStyle name="Currency 3 2 2 7 3" xfId="6285" xr:uid="{00000000-0005-0000-0000-0000FA0A0000}"/>
    <cellStyle name="Currency 3 2 2 7 3 2" xfId="15611" xr:uid="{7A97F955-768A-4773-B9C5-D4FF69172D2A}"/>
    <cellStyle name="Currency 3 2 2 7 3 2 2" xfId="51953" xr:uid="{02E72808-A599-4CE0-BAC2-AFF35C4B0BD7}"/>
    <cellStyle name="Currency 3 2 2 7 3 2 3" xfId="33357" xr:uid="{E08AF206-D2B2-4ABA-B066-43000C96641B}"/>
    <cellStyle name="Currency 3 2 2 7 3 3" xfId="42656" xr:uid="{DEE216DC-79DF-4C2D-8CA6-29EE0E85D2B1}"/>
    <cellStyle name="Currency 3 2 2 7 3 4" xfId="24058" xr:uid="{A328DA5F-7380-4B6A-904F-39694441E4EB}"/>
    <cellStyle name="Currency 3 2 2 7 4" xfId="11394" xr:uid="{08F41222-0995-4FE1-92CF-F1349BCE27E2}"/>
    <cellStyle name="Currency 3 2 2 7 4 2" xfId="47736" xr:uid="{DA01343B-76C7-49A1-9CFD-296657B3DDB6}"/>
    <cellStyle name="Currency 3 2 2 7 4 3" xfId="29140" xr:uid="{CBDD7AF7-9C33-4194-A214-609D8DEBC64D}"/>
    <cellStyle name="Currency 3 2 2 7 5" xfId="38439" xr:uid="{CE04F6E1-AAC4-41DA-8186-1BEB9F13569F}"/>
    <cellStyle name="Currency 3 2 2 7 6" xfId="19841" xr:uid="{924E87E7-DBFB-49E1-9BC3-8681EDF85377}"/>
    <cellStyle name="Currency 3 2 2 8" xfId="2414" xr:uid="{00000000-0005-0000-0000-0000FB0A0000}"/>
    <cellStyle name="Currency 3 2 2 8 2" xfId="6698" xr:uid="{00000000-0005-0000-0000-0000FC0A0000}"/>
    <cellStyle name="Currency 3 2 2 8 2 2" xfId="16024" xr:uid="{58C0526C-C2B3-43A9-A652-F4618CEA16D8}"/>
    <cellStyle name="Currency 3 2 2 8 2 2 2" xfId="52366" xr:uid="{9AD37F62-F60A-408A-A71A-71703149A532}"/>
    <cellStyle name="Currency 3 2 2 8 2 2 3" xfId="33770" xr:uid="{DBB8D802-9EFF-49BF-8FD6-940DD20953DC}"/>
    <cellStyle name="Currency 3 2 2 8 2 3" xfId="43069" xr:uid="{D9D67B0D-DA71-484F-A347-DA4C0D7E7599}"/>
    <cellStyle name="Currency 3 2 2 8 2 4" xfId="24471" xr:uid="{9002621A-F10E-40AC-BBE1-19FA2D6772CD}"/>
    <cellStyle name="Currency 3 2 2 8 3" xfId="11807" xr:uid="{1366ACF0-57D8-4813-B334-455F5E1C2CF1}"/>
    <cellStyle name="Currency 3 2 2 8 3 2" xfId="48149" xr:uid="{B182C1EB-D26A-45CD-B7D3-6446838D9694}"/>
    <cellStyle name="Currency 3 2 2 8 3 3" xfId="29553" xr:uid="{72C5ADF7-3802-4D8D-AFC5-47813673CF0A}"/>
    <cellStyle name="Currency 3 2 2 8 4" xfId="38852" xr:uid="{85253ED2-05FB-48ED-9F35-C407648F059D}"/>
    <cellStyle name="Currency 3 2 2 8 5" xfId="20254" xr:uid="{16177685-B89A-4388-B968-F43944DF8976}"/>
    <cellStyle name="Currency 3 2 2 9" xfId="2711" xr:uid="{00000000-0005-0000-0000-0000FD0A0000}"/>
    <cellStyle name="Currency 3 2 3" xfId="182" xr:uid="{00000000-0005-0000-0000-0000FE0A0000}"/>
    <cellStyle name="Currency 3 2 3 10" xfId="4636" xr:uid="{00000000-0005-0000-0000-0000FF0A0000}"/>
    <cellStyle name="Currency 3 2 3 10 2" xfId="13962" xr:uid="{2178C772-D2B7-4212-B9A5-19957A4C6EA2}"/>
    <cellStyle name="Currency 3 2 3 10 2 2" xfId="50304" xr:uid="{39E95E2B-BB3F-4145-BD24-160D1C94D4EC}"/>
    <cellStyle name="Currency 3 2 3 10 2 3" xfId="31708" xr:uid="{B068580B-277D-4E6D-84AA-05CDB99D0836}"/>
    <cellStyle name="Currency 3 2 3 10 3" xfId="41007" xr:uid="{5731DCC2-5F42-49AC-A320-F412C8257986}"/>
    <cellStyle name="Currency 3 2 3 10 4" xfId="22409" xr:uid="{95A2FC37-8ED8-425C-BF98-89CEFB236E95}"/>
    <cellStyle name="Currency 3 2 3 11" xfId="8893" xr:uid="{8CE28714-D587-402C-9A17-1A08799662D4}"/>
    <cellStyle name="Currency 3 2 3 11 2" xfId="35963" xr:uid="{9F156297-F360-4273-8F09-E2BDBC030880}"/>
    <cellStyle name="Currency 3 2 3 11 2 2" xfId="54558" xr:uid="{D24C6F16-ED49-440E-969F-F18EADAF8871}"/>
    <cellStyle name="Currency 3 2 3 11 3" xfId="45261" xr:uid="{B4FA4A68-1F45-4DA9-BE3F-7B105DB111BF}"/>
    <cellStyle name="Currency 3 2 3 11 4" xfId="26664" xr:uid="{B08526E8-EA38-4BCB-BB28-60807BABF72A}"/>
    <cellStyle name="Currency 3 2 3 12" xfId="9745" xr:uid="{EB482D51-3350-4298-931B-91E831D33052}"/>
    <cellStyle name="Currency 3 2 3 12 2" xfId="46087" xr:uid="{762B9F90-A0C6-4675-B4DB-1BBB535298B3}"/>
    <cellStyle name="Currency 3 2 3 12 3" xfId="27491" xr:uid="{1B6BA893-AE10-41DE-B7E6-9FD86BD5D3D9}"/>
    <cellStyle name="Currency 3 2 3 13" xfId="36790" xr:uid="{596744A6-1B42-407C-B780-BD87BE818142}"/>
    <cellStyle name="Currency 3 2 3 14" xfId="18192" xr:uid="{26CD5C30-B04C-4A04-ABFC-D9EADEE7D310}"/>
    <cellStyle name="Currency 3 2 3 2" xfId="183" xr:uid="{00000000-0005-0000-0000-0000000B0000}"/>
    <cellStyle name="Currency 3 2 3 2 10" xfId="9100" xr:uid="{CEBE1F40-0923-46C6-AB84-DD4DAB20CD81}"/>
    <cellStyle name="Currency 3 2 3 2 10 2" xfId="36170" xr:uid="{20205443-7E18-4CDA-A656-4E77F4C81CA1}"/>
    <cellStyle name="Currency 3 2 3 2 10 2 2" xfId="54765" xr:uid="{2296E265-2BFA-4D06-9F62-13AB3231A477}"/>
    <cellStyle name="Currency 3 2 3 2 10 3" xfId="45468" xr:uid="{A7C33E42-B56D-44F4-A6E4-226BAA568465}"/>
    <cellStyle name="Currency 3 2 3 2 10 4" xfId="26871" xr:uid="{680A5A0E-E36F-4B3E-87AB-6E376B13297D}"/>
    <cellStyle name="Currency 3 2 3 2 11" xfId="9746" xr:uid="{4A4BF31C-D48D-413A-9F6A-C935A3E0692C}"/>
    <cellStyle name="Currency 3 2 3 2 11 2" xfId="46088" xr:uid="{19F57E2A-918C-434B-9532-248241D0E4AE}"/>
    <cellStyle name="Currency 3 2 3 2 11 3" xfId="27492" xr:uid="{E0BAB5C4-9214-4DC6-8B73-C3DD21C0E0ED}"/>
    <cellStyle name="Currency 3 2 3 2 12" xfId="36791" xr:uid="{6E579A38-F58B-4B59-82ED-50B2383A7A28}"/>
    <cellStyle name="Currency 3 2 3 2 13" xfId="18193" xr:uid="{F23148DF-6383-47C9-AE31-FDC25B1D88D4}"/>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16522" xr:uid="{45FA1F99-86BE-4F74-9629-63DA14D6420B}"/>
    <cellStyle name="Currency 3 2 3 2 2 2 2 2 2" xfId="52864" xr:uid="{495035E2-9E07-4D61-9A95-039A9E552C19}"/>
    <cellStyle name="Currency 3 2 3 2 2 2 2 2 3" xfId="34268" xr:uid="{FF1E6B7C-3C68-453B-B1C7-ECAEB363A58C}"/>
    <cellStyle name="Currency 3 2 3 2 2 2 2 3" xfId="43567" xr:uid="{2D700BFD-65E1-4A6A-9EAA-900B595EC3B1}"/>
    <cellStyle name="Currency 3 2 3 2 2 2 2 4" xfId="24969" xr:uid="{6265AF53-0153-4E7E-883E-287283EA9360}"/>
    <cellStyle name="Currency 3 2 3 2 2 2 3" xfId="12305" xr:uid="{F0B7FD9C-20D2-4D2A-A593-C8AE155BBF35}"/>
    <cellStyle name="Currency 3 2 3 2 2 2 3 2" xfId="48647" xr:uid="{0AA58369-7021-4D02-8169-4DB5F0BA19FD}"/>
    <cellStyle name="Currency 3 2 3 2 2 2 3 3" xfId="30051" xr:uid="{4EBEEF17-220F-4824-851B-8A2AAFE73B9D}"/>
    <cellStyle name="Currency 3 2 3 2 2 2 4" xfId="39350" xr:uid="{3A8CBCC4-379A-4E4B-B505-70B222651F47}"/>
    <cellStyle name="Currency 3 2 3 2 2 2 5" xfId="20752" xr:uid="{C504FAB6-69D2-4262-B7EB-E465EE8B8637}"/>
    <cellStyle name="Currency 3 2 3 2 2 3" xfId="5051" xr:uid="{00000000-0005-0000-0000-0000040B0000}"/>
    <cellStyle name="Currency 3 2 3 2 2 3 2" xfId="14377" xr:uid="{8D3BDA41-39B5-4DD9-8D40-EC861D7110A8}"/>
    <cellStyle name="Currency 3 2 3 2 2 3 2 2" xfId="50719" xr:uid="{9ECADA6C-52F7-4DD7-8306-B285389B93FC}"/>
    <cellStyle name="Currency 3 2 3 2 2 3 2 3" xfId="32123" xr:uid="{6923A5C0-D40D-4700-839A-408217D15FF1}"/>
    <cellStyle name="Currency 3 2 3 2 2 3 3" xfId="41422" xr:uid="{74C8E5A8-1FD7-43BA-BD17-331AE3F7938B}"/>
    <cellStyle name="Currency 3 2 3 2 2 3 4" xfId="22824" xr:uid="{A22DF7B7-FC4C-4ACD-8335-1BDF8BA3C2BF}"/>
    <cellStyle name="Currency 3 2 3 2 2 4" xfId="9525" xr:uid="{759374BA-DDD8-4F33-9655-B300986F8700}"/>
    <cellStyle name="Currency 3 2 3 2 2 4 2" xfId="36586" xr:uid="{A865E2E0-8135-4641-B463-075EDF09C0BF}"/>
    <cellStyle name="Currency 3 2 3 2 2 4 2 2" xfId="55180" xr:uid="{AAA8E9AC-8378-47E7-84F1-C9331311A577}"/>
    <cellStyle name="Currency 3 2 3 2 2 4 3" xfId="45883" xr:uid="{54F0180A-A008-4D58-B4BF-EE19780E9A70}"/>
    <cellStyle name="Currency 3 2 3 2 2 4 4" xfId="27287" xr:uid="{4C4908F4-ECE5-43F4-A8F3-7A7A4AA7E28B}"/>
    <cellStyle name="Currency 3 2 3 2 2 5" xfId="10160" xr:uid="{D3B66ABD-B6C9-4E40-B9B1-893CE0EE8753}"/>
    <cellStyle name="Currency 3 2 3 2 2 5 2" xfId="46502" xr:uid="{94C7C0DE-0FFD-4D5B-8C42-91A801A6C091}"/>
    <cellStyle name="Currency 3 2 3 2 2 5 3" xfId="27906" xr:uid="{6958A3F0-2C9A-41CC-87E4-0E03BC306DF8}"/>
    <cellStyle name="Currency 3 2 3 2 2 6" xfId="37205" xr:uid="{BE07765A-09FA-4D04-89BE-0A1D3E043D1D}"/>
    <cellStyle name="Currency 3 2 3 2 2 7" xfId="18607" xr:uid="{DDD6D7D4-BE38-4D11-9405-DDE298ACCEA3}"/>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16935" xr:uid="{367EE55A-77A7-4C33-9A79-5CA279BDE27A}"/>
    <cellStyle name="Currency 3 2 3 2 3 2 2 2 2" xfId="53277" xr:uid="{2CE7A344-88AC-49B3-9AC6-A26CFCCAFCC8}"/>
    <cellStyle name="Currency 3 2 3 2 3 2 2 2 3" xfId="34681" xr:uid="{B27C42F5-BB6D-4CEE-9A67-BADAFE34D366}"/>
    <cellStyle name="Currency 3 2 3 2 3 2 2 3" xfId="43980" xr:uid="{756CD0F5-37C9-4656-B5D2-7CA5C8A6D074}"/>
    <cellStyle name="Currency 3 2 3 2 3 2 2 4" xfId="25382" xr:uid="{90D79BCB-F31A-4484-BAA8-85749E1D4BB3}"/>
    <cellStyle name="Currency 3 2 3 2 3 2 3" xfId="12718" xr:uid="{1041C69C-088F-4D30-98D0-D80B786E2DFA}"/>
    <cellStyle name="Currency 3 2 3 2 3 2 3 2" xfId="49060" xr:uid="{DA45A547-5A98-4BF7-84DA-887B9839D202}"/>
    <cellStyle name="Currency 3 2 3 2 3 2 3 3" xfId="30464" xr:uid="{4FEADDE0-CC6B-4B48-9C72-99ED78B5D7AA}"/>
    <cellStyle name="Currency 3 2 3 2 3 2 4" xfId="39763" xr:uid="{8C3FA55E-F9E7-4E3C-AA9D-D0BF3FB75137}"/>
    <cellStyle name="Currency 3 2 3 2 3 2 5" xfId="21165" xr:uid="{1DDA2F43-3DD4-4B51-ADA3-29C07AFC08AF}"/>
    <cellStyle name="Currency 3 2 3 2 3 3" xfId="5464" xr:uid="{00000000-0005-0000-0000-0000080B0000}"/>
    <cellStyle name="Currency 3 2 3 2 3 3 2" xfId="14790" xr:uid="{5CD8CE48-F973-40F0-BDFA-EF1A5EBD4EF7}"/>
    <cellStyle name="Currency 3 2 3 2 3 3 2 2" xfId="51132" xr:uid="{D543EC35-E5CF-4224-97FF-B2ACDC33F535}"/>
    <cellStyle name="Currency 3 2 3 2 3 3 2 3" xfId="32536" xr:uid="{13F534CD-120E-43C9-AF6C-68C001FDD094}"/>
    <cellStyle name="Currency 3 2 3 2 3 3 3" xfId="41835" xr:uid="{1C57AD36-1294-49B4-B146-BE4BD6340180}"/>
    <cellStyle name="Currency 3 2 3 2 3 3 4" xfId="23237" xr:uid="{53D466B0-0F25-408C-B080-A6BEA601280A}"/>
    <cellStyle name="Currency 3 2 3 2 3 4" xfId="10573" xr:uid="{0C9EBF90-5515-47BF-8536-1825FAAA433E}"/>
    <cellStyle name="Currency 3 2 3 2 3 4 2" xfId="46915" xr:uid="{20B37CBB-2660-439B-AA73-533DB42C732F}"/>
    <cellStyle name="Currency 3 2 3 2 3 4 3" xfId="28319" xr:uid="{4C174673-7BB2-44D7-8B3B-DB8F977A7C8F}"/>
    <cellStyle name="Currency 3 2 3 2 3 5" xfId="37618" xr:uid="{8070A595-A24C-49E7-BBDB-7271426E9149}"/>
    <cellStyle name="Currency 3 2 3 2 3 6" xfId="19020" xr:uid="{0CA6304F-0F42-4847-AA43-1FB46DB39EE5}"/>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17348" xr:uid="{79FE53BF-8A46-431F-9C83-5A2E4A1C637E}"/>
    <cellStyle name="Currency 3 2 3 2 4 2 2 2 2" xfId="53690" xr:uid="{05A348AC-677B-4237-9440-B3FBCCDB4333}"/>
    <cellStyle name="Currency 3 2 3 2 4 2 2 2 3" xfId="35094" xr:uid="{A4617D6C-7A96-4A2A-858A-9F9AF3972205}"/>
    <cellStyle name="Currency 3 2 3 2 4 2 2 3" xfId="44393" xr:uid="{7850DB28-4F13-43BC-9204-A5B5B3C2C7A1}"/>
    <cellStyle name="Currency 3 2 3 2 4 2 2 4" xfId="25795" xr:uid="{E466074B-6900-426F-BD2B-C2B4475A5A20}"/>
    <cellStyle name="Currency 3 2 3 2 4 2 3" xfId="13131" xr:uid="{AF38BA1D-557A-4763-8D96-4CC7E64FB08E}"/>
    <cellStyle name="Currency 3 2 3 2 4 2 3 2" xfId="49473" xr:uid="{C5BAF391-4577-4E95-9D3B-28863913CA74}"/>
    <cellStyle name="Currency 3 2 3 2 4 2 3 3" xfId="30877" xr:uid="{167853F0-554C-4D03-A760-BFE00A105241}"/>
    <cellStyle name="Currency 3 2 3 2 4 2 4" xfId="40176" xr:uid="{18DACFAE-4F16-4366-AA36-A08CFDC5E0B9}"/>
    <cellStyle name="Currency 3 2 3 2 4 2 5" xfId="21578" xr:uid="{C78B1C12-63E9-4D77-9132-DBCED4866D05}"/>
    <cellStyle name="Currency 3 2 3 2 4 3" xfId="5877" xr:uid="{00000000-0005-0000-0000-00000C0B0000}"/>
    <cellStyle name="Currency 3 2 3 2 4 3 2" xfId="15203" xr:uid="{7C91A999-BAC7-414B-8222-73F63F4460AB}"/>
    <cellStyle name="Currency 3 2 3 2 4 3 2 2" xfId="51545" xr:uid="{B7265B1D-F4EE-4B43-9674-0A8AEADDB024}"/>
    <cellStyle name="Currency 3 2 3 2 4 3 2 3" xfId="32949" xr:uid="{732134B5-F35A-43ED-9E2C-4B89A20EEB08}"/>
    <cellStyle name="Currency 3 2 3 2 4 3 3" xfId="42248" xr:uid="{AECD4531-BF7E-4E16-8CDF-D53EECC10F7B}"/>
    <cellStyle name="Currency 3 2 3 2 4 3 4" xfId="23650" xr:uid="{465C2456-B6AC-4B24-AADA-2C1EB45C1173}"/>
    <cellStyle name="Currency 3 2 3 2 4 4" xfId="10986" xr:uid="{D348FF8F-AB44-4E73-8DED-B2AE4947EA0F}"/>
    <cellStyle name="Currency 3 2 3 2 4 4 2" xfId="47328" xr:uid="{CD504FC4-71D6-425B-B900-E8CF51037640}"/>
    <cellStyle name="Currency 3 2 3 2 4 4 3" xfId="28732" xr:uid="{6F84AF4A-FCBD-4837-82EC-93FEC824084B}"/>
    <cellStyle name="Currency 3 2 3 2 4 5" xfId="38031" xr:uid="{A5698E25-A09A-4BE8-B7AF-0D39735F6AAD}"/>
    <cellStyle name="Currency 3 2 3 2 4 6" xfId="19433" xr:uid="{36EB2D91-A24B-4633-BA46-1E14DB83156D}"/>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17761" xr:uid="{AE9C89B8-94F6-4ADB-A4A7-12E5CA9710B2}"/>
    <cellStyle name="Currency 3 2 3 2 5 2 2 2 2" xfId="54103" xr:uid="{2B65895F-CB71-481E-A647-25D29BDC762D}"/>
    <cellStyle name="Currency 3 2 3 2 5 2 2 2 3" xfId="35507" xr:uid="{43A6D49D-8EBD-473F-BF4B-D772E750A062}"/>
    <cellStyle name="Currency 3 2 3 2 5 2 2 3" xfId="44806" xr:uid="{30EA3E85-6A0A-402D-ABB5-561EB6B8B1A3}"/>
    <cellStyle name="Currency 3 2 3 2 5 2 2 4" xfId="26208" xr:uid="{1D649C7E-45E5-481E-845D-8695D9208991}"/>
    <cellStyle name="Currency 3 2 3 2 5 2 3" xfId="13544" xr:uid="{31D2BC63-9F3A-429B-9B04-734A5030AB41}"/>
    <cellStyle name="Currency 3 2 3 2 5 2 3 2" xfId="49886" xr:uid="{2B8FA3DA-04B2-4356-855F-330D32FF95F3}"/>
    <cellStyle name="Currency 3 2 3 2 5 2 3 3" xfId="31290" xr:uid="{D9BFDD30-7733-4EB3-A135-E6C15AA8C6E1}"/>
    <cellStyle name="Currency 3 2 3 2 5 2 4" xfId="40589" xr:uid="{D7A11D70-BE1E-424C-A83B-F068D45876BF}"/>
    <cellStyle name="Currency 3 2 3 2 5 2 5" xfId="21991" xr:uid="{98F30927-AAD4-47F2-97B9-49622AFA2A6D}"/>
    <cellStyle name="Currency 3 2 3 2 5 3" xfId="6290" xr:uid="{00000000-0005-0000-0000-0000100B0000}"/>
    <cellStyle name="Currency 3 2 3 2 5 3 2" xfId="15616" xr:uid="{9B9D0A5F-78CE-4151-AB38-5235CC30567E}"/>
    <cellStyle name="Currency 3 2 3 2 5 3 2 2" xfId="51958" xr:uid="{E9A54683-680C-4550-9B00-E6A1C8F3ABFA}"/>
    <cellStyle name="Currency 3 2 3 2 5 3 2 3" xfId="33362" xr:uid="{D570BD7B-D9D9-4191-AB62-E0DD883DAC81}"/>
    <cellStyle name="Currency 3 2 3 2 5 3 3" xfId="42661" xr:uid="{0ECBBE4C-6221-4AEF-A4E9-582020F30460}"/>
    <cellStyle name="Currency 3 2 3 2 5 3 4" xfId="24063" xr:uid="{830A8D2E-A440-4284-AFEE-5B8DB67947EA}"/>
    <cellStyle name="Currency 3 2 3 2 5 4" xfId="11399" xr:uid="{F026B352-D40D-4243-9FFC-3518C3C8A93A}"/>
    <cellStyle name="Currency 3 2 3 2 5 4 2" xfId="47741" xr:uid="{F69FC82B-6AB2-4AA8-B914-C72196BA2984}"/>
    <cellStyle name="Currency 3 2 3 2 5 4 3" xfId="29145" xr:uid="{47337DC9-802D-4EFA-B566-C1C03C62C31F}"/>
    <cellStyle name="Currency 3 2 3 2 5 5" xfId="38444" xr:uid="{F64E18DB-C504-4AF0-A1E0-51D2FE8DEA25}"/>
    <cellStyle name="Currency 3 2 3 2 5 6" xfId="19846" xr:uid="{EBDDF5F4-D998-4FD8-B188-EB273F62FD8A}"/>
    <cellStyle name="Currency 3 2 3 2 6" xfId="2419" xr:uid="{00000000-0005-0000-0000-0000110B0000}"/>
    <cellStyle name="Currency 3 2 3 2 6 2" xfId="6703" xr:uid="{00000000-0005-0000-0000-0000120B0000}"/>
    <cellStyle name="Currency 3 2 3 2 6 2 2" xfId="16029" xr:uid="{D676EE2D-0622-4ABD-AEC6-6F551DA6617D}"/>
    <cellStyle name="Currency 3 2 3 2 6 2 2 2" xfId="52371" xr:uid="{61E07ADE-771E-45AE-B30E-360DDECA6ACF}"/>
    <cellStyle name="Currency 3 2 3 2 6 2 2 3" xfId="33775" xr:uid="{8D1AFB47-1F93-4DC4-A927-41B21C22C14A}"/>
    <cellStyle name="Currency 3 2 3 2 6 2 3" xfId="43074" xr:uid="{44F3C035-99FE-440D-939F-969B41BD1B01}"/>
    <cellStyle name="Currency 3 2 3 2 6 2 4" xfId="24476" xr:uid="{831BB0E8-ACB8-4037-941F-106E7E48DBD9}"/>
    <cellStyle name="Currency 3 2 3 2 6 3" xfId="11812" xr:uid="{86BB3C1A-A1BC-46F8-B196-96AC66208D85}"/>
    <cellStyle name="Currency 3 2 3 2 6 3 2" xfId="48154" xr:uid="{169CB766-480A-4797-A5E8-0E35E120292C}"/>
    <cellStyle name="Currency 3 2 3 2 6 3 3" xfId="29558" xr:uid="{952FCCEC-F8CE-4561-A0A7-B5AF23A0976B}"/>
    <cellStyle name="Currency 3 2 3 2 6 4" xfId="38857" xr:uid="{6EE3D1AD-8389-49F1-B471-B4EC3E6CFA6A}"/>
    <cellStyle name="Currency 3 2 3 2 6 5" xfId="20259" xr:uid="{ED2C9CE7-B57E-4C6B-A457-2086B5FA62E4}"/>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16346" xr:uid="{C737E335-FF20-49BA-B4EA-88C93E502CD7}"/>
    <cellStyle name="Currency 3 2 3 2 8 2 2 2" xfId="52688" xr:uid="{C39687D4-E6DA-4F29-A7A5-EF66CF5FCAEE}"/>
    <cellStyle name="Currency 3 2 3 2 8 2 2 3" xfId="34092" xr:uid="{C79881A4-7426-429F-9E3C-B9CC9ED893B4}"/>
    <cellStyle name="Currency 3 2 3 2 8 2 3" xfId="43391" xr:uid="{452D2966-4E92-43F4-96B3-5E0F4DC9C43A}"/>
    <cellStyle name="Currency 3 2 3 2 8 2 4" xfId="24793" xr:uid="{4503BD81-BE31-4F65-A9D7-A93D3D7F0C01}"/>
    <cellStyle name="Currency 3 2 3 2 8 3" xfId="12129" xr:uid="{E1BA981A-D8BD-4DE9-B82E-5FE43260C099}"/>
    <cellStyle name="Currency 3 2 3 2 8 3 2" xfId="48471" xr:uid="{32205E4A-3CE1-4BB8-BA57-F690984D3EC9}"/>
    <cellStyle name="Currency 3 2 3 2 8 3 3" xfId="29875" xr:uid="{26D96CB6-1F94-4904-A26C-3E75F2CC9190}"/>
    <cellStyle name="Currency 3 2 3 2 8 4" xfId="39174" xr:uid="{9825C006-BC9B-4E80-A432-F8106EE111C0}"/>
    <cellStyle name="Currency 3 2 3 2 8 5" xfId="20576" xr:uid="{6BFAD6DA-C0F3-44C2-A897-F3C8470AFFE8}"/>
    <cellStyle name="Currency 3 2 3 2 9" xfId="4637" xr:uid="{00000000-0005-0000-0000-0000160B0000}"/>
    <cellStyle name="Currency 3 2 3 2 9 2" xfId="13963" xr:uid="{DFDB0BD0-C7A5-4467-AD0A-26F959DC48F0}"/>
    <cellStyle name="Currency 3 2 3 2 9 2 2" xfId="50305" xr:uid="{CBC3853C-CF72-4FF0-A4FC-E0B25B0CEC3D}"/>
    <cellStyle name="Currency 3 2 3 2 9 2 3" xfId="31709" xr:uid="{982BE616-B0C6-4E37-AED1-542953A1567A}"/>
    <cellStyle name="Currency 3 2 3 2 9 3" xfId="41008" xr:uid="{D1F2590F-DBB2-4925-961F-9F97F19CBAC3}"/>
    <cellStyle name="Currency 3 2 3 2 9 4" xfId="22410" xr:uid="{B259F01E-DD80-4CF9-8A85-80A13C92EAD0}"/>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16521" xr:uid="{8931E9FF-9C1B-45B2-8730-B70A4531415B}"/>
    <cellStyle name="Currency 3 2 3 3 2 2 2 2" xfId="52863" xr:uid="{C4737C10-BC38-4852-A105-0E97BB6CA370}"/>
    <cellStyle name="Currency 3 2 3 3 2 2 2 3" xfId="34267" xr:uid="{7D210A83-CF43-4AE6-9B67-49525300DCD8}"/>
    <cellStyle name="Currency 3 2 3 3 2 2 3" xfId="43566" xr:uid="{EBA8DDC5-D66C-49D4-93B7-1610019B7C03}"/>
    <cellStyle name="Currency 3 2 3 3 2 2 4" xfId="24968" xr:uid="{136E2C23-129E-4640-8743-4668C7918D5C}"/>
    <cellStyle name="Currency 3 2 3 3 2 3" xfId="12304" xr:uid="{2CC5B388-2D24-4D49-AB09-2FF06E0163DF}"/>
    <cellStyle name="Currency 3 2 3 3 2 3 2" xfId="48646" xr:uid="{ACF8C671-9139-4BBD-ADA0-1223C6198FCA}"/>
    <cellStyle name="Currency 3 2 3 3 2 3 3" xfId="30050" xr:uid="{B59D2895-46FB-46CC-BDD0-271CE682BBCD}"/>
    <cellStyle name="Currency 3 2 3 3 2 4" xfId="39349" xr:uid="{57A208E3-B04E-4AC1-9E09-8D74809AB6FA}"/>
    <cellStyle name="Currency 3 2 3 3 2 5" xfId="20751" xr:uid="{3BB975AD-3E2B-446E-9441-FB5DE2C654B7}"/>
    <cellStyle name="Currency 3 2 3 3 3" xfId="5050" xr:uid="{00000000-0005-0000-0000-00001A0B0000}"/>
    <cellStyle name="Currency 3 2 3 3 3 2" xfId="14376" xr:uid="{E4CA2827-5740-4736-A77A-53F0385863CB}"/>
    <cellStyle name="Currency 3 2 3 3 3 2 2" xfId="50718" xr:uid="{9BABF4BA-A5A8-438E-8C32-073A73C22C3F}"/>
    <cellStyle name="Currency 3 2 3 3 3 2 3" xfId="32122" xr:uid="{71C62BFB-D7C0-4837-A3FF-1176BB5EC0FD}"/>
    <cellStyle name="Currency 3 2 3 3 3 3" xfId="41421" xr:uid="{CF8D8FEC-4627-47C7-A8DA-7F21E66C7867}"/>
    <cellStyle name="Currency 3 2 3 3 3 4" xfId="22823" xr:uid="{4DEB4F7B-D147-4906-AE78-15709D3578BF}"/>
    <cellStyle name="Currency 3 2 3 3 4" xfId="9318" xr:uid="{AA73873E-8E72-4FDE-A22E-F5D80E2A87B1}"/>
    <cellStyle name="Currency 3 2 3 3 4 2" xfId="36379" xr:uid="{A1D63F7A-6D23-4322-B0CF-F5375F04B084}"/>
    <cellStyle name="Currency 3 2 3 3 4 2 2" xfId="54973" xr:uid="{94F393AA-2880-4699-81F4-D32D7F437C76}"/>
    <cellStyle name="Currency 3 2 3 3 4 3" xfId="45676" xr:uid="{38D65915-3AD8-42AD-BD96-2FED40931C28}"/>
    <cellStyle name="Currency 3 2 3 3 4 4" xfId="27080" xr:uid="{A4513216-45CB-4E59-9802-8A433E04C7D5}"/>
    <cellStyle name="Currency 3 2 3 3 5" xfId="10159" xr:uid="{55A85DC9-0DD9-4716-9CE9-993CAC1C3382}"/>
    <cellStyle name="Currency 3 2 3 3 5 2" xfId="46501" xr:uid="{8F6D169E-DC4B-4189-B92D-4492865377AC}"/>
    <cellStyle name="Currency 3 2 3 3 5 3" xfId="27905" xr:uid="{83468AC7-BEAC-489A-8981-AD6E01CCD45E}"/>
    <cellStyle name="Currency 3 2 3 3 6" xfId="37204" xr:uid="{E919DAFA-8252-4AEE-A473-568924FA2F13}"/>
    <cellStyle name="Currency 3 2 3 3 7" xfId="18606" xr:uid="{5A40DCBB-780E-4BC8-83EA-EC4344CA254C}"/>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16934" xr:uid="{E502FC10-3E6C-4077-BBDB-BE4CA0E7B18D}"/>
    <cellStyle name="Currency 3 2 3 4 2 2 2 2" xfId="53276" xr:uid="{79404D05-F776-41AD-83D1-646B2BB71E4D}"/>
    <cellStyle name="Currency 3 2 3 4 2 2 2 3" xfId="34680" xr:uid="{E198BA05-7257-4544-B568-40623D27D3A9}"/>
    <cellStyle name="Currency 3 2 3 4 2 2 3" xfId="43979" xr:uid="{7D0AD49F-7152-43DF-8339-B485CB56C8BD}"/>
    <cellStyle name="Currency 3 2 3 4 2 2 4" xfId="25381" xr:uid="{DD91B2D6-0480-429C-8926-15B6561C9302}"/>
    <cellStyle name="Currency 3 2 3 4 2 3" xfId="12717" xr:uid="{32D5EE7B-74D5-4F23-9103-F17A67DD44FB}"/>
    <cellStyle name="Currency 3 2 3 4 2 3 2" xfId="49059" xr:uid="{E64C4D99-0A8E-4F8B-B7CB-1F178B89C825}"/>
    <cellStyle name="Currency 3 2 3 4 2 3 3" xfId="30463" xr:uid="{799B4348-29D1-487A-8D19-7F3BF0A3DC2B}"/>
    <cellStyle name="Currency 3 2 3 4 2 4" xfId="39762" xr:uid="{D8192F16-F2CC-40FC-9055-FF42EC0FF16C}"/>
    <cellStyle name="Currency 3 2 3 4 2 5" xfId="21164" xr:uid="{6D3AB2E7-24FA-4919-B4EB-0C33D1989FB4}"/>
    <cellStyle name="Currency 3 2 3 4 3" xfId="5463" xr:uid="{00000000-0005-0000-0000-00001E0B0000}"/>
    <cellStyle name="Currency 3 2 3 4 3 2" xfId="14789" xr:uid="{697BF7B9-7473-4E7C-8162-B69BA10792F3}"/>
    <cellStyle name="Currency 3 2 3 4 3 2 2" xfId="51131" xr:uid="{41D38CED-1371-4073-AA20-FE6BA05AB927}"/>
    <cellStyle name="Currency 3 2 3 4 3 2 3" xfId="32535" xr:uid="{5B085E14-5372-44D3-A19D-12AD4928EC83}"/>
    <cellStyle name="Currency 3 2 3 4 3 3" xfId="41834" xr:uid="{FBCBD0FA-C9B9-442C-9B18-C3E06B7E5B0A}"/>
    <cellStyle name="Currency 3 2 3 4 3 4" xfId="23236" xr:uid="{C4E802EA-E81C-48FB-9874-8B2DD3BBBFF8}"/>
    <cellStyle name="Currency 3 2 3 4 4" xfId="10572" xr:uid="{19CF3882-99B3-4A1B-A9BA-8910206AE17F}"/>
    <cellStyle name="Currency 3 2 3 4 4 2" xfId="46914" xr:uid="{BE3EA7F1-9509-49D9-842A-5F96DD5CB729}"/>
    <cellStyle name="Currency 3 2 3 4 4 3" xfId="28318" xr:uid="{BD60A91D-1AEC-428B-B2CA-632CF903001D}"/>
    <cellStyle name="Currency 3 2 3 4 5" xfId="37617" xr:uid="{348744B2-68E2-4188-8D07-FA365AB86FA8}"/>
    <cellStyle name="Currency 3 2 3 4 6" xfId="19019" xr:uid="{8D8647C4-0AE4-409F-9179-EBBE320C08C0}"/>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17347" xr:uid="{904BD1D4-0213-40E7-813B-F58AA4DAA66B}"/>
    <cellStyle name="Currency 3 2 3 5 2 2 2 2" xfId="53689" xr:uid="{448A5013-9BE3-419F-B6BE-9CC389CD505A}"/>
    <cellStyle name="Currency 3 2 3 5 2 2 2 3" xfId="35093" xr:uid="{12EF3DCA-72FF-4B80-A0F8-CABADD81461E}"/>
    <cellStyle name="Currency 3 2 3 5 2 2 3" xfId="44392" xr:uid="{ECB38CBF-31A1-42D9-A723-0E5A3051075E}"/>
    <cellStyle name="Currency 3 2 3 5 2 2 4" xfId="25794" xr:uid="{4C3B273A-8BA6-4A07-BBE7-3244E02632E0}"/>
    <cellStyle name="Currency 3 2 3 5 2 3" xfId="13130" xr:uid="{C978BC4B-2D60-4A77-B53C-CBA8539285AC}"/>
    <cellStyle name="Currency 3 2 3 5 2 3 2" xfId="49472" xr:uid="{D162D067-0121-4AF4-AD50-E10AF4BC9394}"/>
    <cellStyle name="Currency 3 2 3 5 2 3 3" xfId="30876" xr:uid="{186700D7-8E82-472A-97B8-2F930AD3B3F7}"/>
    <cellStyle name="Currency 3 2 3 5 2 4" xfId="40175" xr:uid="{8678960F-CCF2-4897-9468-B1CCA27A5DEA}"/>
    <cellStyle name="Currency 3 2 3 5 2 5" xfId="21577" xr:uid="{D567DE69-5EB6-4712-BA30-7A6FF86C2A82}"/>
    <cellStyle name="Currency 3 2 3 5 3" xfId="5876" xr:uid="{00000000-0005-0000-0000-0000220B0000}"/>
    <cellStyle name="Currency 3 2 3 5 3 2" xfId="15202" xr:uid="{4C947E68-0A13-4DCA-838E-46A6AA2456B8}"/>
    <cellStyle name="Currency 3 2 3 5 3 2 2" xfId="51544" xr:uid="{8F4488A2-9A2C-4F7B-AD09-0B84C4697E41}"/>
    <cellStyle name="Currency 3 2 3 5 3 2 3" xfId="32948" xr:uid="{7CE0C4BC-EB0E-42DF-A1AE-141DD0F44D77}"/>
    <cellStyle name="Currency 3 2 3 5 3 3" xfId="42247" xr:uid="{93A0954D-CC4F-491A-AF4D-2C50C757F5B3}"/>
    <cellStyle name="Currency 3 2 3 5 3 4" xfId="23649" xr:uid="{F1777A89-4079-4B23-B645-AEB4A89C746C}"/>
    <cellStyle name="Currency 3 2 3 5 4" xfId="10985" xr:uid="{7021C6D4-0C2B-4901-BDF0-EF0202F43517}"/>
    <cellStyle name="Currency 3 2 3 5 4 2" xfId="47327" xr:uid="{A0182278-3FAA-492A-93D7-82738A05F4D5}"/>
    <cellStyle name="Currency 3 2 3 5 4 3" xfId="28731" xr:uid="{1BB90F57-F093-4863-89EF-E8B475A6B0D6}"/>
    <cellStyle name="Currency 3 2 3 5 5" xfId="38030" xr:uid="{D1F535B1-0E89-4912-A122-B18D1E8197F1}"/>
    <cellStyle name="Currency 3 2 3 5 6" xfId="19432" xr:uid="{10DBB3AE-AFCD-426A-80A7-13271B82CC94}"/>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17760" xr:uid="{3BCC5519-DA80-4308-BDFD-65168AF3FC0F}"/>
    <cellStyle name="Currency 3 2 3 6 2 2 2 2" xfId="54102" xr:uid="{ACCEA037-BF32-45D8-8DEB-7FF9C1D3AC1C}"/>
    <cellStyle name="Currency 3 2 3 6 2 2 2 3" xfId="35506" xr:uid="{D878B896-6D16-4990-8D40-1C75CBA005B8}"/>
    <cellStyle name="Currency 3 2 3 6 2 2 3" xfId="44805" xr:uid="{AA81A1A3-B7EE-4860-9ADB-60C11FEE01CA}"/>
    <cellStyle name="Currency 3 2 3 6 2 2 4" xfId="26207" xr:uid="{CF309D7C-3305-4FDC-8B87-B33DF44F53FE}"/>
    <cellStyle name="Currency 3 2 3 6 2 3" xfId="13543" xr:uid="{AE306D78-E879-4957-8FEA-CEE104264597}"/>
    <cellStyle name="Currency 3 2 3 6 2 3 2" xfId="49885" xr:uid="{A1EDC97D-AE6A-4B11-B472-273F2020A804}"/>
    <cellStyle name="Currency 3 2 3 6 2 3 3" xfId="31289" xr:uid="{BB37B14D-7200-40A9-A01D-3CE77D27E60C}"/>
    <cellStyle name="Currency 3 2 3 6 2 4" xfId="40588" xr:uid="{875FBF9E-A0AF-461D-B6E6-45B626EE0E46}"/>
    <cellStyle name="Currency 3 2 3 6 2 5" xfId="21990" xr:uid="{2714FCA1-7A8E-4166-B524-8A5619F3921A}"/>
    <cellStyle name="Currency 3 2 3 6 3" xfId="6289" xr:uid="{00000000-0005-0000-0000-0000260B0000}"/>
    <cellStyle name="Currency 3 2 3 6 3 2" xfId="15615" xr:uid="{22CB34CB-CD25-43DD-9603-6B10FE34388A}"/>
    <cellStyle name="Currency 3 2 3 6 3 2 2" xfId="51957" xr:uid="{0D142B40-E79A-41D0-8AC4-85282CA2E9D7}"/>
    <cellStyle name="Currency 3 2 3 6 3 2 3" xfId="33361" xr:uid="{569435F4-A9E1-40CD-923A-D4E18128668B}"/>
    <cellStyle name="Currency 3 2 3 6 3 3" xfId="42660" xr:uid="{ACF20BDE-A8F6-4150-8B09-5171E5265070}"/>
    <cellStyle name="Currency 3 2 3 6 3 4" xfId="24062" xr:uid="{2A2A3560-62E1-4E38-9EFC-558F15776F1B}"/>
    <cellStyle name="Currency 3 2 3 6 4" xfId="11398" xr:uid="{F53114B3-3805-4CB5-AAE0-A2F04E078CA4}"/>
    <cellStyle name="Currency 3 2 3 6 4 2" xfId="47740" xr:uid="{770AF1E7-21E6-4994-8CF5-5900F72B04C1}"/>
    <cellStyle name="Currency 3 2 3 6 4 3" xfId="29144" xr:uid="{6175163E-7100-4C76-A051-F9D06F12E4E9}"/>
    <cellStyle name="Currency 3 2 3 6 5" xfId="38443" xr:uid="{30B5BAB9-D1C2-4CA0-A245-587024DB532D}"/>
    <cellStyle name="Currency 3 2 3 6 6" xfId="19845" xr:uid="{A85590B2-D734-4AC7-B516-0D7E3EA06CD4}"/>
    <cellStyle name="Currency 3 2 3 7" xfId="2418" xr:uid="{00000000-0005-0000-0000-0000270B0000}"/>
    <cellStyle name="Currency 3 2 3 7 2" xfId="6702" xr:uid="{00000000-0005-0000-0000-0000280B0000}"/>
    <cellStyle name="Currency 3 2 3 7 2 2" xfId="16028" xr:uid="{B72292A5-0303-493E-8996-40164993D3CE}"/>
    <cellStyle name="Currency 3 2 3 7 2 2 2" xfId="52370" xr:uid="{DF9A1C6C-4C4E-4BA5-A9FD-52036057B112}"/>
    <cellStyle name="Currency 3 2 3 7 2 2 3" xfId="33774" xr:uid="{32270322-3013-4690-AE4C-DA5195D4BBF9}"/>
    <cellStyle name="Currency 3 2 3 7 2 3" xfId="43073" xr:uid="{6BD3D786-34C2-4FC8-ACDE-64F30C904E6D}"/>
    <cellStyle name="Currency 3 2 3 7 2 4" xfId="24475" xr:uid="{5A847E83-5D69-439A-98FA-5EA8558427D3}"/>
    <cellStyle name="Currency 3 2 3 7 3" xfId="11811" xr:uid="{B3770C59-74E6-4337-9C0D-5C676E728167}"/>
    <cellStyle name="Currency 3 2 3 7 3 2" xfId="48153" xr:uid="{8F4A35A6-C162-4CBD-B2B5-C03879C5FF66}"/>
    <cellStyle name="Currency 3 2 3 7 3 3" xfId="29557" xr:uid="{EA1800F5-7CA9-45E9-BC00-877427E4B5E7}"/>
    <cellStyle name="Currency 3 2 3 7 4" xfId="38856" xr:uid="{A13F43C2-59B1-4A13-9082-859998C9685F}"/>
    <cellStyle name="Currency 3 2 3 7 5" xfId="20258" xr:uid="{E784510F-1F33-4146-9E1F-E3D665DA53C9}"/>
    <cellStyle name="Currency 3 2 3 8" xfId="2715" xr:uid="{00000000-0005-0000-0000-0000290B0000}"/>
    <cellStyle name="Currency 3 2 3 9" xfId="2796" xr:uid="{00000000-0005-0000-0000-00002A0B0000}"/>
    <cellStyle name="Currency 3 2 3 9 2" xfId="7019" xr:uid="{00000000-0005-0000-0000-00002B0B0000}"/>
    <cellStyle name="Currency 3 2 3 9 2 2" xfId="16345" xr:uid="{0F4711AE-07FE-444D-8054-5A8641E33619}"/>
    <cellStyle name="Currency 3 2 3 9 2 2 2" xfId="52687" xr:uid="{4158B82F-5477-484E-B666-A4896F7C5EAF}"/>
    <cellStyle name="Currency 3 2 3 9 2 2 3" xfId="34091" xr:uid="{DC638B43-0328-445D-A907-5094F86DF405}"/>
    <cellStyle name="Currency 3 2 3 9 2 3" xfId="43390" xr:uid="{FF0E4F38-1BF3-409C-831A-3AB253FD4A05}"/>
    <cellStyle name="Currency 3 2 3 9 2 4" xfId="24792" xr:uid="{3ECB9A15-BDD1-433F-B4D1-97352C7082A3}"/>
    <cellStyle name="Currency 3 2 3 9 3" xfId="12128" xr:uid="{BE05CBCE-53B6-4B58-AF40-3FFE99074118}"/>
    <cellStyle name="Currency 3 2 3 9 3 2" xfId="48470" xr:uid="{C69BB1BF-8234-40B8-942D-6D182B00B804}"/>
    <cellStyle name="Currency 3 2 3 9 3 3" xfId="29874" xr:uid="{9F9C3F29-D17F-4859-AAE5-AF1B744784C4}"/>
    <cellStyle name="Currency 3 2 3 9 4" xfId="39173" xr:uid="{38749F62-EBDD-476E-AC2C-E7883800D444}"/>
    <cellStyle name="Currency 3 2 3 9 5" xfId="20575" xr:uid="{9674D317-A198-4524-A7F9-A083F49CA7F6}"/>
    <cellStyle name="Currency 3 2 4" xfId="184" xr:uid="{00000000-0005-0000-0000-00002C0B0000}"/>
    <cellStyle name="Currency 3 2 4 10" xfId="8997" xr:uid="{DF9FC022-A382-4135-990F-F43A472E13BA}"/>
    <cellStyle name="Currency 3 2 4 10 2" xfId="36067" xr:uid="{0BCCE863-78C9-4BB1-A6E2-F5E052F730DF}"/>
    <cellStyle name="Currency 3 2 4 10 2 2" xfId="54662" xr:uid="{568E05FD-8B5A-4DB6-B70D-AF3D05998A57}"/>
    <cellStyle name="Currency 3 2 4 10 3" xfId="45365" xr:uid="{46B7EB71-2556-4DD0-B1D4-D7C0E4112C6C}"/>
    <cellStyle name="Currency 3 2 4 10 4" xfId="26768" xr:uid="{C9BA6B79-3874-4F37-B2D3-CC0ABB32B29B}"/>
    <cellStyle name="Currency 3 2 4 11" xfId="9747" xr:uid="{6F26487D-5DC5-4E45-B08F-F2AC66B61183}"/>
    <cellStyle name="Currency 3 2 4 11 2" xfId="46089" xr:uid="{12F78545-A6FC-4C51-9E98-7B3EB908F6A6}"/>
    <cellStyle name="Currency 3 2 4 11 3" xfId="27493" xr:uid="{DF2EBA91-E737-4081-A9D8-0EAE05F92622}"/>
    <cellStyle name="Currency 3 2 4 12" xfId="36792" xr:uid="{7C18EE4D-8A57-4CC1-AF1F-9CAC463CE44B}"/>
    <cellStyle name="Currency 3 2 4 13" xfId="18194" xr:uid="{FC8E9787-5BB0-4A6C-896B-0A01B79D6137}"/>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16523" xr:uid="{F4FDCD4B-6E02-42D1-A040-402D818391B7}"/>
    <cellStyle name="Currency 3 2 4 2 2 2 2 2" xfId="52865" xr:uid="{A08B186A-5A58-47C1-95AA-6858429365F6}"/>
    <cellStyle name="Currency 3 2 4 2 2 2 2 3" xfId="34269" xr:uid="{2E341855-15BD-402F-80F0-51D1C46D4549}"/>
    <cellStyle name="Currency 3 2 4 2 2 2 3" xfId="43568" xr:uid="{9B73644B-7111-40DD-9E96-6A23DE0B68D7}"/>
    <cellStyle name="Currency 3 2 4 2 2 2 4" xfId="24970" xr:uid="{3E5E8575-3FA4-4B9D-B856-3C118031ADD7}"/>
    <cellStyle name="Currency 3 2 4 2 2 3" xfId="12306" xr:uid="{BB765767-3261-4C9D-856D-B5594D553F79}"/>
    <cellStyle name="Currency 3 2 4 2 2 3 2" xfId="48648" xr:uid="{1F474802-9449-4BDA-917F-BC5AC750AC4C}"/>
    <cellStyle name="Currency 3 2 4 2 2 3 3" xfId="30052" xr:uid="{BEDE6C6E-04B4-4909-94F6-84DE0200E01D}"/>
    <cellStyle name="Currency 3 2 4 2 2 4" xfId="39351" xr:uid="{273D6B9F-F1C8-487E-9884-55717B1FC6BC}"/>
    <cellStyle name="Currency 3 2 4 2 2 5" xfId="20753" xr:uid="{02238ECD-6546-4DDC-BDE2-22128264F1BF}"/>
    <cellStyle name="Currency 3 2 4 2 3" xfId="5052" xr:uid="{00000000-0005-0000-0000-0000300B0000}"/>
    <cellStyle name="Currency 3 2 4 2 3 2" xfId="14378" xr:uid="{2CF8CCE2-D4FA-4CE3-BB6F-CE276A090440}"/>
    <cellStyle name="Currency 3 2 4 2 3 2 2" xfId="50720" xr:uid="{3644C2D8-A509-42F0-8142-E6440C4C13D5}"/>
    <cellStyle name="Currency 3 2 4 2 3 2 3" xfId="32124" xr:uid="{EE75B05F-19E1-4A49-87B3-8A0BDA23086C}"/>
    <cellStyle name="Currency 3 2 4 2 3 3" xfId="41423" xr:uid="{120E50B8-0A3A-4B95-8F16-C7BEE48A0BBA}"/>
    <cellStyle name="Currency 3 2 4 2 3 4" xfId="22825" xr:uid="{6740B97F-4077-4EBA-AF5E-69CA7F167AFD}"/>
    <cellStyle name="Currency 3 2 4 2 4" xfId="9422" xr:uid="{3049B7CE-611E-437A-AD0B-2E3AA5E2E50D}"/>
    <cellStyle name="Currency 3 2 4 2 4 2" xfId="36483" xr:uid="{7C7862F8-20A8-45C3-970D-C16FA310B042}"/>
    <cellStyle name="Currency 3 2 4 2 4 2 2" xfId="55077" xr:uid="{8A5AB1BE-A1DF-49F0-B07D-08182654EEAD}"/>
    <cellStyle name="Currency 3 2 4 2 4 3" xfId="45780" xr:uid="{4850799D-E77F-4433-9AAB-563894977009}"/>
    <cellStyle name="Currency 3 2 4 2 4 4" xfId="27184" xr:uid="{DB0487EF-F377-4407-B789-F5D9FE920D33}"/>
    <cellStyle name="Currency 3 2 4 2 5" xfId="10161" xr:uid="{36A906A6-82C6-404C-89FA-3936502E5FFD}"/>
    <cellStyle name="Currency 3 2 4 2 5 2" xfId="46503" xr:uid="{2F7F416F-E6CE-4EE8-991F-764860EE7CC1}"/>
    <cellStyle name="Currency 3 2 4 2 5 3" xfId="27907" xr:uid="{05928CC2-A386-4650-B2DD-CDAD79D8FC41}"/>
    <cellStyle name="Currency 3 2 4 2 6" xfId="37206" xr:uid="{165308D2-7DBF-46BB-90B6-D2EEB8B15201}"/>
    <cellStyle name="Currency 3 2 4 2 7" xfId="18608" xr:uid="{62B26ACB-AF6C-4215-AEAD-B62DA684FE48}"/>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16936" xr:uid="{B76E1B22-AFC4-4A07-B768-B0434DAD26B8}"/>
    <cellStyle name="Currency 3 2 4 3 2 2 2 2" xfId="53278" xr:uid="{3C63A8DF-FC1E-4B38-996D-BD6FF54D335E}"/>
    <cellStyle name="Currency 3 2 4 3 2 2 2 3" xfId="34682" xr:uid="{F1E6CAC5-9DFB-48A6-8255-06AEF273D6CF}"/>
    <cellStyle name="Currency 3 2 4 3 2 2 3" xfId="43981" xr:uid="{3462DC2E-96D7-464F-9253-8E8E638F1196}"/>
    <cellStyle name="Currency 3 2 4 3 2 2 4" xfId="25383" xr:uid="{66C2CB38-CD8B-4E15-BF3F-5F488D1C95FB}"/>
    <cellStyle name="Currency 3 2 4 3 2 3" xfId="12719" xr:uid="{B033306E-06B2-42B8-B65B-FB2C9511D42B}"/>
    <cellStyle name="Currency 3 2 4 3 2 3 2" xfId="49061" xr:uid="{85CEDA64-6744-4B3E-8D9E-D8D40C6FE53C}"/>
    <cellStyle name="Currency 3 2 4 3 2 3 3" xfId="30465" xr:uid="{254B6B84-011B-4765-86C4-1AD2D98CE510}"/>
    <cellStyle name="Currency 3 2 4 3 2 4" xfId="39764" xr:uid="{EF9C1FA1-970E-4A85-8742-6FA49F5A2324}"/>
    <cellStyle name="Currency 3 2 4 3 2 5" xfId="21166" xr:uid="{B26E058B-52D2-4EDF-B63D-87C6DA1C159D}"/>
    <cellStyle name="Currency 3 2 4 3 3" xfId="5465" xr:uid="{00000000-0005-0000-0000-0000340B0000}"/>
    <cellStyle name="Currency 3 2 4 3 3 2" xfId="14791" xr:uid="{75206F96-CFBC-460E-8AE9-B38FF67983E0}"/>
    <cellStyle name="Currency 3 2 4 3 3 2 2" xfId="51133" xr:uid="{AD75F741-8DAA-415C-B60C-C771F79F8932}"/>
    <cellStyle name="Currency 3 2 4 3 3 2 3" xfId="32537" xr:uid="{03B8F6C1-ECDF-4A26-B89A-4AC6BD376A94}"/>
    <cellStyle name="Currency 3 2 4 3 3 3" xfId="41836" xr:uid="{95A9155F-8AA8-4751-8580-32BFD332EF40}"/>
    <cellStyle name="Currency 3 2 4 3 3 4" xfId="23238" xr:uid="{B212AAD1-E22C-4FB4-AC94-AECAE80812A4}"/>
    <cellStyle name="Currency 3 2 4 3 4" xfId="10574" xr:uid="{D1EFEFB0-CFEE-4938-8173-27219BF80B2A}"/>
    <cellStyle name="Currency 3 2 4 3 4 2" xfId="46916" xr:uid="{F869EF55-AD5E-4EA5-8A9A-882D3392199F}"/>
    <cellStyle name="Currency 3 2 4 3 4 3" xfId="28320" xr:uid="{5ADEAB98-410F-48DC-8CEF-E75E01C1E2E5}"/>
    <cellStyle name="Currency 3 2 4 3 5" xfId="37619" xr:uid="{989811BD-A971-40E1-85FA-B2549569EAF2}"/>
    <cellStyle name="Currency 3 2 4 3 6" xfId="19021" xr:uid="{B55339EE-ACC0-4861-9D74-B8983BB1148B}"/>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17349" xr:uid="{8FCCBEE8-638D-4DC2-9899-2DB9CC4912A7}"/>
    <cellStyle name="Currency 3 2 4 4 2 2 2 2" xfId="53691" xr:uid="{1E0A278E-8863-4CB4-87FD-DE481CF09589}"/>
    <cellStyle name="Currency 3 2 4 4 2 2 2 3" xfId="35095" xr:uid="{0950AEDB-8FF9-462B-BFC6-4DF295816D43}"/>
    <cellStyle name="Currency 3 2 4 4 2 2 3" xfId="44394" xr:uid="{29FE4C79-05EF-48E2-87C3-ADEED767F132}"/>
    <cellStyle name="Currency 3 2 4 4 2 2 4" xfId="25796" xr:uid="{2BC39628-AC12-43D9-B532-C13000DAD261}"/>
    <cellStyle name="Currency 3 2 4 4 2 3" xfId="13132" xr:uid="{746E2741-7EA6-42C8-A3C5-F0C37BC4113F}"/>
    <cellStyle name="Currency 3 2 4 4 2 3 2" xfId="49474" xr:uid="{C9F2A24A-DCE0-446D-9DB8-E99230B5370D}"/>
    <cellStyle name="Currency 3 2 4 4 2 3 3" xfId="30878" xr:uid="{0AA4C673-7BAC-49F8-B72F-E1DDFF48125B}"/>
    <cellStyle name="Currency 3 2 4 4 2 4" xfId="40177" xr:uid="{1E19CC9D-8AF5-463A-A9B5-ACF207D19705}"/>
    <cellStyle name="Currency 3 2 4 4 2 5" xfId="21579" xr:uid="{FB094D86-9E17-425C-9586-423E73969972}"/>
    <cellStyle name="Currency 3 2 4 4 3" xfId="5878" xr:uid="{00000000-0005-0000-0000-0000380B0000}"/>
    <cellStyle name="Currency 3 2 4 4 3 2" xfId="15204" xr:uid="{B7F86719-A724-411F-83B5-B8D2376A4F51}"/>
    <cellStyle name="Currency 3 2 4 4 3 2 2" xfId="51546" xr:uid="{533CD8A8-E6CD-482F-ACAA-E9443A2B81F2}"/>
    <cellStyle name="Currency 3 2 4 4 3 2 3" xfId="32950" xr:uid="{0F0912E3-9402-44A1-BB6D-311A69F2DFBD}"/>
    <cellStyle name="Currency 3 2 4 4 3 3" xfId="42249" xr:uid="{2146F73C-963E-4C65-AF05-FEB1EAB5841E}"/>
    <cellStyle name="Currency 3 2 4 4 3 4" xfId="23651" xr:uid="{9A2B8913-8497-42FD-B846-E604C4024AE3}"/>
    <cellStyle name="Currency 3 2 4 4 4" xfId="10987" xr:uid="{0C5ACADF-6514-492B-B6C7-1518C15DD697}"/>
    <cellStyle name="Currency 3 2 4 4 4 2" xfId="47329" xr:uid="{FC7D2A6F-DF34-4E58-9DF6-070BE9510FEB}"/>
    <cellStyle name="Currency 3 2 4 4 4 3" xfId="28733" xr:uid="{34F9D701-621A-47C7-82FA-E82C2D5F1078}"/>
    <cellStyle name="Currency 3 2 4 4 5" xfId="38032" xr:uid="{9518BED4-8E0A-4CF5-97DE-BD47E9780764}"/>
    <cellStyle name="Currency 3 2 4 4 6" xfId="19434" xr:uid="{A307133A-6327-441D-AACB-7FF1B8B5D5D3}"/>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17762" xr:uid="{D0D96534-69C8-4C99-8F08-3382605593C8}"/>
    <cellStyle name="Currency 3 2 4 5 2 2 2 2" xfId="54104" xr:uid="{90264B0E-514C-4033-845E-C22A463EA1D6}"/>
    <cellStyle name="Currency 3 2 4 5 2 2 2 3" xfId="35508" xr:uid="{3532D1C1-AB69-4A27-8F09-41279914010C}"/>
    <cellStyle name="Currency 3 2 4 5 2 2 3" xfId="44807" xr:uid="{153B81DD-32D7-47DF-A080-77163B6376FA}"/>
    <cellStyle name="Currency 3 2 4 5 2 2 4" xfId="26209" xr:uid="{F4669228-6F61-4DA6-B357-C987A0E92A85}"/>
    <cellStyle name="Currency 3 2 4 5 2 3" xfId="13545" xr:uid="{6F6DDF9B-3438-40FA-B065-CF44D9EF4C51}"/>
    <cellStyle name="Currency 3 2 4 5 2 3 2" xfId="49887" xr:uid="{D0BADA08-4550-40F6-BB76-FA0A6863A908}"/>
    <cellStyle name="Currency 3 2 4 5 2 3 3" xfId="31291" xr:uid="{0127DC4F-399A-4F1E-B992-D3B2642124D1}"/>
    <cellStyle name="Currency 3 2 4 5 2 4" xfId="40590" xr:uid="{7B405C8A-0668-4139-A522-CB139CDBCEC9}"/>
    <cellStyle name="Currency 3 2 4 5 2 5" xfId="21992" xr:uid="{E71EA9FE-5F31-4B9E-8310-261BFFA8D329}"/>
    <cellStyle name="Currency 3 2 4 5 3" xfId="6291" xr:uid="{00000000-0005-0000-0000-00003C0B0000}"/>
    <cellStyle name="Currency 3 2 4 5 3 2" xfId="15617" xr:uid="{BC57F0CB-AAD9-4FC5-93A8-0F68FF722EFD}"/>
    <cellStyle name="Currency 3 2 4 5 3 2 2" xfId="51959" xr:uid="{BA5B5AB2-402A-4AFE-AA84-BB75390ACF66}"/>
    <cellStyle name="Currency 3 2 4 5 3 2 3" xfId="33363" xr:uid="{67DB601A-0D67-4AE5-A8BD-CBD730F5ACA8}"/>
    <cellStyle name="Currency 3 2 4 5 3 3" xfId="42662" xr:uid="{31E4F832-D566-4B04-BA2A-0BB0DD1348BE}"/>
    <cellStyle name="Currency 3 2 4 5 3 4" xfId="24064" xr:uid="{5AB570CE-CBF5-4FFD-89A0-589F338B0CE9}"/>
    <cellStyle name="Currency 3 2 4 5 4" xfId="11400" xr:uid="{8FB4A39E-6767-4C93-8E90-B5878C7ACE4C}"/>
    <cellStyle name="Currency 3 2 4 5 4 2" xfId="47742" xr:uid="{D915993B-F2D8-466C-9252-0A4790B7194A}"/>
    <cellStyle name="Currency 3 2 4 5 4 3" xfId="29146" xr:uid="{22EF7834-0766-452D-8243-54F3A7BF6378}"/>
    <cellStyle name="Currency 3 2 4 5 5" xfId="38445" xr:uid="{F9C896E9-6AAE-43FF-B0E2-A563DF9C994C}"/>
    <cellStyle name="Currency 3 2 4 5 6" xfId="19847" xr:uid="{C3BE8AF7-5F5E-4C53-A5A7-F426EA163175}"/>
    <cellStyle name="Currency 3 2 4 6" xfId="2420" xr:uid="{00000000-0005-0000-0000-00003D0B0000}"/>
    <cellStyle name="Currency 3 2 4 6 2" xfId="6704" xr:uid="{00000000-0005-0000-0000-00003E0B0000}"/>
    <cellStyle name="Currency 3 2 4 6 2 2" xfId="16030" xr:uid="{D371EA56-F2A6-4257-83A6-35949A1F91B9}"/>
    <cellStyle name="Currency 3 2 4 6 2 2 2" xfId="52372" xr:uid="{C6F507C8-5BAC-43F4-8B70-391EBDDCCDF5}"/>
    <cellStyle name="Currency 3 2 4 6 2 2 3" xfId="33776" xr:uid="{D78637F8-76D7-4E2F-B5F6-98F53A8542B5}"/>
    <cellStyle name="Currency 3 2 4 6 2 3" xfId="43075" xr:uid="{D9CE4A90-D1D2-4909-9A53-AAB52959B86F}"/>
    <cellStyle name="Currency 3 2 4 6 2 4" xfId="24477" xr:uid="{DAE5FF35-863A-4544-933D-FA99F21BC58E}"/>
    <cellStyle name="Currency 3 2 4 6 3" xfId="11813" xr:uid="{BBF31673-5454-4FB8-AF07-655C45073BE5}"/>
    <cellStyle name="Currency 3 2 4 6 3 2" xfId="48155" xr:uid="{89459F15-B31C-4AB3-9F22-AD9EEF725815}"/>
    <cellStyle name="Currency 3 2 4 6 3 3" xfId="29559" xr:uid="{8BB3F7DF-24A0-4811-B643-6044FBAE88BF}"/>
    <cellStyle name="Currency 3 2 4 6 4" xfId="38858" xr:uid="{F703B900-B725-4B65-8097-F4077130471D}"/>
    <cellStyle name="Currency 3 2 4 6 5" xfId="20260" xr:uid="{01289197-DFC5-4FE6-8E35-8478538D57B8}"/>
    <cellStyle name="Currency 3 2 4 7" xfId="2717" xr:uid="{00000000-0005-0000-0000-00003F0B0000}"/>
    <cellStyle name="Currency 3 2 4 8" xfId="2798" xr:uid="{00000000-0005-0000-0000-0000400B0000}"/>
    <cellStyle name="Currency 3 2 4 8 2" xfId="7021" xr:uid="{00000000-0005-0000-0000-0000410B0000}"/>
    <cellStyle name="Currency 3 2 4 8 2 2" xfId="16347" xr:uid="{3BBCEC32-C18A-4806-9F41-EB88B2279077}"/>
    <cellStyle name="Currency 3 2 4 8 2 2 2" xfId="52689" xr:uid="{5E22BF6D-6CC6-45B3-AB84-D4D9804B38BC}"/>
    <cellStyle name="Currency 3 2 4 8 2 2 3" xfId="34093" xr:uid="{A5997858-745A-492A-A3A8-D805F475C702}"/>
    <cellStyle name="Currency 3 2 4 8 2 3" xfId="43392" xr:uid="{359CF423-5DAF-41B0-A479-7C604576BC19}"/>
    <cellStyle name="Currency 3 2 4 8 2 4" xfId="24794" xr:uid="{EB2CB2B9-F0CB-46F7-B864-0E2EDEC8D048}"/>
    <cellStyle name="Currency 3 2 4 8 3" xfId="12130" xr:uid="{DBF5D9D8-7CEE-487B-A097-2B14674E9CA6}"/>
    <cellStyle name="Currency 3 2 4 8 3 2" xfId="48472" xr:uid="{FB8CBC33-D517-418F-8B6E-75F05306820B}"/>
    <cellStyle name="Currency 3 2 4 8 3 3" xfId="29876" xr:uid="{341BC86A-2337-4188-8706-A07D61320896}"/>
    <cellStyle name="Currency 3 2 4 8 4" xfId="39175" xr:uid="{BA0AD1A7-069B-4BB5-9B84-D37D203AB69A}"/>
    <cellStyle name="Currency 3 2 4 8 5" xfId="20577" xr:uid="{C2C6D790-8665-4F83-A58F-4729D01A4463}"/>
    <cellStyle name="Currency 3 2 4 9" xfId="4638" xr:uid="{00000000-0005-0000-0000-0000420B0000}"/>
    <cellStyle name="Currency 3 2 4 9 2" xfId="13964" xr:uid="{F30E17D9-3579-4D48-BC35-7D819B17D128}"/>
    <cellStyle name="Currency 3 2 4 9 2 2" xfId="50306" xr:uid="{27C74E74-B39B-483C-9A2C-57521C7B3A74}"/>
    <cellStyle name="Currency 3 2 4 9 2 3" xfId="31710" xr:uid="{CC0D6F62-5531-4D3A-9FBD-BBF7A86E0713}"/>
    <cellStyle name="Currency 3 2 4 9 3" xfId="41009" xr:uid="{9C58E188-CEDE-4994-8253-88C824440169}"/>
    <cellStyle name="Currency 3 2 4 9 4" xfId="22411" xr:uid="{749FA42F-38ED-4D4B-A5D1-28E4598C3510}"/>
    <cellStyle name="Currency 3 2 5" xfId="185" xr:uid="{00000000-0005-0000-0000-0000430B0000}"/>
    <cellStyle name="Currency 3 2 5 10" xfId="9214" xr:uid="{3D0A867F-0B9D-4759-A509-3EC1084E197B}"/>
    <cellStyle name="Currency 3 2 5 10 2" xfId="36276" xr:uid="{318BD107-A359-4A4F-BFE0-D67357964945}"/>
    <cellStyle name="Currency 3 2 5 10 2 2" xfId="54870" xr:uid="{11E66B87-EAF0-4896-923D-935220DEF7C6}"/>
    <cellStyle name="Currency 3 2 5 10 3" xfId="45573" xr:uid="{8BFA3558-531F-463D-BA62-FF6F246D62CE}"/>
    <cellStyle name="Currency 3 2 5 10 4" xfId="26977" xr:uid="{8CC66CF2-E9E4-42D0-9F48-4303209B988D}"/>
    <cellStyle name="Currency 3 2 5 11" xfId="9748" xr:uid="{D13D6056-0196-48A3-986D-B5F07FFB2CBB}"/>
    <cellStyle name="Currency 3 2 5 11 2" xfId="46090" xr:uid="{466932E4-F0D6-4AB8-8F99-41AEBA8E8B3C}"/>
    <cellStyle name="Currency 3 2 5 11 3" xfId="27494" xr:uid="{EC85CF46-2767-4F10-93BD-497125B5E7A0}"/>
    <cellStyle name="Currency 3 2 5 12" xfId="36793" xr:uid="{4FF4C4C5-1AE8-4FEB-8F6E-3850945DFBDC}"/>
    <cellStyle name="Currency 3 2 5 13" xfId="18195" xr:uid="{D5A13AE1-DAB4-497F-AA17-FF947A5447F9}"/>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16524" xr:uid="{97D20A86-78CB-4B86-AADF-565618157F4D}"/>
    <cellStyle name="Currency 3 2 5 2 2 2 2 2" xfId="52866" xr:uid="{062A4E30-8456-49C0-A2E6-F3052B9563F4}"/>
    <cellStyle name="Currency 3 2 5 2 2 2 2 3" xfId="34270" xr:uid="{DECD9E81-3BD0-4642-8DB4-19A3F784C00A}"/>
    <cellStyle name="Currency 3 2 5 2 2 2 3" xfId="43569" xr:uid="{B7E7CBAC-F20A-4811-B3B7-768B318CBB11}"/>
    <cellStyle name="Currency 3 2 5 2 2 2 4" xfId="24971" xr:uid="{30713E28-8AC5-4FE7-AB47-83C457D1A471}"/>
    <cellStyle name="Currency 3 2 5 2 2 3" xfId="12307" xr:uid="{90A6432B-10B9-4B10-91A5-FFFBD85843AF}"/>
    <cellStyle name="Currency 3 2 5 2 2 3 2" xfId="48649" xr:uid="{E01CB1D4-F5BA-4AE2-A935-45B2388D9CD5}"/>
    <cellStyle name="Currency 3 2 5 2 2 3 3" xfId="30053" xr:uid="{8E4032D8-DF82-4D72-ABC7-F1BD61A6694F}"/>
    <cellStyle name="Currency 3 2 5 2 2 4" xfId="39352" xr:uid="{59EBBE0D-3F70-4828-A68C-D345103CEEB3}"/>
    <cellStyle name="Currency 3 2 5 2 2 5" xfId="20754" xr:uid="{14DD02C5-54F1-423F-883C-8553C1C6857C}"/>
    <cellStyle name="Currency 3 2 5 2 3" xfId="5053" xr:uid="{00000000-0005-0000-0000-0000470B0000}"/>
    <cellStyle name="Currency 3 2 5 2 3 2" xfId="14379" xr:uid="{CFEB9EEA-18E1-4378-A24E-76FF189C0D79}"/>
    <cellStyle name="Currency 3 2 5 2 3 2 2" xfId="50721" xr:uid="{D4858B25-07A7-45C8-BA9C-36B300E85EC8}"/>
    <cellStyle name="Currency 3 2 5 2 3 2 3" xfId="32125" xr:uid="{368497D4-F6E0-4CB5-A80E-1DE5A6E5B72E}"/>
    <cellStyle name="Currency 3 2 5 2 3 3" xfId="41424" xr:uid="{9E2CFA49-49F4-4090-95E2-8149EA9F1A4B}"/>
    <cellStyle name="Currency 3 2 5 2 3 4" xfId="22826" xr:uid="{404954BB-60C5-43AF-BBB4-15EBC2FF66F1}"/>
    <cellStyle name="Currency 3 2 5 2 4" xfId="9597" xr:uid="{6E2F978E-96E4-4AD8-B4BD-1BE9D7E96A2F}"/>
    <cellStyle name="Currency 3 2 5 2 4 2" xfId="36647" xr:uid="{5F37CAD0-41D3-47FF-B403-11BA88A9A567}"/>
    <cellStyle name="Currency 3 2 5 2 4 2 2" xfId="55241" xr:uid="{C40DE324-27D3-4EB2-97BD-84C67C4F2DFF}"/>
    <cellStyle name="Currency 3 2 5 2 4 3" xfId="45944" xr:uid="{E74BE40C-C5E5-4097-8365-4CC3B5E0A561}"/>
    <cellStyle name="Currency 3 2 5 2 4 4" xfId="27348" xr:uid="{A2208A2B-B9E0-462B-9DA9-157BD6211667}"/>
    <cellStyle name="Currency 3 2 5 2 5" xfId="10162" xr:uid="{2AF799D8-E87A-43AD-8D2F-BF977A78BD30}"/>
    <cellStyle name="Currency 3 2 5 2 5 2" xfId="46504" xr:uid="{203E0D93-8FD5-4310-B172-874CC4694ADF}"/>
    <cellStyle name="Currency 3 2 5 2 5 3" xfId="27908" xr:uid="{9D971A18-2035-4419-8713-607B0C112552}"/>
    <cellStyle name="Currency 3 2 5 2 6" xfId="37207" xr:uid="{D7BE3F9B-A8D4-4E14-AFE0-A2540E21B3EB}"/>
    <cellStyle name="Currency 3 2 5 2 7" xfId="18609" xr:uid="{9462BD53-8345-4BB6-847E-F3A92181D499}"/>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16937" xr:uid="{199E969A-20A1-4181-930D-204835C8E5F7}"/>
    <cellStyle name="Currency 3 2 5 3 2 2 2 2" xfId="53279" xr:uid="{718C1F7D-B77A-462A-A57C-C2D1D3BDFE52}"/>
    <cellStyle name="Currency 3 2 5 3 2 2 2 3" xfId="34683" xr:uid="{2684C434-E279-443C-A478-427E9A1FCC24}"/>
    <cellStyle name="Currency 3 2 5 3 2 2 3" xfId="43982" xr:uid="{61243BD8-ED8C-4EFA-83EF-94AF48827A08}"/>
    <cellStyle name="Currency 3 2 5 3 2 2 4" xfId="25384" xr:uid="{ECFE2EED-FC3C-4433-8E74-FFC12248F5C8}"/>
    <cellStyle name="Currency 3 2 5 3 2 3" xfId="12720" xr:uid="{04464888-DDAD-4A49-8DEC-DE671EBB8B62}"/>
    <cellStyle name="Currency 3 2 5 3 2 3 2" xfId="49062" xr:uid="{9AC5C03B-9A90-4C1A-BCE8-CAC2D0B85D9A}"/>
    <cellStyle name="Currency 3 2 5 3 2 3 3" xfId="30466" xr:uid="{73AE9CD6-DE4A-421A-AE45-752A9EA17394}"/>
    <cellStyle name="Currency 3 2 5 3 2 4" xfId="39765" xr:uid="{42759DD1-7828-49C3-9BDA-26A384844FB0}"/>
    <cellStyle name="Currency 3 2 5 3 2 5" xfId="21167" xr:uid="{9B8D80DB-178B-4F46-81DE-5331DBD14A56}"/>
    <cellStyle name="Currency 3 2 5 3 3" xfId="5466" xr:uid="{00000000-0005-0000-0000-00004B0B0000}"/>
    <cellStyle name="Currency 3 2 5 3 3 2" xfId="14792" xr:uid="{305143A9-D560-4D2D-9586-CB9A6F3C1A7F}"/>
    <cellStyle name="Currency 3 2 5 3 3 2 2" xfId="51134" xr:uid="{CEC3564C-7686-4F4E-BFCF-F767B924781A}"/>
    <cellStyle name="Currency 3 2 5 3 3 2 3" xfId="32538" xr:uid="{ADCBAEE7-7E9C-4F89-8610-ADC379589FD2}"/>
    <cellStyle name="Currency 3 2 5 3 3 3" xfId="41837" xr:uid="{216468A8-3E04-4D86-94F6-4666B0FA604C}"/>
    <cellStyle name="Currency 3 2 5 3 3 4" xfId="23239" xr:uid="{F4F8E985-71A4-4BDB-BF0D-BF159E716D51}"/>
    <cellStyle name="Currency 3 2 5 3 4" xfId="10575" xr:uid="{394458C9-079D-48D8-BBC6-17FD661FD131}"/>
    <cellStyle name="Currency 3 2 5 3 4 2" xfId="46917" xr:uid="{742BE39A-F16C-41D0-B1DD-55330A695814}"/>
    <cellStyle name="Currency 3 2 5 3 4 3" xfId="28321" xr:uid="{D3574497-515B-4656-A065-8CF43B5807C0}"/>
    <cellStyle name="Currency 3 2 5 3 5" xfId="37620" xr:uid="{E0CB08B0-BEE9-4BA0-8EB3-208FF567C48C}"/>
    <cellStyle name="Currency 3 2 5 3 6" xfId="19022" xr:uid="{7285189E-D326-4393-9928-19BD2B68D3F5}"/>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17350" xr:uid="{57B9917D-7836-4AE5-AA67-92FC77DDBC6C}"/>
    <cellStyle name="Currency 3 2 5 4 2 2 2 2" xfId="53692" xr:uid="{C7569EC3-E045-437F-BFEC-B6D434DF556D}"/>
    <cellStyle name="Currency 3 2 5 4 2 2 2 3" xfId="35096" xr:uid="{E3231FF9-B1EA-4B09-BADE-24A8C654857C}"/>
    <cellStyle name="Currency 3 2 5 4 2 2 3" xfId="44395" xr:uid="{3295C8C6-96AD-46DA-9E78-E8F2000F6E8B}"/>
    <cellStyle name="Currency 3 2 5 4 2 2 4" xfId="25797" xr:uid="{CBDFDC45-A3B3-4742-BA1E-B98D0C379869}"/>
    <cellStyle name="Currency 3 2 5 4 2 3" xfId="13133" xr:uid="{329FA76D-BF57-4BA8-AC6E-E1AE16790871}"/>
    <cellStyle name="Currency 3 2 5 4 2 3 2" xfId="49475" xr:uid="{C422251E-8E57-459D-A532-904CC94A9A48}"/>
    <cellStyle name="Currency 3 2 5 4 2 3 3" xfId="30879" xr:uid="{2B1A4ABE-B493-4DBC-BB41-5CF90C500EAD}"/>
    <cellStyle name="Currency 3 2 5 4 2 4" xfId="40178" xr:uid="{37C573F3-8040-4D5F-8879-99E0DF794692}"/>
    <cellStyle name="Currency 3 2 5 4 2 5" xfId="21580" xr:uid="{F09A5655-97A6-427D-8AE4-66E12B8B1505}"/>
    <cellStyle name="Currency 3 2 5 4 3" xfId="5879" xr:uid="{00000000-0005-0000-0000-00004F0B0000}"/>
    <cellStyle name="Currency 3 2 5 4 3 2" xfId="15205" xr:uid="{A5E795C7-3A2A-4BA7-995F-7829253E30F4}"/>
    <cellStyle name="Currency 3 2 5 4 3 2 2" xfId="51547" xr:uid="{B15F0E9F-D8D9-4862-9532-CE873E374D18}"/>
    <cellStyle name="Currency 3 2 5 4 3 2 3" xfId="32951" xr:uid="{5F06C7B7-D1CF-41F1-A84A-77D055D44BBB}"/>
    <cellStyle name="Currency 3 2 5 4 3 3" xfId="42250" xr:uid="{81D27C7F-F689-4991-9D7F-84EEEA6A81DE}"/>
    <cellStyle name="Currency 3 2 5 4 3 4" xfId="23652" xr:uid="{EDBD701A-3F67-4230-BE2E-2036C77FF703}"/>
    <cellStyle name="Currency 3 2 5 4 4" xfId="10988" xr:uid="{BD0558CA-3E15-4BDF-B5FB-B1EF35B18779}"/>
    <cellStyle name="Currency 3 2 5 4 4 2" xfId="47330" xr:uid="{3ED1937F-6FC1-44A6-917E-E9F9E26DAD22}"/>
    <cellStyle name="Currency 3 2 5 4 4 3" xfId="28734" xr:uid="{A73BA6E6-C564-49F9-8ACE-23018B8F8404}"/>
    <cellStyle name="Currency 3 2 5 4 5" xfId="38033" xr:uid="{A61398DD-AFFA-445E-879B-03BEF1FA4EF6}"/>
    <cellStyle name="Currency 3 2 5 4 6" xfId="19435" xr:uid="{F3B70C86-34D5-4489-9FF9-619FE8F59204}"/>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17763" xr:uid="{045C2732-2DE2-431B-9177-BFA01D028309}"/>
    <cellStyle name="Currency 3 2 5 5 2 2 2 2" xfId="54105" xr:uid="{6C4E30C9-D6D0-440A-BA3D-B7487FAADA3C}"/>
    <cellStyle name="Currency 3 2 5 5 2 2 2 3" xfId="35509" xr:uid="{A329C8D5-DC36-4075-AD60-966D7A4CF753}"/>
    <cellStyle name="Currency 3 2 5 5 2 2 3" xfId="44808" xr:uid="{FE9403D1-4BD1-470A-A15B-5B9BCEBA3F89}"/>
    <cellStyle name="Currency 3 2 5 5 2 2 4" xfId="26210" xr:uid="{AC4F183C-2AEC-41AD-A5D3-FFB3E022A6DB}"/>
    <cellStyle name="Currency 3 2 5 5 2 3" xfId="13546" xr:uid="{A67AD3CF-4A62-419D-A3A9-53EC3DA80F79}"/>
    <cellStyle name="Currency 3 2 5 5 2 3 2" xfId="49888" xr:uid="{4DD34685-F500-49DF-9024-EF206B19BD6C}"/>
    <cellStyle name="Currency 3 2 5 5 2 3 3" xfId="31292" xr:uid="{DDA7BC1F-365D-45C8-B8F8-36E9C726BF17}"/>
    <cellStyle name="Currency 3 2 5 5 2 4" xfId="40591" xr:uid="{18254C7F-0C78-4213-9C21-08CE15712539}"/>
    <cellStyle name="Currency 3 2 5 5 2 5" xfId="21993" xr:uid="{B17CD2D0-1FD4-443A-9A7D-770596EB2FFD}"/>
    <cellStyle name="Currency 3 2 5 5 3" xfId="6292" xr:uid="{00000000-0005-0000-0000-0000530B0000}"/>
    <cellStyle name="Currency 3 2 5 5 3 2" xfId="15618" xr:uid="{CFCACF84-84FD-482A-832B-4CFB06206AA0}"/>
    <cellStyle name="Currency 3 2 5 5 3 2 2" xfId="51960" xr:uid="{6DA901A7-6EC8-49F8-91B1-B4DA42E5AD60}"/>
    <cellStyle name="Currency 3 2 5 5 3 2 3" xfId="33364" xr:uid="{156ADBE9-117B-45FE-8C59-C29AE33804B0}"/>
    <cellStyle name="Currency 3 2 5 5 3 3" xfId="42663" xr:uid="{D24D3C89-6652-4593-8B19-D84A8FAAF41F}"/>
    <cellStyle name="Currency 3 2 5 5 3 4" xfId="24065" xr:uid="{4E7159BA-07AB-49DD-9914-FF4BC9AE4D40}"/>
    <cellStyle name="Currency 3 2 5 5 4" xfId="11401" xr:uid="{D1D7E8FA-97FE-4E1A-952D-CDF5177EDD54}"/>
    <cellStyle name="Currency 3 2 5 5 4 2" xfId="47743" xr:uid="{446D0E51-F27C-4001-8ADF-64951B2E58CB}"/>
    <cellStyle name="Currency 3 2 5 5 4 3" xfId="29147" xr:uid="{7C959877-4ECB-45FB-BB35-7E81679B7D68}"/>
    <cellStyle name="Currency 3 2 5 5 5" xfId="38446" xr:uid="{F0C8D264-7CB6-41DC-9C65-5D131057DA6D}"/>
    <cellStyle name="Currency 3 2 5 5 6" xfId="19848" xr:uid="{A4D7E755-2DD6-48E0-BE2C-F7D8FAE0404C}"/>
    <cellStyle name="Currency 3 2 5 6" xfId="2421" xr:uid="{00000000-0005-0000-0000-0000540B0000}"/>
    <cellStyle name="Currency 3 2 5 6 2" xfId="6705" xr:uid="{00000000-0005-0000-0000-0000550B0000}"/>
    <cellStyle name="Currency 3 2 5 6 2 2" xfId="16031" xr:uid="{87BD9A67-741D-48B7-ADC4-49FE8D47515C}"/>
    <cellStyle name="Currency 3 2 5 6 2 2 2" xfId="52373" xr:uid="{2F10E551-1B88-4A88-A624-D111F17E3F70}"/>
    <cellStyle name="Currency 3 2 5 6 2 2 3" xfId="33777" xr:uid="{9E1CFDD0-437D-4329-9B70-E387EF9D3D59}"/>
    <cellStyle name="Currency 3 2 5 6 2 3" xfId="43076" xr:uid="{014C13DD-8D1C-4F64-8814-6B32EB52B9BE}"/>
    <cellStyle name="Currency 3 2 5 6 2 4" xfId="24478" xr:uid="{482A1ECB-022F-4628-9ABB-3FC9838FDE66}"/>
    <cellStyle name="Currency 3 2 5 6 3" xfId="11814" xr:uid="{5A4D6CD5-E45B-472C-ADA8-899B6EF223D5}"/>
    <cellStyle name="Currency 3 2 5 6 3 2" xfId="48156" xr:uid="{8EDC6801-A977-4622-888B-E9AC2BC03B8D}"/>
    <cellStyle name="Currency 3 2 5 6 3 3" xfId="29560" xr:uid="{9623440B-4D73-4F66-801E-920317A5F0D8}"/>
    <cellStyle name="Currency 3 2 5 6 4" xfId="38859" xr:uid="{57696751-BD39-48C3-BD12-0983589F1ECB}"/>
    <cellStyle name="Currency 3 2 5 6 5" xfId="20261" xr:uid="{A13A5BEA-F5EE-45A4-96D1-C99C7F4618CA}"/>
    <cellStyle name="Currency 3 2 5 7" xfId="2718" xr:uid="{00000000-0005-0000-0000-0000560B0000}"/>
    <cellStyle name="Currency 3 2 5 8" xfId="2799" xr:uid="{00000000-0005-0000-0000-0000570B0000}"/>
    <cellStyle name="Currency 3 2 5 8 2" xfId="7022" xr:uid="{00000000-0005-0000-0000-0000580B0000}"/>
    <cellStyle name="Currency 3 2 5 8 2 2" xfId="16348" xr:uid="{22802C3A-C96E-4A3B-8F13-002C03435D33}"/>
    <cellStyle name="Currency 3 2 5 8 2 2 2" xfId="52690" xr:uid="{AEB5DC22-2455-43E0-B574-9D23BE065D88}"/>
    <cellStyle name="Currency 3 2 5 8 2 2 3" xfId="34094" xr:uid="{521B533C-0851-4529-ADD6-4FD4F1B8174D}"/>
    <cellStyle name="Currency 3 2 5 8 2 3" xfId="43393" xr:uid="{BDFA4C2D-3880-4457-8AFA-A420B50F75D8}"/>
    <cellStyle name="Currency 3 2 5 8 2 4" xfId="24795" xr:uid="{BC7A8D6D-6E7F-4758-B5EA-33C95F66AC5A}"/>
    <cellStyle name="Currency 3 2 5 8 3" xfId="12131" xr:uid="{710890E8-00AB-4545-8188-79966A3A25E8}"/>
    <cellStyle name="Currency 3 2 5 8 3 2" xfId="48473" xr:uid="{DE87DB26-D026-45B5-9BE1-43B849CC8CFE}"/>
    <cellStyle name="Currency 3 2 5 8 3 3" xfId="29877" xr:uid="{B362E46C-87C5-4883-AD62-4795203BFFF6}"/>
    <cellStyle name="Currency 3 2 5 8 4" xfId="39176" xr:uid="{1D5C7440-8D53-414F-880C-DFCA67FDE015}"/>
    <cellStyle name="Currency 3 2 5 8 5" xfId="20578" xr:uid="{A2DE20A0-8EFA-4B4E-826F-E00CC98C29B2}"/>
    <cellStyle name="Currency 3 2 5 9" xfId="4639" xr:uid="{00000000-0005-0000-0000-0000590B0000}"/>
    <cellStyle name="Currency 3 2 5 9 2" xfId="13965" xr:uid="{9D4BEE48-52A1-4091-8A6C-DB4547E66E17}"/>
    <cellStyle name="Currency 3 2 5 9 2 2" xfId="50307" xr:uid="{5F748B4F-C1CD-40E2-ABBD-9437A087C05C}"/>
    <cellStyle name="Currency 3 2 5 9 2 3" xfId="31711" xr:uid="{12857EC6-7F27-47E5-87BD-54841849BD87}"/>
    <cellStyle name="Currency 3 2 5 9 3" xfId="41010" xr:uid="{A1B7187E-29B8-4BD5-A35A-72FA4116BE16}"/>
    <cellStyle name="Currency 3 2 5 9 4" xfId="22412" xr:uid="{0DBB7EE1-88A6-4AD2-9FBE-91F127FE3C6A}"/>
    <cellStyle name="Currency 3 2 6" xfId="9583" xr:uid="{653EC571-6DFB-4D44-8156-8097E74D2DD4}"/>
    <cellStyle name="Currency 3 2 7" xfId="8790" xr:uid="{4F16186C-C154-4E9A-B12A-0E13D64C3701}"/>
    <cellStyle name="Currency 3 2 7 2" xfId="35860" xr:uid="{F2A55D52-FA29-4B7A-A171-A6D862C2BE5C}"/>
    <cellStyle name="Currency 3 2 7 2 2" xfId="54455" xr:uid="{686086C5-6F53-415B-8E28-71D60F245578}"/>
    <cellStyle name="Currency 3 2 7 3" xfId="45158" xr:uid="{EEA1EA5B-EED2-4B06-9E1E-FE76D972DC9B}"/>
    <cellStyle name="Currency 3 2 7 4" xfId="26561" xr:uid="{D34EA21E-B645-4ADF-A20C-60364DEAB58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16349" xr:uid="{DBB6581B-83AA-4A95-991B-E49B1D96F529}"/>
    <cellStyle name="Currency 5 2 2 2 10 2 2 2" xfId="52691" xr:uid="{DF328C9A-CB03-4E9F-B785-5B556F8A654F}"/>
    <cellStyle name="Currency 5 2 2 2 10 2 2 3" xfId="34095" xr:uid="{45796C18-27DE-4EB8-B41E-8475A76F8F9A}"/>
    <cellStyle name="Currency 5 2 2 2 10 2 3" xfId="43394" xr:uid="{06DC4C1D-1510-49DC-8FB9-FF0854326E98}"/>
    <cellStyle name="Currency 5 2 2 2 10 2 4" xfId="24796" xr:uid="{EF03A7AE-D27E-48C6-B4D1-F4CCD97DD145}"/>
    <cellStyle name="Currency 5 2 2 2 10 3" xfId="12132" xr:uid="{B97D7B81-B6B1-44BF-9672-4DC9E4DD9A5D}"/>
    <cellStyle name="Currency 5 2 2 2 10 3 2" xfId="48474" xr:uid="{5076DDF9-F17A-4B97-BCF6-7DE34607569C}"/>
    <cellStyle name="Currency 5 2 2 2 10 3 3" xfId="29878" xr:uid="{558B052B-08F4-4A2B-8879-C9518CB54FBA}"/>
    <cellStyle name="Currency 5 2 2 2 10 4" xfId="39177" xr:uid="{709B4613-699C-46CE-909B-7E2F1D4B879C}"/>
    <cellStyle name="Currency 5 2 2 2 10 5" xfId="20579" xr:uid="{614D3AEC-0AF9-4D03-8ED3-DFF929E96686}"/>
    <cellStyle name="Currency 5 2 2 2 11" xfId="4640" xr:uid="{00000000-0005-0000-0000-00006C0B0000}"/>
    <cellStyle name="Currency 5 2 2 2 11 2" xfId="13966" xr:uid="{668FDD96-7862-4554-80C5-986C14A20CAC}"/>
    <cellStyle name="Currency 5 2 2 2 11 2 2" xfId="50308" xr:uid="{415A9936-C488-4C3C-999B-A9D94D6E158C}"/>
    <cellStyle name="Currency 5 2 2 2 11 2 3" xfId="31712" xr:uid="{78245895-4752-4E99-8862-9EEEFFBF01AA}"/>
    <cellStyle name="Currency 5 2 2 2 11 3" xfId="41011" xr:uid="{39CF9E3F-8A63-4A66-8C7D-F091FA80CD97}"/>
    <cellStyle name="Currency 5 2 2 2 11 4" xfId="22413" xr:uid="{609A11ED-D047-40CC-84D0-D839A88B2408}"/>
    <cellStyle name="Currency 5 2 2 2 12" xfId="8809" xr:uid="{6E2B58BA-BC61-49BF-A0FE-5BC79A050654}"/>
    <cellStyle name="Currency 5 2 2 2 12 2" xfId="35879" xr:uid="{D5011036-9B6F-4FB4-94EF-31706E29D85A}"/>
    <cellStyle name="Currency 5 2 2 2 12 2 2" xfId="54474" xr:uid="{E0373056-36DE-4F55-A66F-7150169AD2B6}"/>
    <cellStyle name="Currency 5 2 2 2 12 3" xfId="45177" xr:uid="{E86311D7-4684-443E-B606-F84424AE29E8}"/>
    <cellStyle name="Currency 5 2 2 2 12 4" xfId="26580" xr:uid="{4C2FE07B-E078-4438-8962-685C9E808BDE}"/>
    <cellStyle name="Currency 5 2 2 2 13" xfId="9749" xr:uid="{91CD2C08-5D2F-40A6-826B-01C25C4215B6}"/>
    <cellStyle name="Currency 5 2 2 2 13 2" xfId="46091" xr:uid="{A4C5B5AF-AD6D-47A5-9030-98E2D0A7EEB1}"/>
    <cellStyle name="Currency 5 2 2 2 13 3" xfId="27495" xr:uid="{AFE79DB0-5397-41DD-B21D-8DEA81AEFAA3}"/>
    <cellStyle name="Currency 5 2 2 2 14" xfId="36794" xr:uid="{838D36D2-34E2-44CF-95E7-AE2CF37788C1}"/>
    <cellStyle name="Currency 5 2 2 2 15" xfId="18196" xr:uid="{CD3B7F99-45AF-45E4-ABBC-4FEB1563B2FD}"/>
    <cellStyle name="Currency 5 2 2 2 2" xfId="197" xr:uid="{00000000-0005-0000-0000-00006D0B0000}"/>
    <cellStyle name="Currency 5 2 2 2 2 10" xfId="4641" xr:uid="{00000000-0005-0000-0000-00006E0B0000}"/>
    <cellStyle name="Currency 5 2 2 2 2 10 2" xfId="13967" xr:uid="{286D85C9-A59F-4F7A-BB2B-041AB6AC5426}"/>
    <cellStyle name="Currency 5 2 2 2 2 10 2 2" xfId="50309" xr:uid="{237F5537-A255-4424-8D55-B64330913099}"/>
    <cellStyle name="Currency 5 2 2 2 2 10 2 3" xfId="31713" xr:uid="{5744A197-8BEB-4A5A-B093-E9D83FB68DDC}"/>
    <cellStyle name="Currency 5 2 2 2 2 10 3" xfId="41012" xr:uid="{49336CC6-20B5-4695-A8F9-E7AC503BF1E6}"/>
    <cellStyle name="Currency 5 2 2 2 2 10 4" xfId="22414" xr:uid="{D27DB769-0FC4-48E3-B89A-95D254B36277}"/>
    <cellStyle name="Currency 5 2 2 2 2 11" xfId="8912" xr:uid="{4079D27E-F98B-4445-AE20-FFD848158756}"/>
    <cellStyle name="Currency 5 2 2 2 2 11 2" xfId="35982" xr:uid="{4E05AFA0-175C-4F30-A92A-A9D64926C9BE}"/>
    <cellStyle name="Currency 5 2 2 2 2 11 2 2" xfId="54577" xr:uid="{384E23C4-D726-41FC-B057-FD59B2B7FE93}"/>
    <cellStyle name="Currency 5 2 2 2 2 11 3" xfId="45280" xr:uid="{F397F7D9-E9EB-418E-A37D-AAA7DF31F5A3}"/>
    <cellStyle name="Currency 5 2 2 2 2 11 4" xfId="26683" xr:uid="{C2893917-38A7-4C44-8361-298F25EF1050}"/>
    <cellStyle name="Currency 5 2 2 2 2 12" xfId="9750" xr:uid="{5257A58E-8C7D-4B31-B677-26EF200B44AB}"/>
    <cellStyle name="Currency 5 2 2 2 2 12 2" xfId="46092" xr:uid="{C37C3605-E51F-4AA6-BAEE-37DDF7076F2E}"/>
    <cellStyle name="Currency 5 2 2 2 2 12 3" xfId="27496" xr:uid="{81708DA1-BA81-4022-A0DA-695923A92F07}"/>
    <cellStyle name="Currency 5 2 2 2 2 13" xfId="36795" xr:uid="{81B52FB0-EBAF-4D03-B6EE-D8DCB080892A}"/>
    <cellStyle name="Currency 5 2 2 2 2 14" xfId="18197" xr:uid="{D56A8CC4-5677-42E1-A249-B38F55498216}"/>
    <cellStyle name="Currency 5 2 2 2 2 2" xfId="198" xr:uid="{00000000-0005-0000-0000-00006F0B0000}"/>
    <cellStyle name="Currency 5 2 2 2 2 2 10" xfId="9119" xr:uid="{2B97CFE9-E9FD-476D-A341-C695293642F3}"/>
    <cellStyle name="Currency 5 2 2 2 2 2 10 2" xfId="36189" xr:uid="{5A4A061C-6361-4DF7-A2A0-68904DD408BA}"/>
    <cellStyle name="Currency 5 2 2 2 2 2 10 2 2" xfId="54784" xr:uid="{E353CE63-3DA2-4F27-9776-EDCF54E0F04A}"/>
    <cellStyle name="Currency 5 2 2 2 2 2 10 3" xfId="45487" xr:uid="{17890DB6-3EE0-4B2E-9243-4F88BD91B433}"/>
    <cellStyle name="Currency 5 2 2 2 2 2 10 4" xfId="26890" xr:uid="{06C31576-05DD-423A-9161-E4AB4022E24D}"/>
    <cellStyle name="Currency 5 2 2 2 2 2 11" xfId="9751" xr:uid="{4AF8905F-1F87-4201-A382-8A60C27F923B}"/>
    <cellStyle name="Currency 5 2 2 2 2 2 11 2" xfId="46093" xr:uid="{BDDC6EB9-A3E0-4CA4-AFA1-8FBA2EB23A7F}"/>
    <cellStyle name="Currency 5 2 2 2 2 2 11 3" xfId="27497" xr:uid="{ED520AB1-D59B-4C77-8CE0-D0AF63AD0F89}"/>
    <cellStyle name="Currency 5 2 2 2 2 2 12" xfId="36796" xr:uid="{CACD4264-7A44-4E2B-8A7D-6323F175DF03}"/>
    <cellStyle name="Currency 5 2 2 2 2 2 13" xfId="18198" xr:uid="{9A201C20-B136-4F02-95B0-929ECB84E7C4}"/>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16527" xr:uid="{D89FC3F5-2969-4B16-9F8A-8C65D10AED66}"/>
    <cellStyle name="Currency 5 2 2 2 2 2 2 2 2 2 2" xfId="52869" xr:uid="{398D6056-44B1-4EED-8893-45B5E14D3391}"/>
    <cellStyle name="Currency 5 2 2 2 2 2 2 2 2 2 3" xfId="34273" xr:uid="{2BA9895E-5C8A-4DC6-9635-7A75C0FBE942}"/>
    <cellStyle name="Currency 5 2 2 2 2 2 2 2 2 3" xfId="43572" xr:uid="{5BC416D5-C376-4BFB-8973-12D87E0D9760}"/>
    <cellStyle name="Currency 5 2 2 2 2 2 2 2 2 4" xfId="24974" xr:uid="{6A263906-FA01-4FE6-B2A9-CF6F85919053}"/>
    <cellStyle name="Currency 5 2 2 2 2 2 2 2 3" xfId="12310" xr:uid="{AD6F7ECC-981F-420F-9A09-EC0F98E8BFF0}"/>
    <cellStyle name="Currency 5 2 2 2 2 2 2 2 3 2" xfId="48652" xr:uid="{6C50AB7D-AF61-42CF-B4C8-C1AE53859514}"/>
    <cellStyle name="Currency 5 2 2 2 2 2 2 2 3 3" xfId="30056" xr:uid="{581517E5-D846-4076-A743-809533E1FC42}"/>
    <cellStyle name="Currency 5 2 2 2 2 2 2 2 4" xfId="39355" xr:uid="{A40BF364-6826-4479-B175-D49F1E0CF606}"/>
    <cellStyle name="Currency 5 2 2 2 2 2 2 2 5" xfId="20757" xr:uid="{0DEF0603-42F2-4C8A-95EC-03C9768ECDB2}"/>
    <cellStyle name="Currency 5 2 2 2 2 2 2 3" xfId="5056" xr:uid="{00000000-0005-0000-0000-0000730B0000}"/>
    <cellStyle name="Currency 5 2 2 2 2 2 2 3 2" xfId="14382" xr:uid="{7FA9E00D-67E3-40B8-B69B-1F4862AB36FC}"/>
    <cellStyle name="Currency 5 2 2 2 2 2 2 3 2 2" xfId="50724" xr:uid="{ED166246-1341-4C5B-8635-69A3BE01064E}"/>
    <cellStyle name="Currency 5 2 2 2 2 2 2 3 2 3" xfId="32128" xr:uid="{69597895-8411-40B8-9060-C65AE37DAE74}"/>
    <cellStyle name="Currency 5 2 2 2 2 2 2 3 3" xfId="41427" xr:uid="{6416FD73-C149-4565-8D64-6CD3D843A4B0}"/>
    <cellStyle name="Currency 5 2 2 2 2 2 2 3 4" xfId="22829" xr:uid="{A9D6F179-516F-40CF-882B-970D9071B22A}"/>
    <cellStyle name="Currency 5 2 2 2 2 2 2 4" xfId="9544" xr:uid="{77881B28-843C-4677-B92C-D2A5804BDB97}"/>
    <cellStyle name="Currency 5 2 2 2 2 2 2 4 2" xfId="36605" xr:uid="{5BA30415-6518-46FC-A52E-082A20301598}"/>
    <cellStyle name="Currency 5 2 2 2 2 2 2 4 2 2" xfId="55199" xr:uid="{7B885EEB-DB95-4406-81EB-B3EC9155B595}"/>
    <cellStyle name="Currency 5 2 2 2 2 2 2 4 3" xfId="45902" xr:uid="{06A2CFC6-B480-4650-A301-319C56389437}"/>
    <cellStyle name="Currency 5 2 2 2 2 2 2 4 4" xfId="27306" xr:uid="{35C6ED24-8120-4DD7-95FD-70042E5E3DF8}"/>
    <cellStyle name="Currency 5 2 2 2 2 2 2 5" xfId="10165" xr:uid="{F3B9F5BF-CE21-463D-80E5-5F6A1C05545E}"/>
    <cellStyle name="Currency 5 2 2 2 2 2 2 5 2" xfId="46507" xr:uid="{1E73E7C8-9D58-4F90-93C4-4275E366DC68}"/>
    <cellStyle name="Currency 5 2 2 2 2 2 2 5 3" xfId="27911" xr:uid="{AF455609-3716-4B8C-8110-476C23120C1D}"/>
    <cellStyle name="Currency 5 2 2 2 2 2 2 6" xfId="37210" xr:uid="{10C985D2-C9F9-4D6F-822D-547BCD838F38}"/>
    <cellStyle name="Currency 5 2 2 2 2 2 2 7" xfId="18612" xr:uid="{57CFC7C3-B50A-4A11-BD80-DFF2812098AC}"/>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16940" xr:uid="{0DDEBEB7-7E4F-4F8B-B388-3A6BD8EF1435}"/>
    <cellStyle name="Currency 5 2 2 2 2 2 3 2 2 2 2" xfId="53282" xr:uid="{F2149E18-8A4F-4648-8C37-AF304F87E317}"/>
    <cellStyle name="Currency 5 2 2 2 2 2 3 2 2 2 3" xfId="34686" xr:uid="{D211241A-97C8-4965-8B69-88727F8D04E4}"/>
    <cellStyle name="Currency 5 2 2 2 2 2 3 2 2 3" xfId="43985" xr:uid="{5C85E8C7-DE2C-41EC-9BB8-0851D554B81C}"/>
    <cellStyle name="Currency 5 2 2 2 2 2 3 2 2 4" xfId="25387" xr:uid="{B66DD711-24BF-4A75-9A44-AE90CAAABE5A}"/>
    <cellStyle name="Currency 5 2 2 2 2 2 3 2 3" xfId="12723" xr:uid="{4AB1A593-ABF6-4216-9536-391AD05823DD}"/>
    <cellStyle name="Currency 5 2 2 2 2 2 3 2 3 2" xfId="49065" xr:uid="{8F386C85-6658-4FDB-9128-347233AA524A}"/>
    <cellStyle name="Currency 5 2 2 2 2 2 3 2 3 3" xfId="30469" xr:uid="{5329DB30-0C75-4D83-97E6-72CAA218A1F4}"/>
    <cellStyle name="Currency 5 2 2 2 2 2 3 2 4" xfId="39768" xr:uid="{CB9044AB-C3E6-4DFD-80AD-54B05D6AB518}"/>
    <cellStyle name="Currency 5 2 2 2 2 2 3 2 5" xfId="21170" xr:uid="{7EE2AE42-BFCE-4705-A01F-B12D22D915A4}"/>
    <cellStyle name="Currency 5 2 2 2 2 2 3 3" xfId="5469" xr:uid="{00000000-0005-0000-0000-0000770B0000}"/>
    <cellStyle name="Currency 5 2 2 2 2 2 3 3 2" xfId="14795" xr:uid="{60E15F1E-CE7A-41D7-8F7D-CE84554F84F4}"/>
    <cellStyle name="Currency 5 2 2 2 2 2 3 3 2 2" xfId="51137" xr:uid="{D481F884-B20E-47FC-9BDC-6CEDB6B34B72}"/>
    <cellStyle name="Currency 5 2 2 2 2 2 3 3 2 3" xfId="32541" xr:uid="{1C589049-0E4B-4118-A0F3-FB177623FFCB}"/>
    <cellStyle name="Currency 5 2 2 2 2 2 3 3 3" xfId="41840" xr:uid="{F94C75E1-ACBE-4A0A-B862-0B81ABB1DEC4}"/>
    <cellStyle name="Currency 5 2 2 2 2 2 3 3 4" xfId="23242" xr:uid="{5F128A75-1C70-44FF-84FD-BB1088134DFA}"/>
    <cellStyle name="Currency 5 2 2 2 2 2 3 4" xfId="10578" xr:uid="{D1666515-A334-46D9-ABF4-537F4F14DB58}"/>
    <cellStyle name="Currency 5 2 2 2 2 2 3 4 2" xfId="46920" xr:uid="{6C852236-E6D0-4D28-BD1E-2D448DE316E2}"/>
    <cellStyle name="Currency 5 2 2 2 2 2 3 4 3" xfId="28324" xr:uid="{23602910-F004-4928-BB60-BCBD5FFC9C53}"/>
    <cellStyle name="Currency 5 2 2 2 2 2 3 5" xfId="37623" xr:uid="{2B30347E-8DC4-455B-A9A6-F4C4E4A5FC3C}"/>
    <cellStyle name="Currency 5 2 2 2 2 2 3 6" xfId="19025" xr:uid="{2A601F9E-631A-4D27-9AE2-065C7C8B0187}"/>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17353" xr:uid="{8EE15BA1-C98F-4BFC-97F3-DE2B127C3260}"/>
    <cellStyle name="Currency 5 2 2 2 2 2 4 2 2 2 2" xfId="53695" xr:uid="{A322705A-86A5-45D7-B966-53626750944A}"/>
    <cellStyle name="Currency 5 2 2 2 2 2 4 2 2 2 3" xfId="35099" xr:uid="{116B9937-09E0-4C96-B5F9-DAC563E763BF}"/>
    <cellStyle name="Currency 5 2 2 2 2 2 4 2 2 3" xfId="44398" xr:uid="{C62BBBEA-4B27-4217-8284-947A82696478}"/>
    <cellStyle name="Currency 5 2 2 2 2 2 4 2 2 4" xfId="25800" xr:uid="{80324C1E-BEE3-45F6-AB9D-6A5C35A0BE41}"/>
    <cellStyle name="Currency 5 2 2 2 2 2 4 2 3" xfId="13136" xr:uid="{2F97273E-C287-4310-9855-711D83743164}"/>
    <cellStyle name="Currency 5 2 2 2 2 2 4 2 3 2" xfId="49478" xr:uid="{2E389F01-ECC1-456A-BCF0-E0B581B613AB}"/>
    <cellStyle name="Currency 5 2 2 2 2 2 4 2 3 3" xfId="30882" xr:uid="{E9F771F5-4FDE-4057-BA89-01DE10A96704}"/>
    <cellStyle name="Currency 5 2 2 2 2 2 4 2 4" xfId="40181" xr:uid="{C3069A0B-CC40-40E6-8A2E-90C5D58A78DA}"/>
    <cellStyle name="Currency 5 2 2 2 2 2 4 2 5" xfId="21583" xr:uid="{853BCA95-F812-4D35-AD46-BE12FBC896A7}"/>
    <cellStyle name="Currency 5 2 2 2 2 2 4 3" xfId="5882" xr:uid="{00000000-0005-0000-0000-00007B0B0000}"/>
    <cellStyle name="Currency 5 2 2 2 2 2 4 3 2" xfId="15208" xr:uid="{036DD024-4AB2-4A86-B6ED-7258A27B7A7E}"/>
    <cellStyle name="Currency 5 2 2 2 2 2 4 3 2 2" xfId="51550" xr:uid="{B8D3F577-F614-4293-9BB1-B3571E630151}"/>
    <cellStyle name="Currency 5 2 2 2 2 2 4 3 2 3" xfId="32954" xr:uid="{A850A233-C9EC-45D4-94D6-A186EBCFFC2F}"/>
    <cellStyle name="Currency 5 2 2 2 2 2 4 3 3" xfId="42253" xr:uid="{4670B293-774C-4BF1-BD38-6F673B2E2C7D}"/>
    <cellStyle name="Currency 5 2 2 2 2 2 4 3 4" xfId="23655" xr:uid="{CF818556-43C2-466C-B635-DE92B845B5AF}"/>
    <cellStyle name="Currency 5 2 2 2 2 2 4 4" xfId="10991" xr:uid="{4B08F927-ACBC-4618-A296-EA4C9C6F5C9A}"/>
    <cellStyle name="Currency 5 2 2 2 2 2 4 4 2" xfId="47333" xr:uid="{2E1EEAD5-AE07-47F5-9E22-ABC83A484105}"/>
    <cellStyle name="Currency 5 2 2 2 2 2 4 4 3" xfId="28737" xr:uid="{016165E9-8F83-4319-ACEB-FEC1A52D04B6}"/>
    <cellStyle name="Currency 5 2 2 2 2 2 4 5" xfId="38036" xr:uid="{DFA67D89-8AFB-437E-AB3A-A7B42D8E9B5A}"/>
    <cellStyle name="Currency 5 2 2 2 2 2 4 6" xfId="19438" xr:uid="{B4F1D5B6-0815-4912-A461-CC7C22DD8FDB}"/>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17766" xr:uid="{2DB31F1B-21E8-4A4C-8AFE-3724A2F65517}"/>
    <cellStyle name="Currency 5 2 2 2 2 2 5 2 2 2 2" xfId="54108" xr:uid="{ED1CEEE8-83D0-4FA9-99FD-415A38A2C71B}"/>
    <cellStyle name="Currency 5 2 2 2 2 2 5 2 2 2 3" xfId="35512" xr:uid="{9EE8CEF9-12AA-4A16-886E-491AB5693684}"/>
    <cellStyle name="Currency 5 2 2 2 2 2 5 2 2 3" xfId="44811" xr:uid="{4D7CFCE8-2747-4626-9709-599C4DC3DA26}"/>
    <cellStyle name="Currency 5 2 2 2 2 2 5 2 2 4" xfId="26213" xr:uid="{8F20D8CD-6E3A-43D8-ADC4-90FFEF4B79FD}"/>
    <cellStyle name="Currency 5 2 2 2 2 2 5 2 3" xfId="13549" xr:uid="{621C99AA-FB30-49F3-ABB3-15AA407628A2}"/>
    <cellStyle name="Currency 5 2 2 2 2 2 5 2 3 2" xfId="49891" xr:uid="{78B4628F-34AD-460B-AF9D-8D67793E8A78}"/>
    <cellStyle name="Currency 5 2 2 2 2 2 5 2 3 3" xfId="31295" xr:uid="{DFFB892F-109F-4DFE-ACD4-A4A1EC5811BB}"/>
    <cellStyle name="Currency 5 2 2 2 2 2 5 2 4" xfId="40594" xr:uid="{B119C03F-9793-4029-9DDA-5353FAD6127C}"/>
    <cellStyle name="Currency 5 2 2 2 2 2 5 2 5" xfId="21996" xr:uid="{03B9E1F6-69BC-460E-BD8F-6B8DE6106331}"/>
    <cellStyle name="Currency 5 2 2 2 2 2 5 3" xfId="6295" xr:uid="{00000000-0005-0000-0000-00007F0B0000}"/>
    <cellStyle name="Currency 5 2 2 2 2 2 5 3 2" xfId="15621" xr:uid="{1F120545-D9F0-490A-81A8-9FA828221626}"/>
    <cellStyle name="Currency 5 2 2 2 2 2 5 3 2 2" xfId="51963" xr:uid="{0B9DC58E-06D4-4CCC-8EF5-157CA2FBE573}"/>
    <cellStyle name="Currency 5 2 2 2 2 2 5 3 2 3" xfId="33367" xr:uid="{2FBF208F-3AF9-40B8-8CCC-0223599F04C2}"/>
    <cellStyle name="Currency 5 2 2 2 2 2 5 3 3" xfId="42666" xr:uid="{0F9B7B65-6F6B-43E3-8218-4247BAB23BC7}"/>
    <cellStyle name="Currency 5 2 2 2 2 2 5 3 4" xfId="24068" xr:uid="{43D1B126-B888-4A89-B160-F980D24FBC6E}"/>
    <cellStyle name="Currency 5 2 2 2 2 2 5 4" xfId="11404" xr:uid="{6F0C0D00-4B94-47C4-961F-D0353A2D3267}"/>
    <cellStyle name="Currency 5 2 2 2 2 2 5 4 2" xfId="47746" xr:uid="{EEE035CC-B6FC-46B0-9DC0-855C7C2FC557}"/>
    <cellStyle name="Currency 5 2 2 2 2 2 5 4 3" xfId="29150" xr:uid="{253C15E9-DCE2-408F-8E45-2BEA274D38F7}"/>
    <cellStyle name="Currency 5 2 2 2 2 2 5 5" xfId="38449" xr:uid="{5A03D5DA-5D93-4935-8D70-478F66E8AD56}"/>
    <cellStyle name="Currency 5 2 2 2 2 2 5 6" xfId="19851" xr:uid="{DC1DC8B2-936B-4828-A2F0-4156672CC20A}"/>
    <cellStyle name="Currency 5 2 2 2 2 2 6" xfId="2424" xr:uid="{00000000-0005-0000-0000-0000800B0000}"/>
    <cellStyle name="Currency 5 2 2 2 2 2 6 2" xfId="6708" xr:uid="{00000000-0005-0000-0000-0000810B0000}"/>
    <cellStyle name="Currency 5 2 2 2 2 2 6 2 2" xfId="16034" xr:uid="{37C4723E-0A27-4275-AC0E-AE5EE4935884}"/>
    <cellStyle name="Currency 5 2 2 2 2 2 6 2 2 2" xfId="52376" xr:uid="{EB685368-99F9-434C-AC5C-4FD14FE20EE7}"/>
    <cellStyle name="Currency 5 2 2 2 2 2 6 2 2 3" xfId="33780" xr:uid="{DD4BD16A-D0BA-4876-977E-122AE64CE898}"/>
    <cellStyle name="Currency 5 2 2 2 2 2 6 2 3" xfId="43079" xr:uid="{C669E1B0-A721-4DCF-8C1E-6A023A0AA3D0}"/>
    <cellStyle name="Currency 5 2 2 2 2 2 6 2 4" xfId="24481" xr:uid="{A2F4FD57-6897-4B79-990F-3FAD8E4B53CD}"/>
    <cellStyle name="Currency 5 2 2 2 2 2 6 3" xfId="11817" xr:uid="{274EBF8F-5356-4206-8261-1D1AEA93BAEA}"/>
    <cellStyle name="Currency 5 2 2 2 2 2 6 3 2" xfId="48159" xr:uid="{576B8F14-9CC4-4619-8F08-B13BB44646DA}"/>
    <cellStyle name="Currency 5 2 2 2 2 2 6 3 3" xfId="29563" xr:uid="{CC3228C2-F4A4-4345-B4D5-0C1DA4B8A10E}"/>
    <cellStyle name="Currency 5 2 2 2 2 2 6 4" xfId="38862" xr:uid="{97F572E7-0DC1-42C3-9EE2-BEA4059DBE95}"/>
    <cellStyle name="Currency 5 2 2 2 2 2 6 5" xfId="20264" xr:uid="{37752671-A1DE-43B1-81C8-00AB7CCE5E1A}"/>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16351" xr:uid="{29118CCB-4756-44D9-81ED-538C84E031F8}"/>
    <cellStyle name="Currency 5 2 2 2 2 2 8 2 2 2" xfId="52693" xr:uid="{FFFB972D-3F32-462A-99CA-9F2601A44813}"/>
    <cellStyle name="Currency 5 2 2 2 2 2 8 2 2 3" xfId="34097" xr:uid="{816CBD4C-66AA-4D15-AF94-C696E3505AB6}"/>
    <cellStyle name="Currency 5 2 2 2 2 2 8 2 3" xfId="43396" xr:uid="{3C8CD6D3-03D7-4163-96CF-2C6609FA0874}"/>
    <cellStyle name="Currency 5 2 2 2 2 2 8 2 4" xfId="24798" xr:uid="{D5D10BF3-DBC5-4407-81F0-A62D5D7AD46D}"/>
    <cellStyle name="Currency 5 2 2 2 2 2 8 3" xfId="12134" xr:uid="{472B4859-7715-4150-B0F7-2F197EA9DE73}"/>
    <cellStyle name="Currency 5 2 2 2 2 2 8 3 2" xfId="48476" xr:uid="{2B2E80D2-C374-431C-863E-F74D357F3565}"/>
    <cellStyle name="Currency 5 2 2 2 2 2 8 3 3" xfId="29880" xr:uid="{C03B8994-53ED-46C5-A238-1C42633692FA}"/>
    <cellStyle name="Currency 5 2 2 2 2 2 8 4" xfId="39179" xr:uid="{27200592-9547-4DD9-B3DE-319B5F8656AB}"/>
    <cellStyle name="Currency 5 2 2 2 2 2 8 5" xfId="20581" xr:uid="{9A0E05F2-B37D-4DA1-8B52-2E66BA4A14B6}"/>
    <cellStyle name="Currency 5 2 2 2 2 2 9" xfId="4642" xr:uid="{00000000-0005-0000-0000-0000850B0000}"/>
    <cellStyle name="Currency 5 2 2 2 2 2 9 2" xfId="13968" xr:uid="{9CD50CEB-F8C2-442B-ADCA-A9045DC7DDBB}"/>
    <cellStyle name="Currency 5 2 2 2 2 2 9 2 2" xfId="50310" xr:uid="{2FBB15CE-244C-48AC-9AD2-0A23DB0C939C}"/>
    <cellStyle name="Currency 5 2 2 2 2 2 9 2 3" xfId="31714" xr:uid="{B010BEFD-A7D9-4909-BED8-BA1001A6D030}"/>
    <cellStyle name="Currency 5 2 2 2 2 2 9 3" xfId="41013" xr:uid="{9CD758FA-B534-43A5-BBFC-B33C6FFDE21A}"/>
    <cellStyle name="Currency 5 2 2 2 2 2 9 4" xfId="22415" xr:uid="{1884FE5D-A3A1-439F-90B3-70BEA18A8D24}"/>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16526" xr:uid="{14E6BBE6-DF2F-4857-8E60-F7DC5E8CB51C}"/>
    <cellStyle name="Currency 5 2 2 2 2 3 2 2 2 2" xfId="52868" xr:uid="{0C5D526C-E146-49FA-82A2-DDD55A6DF0AB}"/>
    <cellStyle name="Currency 5 2 2 2 2 3 2 2 2 3" xfId="34272" xr:uid="{A39796E1-F086-4268-ADBF-28A0A20B2094}"/>
    <cellStyle name="Currency 5 2 2 2 2 3 2 2 3" xfId="43571" xr:uid="{D98B797E-8897-499D-9A53-9004511C3AA6}"/>
    <cellStyle name="Currency 5 2 2 2 2 3 2 2 4" xfId="24973" xr:uid="{4EB1FB30-6E52-4639-9126-AC1DFBA00373}"/>
    <cellStyle name="Currency 5 2 2 2 2 3 2 3" xfId="12309" xr:uid="{6C3A0D81-715D-468E-8D77-60DEC9CA49EE}"/>
    <cellStyle name="Currency 5 2 2 2 2 3 2 3 2" xfId="48651" xr:uid="{4AADF92E-C672-4F9F-9B82-6C1F00CCF089}"/>
    <cellStyle name="Currency 5 2 2 2 2 3 2 3 3" xfId="30055" xr:uid="{CD085D97-7CB5-4DFD-9CC1-F40209F69E9D}"/>
    <cellStyle name="Currency 5 2 2 2 2 3 2 4" xfId="39354" xr:uid="{9BAFD827-87CD-4DA4-AD5C-0BAD660CA422}"/>
    <cellStyle name="Currency 5 2 2 2 2 3 2 5" xfId="20756" xr:uid="{7D06C734-FAD4-4A78-AF9D-3EAF572A0E21}"/>
    <cellStyle name="Currency 5 2 2 2 2 3 3" xfId="5055" xr:uid="{00000000-0005-0000-0000-0000890B0000}"/>
    <cellStyle name="Currency 5 2 2 2 2 3 3 2" xfId="14381" xr:uid="{5CD6BB7E-3D26-4436-9D5E-E4E04FB50DBD}"/>
    <cellStyle name="Currency 5 2 2 2 2 3 3 2 2" xfId="50723" xr:uid="{B05FB24C-B429-473A-8286-A69F6DA7C11F}"/>
    <cellStyle name="Currency 5 2 2 2 2 3 3 2 3" xfId="32127" xr:uid="{1A5EC48C-8181-4AB7-A195-49238465889D}"/>
    <cellStyle name="Currency 5 2 2 2 2 3 3 3" xfId="41426" xr:uid="{1FDAEB0D-22AD-4118-B417-BD437C786FAF}"/>
    <cellStyle name="Currency 5 2 2 2 2 3 3 4" xfId="22828" xr:uid="{14BA2936-D7B7-4218-A8B5-0720B996773E}"/>
    <cellStyle name="Currency 5 2 2 2 2 3 4" xfId="9337" xr:uid="{A1FF44B9-A8E0-4A4E-9BE9-DA7FD7E326AE}"/>
    <cellStyle name="Currency 5 2 2 2 2 3 4 2" xfId="36398" xr:uid="{2F744CC3-EB64-4DD8-8120-E1FC3AA04D65}"/>
    <cellStyle name="Currency 5 2 2 2 2 3 4 2 2" xfId="54992" xr:uid="{22C066C6-70DB-4ADC-B385-A500A9B34A89}"/>
    <cellStyle name="Currency 5 2 2 2 2 3 4 3" xfId="45695" xr:uid="{F1F6C1C9-7578-4426-A15F-1B0C7B71C341}"/>
    <cellStyle name="Currency 5 2 2 2 2 3 4 4" xfId="27099" xr:uid="{B661D1CB-26E2-480E-9429-A1DF4BB9BF22}"/>
    <cellStyle name="Currency 5 2 2 2 2 3 5" xfId="10164" xr:uid="{1974228B-5F75-41F8-AEBC-0090B05E02DF}"/>
    <cellStyle name="Currency 5 2 2 2 2 3 5 2" xfId="46506" xr:uid="{8E39B358-149F-4EB9-8048-CAF2BDB33F23}"/>
    <cellStyle name="Currency 5 2 2 2 2 3 5 3" xfId="27910" xr:uid="{FEB392B3-BC49-40DC-8905-07E2740C7CE5}"/>
    <cellStyle name="Currency 5 2 2 2 2 3 6" xfId="37209" xr:uid="{928E3333-4663-4D40-BC47-CE220F4DF7B5}"/>
    <cellStyle name="Currency 5 2 2 2 2 3 7" xfId="18611" xr:uid="{B4A07E18-8AA9-44C7-94E5-A189A8E2457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16939" xr:uid="{9669A8E2-8900-4A50-8569-24FAB5FE3766}"/>
    <cellStyle name="Currency 5 2 2 2 2 4 2 2 2 2" xfId="53281" xr:uid="{51FC83ED-D1BD-479A-9DAD-11C574AAF81A}"/>
    <cellStyle name="Currency 5 2 2 2 2 4 2 2 2 3" xfId="34685" xr:uid="{7D43FAAB-3512-484E-890D-C7876E23A31A}"/>
    <cellStyle name="Currency 5 2 2 2 2 4 2 2 3" xfId="43984" xr:uid="{7C60319E-870F-4678-84C2-869B1FF6C169}"/>
    <cellStyle name="Currency 5 2 2 2 2 4 2 2 4" xfId="25386" xr:uid="{DAF36305-D1C9-4C44-9086-2FA362AA1896}"/>
    <cellStyle name="Currency 5 2 2 2 2 4 2 3" xfId="12722" xr:uid="{49677093-13FA-40CF-8F11-B421AA4C51D1}"/>
    <cellStyle name="Currency 5 2 2 2 2 4 2 3 2" xfId="49064" xr:uid="{928FD24B-A489-49CB-B5B7-118A0D32D7F9}"/>
    <cellStyle name="Currency 5 2 2 2 2 4 2 3 3" xfId="30468" xr:uid="{AF4EF5BE-12AC-4AE3-AB81-9E533B92D7DB}"/>
    <cellStyle name="Currency 5 2 2 2 2 4 2 4" xfId="39767" xr:uid="{841D1E4D-CC08-4F0A-BE63-6BD4D4567D80}"/>
    <cellStyle name="Currency 5 2 2 2 2 4 2 5" xfId="21169" xr:uid="{48B1DCB0-07C6-4385-B1B6-E2551287B28B}"/>
    <cellStyle name="Currency 5 2 2 2 2 4 3" xfId="5468" xr:uid="{00000000-0005-0000-0000-00008D0B0000}"/>
    <cellStyle name="Currency 5 2 2 2 2 4 3 2" xfId="14794" xr:uid="{4BACC0B8-3E7D-4E44-AB15-E4BEE66F249F}"/>
    <cellStyle name="Currency 5 2 2 2 2 4 3 2 2" xfId="51136" xr:uid="{D09FDB99-DED7-491B-A246-47E9C1E81683}"/>
    <cellStyle name="Currency 5 2 2 2 2 4 3 2 3" xfId="32540" xr:uid="{34AFEB81-760B-4E10-9170-78F04AA88BBE}"/>
    <cellStyle name="Currency 5 2 2 2 2 4 3 3" xfId="41839" xr:uid="{76900D94-935C-4A92-88DB-59A8B2321BDD}"/>
    <cellStyle name="Currency 5 2 2 2 2 4 3 4" xfId="23241" xr:uid="{645AC0A5-A884-4C53-9AC7-A45451E6E523}"/>
    <cellStyle name="Currency 5 2 2 2 2 4 4" xfId="10577" xr:uid="{B8CB1BE6-E2F2-44C8-A834-855A771B6775}"/>
    <cellStyle name="Currency 5 2 2 2 2 4 4 2" xfId="46919" xr:uid="{CD733F2A-3456-4FBE-89FB-7B83F65788DA}"/>
    <cellStyle name="Currency 5 2 2 2 2 4 4 3" xfId="28323" xr:uid="{F4E3D25E-C0D7-4F71-86EA-4D235C7F940E}"/>
    <cellStyle name="Currency 5 2 2 2 2 4 5" xfId="37622" xr:uid="{CFEC2D1E-85F3-43A7-9BC3-66BC23B6D0A7}"/>
    <cellStyle name="Currency 5 2 2 2 2 4 6" xfId="19024" xr:uid="{26227348-316E-44E9-B8C7-0DF1F8416736}"/>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17352" xr:uid="{C7E3A063-25E3-42C4-AE50-AE016019B699}"/>
    <cellStyle name="Currency 5 2 2 2 2 5 2 2 2 2" xfId="53694" xr:uid="{8E08A8A2-C247-4807-812F-B47151ACF148}"/>
    <cellStyle name="Currency 5 2 2 2 2 5 2 2 2 3" xfId="35098" xr:uid="{D74BAA71-FCBA-4844-9F8A-FE6B7DD5DE3C}"/>
    <cellStyle name="Currency 5 2 2 2 2 5 2 2 3" xfId="44397" xr:uid="{3634303A-DCD9-4A05-B9B1-6C1BB2B8A9BF}"/>
    <cellStyle name="Currency 5 2 2 2 2 5 2 2 4" xfId="25799" xr:uid="{82C9AB61-1706-4A1E-9436-838058F9631F}"/>
    <cellStyle name="Currency 5 2 2 2 2 5 2 3" xfId="13135" xr:uid="{944E24B9-5DC7-434C-8B0D-6E445B4716CC}"/>
    <cellStyle name="Currency 5 2 2 2 2 5 2 3 2" xfId="49477" xr:uid="{340971F2-72EB-448C-B401-B203F8CFBC65}"/>
    <cellStyle name="Currency 5 2 2 2 2 5 2 3 3" xfId="30881" xr:uid="{1F8A3DED-6F45-4152-B3AC-F4CDFBD1DE62}"/>
    <cellStyle name="Currency 5 2 2 2 2 5 2 4" xfId="40180" xr:uid="{45583428-8669-42B0-83E5-8E517EC8B0B3}"/>
    <cellStyle name="Currency 5 2 2 2 2 5 2 5" xfId="21582" xr:uid="{BBEB2C24-89C6-4AB7-B7AB-A18FB8DDA44C}"/>
    <cellStyle name="Currency 5 2 2 2 2 5 3" xfId="5881" xr:uid="{00000000-0005-0000-0000-0000910B0000}"/>
    <cellStyle name="Currency 5 2 2 2 2 5 3 2" xfId="15207" xr:uid="{99266F29-83F1-4AB4-862A-39892443DD90}"/>
    <cellStyle name="Currency 5 2 2 2 2 5 3 2 2" xfId="51549" xr:uid="{D9D34378-A3AF-4312-8D5D-B075DA218057}"/>
    <cellStyle name="Currency 5 2 2 2 2 5 3 2 3" xfId="32953" xr:uid="{290205ED-0987-4EAF-B723-AE9AF5FB651B}"/>
    <cellStyle name="Currency 5 2 2 2 2 5 3 3" xfId="42252" xr:uid="{9BB35400-CF2D-4D07-B1EE-A45ED7F0F031}"/>
    <cellStyle name="Currency 5 2 2 2 2 5 3 4" xfId="23654" xr:uid="{76F868DA-2EB0-496C-BF40-6A1E5B83D870}"/>
    <cellStyle name="Currency 5 2 2 2 2 5 4" xfId="10990" xr:uid="{1DB4B3C4-E271-491E-BFAB-9DCEE1154F5A}"/>
    <cellStyle name="Currency 5 2 2 2 2 5 4 2" xfId="47332" xr:uid="{D87E13C3-CBB8-422D-B5B5-41A773CB1D73}"/>
    <cellStyle name="Currency 5 2 2 2 2 5 4 3" xfId="28736" xr:uid="{74EB226E-8A0B-4FAD-AE38-8137AC6BE95C}"/>
    <cellStyle name="Currency 5 2 2 2 2 5 5" xfId="38035" xr:uid="{EC9087A1-CDCE-4C01-9BEC-1C6977BD54B4}"/>
    <cellStyle name="Currency 5 2 2 2 2 5 6" xfId="19437" xr:uid="{83EF13E1-FD63-42B1-BBEE-1AE30584B6C8}"/>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17765" xr:uid="{0A6A9025-AED7-4776-B9A4-39C10D823DCA}"/>
    <cellStyle name="Currency 5 2 2 2 2 6 2 2 2 2" xfId="54107" xr:uid="{14F29C9A-2B65-472E-8F95-A81CB6943283}"/>
    <cellStyle name="Currency 5 2 2 2 2 6 2 2 2 3" xfId="35511" xr:uid="{0A66A701-7588-4DDA-8CD3-B08EFD7D4AAA}"/>
    <cellStyle name="Currency 5 2 2 2 2 6 2 2 3" xfId="44810" xr:uid="{1A9915A7-9712-4347-805D-0DB02B8163ED}"/>
    <cellStyle name="Currency 5 2 2 2 2 6 2 2 4" xfId="26212" xr:uid="{95C4DDB0-E130-419C-8316-8E6EB2CB35C8}"/>
    <cellStyle name="Currency 5 2 2 2 2 6 2 3" xfId="13548" xr:uid="{B238248D-098D-4B83-990F-6B8812022FAC}"/>
    <cellStyle name="Currency 5 2 2 2 2 6 2 3 2" xfId="49890" xr:uid="{F16D46F7-7F43-4B76-9E1A-535E07D0F8F0}"/>
    <cellStyle name="Currency 5 2 2 2 2 6 2 3 3" xfId="31294" xr:uid="{20717464-1587-4688-8523-6FC0A917EEA3}"/>
    <cellStyle name="Currency 5 2 2 2 2 6 2 4" xfId="40593" xr:uid="{9F2C63AA-3079-45D9-978E-81EE1C5AE679}"/>
    <cellStyle name="Currency 5 2 2 2 2 6 2 5" xfId="21995" xr:uid="{262735E1-C7D8-439C-8843-B1DE5253BB11}"/>
    <cellStyle name="Currency 5 2 2 2 2 6 3" xfId="6294" xr:uid="{00000000-0005-0000-0000-0000950B0000}"/>
    <cellStyle name="Currency 5 2 2 2 2 6 3 2" xfId="15620" xr:uid="{C79C1940-F3D0-49D5-8038-35C64CB710E3}"/>
    <cellStyle name="Currency 5 2 2 2 2 6 3 2 2" xfId="51962" xr:uid="{612ADE59-D2CE-42B1-BEA6-39A2CF5CDEA5}"/>
    <cellStyle name="Currency 5 2 2 2 2 6 3 2 3" xfId="33366" xr:uid="{8DECF3B8-3134-44D2-8C3E-9FDB6B00A749}"/>
    <cellStyle name="Currency 5 2 2 2 2 6 3 3" xfId="42665" xr:uid="{DEB112B5-F56C-470B-AF41-0D3942C59542}"/>
    <cellStyle name="Currency 5 2 2 2 2 6 3 4" xfId="24067" xr:uid="{0CE92610-1F2D-4FEB-BD03-36445F3DBA27}"/>
    <cellStyle name="Currency 5 2 2 2 2 6 4" xfId="11403" xr:uid="{0125ED16-0033-4D0D-AF14-EFFE9FB56A22}"/>
    <cellStyle name="Currency 5 2 2 2 2 6 4 2" xfId="47745" xr:uid="{A3C68744-1929-4ACE-99AB-1B5BD5D0E2BA}"/>
    <cellStyle name="Currency 5 2 2 2 2 6 4 3" xfId="29149" xr:uid="{A28C7AB0-6364-433E-ADDC-232857899D04}"/>
    <cellStyle name="Currency 5 2 2 2 2 6 5" xfId="38448" xr:uid="{DAFCF3DF-F8DD-47C4-BC0A-E3AD0723087F}"/>
    <cellStyle name="Currency 5 2 2 2 2 6 6" xfId="19850" xr:uid="{73845AC8-CFE3-49DF-B1E1-1BED942A27FC}"/>
    <cellStyle name="Currency 5 2 2 2 2 7" xfId="2423" xr:uid="{00000000-0005-0000-0000-0000960B0000}"/>
    <cellStyle name="Currency 5 2 2 2 2 7 2" xfId="6707" xr:uid="{00000000-0005-0000-0000-0000970B0000}"/>
    <cellStyle name="Currency 5 2 2 2 2 7 2 2" xfId="16033" xr:uid="{EAFDF08A-2138-4AA1-AC28-7BC238DA0F37}"/>
    <cellStyle name="Currency 5 2 2 2 2 7 2 2 2" xfId="52375" xr:uid="{C964D144-2FE2-4D8C-B449-97DA00EB93B1}"/>
    <cellStyle name="Currency 5 2 2 2 2 7 2 2 3" xfId="33779" xr:uid="{C0BE03A2-EAB9-4228-AC32-43EC22BA0E18}"/>
    <cellStyle name="Currency 5 2 2 2 2 7 2 3" xfId="43078" xr:uid="{CC2071AB-66C4-43CC-8E22-6347AE23EF31}"/>
    <cellStyle name="Currency 5 2 2 2 2 7 2 4" xfId="24480" xr:uid="{22F3AF98-8CCA-409D-9459-3BA248F4AFA4}"/>
    <cellStyle name="Currency 5 2 2 2 2 7 3" xfId="11816" xr:uid="{11CB6271-5FEC-4236-8BAF-CA1371CA092E}"/>
    <cellStyle name="Currency 5 2 2 2 2 7 3 2" xfId="48158" xr:uid="{D66D361C-B8B5-487C-BA65-4AF1D0566E9C}"/>
    <cellStyle name="Currency 5 2 2 2 2 7 3 3" xfId="29562" xr:uid="{7E1AB306-5AC7-431E-B8C4-AFB5ECE4843D}"/>
    <cellStyle name="Currency 5 2 2 2 2 7 4" xfId="38861" xr:uid="{FF9A12C0-8E95-480B-822F-684E663E12E5}"/>
    <cellStyle name="Currency 5 2 2 2 2 7 5" xfId="20263" xr:uid="{D60F4671-5984-403D-88C8-11EF69A0E984}"/>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16350" xr:uid="{4C89FAD7-DE78-40A1-85B6-3B73433C2BCC}"/>
    <cellStyle name="Currency 5 2 2 2 2 9 2 2 2" xfId="52692" xr:uid="{1C81EBF1-1F36-445B-BA31-2328D3303590}"/>
    <cellStyle name="Currency 5 2 2 2 2 9 2 2 3" xfId="34096" xr:uid="{4F34E29E-CE65-4B7C-8DF6-E0A95F05A648}"/>
    <cellStyle name="Currency 5 2 2 2 2 9 2 3" xfId="43395" xr:uid="{B799A162-EB00-4703-B39C-8235BF20326D}"/>
    <cellStyle name="Currency 5 2 2 2 2 9 2 4" xfId="24797" xr:uid="{D4CD2349-BAA4-4BEF-B52D-21419FBCEF30}"/>
    <cellStyle name="Currency 5 2 2 2 2 9 3" xfId="12133" xr:uid="{362F8DC2-A05B-4915-BF8F-E38ABC6A1195}"/>
    <cellStyle name="Currency 5 2 2 2 2 9 3 2" xfId="48475" xr:uid="{34611CAE-7EB3-4218-A052-818CD7EC35EC}"/>
    <cellStyle name="Currency 5 2 2 2 2 9 3 3" xfId="29879" xr:uid="{1F8F87F8-B425-462F-A84E-463E5DAF8AD6}"/>
    <cellStyle name="Currency 5 2 2 2 2 9 4" xfId="39178" xr:uid="{68EBFB00-4036-4269-949D-E1D2516E48AD}"/>
    <cellStyle name="Currency 5 2 2 2 2 9 5" xfId="20580" xr:uid="{8BE5CE8D-E833-4EF7-9139-D40FC1D450A3}"/>
    <cellStyle name="Currency 5 2 2 2 3" xfId="199" xr:uid="{00000000-0005-0000-0000-00009B0B0000}"/>
    <cellStyle name="Currency 5 2 2 2 3 10" xfId="9016" xr:uid="{706F9706-E49D-4995-B402-A842C879DBC8}"/>
    <cellStyle name="Currency 5 2 2 2 3 10 2" xfId="36086" xr:uid="{BA8F607D-6D2E-4DA3-BE5D-650E20800AE1}"/>
    <cellStyle name="Currency 5 2 2 2 3 10 2 2" xfId="54681" xr:uid="{F212257D-0A81-41F6-8458-B1FC47188DE1}"/>
    <cellStyle name="Currency 5 2 2 2 3 10 3" xfId="45384" xr:uid="{3AB20D2C-FC4E-48E9-9403-990FBEBAE521}"/>
    <cellStyle name="Currency 5 2 2 2 3 10 4" xfId="26787" xr:uid="{0E9B41DD-2333-4A97-9E5A-6852D0E9FDC5}"/>
    <cellStyle name="Currency 5 2 2 2 3 11" xfId="9752" xr:uid="{89927D87-8A1D-4345-9853-CA5EF2F7D4EF}"/>
    <cellStyle name="Currency 5 2 2 2 3 11 2" xfId="46094" xr:uid="{96B00E5E-FB60-47E9-BA9B-6B0B63EA087D}"/>
    <cellStyle name="Currency 5 2 2 2 3 11 3" xfId="27498" xr:uid="{B59E8ACF-0DCC-4B3D-8647-092CB38AB114}"/>
    <cellStyle name="Currency 5 2 2 2 3 12" xfId="36797" xr:uid="{6795A189-D552-4182-9AB4-44D23A0CB668}"/>
    <cellStyle name="Currency 5 2 2 2 3 13" xfId="18199" xr:uid="{7C0C9E58-A79E-4C39-8C53-FF807A6A5E45}"/>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16528" xr:uid="{1359BD9B-E647-4CCE-A380-9D2BB517B05A}"/>
    <cellStyle name="Currency 5 2 2 2 3 2 2 2 2 2" xfId="52870" xr:uid="{13F29C74-ABA3-4792-8612-88F52422B663}"/>
    <cellStyle name="Currency 5 2 2 2 3 2 2 2 2 3" xfId="34274" xr:uid="{1A60FBB2-D522-44FE-ADB9-68C0CFA1EA5B}"/>
    <cellStyle name="Currency 5 2 2 2 3 2 2 2 3" xfId="43573" xr:uid="{02170089-862A-435E-B29F-DE1FCBED035D}"/>
    <cellStyle name="Currency 5 2 2 2 3 2 2 2 4" xfId="24975" xr:uid="{E0F68BFA-721C-4048-84DE-97E31BDE3EDD}"/>
    <cellStyle name="Currency 5 2 2 2 3 2 2 3" xfId="12311" xr:uid="{5DAF3114-1964-450C-ACF9-4A4F9FA90F91}"/>
    <cellStyle name="Currency 5 2 2 2 3 2 2 3 2" xfId="48653" xr:uid="{72D8FEC8-AB9B-436C-A06C-5065C74DA30C}"/>
    <cellStyle name="Currency 5 2 2 2 3 2 2 3 3" xfId="30057" xr:uid="{104E4B28-6096-44C3-9DCE-9599672AACB2}"/>
    <cellStyle name="Currency 5 2 2 2 3 2 2 4" xfId="39356" xr:uid="{4B957F72-03B3-4767-992D-F09B251FD836}"/>
    <cellStyle name="Currency 5 2 2 2 3 2 2 5" xfId="20758" xr:uid="{88225062-68A1-4595-9D7A-ABD23A723121}"/>
    <cellStyle name="Currency 5 2 2 2 3 2 3" xfId="5057" xr:uid="{00000000-0005-0000-0000-00009F0B0000}"/>
    <cellStyle name="Currency 5 2 2 2 3 2 3 2" xfId="14383" xr:uid="{7464991A-24EA-4BEF-8884-87632A63DE09}"/>
    <cellStyle name="Currency 5 2 2 2 3 2 3 2 2" xfId="50725" xr:uid="{7EB18208-F05B-41E9-BD51-09D322E2F28A}"/>
    <cellStyle name="Currency 5 2 2 2 3 2 3 2 3" xfId="32129" xr:uid="{97D1A9E8-5CF8-43D0-B14F-01FEE5BE0F92}"/>
    <cellStyle name="Currency 5 2 2 2 3 2 3 3" xfId="41428" xr:uid="{C09FC247-699A-45D9-8663-A4FA6AADCDD1}"/>
    <cellStyle name="Currency 5 2 2 2 3 2 3 4" xfId="22830" xr:uid="{025819EA-0719-4888-B288-67847ACC5FAF}"/>
    <cellStyle name="Currency 5 2 2 2 3 2 4" xfId="9441" xr:uid="{B7048274-E02F-4E6A-9C9A-FAD4299F19B1}"/>
    <cellStyle name="Currency 5 2 2 2 3 2 4 2" xfId="36502" xr:uid="{6C1C6EA8-0B75-4213-882D-62F57410CADB}"/>
    <cellStyle name="Currency 5 2 2 2 3 2 4 2 2" xfId="55096" xr:uid="{D7AA63FE-2EB5-49A2-BA0A-C2FF49374289}"/>
    <cellStyle name="Currency 5 2 2 2 3 2 4 3" xfId="45799" xr:uid="{6BBB49F1-33F3-4EDC-85D5-0D59F16E31DC}"/>
    <cellStyle name="Currency 5 2 2 2 3 2 4 4" xfId="27203" xr:uid="{10700FAB-1995-422E-AED0-54A2663A25FD}"/>
    <cellStyle name="Currency 5 2 2 2 3 2 5" xfId="10166" xr:uid="{46E0C731-1458-4578-9D18-4746D377508E}"/>
    <cellStyle name="Currency 5 2 2 2 3 2 5 2" xfId="46508" xr:uid="{0D92E002-955E-4646-B3B6-3C018CACC08D}"/>
    <cellStyle name="Currency 5 2 2 2 3 2 5 3" xfId="27912" xr:uid="{511414EC-B189-459E-8765-EE8CB1212599}"/>
    <cellStyle name="Currency 5 2 2 2 3 2 6" xfId="37211" xr:uid="{FEC164DA-65A3-4480-9EA7-2DAF8D5638D0}"/>
    <cellStyle name="Currency 5 2 2 2 3 2 7" xfId="18613" xr:uid="{FED9A952-5234-45A7-A52C-FE6D387D907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16941" xr:uid="{E2C0CE78-AF0F-476B-AF60-6428E04FCB30}"/>
    <cellStyle name="Currency 5 2 2 2 3 3 2 2 2 2" xfId="53283" xr:uid="{2F418773-FAF4-4D24-93E1-9A356B00CC44}"/>
    <cellStyle name="Currency 5 2 2 2 3 3 2 2 2 3" xfId="34687" xr:uid="{BA3AD489-67DE-4D02-BFE1-85381F0F182B}"/>
    <cellStyle name="Currency 5 2 2 2 3 3 2 2 3" xfId="43986" xr:uid="{09125118-165E-4B6C-832C-0961399D461D}"/>
    <cellStyle name="Currency 5 2 2 2 3 3 2 2 4" xfId="25388" xr:uid="{DEB0C47E-E6C6-422A-A7E6-A3C55008D9D8}"/>
    <cellStyle name="Currency 5 2 2 2 3 3 2 3" xfId="12724" xr:uid="{9FF1B8C5-E1C1-4647-A966-08F2B9D44231}"/>
    <cellStyle name="Currency 5 2 2 2 3 3 2 3 2" xfId="49066" xr:uid="{B378561D-1589-478D-9461-8E6C8C6EC192}"/>
    <cellStyle name="Currency 5 2 2 2 3 3 2 3 3" xfId="30470" xr:uid="{9AB5B74E-DCD4-4B7F-8EB4-34D7535D5669}"/>
    <cellStyle name="Currency 5 2 2 2 3 3 2 4" xfId="39769" xr:uid="{7293BEB1-0287-41E2-B575-D538F187F9AE}"/>
    <cellStyle name="Currency 5 2 2 2 3 3 2 5" xfId="21171" xr:uid="{E129A868-C8BD-4F04-A85B-E5EFE25FCC5E}"/>
    <cellStyle name="Currency 5 2 2 2 3 3 3" xfId="5470" xr:uid="{00000000-0005-0000-0000-0000A30B0000}"/>
    <cellStyle name="Currency 5 2 2 2 3 3 3 2" xfId="14796" xr:uid="{49191B10-2D77-439C-9EA0-34AB646D30C8}"/>
    <cellStyle name="Currency 5 2 2 2 3 3 3 2 2" xfId="51138" xr:uid="{EF4A2065-D6F6-4EC1-ABA5-415EAE5AD40F}"/>
    <cellStyle name="Currency 5 2 2 2 3 3 3 2 3" xfId="32542" xr:uid="{DD8676E2-0686-4849-AC20-0EC13D784DA3}"/>
    <cellStyle name="Currency 5 2 2 2 3 3 3 3" xfId="41841" xr:uid="{BAECFAE0-F731-4C5D-86E5-326D9725C150}"/>
    <cellStyle name="Currency 5 2 2 2 3 3 3 4" xfId="23243" xr:uid="{85CB21F4-BD39-41CB-9171-DEE6CBAD83C4}"/>
    <cellStyle name="Currency 5 2 2 2 3 3 4" xfId="10579" xr:uid="{1340078C-E981-4824-AA41-79029AF5CE5C}"/>
    <cellStyle name="Currency 5 2 2 2 3 3 4 2" xfId="46921" xr:uid="{FF0F2615-F7CA-4FF2-BA03-C1B533912B87}"/>
    <cellStyle name="Currency 5 2 2 2 3 3 4 3" xfId="28325" xr:uid="{0030EE37-5EE4-45C0-BE5C-7123521B1218}"/>
    <cellStyle name="Currency 5 2 2 2 3 3 5" xfId="37624" xr:uid="{3372E3C7-4666-41D9-B198-55CDCD251910}"/>
    <cellStyle name="Currency 5 2 2 2 3 3 6" xfId="19026" xr:uid="{955DDE14-307B-453C-AA57-88CFDFE4CF17}"/>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17354" xr:uid="{3B10C41B-5FCB-4926-974D-322A92E4260D}"/>
    <cellStyle name="Currency 5 2 2 2 3 4 2 2 2 2" xfId="53696" xr:uid="{DCC26EE3-352D-45AF-9C2E-E2ED5F889BF3}"/>
    <cellStyle name="Currency 5 2 2 2 3 4 2 2 2 3" xfId="35100" xr:uid="{378134D5-FF32-4700-A209-8D7230AA22FE}"/>
    <cellStyle name="Currency 5 2 2 2 3 4 2 2 3" xfId="44399" xr:uid="{C57A47CE-CB16-4C78-9601-86838093EA2F}"/>
    <cellStyle name="Currency 5 2 2 2 3 4 2 2 4" xfId="25801" xr:uid="{45718FF2-7959-499F-AC2C-5E5153FBDAA4}"/>
    <cellStyle name="Currency 5 2 2 2 3 4 2 3" xfId="13137" xr:uid="{1D20F211-E7A9-4CB0-9809-480769040F38}"/>
    <cellStyle name="Currency 5 2 2 2 3 4 2 3 2" xfId="49479" xr:uid="{AE50BE55-C8FC-498D-867F-B6FD26923B79}"/>
    <cellStyle name="Currency 5 2 2 2 3 4 2 3 3" xfId="30883" xr:uid="{6BE088FB-820A-4380-A04D-CCB07EADCDC2}"/>
    <cellStyle name="Currency 5 2 2 2 3 4 2 4" xfId="40182" xr:uid="{DA870D75-8D54-44B1-929B-E0B57A1D4E8B}"/>
    <cellStyle name="Currency 5 2 2 2 3 4 2 5" xfId="21584" xr:uid="{7A88D594-C6C1-4DDD-AFC0-D3A26202F629}"/>
    <cellStyle name="Currency 5 2 2 2 3 4 3" xfId="5883" xr:uid="{00000000-0005-0000-0000-0000A70B0000}"/>
    <cellStyle name="Currency 5 2 2 2 3 4 3 2" xfId="15209" xr:uid="{8904D6F6-0C31-4CD7-B612-BD1CAC5B3D59}"/>
    <cellStyle name="Currency 5 2 2 2 3 4 3 2 2" xfId="51551" xr:uid="{FC811451-A24A-4950-80EF-2B43FF51DD83}"/>
    <cellStyle name="Currency 5 2 2 2 3 4 3 2 3" xfId="32955" xr:uid="{7CE0A7D0-5337-42E5-9687-700B49A288C4}"/>
    <cellStyle name="Currency 5 2 2 2 3 4 3 3" xfId="42254" xr:uid="{77E58B68-CBC7-41F5-8EEC-A28AEA272952}"/>
    <cellStyle name="Currency 5 2 2 2 3 4 3 4" xfId="23656" xr:uid="{8F50EE79-623F-4259-B001-19720389CF19}"/>
    <cellStyle name="Currency 5 2 2 2 3 4 4" xfId="10992" xr:uid="{8E6975A7-47B3-40C2-BC98-E2B401CCD508}"/>
    <cellStyle name="Currency 5 2 2 2 3 4 4 2" xfId="47334" xr:uid="{A36147F7-3402-4AB2-826F-E3FDA6F9C5E9}"/>
    <cellStyle name="Currency 5 2 2 2 3 4 4 3" xfId="28738" xr:uid="{6B9799A7-1881-4D66-A1B3-6467F4CD0242}"/>
    <cellStyle name="Currency 5 2 2 2 3 4 5" xfId="38037" xr:uid="{89A10F0D-6F1D-4975-A629-D90A5AF45385}"/>
    <cellStyle name="Currency 5 2 2 2 3 4 6" xfId="19439" xr:uid="{D906FE7A-1FF7-48CF-928C-6E1D40B2A876}"/>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17767" xr:uid="{A914C83E-3625-4E2B-88F4-8FC050B228FC}"/>
    <cellStyle name="Currency 5 2 2 2 3 5 2 2 2 2" xfId="54109" xr:uid="{AEFD2D10-37E7-4219-AD97-C7DC7B1B607D}"/>
    <cellStyle name="Currency 5 2 2 2 3 5 2 2 2 3" xfId="35513" xr:uid="{B48D3FF4-E99E-4872-B230-6CA8284F5673}"/>
    <cellStyle name="Currency 5 2 2 2 3 5 2 2 3" xfId="44812" xr:uid="{EF7A773E-C181-4C2A-A9AC-E36B0A058F96}"/>
    <cellStyle name="Currency 5 2 2 2 3 5 2 2 4" xfId="26214" xr:uid="{6CF02026-A6E1-4C64-9F6E-3418D67999F9}"/>
    <cellStyle name="Currency 5 2 2 2 3 5 2 3" xfId="13550" xr:uid="{1B670637-7EDC-49DC-9891-A4FED0C4ADE1}"/>
    <cellStyle name="Currency 5 2 2 2 3 5 2 3 2" xfId="49892" xr:uid="{84E5999E-86CF-43E0-B708-9010821ED572}"/>
    <cellStyle name="Currency 5 2 2 2 3 5 2 3 3" xfId="31296" xr:uid="{D223CD45-10B0-45FB-BA7A-EE92A53B3B05}"/>
    <cellStyle name="Currency 5 2 2 2 3 5 2 4" xfId="40595" xr:uid="{63C8D52F-A993-45C1-9662-29FB042E4598}"/>
    <cellStyle name="Currency 5 2 2 2 3 5 2 5" xfId="21997" xr:uid="{A9E89AE1-A1B5-4016-B40E-9336EC42D40D}"/>
    <cellStyle name="Currency 5 2 2 2 3 5 3" xfId="6296" xr:uid="{00000000-0005-0000-0000-0000AB0B0000}"/>
    <cellStyle name="Currency 5 2 2 2 3 5 3 2" xfId="15622" xr:uid="{CF75C8FC-54F4-48E5-96A5-0EB85F16EAB8}"/>
    <cellStyle name="Currency 5 2 2 2 3 5 3 2 2" xfId="51964" xr:uid="{F8F53147-0542-4228-B2B6-D4BCC7388306}"/>
    <cellStyle name="Currency 5 2 2 2 3 5 3 2 3" xfId="33368" xr:uid="{C8FF6861-1153-4C50-A5CC-45C3267FCB43}"/>
    <cellStyle name="Currency 5 2 2 2 3 5 3 3" xfId="42667" xr:uid="{115F9295-118D-468F-9D49-9B0ADBA5047E}"/>
    <cellStyle name="Currency 5 2 2 2 3 5 3 4" xfId="24069" xr:uid="{7047101F-3EE8-4F1B-BFF5-8F338E5A1544}"/>
    <cellStyle name="Currency 5 2 2 2 3 5 4" xfId="11405" xr:uid="{C602E675-8409-423F-B54D-38E60DD21157}"/>
    <cellStyle name="Currency 5 2 2 2 3 5 4 2" xfId="47747" xr:uid="{3E0CBD33-E9BD-4D2C-943D-BDADEB833069}"/>
    <cellStyle name="Currency 5 2 2 2 3 5 4 3" xfId="29151" xr:uid="{66733FA0-F2CD-4AE0-B474-4CCB25C32457}"/>
    <cellStyle name="Currency 5 2 2 2 3 5 5" xfId="38450" xr:uid="{6AFE6FB2-B7A4-41F8-A8DD-4FF3E992A235}"/>
    <cellStyle name="Currency 5 2 2 2 3 5 6" xfId="19852" xr:uid="{744AC2C3-5EB3-44F3-8141-923727637B7E}"/>
    <cellStyle name="Currency 5 2 2 2 3 6" xfId="2425" xr:uid="{00000000-0005-0000-0000-0000AC0B0000}"/>
    <cellStyle name="Currency 5 2 2 2 3 6 2" xfId="6709" xr:uid="{00000000-0005-0000-0000-0000AD0B0000}"/>
    <cellStyle name="Currency 5 2 2 2 3 6 2 2" xfId="16035" xr:uid="{71647607-6F30-4442-9FDA-F4654FE6DCD4}"/>
    <cellStyle name="Currency 5 2 2 2 3 6 2 2 2" xfId="52377" xr:uid="{6C150E9C-383E-4AED-A04B-BEA45236EED0}"/>
    <cellStyle name="Currency 5 2 2 2 3 6 2 2 3" xfId="33781" xr:uid="{FC7E0AC3-C8B7-4F62-B3BD-127800FA1B62}"/>
    <cellStyle name="Currency 5 2 2 2 3 6 2 3" xfId="43080" xr:uid="{D9F030F5-1F05-4F06-A0BE-F71F14F5D798}"/>
    <cellStyle name="Currency 5 2 2 2 3 6 2 4" xfId="24482" xr:uid="{F16A53D2-29DE-49FF-B148-EAAC0A552D8C}"/>
    <cellStyle name="Currency 5 2 2 2 3 6 3" xfId="11818" xr:uid="{2FC87FFE-A940-4390-820C-0ABC23A6B6C8}"/>
    <cellStyle name="Currency 5 2 2 2 3 6 3 2" xfId="48160" xr:uid="{52749162-1788-4D25-BF85-41EDA8B970C3}"/>
    <cellStyle name="Currency 5 2 2 2 3 6 3 3" xfId="29564" xr:uid="{2C143B0E-6328-45C0-A766-4FCFDF439A62}"/>
    <cellStyle name="Currency 5 2 2 2 3 6 4" xfId="38863" xr:uid="{83A582AC-FEB7-4167-AA7C-1DCBEC583D07}"/>
    <cellStyle name="Currency 5 2 2 2 3 6 5" xfId="20265" xr:uid="{FD988BEC-2A35-4172-8702-39A57B0554FD}"/>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16352" xr:uid="{ABC1D6AB-1526-42AD-B6E5-78916933B4B5}"/>
    <cellStyle name="Currency 5 2 2 2 3 8 2 2 2" xfId="52694" xr:uid="{4183A842-61CB-4A6A-8BE7-CBF378DDD61A}"/>
    <cellStyle name="Currency 5 2 2 2 3 8 2 2 3" xfId="34098" xr:uid="{40EBDEC5-0A2A-4901-A5E7-7567BD63E343}"/>
    <cellStyle name="Currency 5 2 2 2 3 8 2 3" xfId="43397" xr:uid="{AFF52722-0304-4BA3-B32A-BDD29DB7A1DF}"/>
    <cellStyle name="Currency 5 2 2 2 3 8 2 4" xfId="24799" xr:uid="{8B086653-6989-455C-B70A-5AEE8D4210FF}"/>
    <cellStyle name="Currency 5 2 2 2 3 8 3" xfId="12135" xr:uid="{6C6559F6-A050-48AE-ADA0-01ED951225F8}"/>
    <cellStyle name="Currency 5 2 2 2 3 8 3 2" xfId="48477" xr:uid="{CBE2D827-41BB-438D-9A02-480956571D52}"/>
    <cellStyle name="Currency 5 2 2 2 3 8 3 3" xfId="29881" xr:uid="{FDE9D200-55DF-49AD-AD13-70B7DE64ED5A}"/>
    <cellStyle name="Currency 5 2 2 2 3 8 4" xfId="39180" xr:uid="{98466546-CB0A-4530-BFEE-2ABEBBACC54F}"/>
    <cellStyle name="Currency 5 2 2 2 3 8 5" xfId="20582" xr:uid="{D240E405-1523-4D7F-B581-2D312813BFA6}"/>
    <cellStyle name="Currency 5 2 2 2 3 9" xfId="4643" xr:uid="{00000000-0005-0000-0000-0000B10B0000}"/>
    <cellStyle name="Currency 5 2 2 2 3 9 2" xfId="13969" xr:uid="{601124F8-36B1-4493-A808-DA2157164F83}"/>
    <cellStyle name="Currency 5 2 2 2 3 9 2 2" xfId="50311" xr:uid="{39A254D3-318F-4EE2-82D7-6CDE390B119B}"/>
    <cellStyle name="Currency 5 2 2 2 3 9 2 3" xfId="31715" xr:uid="{2F770E06-66FC-449B-94A3-46B7981685A9}"/>
    <cellStyle name="Currency 5 2 2 2 3 9 3" xfId="41014" xr:uid="{4CB48D00-8F95-4E1A-B06B-C9D1989AA279}"/>
    <cellStyle name="Currency 5 2 2 2 3 9 4" xfId="22416" xr:uid="{6CB05515-752C-4212-8E5E-E0E20CA52178}"/>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16525" xr:uid="{F8A927AC-F5F0-4A7F-B123-4E230FCC32BB}"/>
    <cellStyle name="Currency 5 2 2 2 4 2 2 2 2" xfId="52867" xr:uid="{A16F845D-8C3D-4E02-8DB3-0C57094B57DE}"/>
    <cellStyle name="Currency 5 2 2 2 4 2 2 2 3" xfId="34271" xr:uid="{0B52EFCF-AB5B-4746-9328-688659DFEF31}"/>
    <cellStyle name="Currency 5 2 2 2 4 2 2 3" xfId="43570" xr:uid="{DE418552-9028-473A-87CD-8EB1285D7000}"/>
    <cellStyle name="Currency 5 2 2 2 4 2 2 4" xfId="24972" xr:uid="{D6F4146F-7836-4052-9A64-E9F97F4D27B7}"/>
    <cellStyle name="Currency 5 2 2 2 4 2 3" xfId="12308" xr:uid="{EE35444B-0CD0-4EC4-8066-8E5C0221F5BF}"/>
    <cellStyle name="Currency 5 2 2 2 4 2 3 2" xfId="48650" xr:uid="{B1BF6000-42BA-4705-8E8F-700E87AE8233}"/>
    <cellStyle name="Currency 5 2 2 2 4 2 3 3" xfId="30054" xr:uid="{E23C1526-6925-4F4E-9CA4-E6FC7B64B0B1}"/>
    <cellStyle name="Currency 5 2 2 2 4 2 4" xfId="39353" xr:uid="{47AED6D6-CB95-4477-831E-65EEDC7FD9EB}"/>
    <cellStyle name="Currency 5 2 2 2 4 2 5" xfId="20755" xr:uid="{D2B044C0-3158-4E6B-BEDE-8FBE0A843510}"/>
    <cellStyle name="Currency 5 2 2 2 4 3" xfId="5054" xr:uid="{00000000-0005-0000-0000-0000B50B0000}"/>
    <cellStyle name="Currency 5 2 2 2 4 3 2" xfId="14380" xr:uid="{13756FCC-9D1C-470C-8AB7-22A3E2A9D473}"/>
    <cellStyle name="Currency 5 2 2 2 4 3 2 2" xfId="50722" xr:uid="{7EBC57CE-6532-489C-9F0E-C01ACE492961}"/>
    <cellStyle name="Currency 5 2 2 2 4 3 2 3" xfId="32126" xr:uid="{E41CED12-AB29-4D88-B3EF-85935B0F3CDF}"/>
    <cellStyle name="Currency 5 2 2 2 4 3 3" xfId="41425" xr:uid="{C95F5CC1-70CB-42C8-B726-49A0E3136DA2}"/>
    <cellStyle name="Currency 5 2 2 2 4 3 4" xfId="22827" xr:uid="{A560D254-34EA-489A-A52F-B3D4E5331F23}"/>
    <cellStyle name="Currency 5 2 2 2 4 4" xfId="9234" xr:uid="{AAF147FE-13D8-48BD-A722-062B96166D61}"/>
    <cellStyle name="Currency 5 2 2 2 4 4 2" xfId="36295" xr:uid="{D9B33D95-7347-48BA-8550-60DD46CB4DB8}"/>
    <cellStyle name="Currency 5 2 2 2 4 4 2 2" xfId="54889" xr:uid="{A486FDEC-0FC5-44DE-8840-0D35BE99963E}"/>
    <cellStyle name="Currency 5 2 2 2 4 4 3" xfId="45592" xr:uid="{97951FFF-685A-481B-99D1-7EDB681BB261}"/>
    <cellStyle name="Currency 5 2 2 2 4 4 4" xfId="26996" xr:uid="{FC98266A-C239-4DE1-A43F-8DC4A86E16AE}"/>
    <cellStyle name="Currency 5 2 2 2 4 5" xfId="10163" xr:uid="{E78EC470-3618-46CD-9716-11B7F70757A6}"/>
    <cellStyle name="Currency 5 2 2 2 4 5 2" xfId="46505" xr:uid="{5C5CF130-BDFB-4C08-A035-A6C3B725DF8C}"/>
    <cellStyle name="Currency 5 2 2 2 4 5 3" xfId="27909" xr:uid="{1FF501A6-2B8D-43FB-AC0A-8DDF62AB053E}"/>
    <cellStyle name="Currency 5 2 2 2 4 6" xfId="37208" xr:uid="{6700A2C4-D811-4C4D-8BF5-09BF2356F332}"/>
    <cellStyle name="Currency 5 2 2 2 4 7" xfId="18610" xr:uid="{956301A5-7A6B-409B-A6D8-B548823E2A95}"/>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16938" xr:uid="{5B04BAA3-2D13-497B-A692-84FCFD9295B3}"/>
    <cellStyle name="Currency 5 2 2 2 5 2 2 2 2" xfId="53280" xr:uid="{8C7BFC7A-9879-4592-8BC2-5601140A4377}"/>
    <cellStyle name="Currency 5 2 2 2 5 2 2 2 3" xfId="34684" xr:uid="{6E2898D0-9876-4035-B346-A752D437535E}"/>
    <cellStyle name="Currency 5 2 2 2 5 2 2 3" xfId="43983" xr:uid="{8F71C26C-BEA5-4388-8C5F-9BF7F84F1571}"/>
    <cellStyle name="Currency 5 2 2 2 5 2 2 4" xfId="25385" xr:uid="{44CBE4A4-34FF-4F64-996C-FA212C09D311}"/>
    <cellStyle name="Currency 5 2 2 2 5 2 3" xfId="12721" xr:uid="{5470B548-FEBF-43F3-9BDF-8797BBCDC00B}"/>
    <cellStyle name="Currency 5 2 2 2 5 2 3 2" xfId="49063" xr:uid="{80073849-8BB2-421B-907E-11D4D96AF4A3}"/>
    <cellStyle name="Currency 5 2 2 2 5 2 3 3" xfId="30467" xr:uid="{9CFD6CC0-B343-4843-95FD-AA9FE352A5BE}"/>
    <cellStyle name="Currency 5 2 2 2 5 2 4" xfId="39766" xr:uid="{6A837312-5890-4F22-8FDC-9655DF43A18D}"/>
    <cellStyle name="Currency 5 2 2 2 5 2 5" xfId="21168" xr:uid="{E7A4E703-E842-44B1-9030-CFFE6D3A7A79}"/>
    <cellStyle name="Currency 5 2 2 2 5 3" xfId="5467" xr:uid="{00000000-0005-0000-0000-0000B90B0000}"/>
    <cellStyle name="Currency 5 2 2 2 5 3 2" xfId="14793" xr:uid="{F9D06FF0-DBC7-4F65-A84D-7A392C07B039}"/>
    <cellStyle name="Currency 5 2 2 2 5 3 2 2" xfId="51135" xr:uid="{BBA44E33-818F-4434-A4E5-EFF967B5025A}"/>
    <cellStyle name="Currency 5 2 2 2 5 3 2 3" xfId="32539" xr:uid="{32DCD415-3207-4873-A864-8C7363231DE4}"/>
    <cellStyle name="Currency 5 2 2 2 5 3 3" xfId="41838" xr:uid="{48AFE6CF-A371-470B-8A1D-FFF354C5D45E}"/>
    <cellStyle name="Currency 5 2 2 2 5 3 4" xfId="23240" xr:uid="{3E5C2A9A-AF19-48E6-AAEB-28F901466829}"/>
    <cellStyle name="Currency 5 2 2 2 5 4" xfId="10576" xr:uid="{7114152A-C051-4D18-A8E1-97504E03442F}"/>
    <cellStyle name="Currency 5 2 2 2 5 4 2" xfId="46918" xr:uid="{73F02309-A8EF-44B3-944A-8C2D76E6D0AB}"/>
    <cellStyle name="Currency 5 2 2 2 5 4 3" xfId="28322" xr:uid="{1AA2C415-32CB-4EDC-9FA7-721D2279F30C}"/>
    <cellStyle name="Currency 5 2 2 2 5 5" xfId="37621" xr:uid="{6C171CE4-5EB8-46DC-B1BE-DD7FD8AFA32D}"/>
    <cellStyle name="Currency 5 2 2 2 5 6" xfId="19023" xr:uid="{0BFC053A-3CE3-46CA-8672-FE73F64F1158}"/>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17351" xr:uid="{772C5FB1-92BE-4EB7-BB02-1A521B2E3482}"/>
    <cellStyle name="Currency 5 2 2 2 6 2 2 2 2" xfId="53693" xr:uid="{6CBAA31B-8296-4BDB-82DF-ECCC37ED18D9}"/>
    <cellStyle name="Currency 5 2 2 2 6 2 2 2 3" xfId="35097" xr:uid="{2C68EF35-4444-4EC4-8FCA-40C5AB325408}"/>
    <cellStyle name="Currency 5 2 2 2 6 2 2 3" xfId="44396" xr:uid="{9BE645CC-7DF9-4B63-81FC-8076ABC265FA}"/>
    <cellStyle name="Currency 5 2 2 2 6 2 2 4" xfId="25798" xr:uid="{889DF1F4-D3AC-4F5E-9824-B0CCCAFE9B5E}"/>
    <cellStyle name="Currency 5 2 2 2 6 2 3" xfId="13134" xr:uid="{A2196290-3367-445C-8C16-84E086FD1562}"/>
    <cellStyle name="Currency 5 2 2 2 6 2 3 2" xfId="49476" xr:uid="{0FD33482-1A58-415B-8F10-D09F56C92ECC}"/>
    <cellStyle name="Currency 5 2 2 2 6 2 3 3" xfId="30880" xr:uid="{8C192C60-09F9-4940-9265-766F034CE34E}"/>
    <cellStyle name="Currency 5 2 2 2 6 2 4" xfId="40179" xr:uid="{50F33201-8A13-4788-9D06-BC5E83F5DCB7}"/>
    <cellStyle name="Currency 5 2 2 2 6 2 5" xfId="21581" xr:uid="{CA68E4FA-8EC6-47C7-90B0-9E701DBA2337}"/>
    <cellStyle name="Currency 5 2 2 2 6 3" xfId="5880" xr:uid="{00000000-0005-0000-0000-0000BD0B0000}"/>
    <cellStyle name="Currency 5 2 2 2 6 3 2" xfId="15206" xr:uid="{A4DA3127-A4B3-465B-BBC3-73C3E7963EDB}"/>
    <cellStyle name="Currency 5 2 2 2 6 3 2 2" xfId="51548" xr:uid="{0ACEB4A1-B768-4866-A00D-55CAE1801D43}"/>
    <cellStyle name="Currency 5 2 2 2 6 3 2 3" xfId="32952" xr:uid="{33061877-D28C-490F-A72F-301041EF8C9A}"/>
    <cellStyle name="Currency 5 2 2 2 6 3 3" xfId="42251" xr:uid="{9630DA51-6DEC-4E1F-89A7-B35453187B86}"/>
    <cellStyle name="Currency 5 2 2 2 6 3 4" xfId="23653" xr:uid="{CCA08AE8-73AC-443B-B109-5D24B2BC3052}"/>
    <cellStyle name="Currency 5 2 2 2 6 4" xfId="10989" xr:uid="{38ED1559-C973-4F99-9D97-242476853932}"/>
    <cellStyle name="Currency 5 2 2 2 6 4 2" xfId="47331" xr:uid="{0294C3BC-19E5-47A6-8BA1-B5BE7B0B5285}"/>
    <cellStyle name="Currency 5 2 2 2 6 4 3" xfId="28735" xr:uid="{1BAFA82D-BDCA-4999-A112-798827672F26}"/>
    <cellStyle name="Currency 5 2 2 2 6 5" xfId="38034" xr:uid="{B9230699-EC85-4F9F-86AC-716CA88F1FAA}"/>
    <cellStyle name="Currency 5 2 2 2 6 6" xfId="19436" xr:uid="{4F95CACA-B1FC-4EE2-9570-E01F208579AC}"/>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17764" xr:uid="{366DA33C-479D-4E26-A89C-DF4812C2CB50}"/>
    <cellStyle name="Currency 5 2 2 2 7 2 2 2 2" xfId="54106" xr:uid="{59B78E31-FF7E-4FEC-ADE7-29863C68A333}"/>
    <cellStyle name="Currency 5 2 2 2 7 2 2 2 3" xfId="35510" xr:uid="{45B60837-8A4A-4C65-A471-89CA53F799D8}"/>
    <cellStyle name="Currency 5 2 2 2 7 2 2 3" xfId="44809" xr:uid="{874C0976-7D68-4C10-8E05-93DD88B4CCC9}"/>
    <cellStyle name="Currency 5 2 2 2 7 2 2 4" xfId="26211" xr:uid="{CB60B20A-DF67-42C9-BACA-ADD3412EDE1B}"/>
    <cellStyle name="Currency 5 2 2 2 7 2 3" xfId="13547" xr:uid="{8D6DBCC6-9BDC-45EE-9BEA-4CBF4CB9294E}"/>
    <cellStyle name="Currency 5 2 2 2 7 2 3 2" xfId="49889" xr:uid="{07566EBB-DA59-4B77-9B56-B942E3726A3A}"/>
    <cellStyle name="Currency 5 2 2 2 7 2 3 3" xfId="31293" xr:uid="{C39EFA56-DC97-45A8-91E1-F496F4662703}"/>
    <cellStyle name="Currency 5 2 2 2 7 2 4" xfId="40592" xr:uid="{374D5524-9036-480F-97B3-7D9DFBB2D55E}"/>
    <cellStyle name="Currency 5 2 2 2 7 2 5" xfId="21994" xr:uid="{BDB4875A-A941-4D0F-A6CB-69B3AEE5CB2A}"/>
    <cellStyle name="Currency 5 2 2 2 7 3" xfId="6293" xr:uid="{00000000-0005-0000-0000-0000C10B0000}"/>
    <cellStyle name="Currency 5 2 2 2 7 3 2" xfId="15619" xr:uid="{7E10A184-AEE7-4445-BED6-1D3F3641187A}"/>
    <cellStyle name="Currency 5 2 2 2 7 3 2 2" xfId="51961" xr:uid="{82766631-B393-4C46-B64E-4EF122FF624A}"/>
    <cellStyle name="Currency 5 2 2 2 7 3 2 3" xfId="33365" xr:uid="{66F8B289-E46E-46FF-B68F-8354A75A1F26}"/>
    <cellStyle name="Currency 5 2 2 2 7 3 3" xfId="42664" xr:uid="{8D746352-3CF8-4B6C-B339-B1C49F226460}"/>
    <cellStyle name="Currency 5 2 2 2 7 3 4" xfId="24066" xr:uid="{FCFC85A2-9B1C-462C-9D2D-E2DE698057C6}"/>
    <cellStyle name="Currency 5 2 2 2 7 4" xfId="11402" xr:uid="{80F48E45-BFF5-4D38-A8C3-6B3FBF0E57EB}"/>
    <cellStyle name="Currency 5 2 2 2 7 4 2" xfId="47744" xr:uid="{7B3BEA85-A946-4246-A167-84903D029CD1}"/>
    <cellStyle name="Currency 5 2 2 2 7 4 3" xfId="29148" xr:uid="{1AF32CF1-8D48-429E-B9B8-CEE3A821A392}"/>
    <cellStyle name="Currency 5 2 2 2 7 5" xfId="38447" xr:uid="{F7989FF1-1975-4760-B5A7-447572E19DFE}"/>
    <cellStyle name="Currency 5 2 2 2 7 6" xfId="19849" xr:uid="{10633BD1-162E-426B-9F04-0025956EFCCA}"/>
    <cellStyle name="Currency 5 2 2 2 8" xfId="2422" xr:uid="{00000000-0005-0000-0000-0000C20B0000}"/>
    <cellStyle name="Currency 5 2 2 2 8 2" xfId="6706" xr:uid="{00000000-0005-0000-0000-0000C30B0000}"/>
    <cellStyle name="Currency 5 2 2 2 8 2 2" xfId="16032" xr:uid="{28160494-F7E1-4003-A1DC-1FFA4233D8A3}"/>
    <cellStyle name="Currency 5 2 2 2 8 2 2 2" xfId="52374" xr:uid="{B4797A58-8FEE-432D-B0AE-0CDC1DF38FC3}"/>
    <cellStyle name="Currency 5 2 2 2 8 2 2 3" xfId="33778" xr:uid="{E772E61D-6006-444D-936E-B36C57FA7DCE}"/>
    <cellStyle name="Currency 5 2 2 2 8 2 3" xfId="43077" xr:uid="{D08EBAA7-9409-43B2-9845-61B302148F4D}"/>
    <cellStyle name="Currency 5 2 2 2 8 2 4" xfId="24479" xr:uid="{F3FCB382-303F-4DF9-ADA4-4F5D3D30D28B}"/>
    <cellStyle name="Currency 5 2 2 2 8 3" xfId="11815" xr:uid="{DC957072-DF1F-4B0B-9F04-5F381F8A55CE}"/>
    <cellStyle name="Currency 5 2 2 2 8 3 2" xfId="48157" xr:uid="{69C027C6-7013-42EF-A987-31D650E0459B}"/>
    <cellStyle name="Currency 5 2 2 2 8 3 3" xfId="29561" xr:uid="{050C20E8-F4C1-41C8-8D6C-53475F35A937}"/>
    <cellStyle name="Currency 5 2 2 2 8 4" xfId="38860" xr:uid="{45C4F665-2409-466F-A7B6-7B8F235FD4C3}"/>
    <cellStyle name="Currency 5 2 2 2 8 5" xfId="20262" xr:uid="{4906A2A5-F4D0-4C2B-B9CC-8EF40F026E21}"/>
    <cellStyle name="Currency 5 2 2 2 9" xfId="2719" xr:uid="{00000000-0005-0000-0000-0000C40B0000}"/>
    <cellStyle name="Currency 5 2 2 3" xfId="200" xr:uid="{00000000-0005-0000-0000-0000C50B0000}"/>
    <cellStyle name="Currency 5 2 2 3 10" xfId="4644" xr:uid="{00000000-0005-0000-0000-0000C60B0000}"/>
    <cellStyle name="Currency 5 2 2 3 10 2" xfId="13970" xr:uid="{480D9447-4725-440E-ADBB-7C9422894255}"/>
    <cellStyle name="Currency 5 2 2 3 10 2 2" xfId="50312" xr:uid="{BF9501FE-0824-40F5-8B19-E52DE8AA94FB}"/>
    <cellStyle name="Currency 5 2 2 3 10 2 3" xfId="31716" xr:uid="{BC4CF5AB-5B2C-4D31-ADCF-8A178D12C101}"/>
    <cellStyle name="Currency 5 2 2 3 10 3" xfId="41015" xr:uid="{E030B584-1549-45B1-A112-E02912E2DB3A}"/>
    <cellStyle name="Currency 5 2 2 3 10 4" xfId="22417" xr:uid="{4F577E7F-A1D6-436E-8E52-FF1E60EC5177}"/>
    <cellStyle name="Currency 5 2 2 3 11" xfId="8890" xr:uid="{F313D4EC-7666-4BAA-9452-39176957C213}"/>
    <cellStyle name="Currency 5 2 2 3 11 2" xfId="35960" xr:uid="{EE9AC699-D6D2-4748-8C63-F31D14A18A23}"/>
    <cellStyle name="Currency 5 2 2 3 11 2 2" xfId="54555" xr:uid="{CD069F88-9C66-4046-847F-68DF68EDDC5E}"/>
    <cellStyle name="Currency 5 2 2 3 11 3" xfId="45258" xr:uid="{E7618EAF-AD9A-4A70-8BFD-9369DB4041C9}"/>
    <cellStyle name="Currency 5 2 2 3 11 4" xfId="26661" xr:uid="{8C07470F-EF03-4E4C-8671-3A45334982CA}"/>
    <cellStyle name="Currency 5 2 2 3 12" xfId="9753" xr:uid="{9ADD3448-C447-45B3-B378-BEC56560E0F0}"/>
    <cellStyle name="Currency 5 2 2 3 12 2" xfId="46095" xr:uid="{A920ADE0-3E88-4C30-A59A-2E694FEC714B}"/>
    <cellStyle name="Currency 5 2 2 3 12 3" xfId="27499" xr:uid="{E8F09D4F-EA3F-4A27-AEB6-7E11374F6A44}"/>
    <cellStyle name="Currency 5 2 2 3 13" xfId="36798" xr:uid="{65B4354D-7EDD-435F-9ACB-924DE53BE35F}"/>
    <cellStyle name="Currency 5 2 2 3 14" xfId="18200" xr:uid="{0BB35018-1ECB-4F78-A9CF-A357C853C4FE}"/>
    <cellStyle name="Currency 5 2 2 3 2" xfId="201" xr:uid="{00000000-0005-0000-0000-0000C70B0000}"/>
    <cellStyle name="Currency 5 2 2 3 2 10" xfId="9097" xr:uid="{74199D2F-F17A-42DD-AC8B-D958FBFFCA8B}"/>
    <cellStyle name="Currency 5 2 2 3 2 10 2" xfId="36167" xr:uid="{A17CCB09-6448-4E4F-A493-6EEBD15E221F}"/>
    <cellStyle name="Currency 5 2 2 3 2 10 2 2" xfId="54762" xr:uid="{8D11E5E6-E6FD-4442-8623-691602D57F36}"/>
    <cellStyle name="Currency 5 2 2 3 2 10 3" xfId="45465" xr:uid="{7457F3CA-0F1E-47AE-AC54-068FC7040B8E}"/>
    <cellStyle name="Currency 5 2 2 3 2 10 4" xfId="26868" xr:uid="{CFBF56BA-B6CB-43DF-941C-1E4A417E18BD}"/>
    <cellStyle name="Currency 5 2 2 3 2 11" xfId="9754" xr:uid="{5DC56875-A469-4A69-A335-EB51434C776C}"/>
    <cellStyle name="Currency 5 2 2 3 2 11 2" xfId="46096" xr:uid="{6DCEE300-5658-4B02-BC73-A67329202F3A}"/>
    <cellStyle name="Currency 5 2 2 3 2 11 3" xfId="27500" xr:uid="{1E2CE376-807C-443D-8759-34DA2EBD0167}"/>
    <cellStyle name="Currency 5 2 2 3 2 12" xfId="36799" xr:uid="{193A97B4-4910-48E5-8815-AB45535B040B}"/>
    <cellStyle name="Currency 5 2 2 3 2 13" xfId="18201" xr:uid="{40EA37F1-CB27-4D1E-8AE7-4D8FC999ADD1}"/>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16530" xr:uid="{FF8C1D34-0654-4F07-8396-CBDBD0969E64}"/>
    <cellStyle name="Currency 5 2 2 3 2 2 2 2 2 2" xfId="52872" xr:uid="{31DE550A-1AB5-4D5F-9379-D6FA75BA9CE9}"/>
    <cellStyle name="Currency 5 2 2 3 2 2 2 2 2 3" xfId="34276" xr:uid="{DA8618F8-82F3-42EB-A22A-32FBC149D268}"/>
    <cellStyle name="Currency 5 2 2 3 2 2 2 2 3" xfId="43575" xr:uid="{48B22176-59A9-4DB6-AE68-41CD348C971E}"/>
    <cellStyle name="Currency 5 2 2 3 2 2 2 2 4" xfId="24977" xr:uid="{7F575E52-FF38-4FE9-B659-39E5008C733D}"/>
    <cellStyle name="Currency 5 2 2 3 2 2 2 3" xfId="12313" xr:uid="{21FD156D-28B5-4FE5-BB9A-7755005F93F9}"/>
    <cellStyle name="Currency 5 2 2 3 2 2 2 3 2" xfId="48655" xr:uid="{A6D5894E-34E2-46D1-BBE6-3AA5C0B0D88C}"/>
    <cellStyle name="Currency 5 2 2 3 2 2 2 3 3" xfId="30059" xr:uid="{DE2C1356-5905-4DE3-8CEA-E45716091C3B}"/>
    <cellStyle name="Currency 5 2 2 3 2 2 2 4" xfId="39358" xr:uid="{01088084-9ACD-4B9F-B171-CDD11D04BEAF}"/>
    <cellStyle name="Currency 5 2 2 3 2 2 2 5" xfId="20760" xr:uid="{C6DE4EA3-ECB0-4C36-B9EB-F55F06BDC68E}"/>
    <cellStyle name="Currency 5 2 2 3 2 2 3" xfId="5059" xr:uid="{00000000-0005-0000-0000-0000CB0B0000}"/>
    <cellStyle name="Currency 5 2 2 3 2 2 3 2" xfId="14385" xr:uid="{28C754DC-2239-457D-A87B-F8C2D76DD1AF}"/>
    <cellStyle name="Currency 5 2 2 3 2 2 3 2 2" xfId="50727" xr:uid="{37222F89-0F20-42DB-BB6F-2067DBFEBC81}"/>
    <cellStyle name="Currency 5 2 2 3 2 2 3 2 3" xfId="32131" xr:uid="{79721D06-40BC-4D7D-87EF-33891CFA7747}"/>
    <cellStyle name="Currency 5 2 2 3 2 2 3 3" xfId="41430" xr:uid="{8AD54E4E-F455-42F1-8796-F30B97AF3EBD}"/>
    <cellStyle name="Currency 5 2 2 3 2 2 3 4" xfId="22832" xr:uid="{4EBFCFA0-3564-4840-A8C0-72D22A34742F}"/>
    <cellStyle name="Currency 5 2 2 3 2 2 4" xfId="9522" xr:uid="{58EAFCD4-DA5B-47CB-A637-29DA003AA3FD}"/>
    <cellStyle name="Currency 5 2 2 3 2 2 4 2" xfId="36583" xr:uid="{126B60E8-3E75-4253-9F9C-5D1DBE0D2A63}"/>
    <cellStyle name="Currency 5 2 2 3 2 2 4 2 2" xfId="55177" xr:uid="{126DCB51-DCC1-428F-B9F7-4B25E8A31696}"/>
    <cellStyle name="Currency 5 2 2 3 2 2 4 3" xfId="45880" xr:uid="{108DA998-8F7B-48A9-A8E9-3EE199B81C6B}"/>
    <cellStyle name="Currency 5 2 2 3 2 2 4 4" xfId="27284" xr:uid="{A79CC40A-5963-446A-B4A8-69B99F8AD4D9}"/>
    <cellStyle name="Currency 5 2 2 3 2 2 5" xfId="10168" xr:uid="{62C6DD38-68D7-4E0A-AD67-496205DEE6D1}"/>
    <cellStyle name="Currency 5 2 2 3 2 2 5 2" xfId="46510" xr:uid="{73680A2A-AD0D-49F4-B8EA-4BE1B1C8D301}"/>
    <cellStyle name="Currency 5 2 2 3 2 2 5 3" xfId="27914" xr:uid="{1F4CAD93-8F2B-4538-B8CB-52D5C14FAB50}"/>
    <cellStyle name="Currency 5 2 2 3 2 2 6" xfId="37213" xr:uid="{CE215B6B-5238-49B7-B106-9B7A5F986AA2}"/>
    <cellStyle name="Currency 5 2 2 3 2 2 7" xfId="18615" xr:uid="{B743FF22-68F6-4AC3-9FC6-5736B800FB91}"/>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16943" xr:uid="{E128347A-19F1-47D6-B8E6-9FD3EAD81EF9}"/>
    <cellStyle name="Currency 5 2 2 3 2 3 2 2 2 2" xfId="53285" xr:uid="{C2E8656B-04B1-4ADD-8B58-178D0228BF3A}"/>
    <cellStyle name="Currency 5 2 2 3 2 3 2 2 2 3" xfId="34689" xr:uid="{275B88AE-27F6-429E-B71B-351D2B5CFC64}"/>
    <cellStyle name="Currency 5 2 2 3 2 3 2 2 3" xfId="43988" xr:uid="{97CDAD83-0A74-4070-91A1-9593590CD646}"/>
    <cellStyle name="Currency 5 2 2 3 2 3 2 2 4" xfId="25390" xr:uid="{7A46C638-560D-4EC3-A837-4C89716A6D84}"/>
    <cellStyle name="Currency 5 2 2 3 2 3 2 3" xfId="12726" xr:uid="{B1A27A32-6E7B-46AE-A05C-DA278E3DB5A4}"/>
    <cellStyle name="Currency 5 2 2 3 2 3 2 3 2" xfId="49068" xr:uid="{767D6859-2918-4D68-B5EB-DE06E9167A03}"/>
    <cellStyle name="Currency 5 2 2 3 2 3 2 3 3" xfId="30472" xr:uid="{DB52A234-D0F8-49A8-A057-3039E0C4BD15}"/>
    <cellStyle name="Currency 5 2 2 3 2 3 2 4" xfId="39771" xr:uid="{CC2C7D83-C5A8-44F2-85B1-EEBA3711BD65}"/>
    <cellStyle name="Currency 5 2 2 3 2 3 2 5" xfId="21173" xr:uid="{3189CB82-A306-4718-89E8-1776D6782C8E}"/>
    <cellStyle name="Currency 5 2 2 3 2 3 3" xfId="5472" xr:uid="{00000000-0005-0000-0000-0000CF0B0000}"/>
    <cellStyle name="Currency 5 2 2 3 2 3 3 2" xfId="14798" xr:uid="{04F79E29-A80D-4A43-A1FA-3867CE74430E}"/>
    <cellStyle name="Currency 5 2 2 3 2 3 3 2 2" xfId="51140" xr:uid="{E1FCC8B3-2E29-45EB-9D5E-3AFC8047DFCB}"/>
    <cellStyle name="Currency 5 2 2 3 2 3 3 2 3" xfId="32544" xr:uid="{0AF1B2CE-BA9F-4D1E-B721-A975D249B42C}"/>
    <cellStyle name="Currency 5 2 2 3 2 3 3 3" xfId="41843" xr:uid="{C6B16E26-2583-49A6-8E34-CA9EC0EF49A4}"/>
    <cellStyle name="Currency 5 2 2 3 2 3 3 4" xfId="23245" xr:uid="{2274E534-6055-43BE-B6D7-118067F83E44}"/>
    <cellStyle name="Currency 5 2 2 3 2 3 4" xfId="10581" xr:uid="{D8903085-2860-41CF-9D55-D2A8555FF8CC}"/>
    <cellStyle name="Currency 5 2 2 3 2 3 4 2" xfId="46923" xr:uid="{0AE687AC-10F0-4205-88EE-490625A0A6E3}"/>
    <cellStyle name="Currency 5 2 2 3 2 3 4 3" xfId="28327" xr:uid="{602482CE-D145-48EC-8412-3E1DBE66B64D}"/>
    <cellStyle name="Currency 5 2 2 3 2 3 5" xfId="37626" xr:uid="{C9AF8420-2E29-486C-9805-23550DA7DD5B}"/>
    <cellStyle name="Currency 5 2 2 3 2 3 6" xfId="19028" xr:uid="{E4F3C254-19CF-4C6E-AEBD-01B36C1A824C}"/>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17356" xr:uid="{1E4F3DDD-BE5F-44EB-AA75-4E7C4290C580}"/>
    <cellStyle name="Currency 5 2 2 3 2 4 2 2 2 2" xfId="53698" xr:uid="{AEF8545C-034B-46E7-933A-D21F4AAA0B62}"/>
    <cellStyle name="Currency 5 2 2 3 2 4 2 2 2 3" xfId="35102" xr:uid="{1E4D2F5B-DC3B-446C-A55F-D0F7A2152617}"/>
    <cellStyle name="Currency 5 2 2 3 2 4 2 2 3" xfId="44401" xr:uid="{C783C155-5B2F-4243-B5E3-874C0F0ECD63}"/>
    <cellStyle name="Currency 5 2 2 3 2 4 2 2 4" xfId="25803" xr:uid="{618694CC-9F02-4EC4-B396-BB09930DBE02}"/>
    <cellStyle name="Currency 5 2 2 3 2 4 2 3" xfId="13139" xr:uid="{0A882087-FB68-445B-8C79-9AFE6884407E}"/>
    <cellStyle name="Currency 5 2 2 3 2 4 2 3 2" xfId="49481" xr:uid="{C4C6B137-60B6-4061-8A0B-25CA61EF701B}"/>
    <cellStyle name="Currency 5 2 2 3 2 4 2 3 3" xfId="30885" xr:uid="{97FF35BE-8A1A-4166-842C-4B8B77160CC7}"/>
    <cellStyle name="Currency 5 2 2 3 2 4 2 4" xfId="40184" xr:uid="{23BC2E79-B570-446B-9CC4-BCCFED1108E2}"/>
    <cellStyle name="Currency 5 2 2 3 2 4 2 5" xfId="21586" xr:uid="{40D2D129-040C-4E44-8497-D1FBDA9CC6AC}"/>
    <cellStyle name="Currency 5 2 2 3 2 4 3" xfId="5885" xr:uid="{00000000-0005-0000-0000-0000D30B0000}"/>
    <cellStyle name="Currency 5 2 2 3 2 4 3 2" xfId="15211" xr:uid="{70CB36E0-BB83-4B22-9B6D-813F44D33991}"/>
    <cellStyle name="Currency 5 2 2 3 2 4 3 2 2" xfId="51553" xr:uid="{2A1B1E50-2747-4E6F-AD18-6824916E90C3}"/>
    <cellStyle name="Currency 5 2 2 3 2 4 3 2 3" xfId="32957" xr:uid="{A8A740BD-E3F3-4D43-A1C6-6DDD467C3E07}"/>
    <cellStyle name="Currency 5 2 2 3 2 4 3 3" xfId="42256" xr:uid="{9296A34E-2F2A-4CA0-9E7A-BE492221618F}"/>
    <cellStyle name="Currency 5 2 2 3 2 4 3 4" xfId="23658" xr:uid="{38085513-0BCA-4926-9591-E53AAA562A80}"/>
    <cellStyle name="Currency 5 2 2 3 2 4 4" xfId="10994" xr:uid="{414E044B-AC5E-4A3D-A671-258B0AA71F00}"/>
    <cellStyle name="Currency 5 2 2 3 2 4 4 2" xfId="47336" xr:uid="{9A437234-E416-4C92-AA7A-4B6340F0225E}"/>
    <cellStyle name="Currency 5 2 2 3 2 4 4 3" xfId="28740" xr:uid="{715CF5F0-463B-4186-93FF-B84467E3422A}"/>
    <cellStyle name="Currency 5 2 2 3 2 4 5" xfId="38039" xr:uid="{25D839EE-AB14-422F-91D7-D509CD03168A}"/>
    <cellStyle name="Currency 5 2 2 3 2 4 6" xfId="19441" xr:uid="{41C7C6A3-70D2-4D54-A0CC-A32CACACC4F6}"/>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17769" xr:uid="{12F356D2-C330-4238-8352-B56EDFB2EB98}"/>
    <cellStyle name="Currency 5 2 2 3 2 5 2 2 2 2" xfId="54111" xr:uid="{5BBB9524-7D45-409F-9E77-94920C5A0619}"/>
    <cellStyle name="Currency 5 2 2 3 2 5 2 2 2 3" xfId="35515" xr:uid="{5D38E791-FD74-4D9F-9C99-357318397EF7}"/>
    <cellStyle name="Currency 5 2 2 3 2 5 2 2 3" xfId="44814" xr:uid="{CFD58087-AD32-4C83-BAC2-5538B605482D}"/>
    <cellStyle name="Currency 5 2 2 3 2 5 2 2 4" xfId="26216" xr:uid="{CEE6D4FC-B833-403C-8D52-ABF74E079C6D}"/>
    <cellStyle name="Currency 5 2 2 3 2 5 2 3" xfId="13552" xr:uid="{5ED5B7D0-3AFA-4698-BC3F-5ACD9531B386}"/>
    <cellStyle name="Currency 5 2 2 3 2 5 2 3 2" xfId="49894" xr:uid="{27C74D58-EA46-4779-A85A-2875ECF8B24F}"/>
    <cellStyle name="Currency 5 2 2 3 2 5 2 3 3" xfId="31298" xr:uid="{409C5295-8639-4302-AA4D-FDAD9349CE06}"/>
    <cellStyle name="Currency 5 2 2 3 2 5 2 4" xfId="40597" xr:uid="{0244DAF9-8E38-4CB9-9813-73E6233126C1}"/>
    <cellStyle name="Currency 5 2 2 3 2 5 2 5" xfId="21999" xr:uid="{59C68D5F-67B3-425B-BF94-F81B407FEFC9}"/>
    <cellStyle name="Currency 5 2 2 3 2 5 3" xfId="6298" xr:uid="{00000000-0005-0000-0000-0000D70B0000}"/>
    <cellStyle name="Currency 5 2 2 3 2 5 3 2" xfId="15624" xr:uid="{FE6E8219-C51E-4EDB-A972-FC6E29916F51}"/>
    <cellStyle name="Currency 5 2 2 3 2 5 3 2 2" xfId="51966" xr:uid="{8F658215-61A4-41BC-B0C5-B6E69743B4E2}"/>
    <cellStyle name="Currency 5 2 2 3 2 5 3 2 3" xfId="33370" xr:uid="{F61A7664-6EB1-4456-A0AE-6B98CD4D16D1}"/>
    <cellStyle name="Currency 5 2 2 3 2 5 3 3" xfId="42669" xr:uid="{486CEE7E-44B6-43EE-B42A-ECDD271B4DF6}"/>
    <cellStyle name="Currency 5 2 2 3 2 5 3 4" xfId="24071" xr:uid="{580A8B08-84B2-4F88-BF7C-CF4E8D35D9D6}"/>
    <cellStyle name="Currency 5 2 2 3 2 5 4" xfId="11407" xr:uid="{991E9D7D-085A-4A35-BA4D-FBEE083CC9A6}"/>
    <cellStyle name="Currency 5 2 2 3 2 5 4 2" xfId="47749" xr:uid="{B78EACB0-C3A7-4926-9910-4C34F17BD5F8}"/>
    <cellStyle name="Currency 5 2 2 3 2 5 4 3" xfId="29153" xr:uid="{A06209BF-8C50-4649-A7A8-9A93CA3FADB3}"/>
    <cellStyle name="Currency 5 2 2 3 2 5 5" xfId="38452" xr:uid="{EB46D752-A544-40B1-A4A8-E0A1D4F4AAF5}"/>
    <cellStyle name="Currency 5 2 2 3 2 5 6" xfId="19854" xr:uid="{40FC9D25-84F6-407E-A5DF-0276BC43D1F5}"/>
    <cellStyle name="Currency 5 2 2 3 2 6" xfId="2427" xr:uid="{00000000-0005-0000-0000-0000D80B0000}"/>
    <cellStyle name="Currency 5 2 2 3 2 6 2" xfId="6711" xr:uid="{00000000-0005-0000-0000-0000D90B0000}"/>
    <cellStyle name="Currency 5 2 2 3 2 6 2 2" xfId="16037" xr:uid="{44F5D4AF-9ADC-4031-A134-CA11AFE52C75}"/>
    <cellStyle name="Currency 5 2 2 3 2 6 2 2 2" xfId="52379" xr:uid="{FB293C2F-2CBC-41E1-B9A3-D95682A7026D}"/>
    <cellStyle name="Currency 5 2 2 3 2 6 2 2 3" xfId="33783" xr:uid="{8EAF0650-84CC-4809-A9CE-CEEC0806FDAE}"/>
    <cellStyle name="Currency 5 2 2 3 2 6 2 3" xfId="43082" xr:uid="{28808B4D-82B1-4088-8E58-3E30BBDF48B1}"/>
    <cellStyle name="Currency 5 2 2 3 2 6 2 4" xfId="24484" xr:uid="{F19B038E-5E6E-4BA9-9268-A7DDEE1F3C92}"/>
    <cellStyle name="Currency 5 2 2 3 2 6 3" xfId="11820" xr:uid="{1A9EB482-8574-4761-84EC-EF6F1507705A}"/>
    <cellStyle name="Currency 5 2 2 3 2 6 3 2" xfId="48162" xr:uid="{00935E16-29C8-402B-AF4D-EF573BE9C6B4}"/>
    <cellStyle name="Currency 5 2 2 3 2 6 3 3" xfId="29566" xr:uid="{E37DD26B-03D4-47CA-9BF2-3955E6465F82}"/>
    <cellStyle name="Currency 5 2 2 3 2 6 4" xfId="38865" xr:uid="{A3E89DF8-99AD-4542-B033-0DBCFC2E300A}"/>
    <cellStyle name="Currency 5 2 2 3 2 6 5" xfId="20267" xr:uid="{AA456807-7F1C-4DEB-965F-BF3589D2F256}"/>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16354" xr:uid="{C64B78AC-C4B5-47C8-BC02-3E864A787DDB}"/>
    <cellStyle name="Currency 5 2 2 3 2 8 2 2 2" xfId="52696" xr:uid="{3D943110-ECA7-4254-BC33-F9AAF1BDCEDB}"/>
    <cellStyle name="Currency 5 2 2 3 2 8 2 2 3" xfId="34100" xr:uid="{EC8335E6-B746-434F-AE62-5DDE78644CAA}"/>
    <cellStyle name="Currency 5 2 2 3 2 8 2 3" xfId="43399" xr:uid="{FC724E60-3886-4713-826A-5B1475A8CAE6}"/>
    <cellStyle name="Currency 5 2 2 3 2 8 2 4" xfId="24801" xr:uid="{538C666E-946D-4E8F-A2A1-89356F67EDAF}"/>
    <cellStyle name="Currency 5 2 2 3 2 8 3" xfId="12137" xr:uid="{E91D7B38-6F5C-4B15-BFB2-17AC8E44505F}"/>
    <cellStyle name="Currency 5 2 2 3 2 8 3 2" xfId="48479" xr:uid="{24872BA0-69F3-4C39-B596-D417FCC46F7B}"/>
    <cellStyle name="Currency 5 2 2 3 2 8 3 3" xfId="29883" xr:uid="{B9B5EBA4-8128-4952-8343-E46E2054118B}"/>
    <cellStyle name="Currency 5 2 2 3 2 8 4" xfId="39182" xr:uid="{EBB0D0AC-BDE7-40AD-8133-9FF3E25D3BF4}"/>
    <cellStyle name="Currency 5 2 2 3 2 8 5" xfId="20584" xr:uid="{95882937-7A07-42C8-9B38-71674117CCB2}"/>
    <cellStyle name="Currency 5 2 2 3 2 9" xfId="4645" xr:uid="{00000000-0005-0000-0000-0000DD0B0000}"/>
    <cellStyle name="Currency 5 2 2 3 2 9 2" xfId="13971" xr:uid="{2EDAB683-1438-4EBA-A9C7-1D4F4DF7862E}"/>
    <cellStyle name="Currency 5 2 2 3 2 9 2 2" xfId="50313" xr:uid="{F5B45C50-CD15-44FB-B1A0-7EDA7904D20D}"/>
    <cellStyle name="Currency 5 2 2 3 2 9 2 3" xfId="31717" xr:uid="{ADAF1252-4CD2-44C3-B3BD-12D9F63370A3}"/>
    <cellStyle name="Currency 5 2 2 3 2 9 3" xfId="41016" xr:uid="{89A35A8C-1723-463F-9C23-39ED2DE7A546}"/>
    <cellStyle name="Currency 5 2 2 3 2 9 4" xfId="22418" xr:uid="{913684A5-AC73-4491-BA95-ED7178A83AF7}"/>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16529" xr:uid="{3786CA82-02E1-42CD-8EC9-3744BD9B246B}"/>
    <cellStyle name="Currency 5 2 2 3 3 2 2 2 2" xfId="52871" xr:uid="{C461BFB3-C40B-4585-A88C-5BE5D116E2BD}"/>
    <cellStyle name="Currency 5 2 2 3 3 2 2 2 3" xfId="34275" xr:uid="{BA05AE70-3847-4E3C-91FC-5526EB5C75E9}"/>
    <cellStyle name="Currency 5 2 2 3 3 2 2 3" xfId="43574" xr:uid="{686555B6-ECC0-4F73-8D03-80670E686682}"/>
    <cellStyle name="Currency 5 2 2 3 3 2 2 4" xfId="24976" xr:uid="{F9CE5C99-6DFF-4069-A03E-0CDD98C4AB53}"/>
    <cellStyle name="Currency 5 2 2 3 3 2 3" xfId="12312" xr:uid="{DE7D889E-E182-47A9-8E26-61D6AFF88E4C}"/>
    <cellStyle name="Currency 5 2 2 3 3 2 3 2" xfId="48654" xr:uid="{6DD28632-1FFA-43D3-B8F8-571BCDDEA941}"/>
    <cellStyle name="Currency 5 2 2 3 3 2 3 3" xfId="30058" xr:uid="{8FD721C1-21D0-4A1E-9A5D-44024E34748D}"/>
    <cellStyle name="Currency 5 2 2 3 3 2 4" xfId="39357" xr:uid="{A81384DD-C011-4DB6-8602-963FC36A59FA}"/>
    <cellStyle name="Currency 5 2 2 3 3 2 5" xfId="20759" xr:uid="{944ED4E9-0E33-48E8-BE03-967DAB689041}"/>
    <cellStyle name="Currency 5 2 2 3 3 3" xfId="5058" xr:uid="{00000000-0005-0000-0000-0000E10B0000}"/>
    <cellStyle name="Currency 5 2 2 3 3 3 2" xfId="14384" xr:uid="{3AB38120-C9DE-4A7B-B5E8-1E93C1509EA3}"/>
    <cellStyle name="Currency 5 2 2 3 3 3 2 2" xfId="50726" xr:uid="{DDA73B74-296A-4FDE-B876-829AEADAE87A}"/>
    <cellStyle name="Currency 5 2 2 3 3 3 2 3" xfId="32130" xr:uid="{FD11852E-D046-455F-AD02-C03820314D4D}"/>
    <cellStyle name="Currency 5 2 2 3 3 3 3" xfId="41429" xr:uid="{29F19E7B-16DD-4090-9CBC-44A3A1DEFEC6}"/>
    <cellStyle name="Currency 5 2 2 3 3 3 4" xfId="22831" xr:uid="{3A18476E-78E0-421D-AFAB-B5736DEDC49F}"/>
    <cellStyle name="Currency 5 2 2 3 3 4" xfId="9315" xr:uid="{A76EC348-1CDB-41C1-B9B8-9215FF30C619}"/>
    <cellStyle name="Currency 5 2 2 3 3 4 2" xfId="36376" xr:uid="{1F210644-C3B7-4FC1-AE9A-4BBF414BF797}"/>
    <cellStyle name="Currency 5 2 2 3 3 4 2 2" xfId="54970" xr:uid="{A32D99E2-3E6E-4802-97F8-5F762BAACF66}"/>
    <cellStyle name="Currency 5 2 2 3 3 4 3" xfId="45673" xr:uid="{9C7786B6-8E90-449F-A45C-34596E5D2A11}"/>
    <cellStyle name="Currency 5 2 2 3 3 4 4" xfId="27077" xr:uid="{C183715F-BA37-4EA8-9B1A-778C68CE034C}"/>
    <cellStyle name="Currency 5 2 2 3 3 5" xfId="10167" xr:uid="{566F3C1A-5935-4496-8F15-37DC38F1383A}"/>
    <cellStyle name="Currency 5 2 2 3 3 5 2" xfId="46509" xr:uid="{EEF16C98-4911-423A-98C3-E6D1C86F5835}"/>
    <cellStyle name="Currency 5 2 2 3 3 5 3" xfId="27913" xr:uid="{3EB8B6E1-47FE-4AAD-9F1A-DE099C77884E}"/>
    <cellStyle name="Currency 5 2 2 3 3 6" xfId="37212" xr:uid="{73241261-5C33-4E55-B87B-8F0CA3AD9BEA}"/>
    <cellStyle name="Currency 5 2 2 3 3 7" xfId="18614" xr:uid="{BAC5619F-F414-4215-8BC6-38B1FF6439CD}"/>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16942" xr:uid="{68D289B9-0F35-4214-9581-1742784BDE30}"/>
    <cellStyle name="Currency 5 2 2 3 4 2 2 2 2" xfId="53284" xr:uid="{73C36E8D-B66E-4C9B-9227-46158662B239}"/>
    <cellStyle name="Currency 5 2 2 3 4 2 2 2 3" xfId="34688" xr:uid="{B9E052A5-B6DF-474C-AA3D-A7E2962218CF}"/>
    <cellStyle name="Currency 5 2 2 3 4 2 2 3" xfId="43987" xr:uid="{25A7548E-28B3-47B5-B400-C65C31271F7A}"/>
    <cellStyle name="Currency 5 2 2 3 4 2 2 4" xfId="25389" xr:uid="{B7E4017B-E73C-419E-AD49-4BC675B32C81}"/>
    <cellStyle name="Currency 5 2 2 3 4 2 3" xfId="12725" xr:uid="{CF0836D0-0F79-4C26-9E4A-DD12D2A7467D}"/>
    <cellStyle name="Currency 5 2 2 3 4 2 3 2" xfId="49067" xr:uid="{274DC4FA-D2BF-4C2C-98B2-8665B083F8FB}"/>
    <cellStyle name="Currency 5 2 2 3 4 2 3 3" xfId="30471" xr:uid="{C2800FB9-A56F-41B2-BFF9-EBA437CED805}"/>
    <cellStyle name="Currency 5 2 2 3 4 2 4" xfId="39770" xr:uid="{4E45FB1A-EC22-49B6-8B0E-FE052E0422E5}"/>
    <cellStyle name="Currency 5 2 2 3 4 2 5" xfId="21172" xr:uid="{A190F416-9170-4349-9E65-B677DFF98186}"/>
    <cellStyle name="Currency 5 2 2 3 4 3" xfId="5471" xr:uid="{00000000-0005-0000-0000-0000E50B0000}"/>
    <cellStyle name="Currency 5 2 2 3 4 3 2" xfId="14797" xr:uid="{58C83234-61A1-4461-ABD4-6AC85826D9B1}"/>
    <cellStyle name="Currency 5 2 2 3 4 3 2 2" xfId="51139" xr:uid="{4E3A6CDB-7212-4DB7-95B6-0A4225D210E8}"/>
    <cellStyle name="Currency 5 2 2 3 4 3 2 3" xfId="32543" xr:uid="{EC78D697-6B10-4A98-98DE-10D66AA7005B}"/>
    <cellStyle name="Currency 5 2 2 3 4 3 3" xfId="41842" xr:uid="{E23584E9-1A61-475A-8563-550979475D99}"/>
    <cellStyle name="Currency 5 2 2 3 4 3 4" xfId="23244" xr:uid="{0F590C5E-92F8-43AC-BFD8-54530264F219}"/>
    <cellStyle name="Currency 5 2 2 3 4 4" xfId="10580" xr:uid="{5ACEA7A8-450A-495C-BD95-0A688E81A2AD}"/>
    <cellStyle name="Currency 5 2 2 3 4 4 2" xfId="46922" xr:uid="{3241C881-8DC6-48D7-9908-5B31C5C7E5D4}"/>
    <cellStyle name="Currency 5 2 2 3 4 4 3" xfId="28326" xr:uid="{A57AA937-6984-4AAA-9887-84ACF1FE4D24}"/>
    <cellStyle name="Currency 5 2 2 3 4 5" xfId="37625" xr:uid="{329BC0FC-D6B9-4F58-8796-D8F947EC916F}"/>
    <cellStyle name="Currency 5 2 2 3 4 6" xfId="19027" xr:uid="{5B5F50A0-6E9B-41F1-B9E9-B51D201D90F5}"/>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17355" xr:uid="{9A42D03F-07F7-42B4-B2E6-0A7AE2B50D90}"/>
    <cellStyle name="Currency 5 2 2 3 5 2 2 2 2" xfId="53697" xr:uid="{3B2D2166-4244-4C41-8F32-02CA0C25309B}"/>
    <cellStyle name="Currency 5 2 2 3 5 2 2 2 3" xfId="35101" xr:uid="{569F69E3-150F-4565-AF5C-9A37DB76DB65}"/>
    <cellStyle name="Currency 5 2 2 3 5 2 2 3" xfId="44400" xr:uid="{8683C993-1691-4DF5-949D-A9BDD3B08D6F}"/>
    <cellStyle name="Currency 5 2 2 3 5 2 2 4" xfId="25802" xr:uid="{3873B875-6073-464A-BCC8-1B7FF6E0877F}"/>
    <cellStyle name="Currency 5 2 2 3 5 2 3" xfId="13138" xr:uid="{440147C6-B43D-4BB4-BCC7-820DDB143C38}"/>
    <cellStyle name="Currency 5 2 2 3 5 2 3 2" xfId="49480" xr:uid="{827BC296-D0DE-4C08-8A95-904426673CAD}"/>
    <cellStyle name="Currency 5 2 2 3 5 2 3 3" xfId="30884" xr:uid="{52ACE927-7367-4FD9-AFDB-C7892836BCF0}"/>
    <cellStyle name="Currency 5 2 2 3 5 2 4" xfId="40183" xr:uid="{4002FCB0-32C4-4796-8FFD-3DDC7080A9BC}"/>
    <cellStyle name="Currency 5 2 2 3 5 2 5" xfId="21585" xr:uid="{C51ADCC4-6FED-4414-AAEE-F7B6E68AAD32}"/>
    <cellStyle name="Currency 5 2 2 3 5 3" xfId="5884" xr:uid="{00000000-0005-0000-0000-0000E90B0000}"/>
    <cellStyle name="Currency 5 2 2 3 5 3 2" xfId="15210" xr:uid="{88CB1A56-2C1D-45F3-BC5B-D410836B58A6}"/>
    <cellStyle name="Currency 5 2 2 3 5 3 2 2" xfId="51552" xr:uid="{C2DDC3B6-A4BC-4E1F-9C0F-06E33A880FB9}"/>
    <cellStyle name="Currency 5 2 2 3 5 3 2 3" xfId="32956" xr:uid="{0DD5CCF3-51CF-4BDF-8FDD-DC1127D3A2B4}"/>
    <cellStyle name="Currency 5 2 2 3 5 3 3" xfId="42255" xr:uid="{C86A2F2D-BE2B-4AF5-A8BD-5E1CAC965DCA}"/>
    <cellStyle name="Currency 5 2 2 3 5 3 4" xfId="23657" xr:uid="{D7FACE69-F9F7-4230-B8D3-D32E1240EFA1}"/>
    <cellStyle name="Currency 5 2 2 3 5 4" xfId="10993" xr:uid="{26F5B233-04F0-4601-A0E6-78744EC7C5C5}"/>
    <cellStyle name="Currency 5 2 2 3 5 4 2" xfId="47335" xr:uid="{8F9C698C-CBFB-47A7-9CEA-A4B40B1E6E94}"/>
    <cellStyle name="Currency 5 2 2 3 5 4 3" xfId="28739" xr:uid="{401A9179-A594-4BEA-91CD-17730FE75AAE}"/>
    <cellStyle name="Currency 5 2 2 3 5 5" xfId="38038" xr:uid="{FF009598-6902-48F3-998C-A2540B11C418}"/>
    <cellStyle name="Currency 5 2 2 3 5 6" xfId="19440" xr:uid="{9F08795A-B0DB-4DC1-848F-52BE83807C2A}"/>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17768" xr:uid="{3D6EFE96-60F7-4003-B8A8-AB2C1F7107CC}"/>
    <cellStyle name="Currency 5 2 2 3 6 2 2 2 2" xfId="54110" xr:uid="{51085030-79E1-4DCE-88C7-58CC2C07A514}"/>
    <cellStyle name="Currency 5 2 2 3 6 2 2 2 3" xfId="35514" xr:uid="{E66BE21A-DC1F-4F1C-8518-656071AAD134}"/>
    <cellStyle name="Currency 5 2 2 3 6 2 2 3" xfId="44813" xr:uid="{95E30CA5-67E7-4BFA-9005-3B550FD79F11}"/>
    <cellStyle name="Currency 5 2 2 3 6 2 2 4" xfId="26215" xr:uid="{FBE5AFB3-2A51-45D2-A3BB-AA2A395C020B}"/>
    <cellStyle name="Currency 5 2 2 3 6 2 3" xfId="13551" xr:uid="{409BA423-CB69-41F8-A6A5-A6BB57E32CD2}"/>
    <cellStyle name="Currency 5 2 2 3 6 2 3 2" xfId="49893" xr:uid="{1ADBC713-1397-44A3-8771-FDE56C781576}"/>
    <cellStyle name="Currency 5 2 2 3 6 2 3 3" xfId="31297" xr:uid="{D8371FA0-ACD4-4EE4-B5B8-648500C2932C}"/>
    <cellStyle name="Currency 5 2 2 3 6 2 4" xfId="40596" xr:uid="{511229BC-3E80-4E8C-BDDB-668759AD407A}"/>
    <cellStyle name="Currency 5 2 2 3 6 2 5" xfId="21998" xr:uid="{175C3FC9-7E12-428B-9BC7-B639EB979802}"/>
    <cellStyle name="Currency 5 2 2 3 6 3" xfId="6297" xr:uid="{00000000-0005-0000-0000-0000ED0B0000}"/>
    <cellStyle name="Currency 5 2 2 3 6 3 2" xfId="15623" xr:uid="{17F12121-0813-4D6F-BD02-0A4E5745AF4A}"/>
    <cellStyle name="Currency 5 2 2 3 6 3 2 2" xfId="51965" xr:uid="{4D3E5B57-0EEE-45C6-9186-DEF4826D183E}"/>
    <cellStyle name="Currency 5 2 2 3 6 3 2 3" xfId="33369" xr:uid="{ECF70225-5ADC-4E3A-A71B-8FD73F0F8AF5}"/>
    <cellStyle name="Currency 5 2 2 3 6 3 3" xfId="42668" xr:uid="{7B94EE87-F7B6-41EE-8885-E9F7B22D1BF1}"/>
    <cellStyle name="Currency 5 2 2 3 6 3 4" xfId="24070" xr:uid="{9E3352A7-3277-4B38-B271-CCB49533B29F}"/>
    <cellStyle name="Currency 5 2 2 3 6 4" xfId="11406" xr:uid="{5B13C10B-C87C-4599-B9A9-D864FF034E0A}"/>
    <cellStyle name="Currency 5 2 2 3 6 4 2" xfId="47748" xr:uid="{F1973C83-B4DA-49E8-9625-5772E96EF20A}"/>
    <cellStyle name="Currency 5 2 2 3 6 4 3" xfId="29152" xr:uid="{B566C273-AAEA-45A5-AF51-EBEE361BD6E5}"/>
    <cellStyle name="Currency 5 2 2 3 6 5" xfId="38451" xr:uid="{3DA6F4F5-1B54-4B31-822B-CF715AD201FF}"/>
    <cellStyle name="Currency 5 2 2 3 6 6" xfId="19853" xr:uid="{3B31766B-2A0F-43D1-9C4D-B5BBAA0AE9AA}"/>
    <cellStyle name="Currency 5 2 2 3 7" xfId="2426" xr:uid="{00000000-0005-0000-0000-0000EE0B0000}"/>
    <cellStyle name="Currency 5 2 2 3 7 2" xfId="6710" xr:uid="{00000000-0005-0000-0000-0000EF0B0000}"/>
    <cellStyle name="Currency 5 2 2 3 7 2 2" xfId="16036" xr:uid="{EC24D080-C06F-473E-8A5B-1D527BC17665}"/>
    <cellStyle name="Currency 5 2 2 3 7 2 2 2" xfId="52378" xr:uid="{B26FA758-BDE3-472A-B054-6820F9CC42D2}"/>
    <cellStyle name="Currency 5 2 2 3 7 2 2 3" xfId="33782" xr:uid="{A350E8AB-BB91-4954-9427-ABB807821DEC}"/>
    <cellStyle name="Currency 5 2 2 3 7 2 3" xfId="43081" xr:uid="{4AF54262-39EC-4D03-9F20-4F9C5DD5736C}"/>
    <cellStyle name="Currency 5 2 2 3 7 2 4" xfId="24483" xr:uid="{A88F2D47-BB28-4135-844A-91E218EB808F}"/>
    <cellStyle name="Currency 5 2 2 3 7 3" xfId="11819" xr:uid="{647E22E6-EB6F-4284-B1DA-AF2077C8F466}"/>
    <cellStyle name="Currency 5 2 2 3 7 3 2" xfId="48161" xr:uid="{82AA90A6-6C0C-440C-B897-4B8513F91169}"/>
    <cellStyle name="Currency 5 2 2 3 7 3 3" xfId="29565" xr:uid="{548209AA-89E9-49ED-8D2A-21131414B99F}"/>
    <cellStyle name="Currency 5 2 2 3 7 4" xfId="38864" xr:uid="{8185984C-8C97-4E8E-ACC9-5E92E9E14B56}"/>
    <cellStyle name="Currency 5 2 2 3 7 5" xfId="20266" xr:uid="{51924979-335C-4A34-AC2C-5BB2A8A2D6FF}"/>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16353" xr:uid="{6CBD13F1-D1E8-4268-8288-D1D6D2CB9552}"/>
    <cellStyle name="Currency 5 2 2 3 9 2 2 2" xfId="52695" xr:uid="{D31B1A2E-C3FC-45FB-B78D-6FC8322CDCD1}"/>
    <cellStyle name="Currency 5 2 2 3 9 2 2 3" xfId="34099" xr:uid="{AF226D14-B5CA-455A-850A-C62FAF2499D8}"/>
    <cellStyle name="Currency 5 2 2 3 9 2 3" xfId="43398" xr:uid="{7F8F045C-7651-4A80-9670-E1BED17ED60C}"/>
    <cellStyle name="Currency 5 2 2 3 9 2 4" xfId="24800" xr:uid="{BDBCAB76-2236-445F-A354-E49F70468555}"/>
    <cellStyle name="Currency 5 2 2 3 9 3" xfId="12136" xr:uid="{459E5161-47D0-4B06-8255-68049DB1AE59}"/>
    <cellStyle name="Currency 5 2 2 3 9 3 2" xfId="48478" xr:uid="{492F03D7-362B-42DD-970C-9797374A58C5}"/>
    <cellStyle name="Currency 5 2 2 3 9 3 3" xfId="29882" xr:uid="{ABDD9503-321F-4176-9595-A16873A8D6A1}"/>
    <cellStyle name="Currency 5 2 2 3 9 4" xfId="39181" xr:uid="{D854F914-F83A-404F-AB4A-2A7FA4D93E26}"/>
    <cellStyle name="Currency 5 2 2 3 9 5" xfId="20583" xr:uid="{0F582412-5AA0-48FC-960F-442249A07982}"/>
    <cellStyle name="Currency 5 2 2 4" xfId="202" xr:uid="{00000000-0005-0000-0000-0000F30B0000}"/>
    <cellStyle name="Currency 5 2 2 4 10" xfId="8994" xr:uid="{484CCE7A-1288-4C7F-ABD6-C45948DC4EC0}"/>
    <cellStyle name="Currency 5 2 2 4 10 2" xfId="36064" xr:uid="{3FDD5E09-7E05-411D-8046-DA01C0E54906}"/>
    <cellStyle name="Currency 5 2 2 4 10 2 2" xfId="54659" xr:uid="{C3E87C81-42C8-4AB1-B7E6-2FFDCFA7286D}"/>
    <cellStyle name="Currency 5 2 2 4 10 3" xfId="45362" xr:uid="{36BE393F-C774-495B-8877-95C95CF78576}"/>
    <cellStyle name="Currency 5 2 2 4 10 4" xfId="26765" xr:uid="{F54ADBE2-A870-4463-80BF-1B8A51A94413}"/>
    <cellStyle name="Currency 5 2 2 4 11" xfId="9755" xr:uid="{0E203158-9790-45BA-9452-2901C86F9475}"/>
    <cellStyle name="Currency 5 2 2 4 11 2" xfId="46097" xr:uid="{488717B9-9C67-4CA7-8CA3-526242996E81}"/>
    <cellStyle name="Currency 5 2 2 4 11 3" xfId="27501" xr:uid="{4539E0D1-D45D-4E55-AA5D-0F13C21184CA}"/>
    <cellStyle name="Currency 5 2 2 4 12" xfId="36800" xr:uid="{D742C3D2-792F-4819-8655-6D90EA1DDEEF}"/>
    <cellStyle name="Currency 5 2 2 4 13" xfId="18202" xr:uid="{06C1957A-77F8-4AA8-B7BD-20EAF46BC217}"/>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16531" xr:uid="{BDFAA482-66A9-4AE9-AEC0-969CCFD9DC9A}"/>
    <cellStyle name="Currency 5 2 2 4 2 2 2 2 2" xfId="52873" xr:uid="{A44B19DF-C525-4AFE-9E7F-68925AFB89E8}"/>
    <cellStyle name="Currency 5 2 2 4 2 2 2 2 3" xfId="34277" xr:uid="{B63126A7-6C41-417B-8E2E-89CE5FCC70FA}"/>
    <cellStyle name="Currency 5 2 2 4 2 2 2 3" xfId="43576" xr:uid="{E301F80C-8C20-4FC5-9668-633AB06CA817}"/>
    <cellStyle name="Currency 5 2 2 4 2 2 2 4" xfId="24978" xr:uid="{46E33AFD-F867-4414-8E73-920F8394A131}"/>
    <cellStyle name="Currency 5 2 2 4 2 2 3" xfId="12314" xr:uid="{7726AC09-4519-4CB5-8253-61A544C20AD9}"/>
    <cellStyle name="Currency 5 2 2 4 2 2 3 2" xfId="48656" xr:uid="{EE157495-5431-4301-862D-E31D35F0E271}"/>
    <cellStyle name="Currency 5 2 2 4 2 2 3 3" xfId="30060" xr:uid="{14BDA998-997A-421D-B2B6-3DCB11883686}"/>
    <cellStyle name="Currency 5 2 2 4 2 2 4" xfId="39359" xr:uid="{2BD6F5A2-4D14-45C0-B63E-F2BF26D279DC}"/>
    <cellStyle name="Currency 5 2 2 4 2 2 5" xfId="20761" xr:uid="{33A3D4FF-5FD7-443B-A80B-831AFD4C5FB0}"/>
    <cellStyle name="Currency 5 2 2 4 2 3" xfId="5060" xr:uid="{00000000-0005-0000-0000-0000F70B0000}"/>
    <cellStyle name="Currency 5 2 2 4 2 3 2" xfId="14386" xr:uid="{D45404EE-E40A-4DC2-8753-F7F9D23DB6DD}"/>
    <cellStyle name="Currency 5 2 2 4 2 3 2 2" xfId="50728" xr:uid="{EBA31EF7-86F9-4F15-A94C-BF55B7B32231}"/>
    <cellStyle name="Currency 5 2 2 4 2 3 2 3" xfId="32132" xr:uid="{771CF403-8F45-496E-997D-8AFAAA7E7DD1}"/>
    <cellStyle name="Currency 5 2 2 4 2 3 3" xfId="41431" xr:uid="{2D6963D7-CE2B-4F1A-A658-35B979377132}"/>
    <cellStyle name="Currency 5 2 2 4 2 3 4" xfId="22833" xr:uid="{472327B2-5745-4F0C-B200-4949550DD1EA}"/>
    <cellStyle name="Currency 5 2 2 4 2 4" xfId="9419" xr:uid="{F03E4D2E-3BA9-4D5B-9C35-959DB128CBAE}"/>
    <cellStyle name="Currency 5 2 2 4 2 4 2" xfId="36480" xr:uid="{74396C88-B340-46C1-93BC-0DF0D424DC2C}"/>
    <cellStyle name="Currency 5 2 2 4 2 4 2 2" xfId="55074" xr:uid="{FADED607-1736-4F5F-BC59-32367BC14985}"/>
    <cellStyle name="Currency 5 2 2 4 2 4 3" xfId="45777" xr:uid="{4D1321A3-F3C7-4A14-8800-5AA4AA228BA2}"/>
    <cellStyle name="Currency 5 2 2 4 2 4 4" xfId="27181" xr:uid="{69F6F274-2F11-4330-A158-C456EDC8684F}"/>
    <cellStyle name="Currency 5 2 2 4 2 5" xfId="10169" xr:uid="{6A275474-A802-4D61-943C-AB8C97454415}"/>
    <cellStyle name="Currency 5 2 2 4 2 5 2" xfId="46511" xr:uid="{06F34648-B8E5-4DAF-AA3D-CE7ECC2B2E15}"/>
    <cellStyle name="Currency 5 2 2 4 2 5 3" xfId="27915" xr:uid="{9F2F3E73-0C3B-4D09-A6DD-D715011C44F4}"/>
    <cellStyle name="Currency 5 2 2 4 2 6" xfId="37214" xr:uid="{7815E8B3-F950-4A98-BCF2-5B2FE164E0E1}"/>
    <cellStyle name="Currency 5 2 2 4 2 7" xfId="18616" xr:uid="{2CD8945C-C947-4158-AA01-0E80CAD38B9F}"/>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16944" xr:uid="{CDA35AF4-6F59-451C-897E-D95A67BA2AE9}"/>
    <cellStyle name="Currency 5 2 2 4 3 2 2 2 2" xfId="53286" xr:uid="{2C93A090-2857-470E-BEBE-C27C6CDCC1DA}"/>
    <cellStyle name="Currency 5 2 2 4 3 2 2 2 3" xfId="34690" xr:uid="{7966C261-364F-4A8C-9901-008DF168AEEA}"/>
    <cellStyle name="Currency 5 2 2 4 3 2 2 3" xfId="43989" xr:uid="{E9AD0A53-61E8-4CDB-8F2B-8328C1EA0E2A}"/>
    <cellStyle name="Currency 5 2 2 4 3 2 2 4" xfId="25391" xr:uid="{4B18DD02-8EE4-4614-A8A4-457327711162}"/>
    <cellStyle name="Currency 5 2 2 4 3 2 3" xfId="12727" xr:uid="{6363BF1B-60AD-4DE1-B690-DAAE31D7A98D}"/>
    <cellStyle name="Currency 5 2 2 4 3 2 3 2" xfId="49069" xr:uid="{CFF6E34B-7E90-4204-B7C3-6B61F419EF76}"/>
    <cellStyle name="Currency 5 2 2 4 3 2 3 3" xfId="30473" xr:uid="{456E3A47-F706-4887-B0B6-82748D1B6320}"/>
    <cellStyle name="Currency 5 2 2 4 3 2 4" xfId="39772" xr:uid="{A9BF49C9-A6B9-4CB1-8023-8CCD88699E3D}"/>
    <cellStyle name="Currency 5 2 2 4 3 2 5" xfId="21174" xr:uid="{E86BA032-8B91-4C53-AABA-697241E54459}"/>
    <cellStyle name="Currency 5 2 2 4 3 3" xfId="5473" xr:uid="{00000000-0005-0000-0000-0000FB0B0000}"/>
    <cellStyle name="Currency 5 2 2 4 3 3 2" xfId="14799" xr:uid="{3E0566A3-836F-456C-9A91-FE7EFB924B8F}"/>
    <cellStyle name="Currency 5 2 2 4 3 3 2 2" xfId="51141" xr:uid="{5E8A8AFE-E15A-4F30-B7F1-C457E09D4AE1}"/>
    <cellStyle name="Currency 5 2 2 4 3 3 2 3" xfId="32545" xr:uid="{2E010DE9-B119-491F-9FFB-96A4BD944028}"/>
    <cellStyle name="Currency 5 2 2 4 3 3 3" xfId="41844" xr:uid="{93A84951-5615-40ED-B150-821FFCEF02AF}"/>
    <cellStyle name="Currency 5 2 2 4 3 3 4" xfId="23246" xr:uid="{A00B4134-5E0A-4844-8F2E-0EF9AE04AC01}"/>
    <cellStyle name="Currency 5 2 2 4 3 4" xfId="10582" xr:uid="{A8805127-0EE3-479F-9556-F558DA2CA5F5}"/>
    <cellStyle name="Currency 5 2 2 4 3 4 2" xfId="46924" xr:uid="{F589DED0-CFF0-44FC-86CF-9E453C13A74C}"/>
    <cellStyle name="Currency 5 2 2 4 3 4 3" xfId="28328" xr:uid="{0AE60F88-72FC-40F2-9681-D73E7ADB2455}"/>
    <cellStyle name="Currency 5 2 2 4 3 5" xfId="37627" xr:uid="{3908EABB-D9F3-4873-91BF-C31DF406376F}"/>
    <cellStyle name="Currency 5 2 2 4 3 6" xfId="19029" xr:uid="{434253A5-B3EA-4ACD-84CF-BB703888A0DB}"/>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17357" xr:uid="{8AAD5399-436D-46A3-A451-370802676B02}"/>
    <cellStyle name="Currency 5 2 2 4 4 2 2 2 2" xfId="53699" xr:uid="{EB88C0E5-7C21-4CBD-80C3-AAC38FE63D5A}"/>
    <cellStyle name="Currency 5 2 2 4 4 2 2 2 3" xfId="35103" xr:uid="{B23B8BFB-5709-4FC8-B6E0-FEFA13707873}"/>
    <cellStyle name="Currency 5 2 2 4 4 2 2 3" xfId="44402" xr:uid="{88722EED-4F3D-41AC-9826-9376DA206E66}"/>
    <cellStyle name="Currency 5 2 2 4 4 2 2 4" xfId="25804" xr:uid="{1E33B139-60E0-4D1B-A14F-4B16271F6CE2}"/>
    <cellStyle name="Currency 5 2 2 4 4 2 3" xfId="13140" xr:uid="{C611E7BF-D06B-4F98-A96E-3FEC70543D95}"/>
    <cellStyle name="Currency 5 2 2 4 4 2 3 2" xfId="49482" xr:uid="{8FB6984E-1C2A-44E3-818B-9E9F7D18BE83}"/>
    <cellStyle name="Currency 5 2 2 4 4 2 3 3" xfId="30886" xr:uid="{74AA08A9-E078-4EC5-9295-4E0F3EF5469B}"/>
    <cellStyle name="Currency 5 2 2 4 4 2 4" xfId="40185" xr:uid="{4D536314-D2EE-467F-8CD6-D7AD0C5B2171}"/>
    <cellStyle name="Currency 5 2 2 4 4 2 5" xfId="21587" xr:uid="{4153EE9B-0AD7-44FA-89E9-E8F921BF25B9}"/>
    <cellStyle name="Currency 5 2 2 4 4 3" xfId="5886" xr:uid="{00000000-0005-0000-0000-0000FF0B0000}"/>
    <cellStyle name="Currency 5 2 2 4 4 3 2" xfId="15212" xr:uid="{30BF6951-A847-4DBF-8AFC-583ACEC7A421}"/>
    <cellStyle name="Currency 5 2 2 4 4 3 2 2" xfId="51554" xr:uid="{897C490B-EAFB-4EEA-AAC0-3304DF6D6899}"/>
    <cellStyle name="Currency 5 2 2 4 4 3 2 3" xfId="32958" xr:uid="{A0584224-A412-4341-99BC-CF0BA07EA592}"/>
    <cellStyle name="Currency 5 2 2 4 4 3 3" xfId="42257" xr:uid="{7DCA7282-54EE-486F-B405-6CA0BD5BFC94}"/>
    <cellStyle name="Currency 5 2 2 4 4 3 4" xfId="23659" xr:uid="{4C086E00-07AB-4327-A322-936583629A4D}"/>
    <cellStyle name="Currency 5 2 2 4 4 4" xfId="10995" xr:uid="{AB79A505-96F8-4A03-A17D-E8F4BC4331EB}"/>
    <cellStyle name="Currency 5 2 2 4 4 4 2" xfId="47337" xr:uid="{0267A279-A56B-43EA-89E4-F7E077623641}"/>
    <cellStyle name="Currency 5 2 2 4 4 4 3" xfId="28741" xr:uid="{6D6933E7-F7C2-4234-AFA6-E20520FB704D}"/>
    <cellStyle name="Currency 5 2 2 4 4 5" xfId="38040" xr:uid="{E668F0DC-4425-42E2-A588-D45857CE3491}"/>
    <cellStyle name="Currency 5 2 2 4 4 6" xfId="19442" xr:uid="{2F7861E3-3D33-4D77-B3FB-D2A618A2F268}"/>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17770" xr:uid="{AC9DB9FE-C146-47F7-A6CA-9881335CF31B}"/>
    <cellStyle name="Currency 5 2 2 4 5 2 2 2 2" xfId="54112" xr:uid="{831C4176-1EB2-4910-BAD8-0AC865D934AB}"/>
    <cellStyle name="Currency 5 2 2 4 5 2 2 2 3" xfId="35516" xr:uid="{5A8D6DC9-01EC-46B2-8DA6-577836BDDC71}"/>
    <cellStyle name="Currency 5 2 2 4 5 2 2 3" xfId="44815" xr:uid="{53901CD5-E5A4-4CC7-8B3F-C07CD957152B}"/>
    <cellStyle name="Currency 5 2 2 4 5 2 2 4" xfId="26217" xr:uid="{9C39F3EA-D27D-49EE-BBEE-AC40C18162E7}"/>
    <cellStyle name="Currency 5 2 2 4 5 2 3" xfId="13553" xr:uid="{22FBF27A-4119-4541-A925-3BF20E39D074}"/>
    <cellStyle name="Currency 5 2 2 4 5 2 3 2" xfId="49895" xr:uid="{376444A2-1DF6-405E-BB7A-8767D08969C0}"/>
    <cellStyle name="Currency 5 2 2 4 5 2 3 3" xfId="31299" xr:uid="{8AF331F8-C210-4555-86EB-A24F2CF80816}"/>
    <cellStyle name="Currency 5 2 2 4 5 2 4" xfId="40598" xr:uid="{E1F3B5EC-938C-485B-834C-58083C9A30C1}"/>
    <cellStyle name="Currency 5 2 2 4 5 2 5" xfId="22000" xr:uid="{CBA9C4CD-16BC-4181-A32D-ADF685A2AA51}"/>
    <cellStyle name="Currency 5 2 2 4 5 3" xfId="6299" xr:uid="{00000000-0005-0000-0000-0000030C0000}"/>
    <cellStyle name="Currency 5 2 2 4 5 3 2" xfId="15625" xr:uid="{131AB8F2-B6DE-424A-9156-D0D44970D5EF}"/>
    <cellStyle name="Currency 5 2 2 4 5 3 2 2" xfId="51967" xr:uid="{BFA62C4A-0B29-43BE-BE33-BA9C26CB92BC}"/>
    <cellStyle name="Currency 5 2 2 4 5 3 2 3" xfId="33371" xr:uid="{4A4FC528-F8CC-4395-B39D-7882F06CB905}"/>
    <cellStyle name="Currency 5 2 2 4 5 3 3" xfId="42670" xr:uid="{C71175A6-086F-4B13-87BF-852A0A31E0B5}"/>
    <cellStyle name="Currency 5 2 2 4 5 3 4" xfId="24072" xr:uid="{A3AAFB3E-FEED-4763-B822-98CA84989BDC}"/>
    <cellStyle name="Currency 5 2 2 4 5 4" xfId="11408" xr:uid="{65D5FF7D-F9E5-4DD0-ADE0-5030D1994022}"/>
    <cellStyle name="Currency 5 2 2 4 5 4 2" xfId="47750" xr:uid="{F2632AEB-A861-4F66-848B-0F6C16E69778}"/>
    <cellStyle name="Currency 5 2 2 4 5 4 3" xfId="29154" xr:uid="{36F6C78A-7CAD-4FB8-910B-AE20A8E525ED}"/>
    <cellStyle name="Currency 5 2 2 4 5 5" xfId="38453" xr:uid="{978532CA-0D9E-4952-8108-A67D0921099E}"/>
    <cellStyle name="Currency 5 2 2 4 5 6" xfId="19855" xr:uid="{C22E63BE-19C8-464C-854A-B2E8EA2470B6}"/>
    <cellStyle name="Currency 5 2 2 4 6" xfId="2428" xr:uid="{00000000-0005-0000-0000-0000040C0000}"/>
    <cellStyle name="Currency 5 2 2 4 6 2" xfId="6712" xr:uid="{00000000-0005-0000-0000-0000050C0000}"/>
    <cellStyle name="Currency 5 2 2 4 6 2 2" xfId="16038" xr:uid="{70F47B2C-E114-4DF3-8905-9CE658B44F58}"/>
    <cellStyle name="Currency 5 2 2 4 6 2 2 2" xfId="52380" xr:uid="{4815174B-A832-4A66-B206-6C14C223D03C}"/>
    <cellStyle name="Currency 5 2 2 4 6 2 2 3" xfId="33784" xr:uid="{EC24456F-1503-4119-8C85-FC294EBBCE09}"/>
    <cellStyle name="Currency 5 2 2 4 6 2 3" xfId="43083" xr:uid="{830E045B-35BA-4268-BA05-F0A47FE5BEAF}"/>
    <cellStyle name="Currency 5 2 2 4 6 2 4" xfId="24485" xr:uid="{8FD76547-DD17-436E-92F4-BFF333716971}"/>
    <cellStyle name="Currency 5 2 2 4 6 3" xfId="11821" xr:uid="{104E0FA1-733F-4A45-ABBD-724D8B43A4DC}"/>
    <cellStyle name="Currency 5 2 2 4 6 3 2" xfId="48163" xr:uid="{4BD3FACE-3737-46B2-8B6F-67F65484E76A}"/>
    <cellStyle name="Currency 5 2 2 4 6 3 3" xfId="29567" xr:uid="{645F245E-E81F-4336-9312-4319F7DDEA69}"/>
    <cellStyle name="Currency 5 2 2 4 6 4" xfId="38866" xr:uid="{D62FA700-0FDF-4441-B4E9-5FC6CD2E1C8C}"/>
    <cellStyle name="Currency 5 2 2 4 6 5" xfId="20268" xr:uid="{652544B6-E66A-4A40-A465-F448ABFAECDF}"/>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16355" xr:uid="{47EA203A-DB81-4B39-8876-959A1002E765}"/>
    <cellStyle name="Currency 5 2 2 4 8 2 2 2" xfId="52697" xr:uid="{DD185E3A-7EFC-4467-82A0-867AF21F6018}"/>
    <cellStyle name="Currency 5 2 2 4 8 2 2 3" xfId="34101" xr:uid="{22B65C0E-B108-4327-BAF4-BD0711AF64DD}"/>
    <cellStyle name="Currency 5 2 2 4 8 2 3" xfId="43400" xr:uid="{CCB2127E-D7FF-4657-9743-B2F128E2A0DF}"/>
    <cellStyle name="Currency 5 2 2 4 8 2 4" xfId="24802" xr:uid="{E1EFD632-C603-4F5B-9838-C39180B2132A}"/>
    <cellStyle name="Currency 5 2 2 4 8 3" xfId="12138" xr:uid="{E33ACD77-98A4-49E4-BD9A-349BA4E46C62}"/>
    <cellStyle name="Currency 5 2 2 4 8 3 2" xfId="48480" xr:uid="{2EB400F6-7A9E-447F-8435-4E7E9D9E342F}"/>
    <cellStyle name="Currency 5 2 2 4 8 3 3" xfId="29884" xr:uid="{7C2FC6FD-D5AA-4DCD-9F9A-6AFFB93866CC}"/>
    <cellStyle name="Currency 5 2 2 4 8 4" xfId="39183" xr:uid="{A87A53F8-CA53-427E-A29C-F60E16BF37CF}"/>
    <cellStyle name="Currency 5 2 2 4 8 5" xfId="20585" xr:uid="{7AE6B56D-BE6C-420F-B0D3-BE4D3FA1C797}"/>
    <cellStyle name="Currency 5 2 2 4 9" xfId="4646" xr:uid="{00000000-0005-0000-0000-0000090C0000}"/>
    <cellStyle name="Currency 5 2 2 4 9 2" xfId="13972" xr:uid="{59112D6A-7861-4198-BAB8-507DC7466BD0}"/>
    <cellStyle name="Currency 5 2 2 4 9 2 2" xfId="50314" xr:uid="{D9040108-9223-416F-B3AF-3C6BF5638CCD}"/>
    <cellStyle name="Currency 5 2 2 4 9 2 3" xfId="31718" xr:uid="{E9D375A8-E462-49B8-8D2B-A783C54AEB60}"/>
    <cellStyle name="Currency 5 2 2 4 9 3" xfId="41017" xr:uid="{68A6011C-18D5-485B-ACEE-4ACC29712DB8}"/>
    <cellStyle name="Currency 5 2 2 4 9 4" xfId="22419" xr:uid="{660EDB30-A771-4CC8-9623-A0518103804E}"/>
    <cellStyle name="Currency 5 2 2 5" xfId="203" xr:uid="{00000000-0005-0000-0000-00000A0C0000}"/>
    <cellStyle name="Currency 5 2 2 5 10" xfId="9211" xr:uid="{586E1D8D-A72F-44A2-BAB5-A0BAD4827F6D}"/>
    <cellStyle name="Currency 5 2 2 5 10 2" xfId="36273" xr:uid="{4BB62F57-6BF1-4704-BE1C-D696986CEC7C}"/>
    <cellStyle name="Currency 5 2 2 5 10 2 2" xfId="54867" xr:uid="{975C4C62-0205-4B04-82FC-90D49D6D1201}"/>
    <cellStyle name="Currency 5 2 2 5 10 3" xfId="45570" xr:uid="{8FCF46C1-19E3-4003-8C81-755C1AC2A988}"/>
    <cellStyle name="Currency 5 2 2 5 10 4" xfId="26974" xr:uid="{F084E892-7CDD-43D8-8DDE-22C962B65D57}"/>
    <cellStyle name="Currency 5 2 2 5 11" xfId="9756" xr:uid="{47EFD8E3-313E-4993-9CFC-235C9654AB5A}"/>
    <cellStyle name="Currency 5 2 2 5 11 2" xfId="46098" xr:uid="{B394117C-63AA-4DDA-8DA4-412D654501B6}"/>
    <cellStyle name="Currency 5 2 2 5 11 3" xfId="27502" xr:uid="{D9744133-2498-4623-A56D-304178C13ABA}"/>
    <cellStyle name="Currency 5 2 2 5 12" xfId="36801" xr:uid="{98521170-BD91-424F-BF45-74289E912F0F}"/>
    <cellStyle name="Currency 5 2 2 5 13" xfId="18203" xr:uid="{8591DC77-72DC-40C2-A765-C1AD82772953}"/>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16532" xr:uid="{440CF872-5D23-42A6-89B7-4ABACAFB2FE0}"/>
    <cellStyle name="Currency 5 2 2 5 2 2 2 2 2" xfId="52874" xr:uid="{348398FA-9D97-4FF0-A687-5A4135588A0B}"/>
    <cellStyle name="Currency 5 2 2 5 2 2 2 2 3" xfId="34278" xr:uid="{0B58A503-053C-4C0F-9061-4D59BA5E749B}"/>
    <cellStyle name="Currency 5 2 2 5 2 2 2 3" xfId="43577" xr:uid="{E7F5263C-D7F4-451A-BE8E-B60868BDC80D}"/>
    <cellStyle name="Currency 5 2 2 5 2 2 2 4" xfId="24979" xr:uid="{0CA97F31-613F-43C2-ADCF-53E977B48FE2}"/>
    <cellStyle name="Currency 5 2 2 5 2 2 3" xfId="12315" xr:uid="{C6E4320A-A58D-4EBF-9972-A96EADA1F608}"/>
    <cellStyle name="Currency 5 2 2 5 2 2 3 2" xfId="48657" xr:uid="{2DF08624-1642-45DF-BB0C-2EAFD652374F}"/>
    <cellStyle name="Currency 5 2 2 5 2 2 3 3" xfId="30061" xr:uid="{F280A652-8B42-47E8-829C-3D78907F9ED2}"/>
    <cellStyle name="Currency 5 2 2 5 2 2 4" xfId="39360" xr:uid="{59421563-BF1D-4E22-BA3F-7450B9ED3D96}"/>
    <cellStyle name="Currency 5 2 2 5 2 2 5" xfId="20762" xr:uid="{1F09E2D9-23B8-43E3-B6A3-E66F955FF811}"/>
    <cellStyle name="Currency 5 2 2 5 2 3" xfId="5061" xr:uid="{00000000-0005-0000-0000-00000E0C0000}"/>
    <cellStyle name="Currency 5 2 2 5 2 3 2" xfId="14387" xr:uid="{4A245CD7-451B-460D-BADF-1A9E14C495BD}"/>
    <cellStyle name="Currency 5 2 2 5 2 3 2 2" xfId="50729" xr:uid="{55E6AB2B-3AA9-46CC-B8C2-EF6C859FB7AC}"/>
    <cellStyle name="Currency 5 2 2 5 2 3 2 3" xfId="32133" xr:uid="{8ED15382-DE1E-4F23-BE78-281ABC82BF5B}"/>
    <cellStyle name="Currency 5 2 2 5 2 3 3" xfId="41432" xr:uid="{EC1D247C-7F3F-466D-B882-A33A7F6DF487}"/>
    <cellStyle name="Currency 5 2 2 5 2 3 4" xfId="22834" xr:uid="{A8DF0590-74E4-4F95-836D-AAC76C2B5E9D}"/>
    <cellStyle name="Currency 5 2 2 5 2 4" xfId="9598" xr:uid="{EBD3270B-608E-49E1-8A20-C5ADF81FBC1B}"/>
    <cellStyle name="Currency 5 2 2 5 2 4 2" xfId="36648" xr:uid="{976988E9-6882-40F1-B0AC-B0AC64A89B61}"/>
    <cellStyle name="Currency 5 2 2 5 2 4 2 2" xfId="55242" xr:uid="{F1E4C61E-AE52-4120-A295-B9FD8E0530CE}"/>
    <cellStyle name="Currency 5 2 2 5 2 4 3" xfId="45945" xr:uid="{E8162B52-5065-46B6-BA38-E4BA998AB6B6}"/>
    <cellStyle name="Currency 5 2 2 5 2 4 4" xfId="27349" xr:uid="{96831934-E60B-43F3-A972-40F77AFF89A1}"/>
    <cellStyle name="Currency 5 2 2 5 2 5" xfId="10170" xr:uid="{2CAC310C-C23B-40C8-B393-4DF27AA6C6D6}"/>
    <cellStyle name="Currency 5 2 2 5 2 5 2" xfId="46512" xr:uid="{EA62B556-0B71-4D55-9C4C-0E7BF7340171}"/>
    <cellStyle name="Currency 5 2 2 5 2 5 3" xfId="27916" xr:uid="{0C838EF8-4EE1-4A2E-8D4E-7BEEFCD5C292}"/>
    <cellStyle name="Currency 5 2 2 5 2 6" xfId="37215" xr:uid="{98685AAD-506E-4C0F-B2D7-15B38F54F926}"/>
    <cellStyle name="Currency 5 2 2 5 2 7" xfId="18617" xr:uid="{819CC3F4-C403-492F-A8C7-568724733294}"/>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16945" xr:uid="{FBDC1235-3CBC-4E17-9A46-235BEEEB7138}"/>
    <cellStyle name="Currency 5 2 2 5 3 2 2 2 2" xfId="53287" xr:uid="{EC44202C-5E00-4F09-8BFA-FD2607C2F5EB}"/>
    <cellStyle name="Currency 5 2 2 5 3 2 2 2 3" xfId="34691" xr:uid="{95347F69-7B27-45D3-A9A1-F40505D3ED6B}"/>
    <cellStyle name="Currency 5 2 2 5 3 2 2 3" xfId="43990" xr:uid="{6288233C-0C55-417B-91BD-8B8019399A80}"/>
    <cellStyle name="Currency 5 2 2 5 3 2 2 4" xfId="25392" xr:uid="{B49E47A6-12EA-4320-8F0E-3C41E5540DD8}"/>
    <cellStyle name="Currency 5 2 2 5 3 2 3" xfId="12728" xr:uid="{B8D7F7C4-290C-4186-AE85-00276EFC9BF5}"/>
    <cellStyle name="Currency 5 2 2 5 3 2 3 2" xfId="49070" xr:uid="{91EECFC1-F992-4AC0-9FEC-2E59F12C1DDA}"/>
    <cellStyle name="Currency 5 2 2 5 3 2 3 3" xfId="30474" xr:uid="{2BE145CB-FF91-4326-8D7D-530F10EC2322}"/>
    <cellStyle name="Currency 5 2 2 5 3 2 4" xfId="39773" xr:uid="{3D710B68-9F6C-4E34-8388-F65A66A7F372}"/>
    <cellStyle name="Currency 5 2 2 5 3 2 5" xfId="21175" xr:uid="{D2820530-CD7E-493F-AA59-F120DD99FFE4}"/>
    <cellStyle name="Currency 5 2 2 5 3 3" xfId="5474" xr:uid="{00000000-0005-0000-0000-0000120C0000}"/>
    <cellStyle name="Currency 5 2 2 5 3 3 2" xfId="14800" xr:uid="{EFB49287-EDA7-460A-93AD-43354279D9C1}"/>
    <cellStyle name="Currency 5 2 2 5 3 3 2 2" xfId="51142" xr:uid="{ABC7FB15-382A-428C-BF0D-F398AF5A2B5F}"/>
    <cellStyle name="Currency 5 2 2 5 3 3 2 3" xfId="32546" xr:uid="{2FDA4F34-061C-4431-80AA-80142493945B}"/>
    <cellStyle name="Currency 5 2 2 5 3 3 3" xfId="41845" xr:uid="{D2803D15-B4B2-4C8E-8C70-0999717E2C76}"/>
    <cellStyle name="Currency 5 2 2 5 3 3 4" xfId="23247" xr:uid="{82200532-03DE-4538-A250-B1E231AD0D2E}"/>
    <cellStyle name="Currency 5 2 2 5 3 4" xfId="10583" xr:uid="{688A191C-A6FE-4035-A311-FDF716BE3A0A}"/>
    <cellStyle name="Currency 5 2 2 5 3 4 2" xfId="46925" xr:uid="{02C46576-FE65-407D-BD9D-A859E40B512C}"/>
    <cellStyle name="Currency 5 2 2 5 3 4 3" xfId="28329" xr:uid="{F0E1CAE9-F4EB-4447-9456-4A726A03F264}"/>
    <cellStyle name="Currency 5 2 2 5 3 5" xfId="37628" xr:uid="{AF95051C-73F0-4744-835C-2F107AF6EBC2}"/>
    <cellStyle name="Currency 5 2 2 5 3 6" xfId="19030" xr:uid="{1C42440B-85FA-4406-A23C-D8900F039F9E}"/>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17358" xr:uid="{4CC8EA12-45C4-44D1-A445-7A8E11D84678}"/>
    <cellStyle name="Currency 5 2 2 5 4 2 2 2 2" xfId="53700" xr:uid="{C63DC7B1-A5BF-4735-8950-94A2B3660000}"/>
    <cellStyle name="Currency 5 2 2 5 4 2 2 2 3" xfId="35104" xr:uid="{6E4F8338-E930-4F36-A3BE-0A7E548C588C}"/>
    <cellStyle name="Currency 5 2 2 5 4 2 2 3" xfId="44403" xr:uid="{A20AC1E5-245B-46D5-BCC5-60D303E06325}"/>
    <cellStyle name="Currency 5 2 2 5 4 2 2 4" xfId="25805" xr:uid="{3977C457-BC0C-4AD4-9C40-C5C7BC333E06}"/>
    <cellStyle name="Currency 5 2 2 5 4 2 3" xfId="13141" xr:uid="{5CBF55BA-6A23-4426-8EE2-F20F58A0CE9D}"/>
    <cellStyle name="Currency 5 2 2 5 4 2 3 2" xfId="49483" xr:uid="{A73DD6D1-7D21-4116-8F4F-6AD044BFE0F9}"/>
    <cellStyle name="Currency 5 2 2 5 4 2 3 3" xfId="30887" xr:uid="{D839E5DD-3EAF-47BA-8B58-A7BDD6847FD8}"/>
    <cellStyle name="Currency 5 2 2 5 4 2 4" xfId="40186" xr:uid="{4C9128BA-68FE-448F-94CB-671824E11465}"/>
    <cellStyle name="Currency 5 2 2 5 4 2 5" xfId="21588" xr:uid="{8359BDCE-0565-4FF3-8801-8670CB2EB159}"/>
    <cellStyle name="Currency 5 2 2 5 4 3" xfId="5887" xr:uid="{00000000-0005-0000-0000-0000160C0000}"/>
    <cellStyle name="Currency 5 2 2 5 4 3 2" xfId="15213" xr:uid="{B9F08380-1276-4BB2-B98C-E79564AE1A5D}"/>
    <cellStyle name="Currency 5 2 2 5 4 3 2 2" xfId="51555" xr:uid="{E4255F92-F35A-4F88-ABA6-B2FA14647575}"/>
    <cellStyle name="Currency 5 2 2 5 4 3 2 3" xfId="32959" xr:uid="{1B37587A-ED31-4A2D-B33D-2B350F1F97B4}"/>
    <cellStyle name="Currency 5 2 2 5 4 3 3" xfId="42258" xr:uid="{0D1DEDE4-7462-4228-B46F-1A1555F5A3A5}"/>
    <cellStyle name="Currency 5 2 2 5 4 3 4" xfId="23660" xr:uid="{86034250-7FF3-4B6A-8114-DB26D2BEC5A9}"/>
    <cellStyle name="Currency 5 2 2 5 4 4" xfId="10996" xr:uid="{1ADA45F3-C020-4AA7-8300-A3028126C019}"/>
    <cellStyle name="Currency 5 2 2 5 4 4 2" xfId="47338" xr:uid="{80DF22CE-DB04-4F25-BF28-CB02A81D9E61}"/>
    <cellStyle name="Currency 5 2 2 5 4 4 3" xfId="28742" xr:uid="{BF4CDDCA-46C6-4FD1-8119-B828F40F5839}"/>
    <cellStyle name="Currency 5 2 2 5 4 5" xfId="38041" xr:uid="{36BF740C-1C44-4FC2-ACE6-C272EBC7C293}"/>
    <cellStyle name="Currency 5 2 2 5 4 6" xfId="19443" xr:uid="{563D63DA-9CC4-4E2E-8DE4-34FB3D731C08}"/>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17771" xr:uid="{0D3744BA-02FA-4DA4-964F-139C3E9F67CF}"/>
    <cellStyle name="Currency 5 2 2 5 5 2 2 2 2" xfId="54113" xr:uid="{3CD8A9A2-6D45-42DB-8730-877ED1DE41B7}"/>
    <cellStyle name="Currency 5 2 2 5 5 2 2 2 3" xfId="35517" xr:uid="{AED15E48-FBF7-4290-BC24-F812F90482C1}"/>
    <cellStyle name="Currency 5 2 2 5 5 2 2 3" xfId="44816" xr:uid="{E5317CA5-B2A5-41E1-BCEE-DE0974F9902C}"/>
    <cellStyle name="Currency 5 2 2 5 5 2 2 4" xfId="26218" xr:uid="{4632F4E6-BCF9-4CA7-8249-CB9C4F54E59B}"/>
    <cellStyle name="Currency 5 2 2 5 5 2 3" xfId="13554" xr:uid="{AE00C660-4522-499E-9D9A-B561E6358AEE}"/>
    <cellStyle name="Currency 5 2 2 5 5 2 3 2" xfId="49896" xr:uid="{D0ABC000-A780-4F3B-9C26-8BB5FFC444EE}"/>
    <cellStyle name="Currency 5 2 2 5 5 2 3 3" xfId="31300" xr:uid="{7C84D7C7-53A5-4DDE-85F4-619923758332}"/>
    <cellStyle name="Currency 5 2 2 5 5 2 4" xfId="40599" xr:uid="{39287515-7FD7-46C6-BC89-DA514481A071}"/>
    <cellStyle name="Currency 5 2 2 5 5 2 5" xfId="22001" xr:uid="{880A958A-F494-488D-8C5F-8D6BAEBDDAF9}"/>
    <cellStyle name="Currency 5 2 2 5 5 3" xfId="6300" xr:uid="{00000000-0005-0000-0000-00001A0C0000}"/>
    <cellStyle name="Currency 5 2 2 5 5 3 2" xfId="15626" xr:uid="{D9E2191B-AAF9-47CC-B53A-AE381BC57F3C}"/>
    <cellStyle name="Currency 5 2 2 5 5 3 2 2" xfId="51968" xr:uid="{2C7D4463-B5CB-4624-8006-5629CB4B8A38}"/>
    <cellStyle name="Currency 5 2 2 5 5 3 2 3" xfId="33372" xr:uid="{E034401C-3928-44DA-B6C6-7382AA807AAF}"/>
    <cellStyle name="Currency 5 2 2 5 5 3 3" xfId="42671" xr:uid="{A30A7DF7-49D4-4EE3-A720-DD2B5D637D32}"/>
    <cellStyle name="Currency 5 2 2 5 5 3 4" xfId="24073" xr:uid="{9BFEDA09-AA5A-4857-8686-653BFCCC44F1}"/>
    <cellStyle name="Currency 5 2 2 5 5 4" xfId="11409" xr:uid="{B134F354-E32C-43A3-AB39-81BDA5EC686F}"/>
    <cellStyle name="Currency 5 2 2 5 5 4 2" xfId="47751" xr:uid="{14411E0B-E21A-4CAC-B4C9-AAF01D15F5C0}"/>
    <cellStyle name="Currency 5 2 2 5 5 4 3" xfId="29155" xr:uid="{0531945E-269B-477D-ABB5-A90B509FB835}"/>
    <cellStyle name="Currency 5 2 2 5 5 5" xfId="38454" xr:uid="{F08F4BD7-BD07-4401-AE1C-B259B80EB23C}"/>
    <cellStyle name="Currency 5 2 2 5 5 6" xfId="19856" xr:uid="{FE1D4526-721D-40AB-A41B-8B1B144D6841}"/>
    <cellStyle name="Currency 5 2 2 5 6" xfId="2429" xr:uid="{00000000-0005-0000-0000-00001B0C0000}"/>
    <cellStyle name="Currency 5 2 2 5 6 2" xfId="6713" xr:uid="{00000000-0005-0000-0000-00001C0C0000}"/>
    <cellStyle name="Currency 5 2 2 5 6 2 2" xfId="16039" xr:uid="{EC4A47DF-2824-4E83-9F08-A5B523714767}"/>
    <cellStyle name="Currency 5 2 2 5 6 2 2 2" xfId="52381" xr:uid="{A337D9BA-70EE-46C1-84B3-C476B12F45F8}"/>
    <cellStyle name="Currency 5 2 2 5 6 2 2 3" xfId="33785" xr:uid="{1D4E02DA-2508-4A12-A7AA-EA69EC249ABB}"/>
    <cellStyle name="Currency 5 2 2 5 6 2 3" xfId="43084" xr:uid="{C04FD8F7-676D-4A25-BAAF-5BFC7B7BF4AC}"/>
    <cellStyle name="Currency 5 2 2 5 6 2 4" xfId="24486" xr:uid="{494DC185-A8AB-4906-885E-A28D4A8E3458}"/>
    <cellStyle name="Currency 5 2 2 5 6 3" xfId="11822" xr:uid="{8B64EF79-ADBD-43E0-B00D-C9A719C745C5}"/>
    <cellStyle name="Currency 5 2 2 5 6 3 2" xfId="48164" xr:uid="{FB6D3A44-4AED-4528-BB6B-129D6839225F}"/>
    <cellStyle name="Currency 5 2 2 5 6 3 3" xfId="29568" xr:uid="{2FDC13C8-5697-4628-95FF-26D6FF980AD7}"/>
    <cellStyle name="Currency 5 2 2 5 6 4" xfId="38867" xr:uid="{A7F79B7D-5BD4-4B5E-8C4C-41A2790E5990}"/>
    <cellStyle name="Currency 5 2 2 5 6 5" xfId="20269" xr:uid="{CA78C92C-00FD-4CAF-A50A-E95C0619872E}"/>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16356" xr:uid="{B3E00733-C3CF-4E14-82D6-3C5F1EB80783}"/>
    <cellStyle name="Currency 5 2 2 5 8 2 2 2" xfId="52698" xr:uid="{2FE77696-460A-4689-B6CE-FDD50739A0D2}"/>
    <cellStyle name="Currency 5 2 2 5 8 2 2 3" xfId="34102" xr:uid="{587D331D-419E-46D7-BA11-C363E00C00AD}"/>
    <cellStyle name="Currency 5 2 2 5 8 2 3" xfId="43401" xr:uid="{4477E1ED-FEC3-4AF1-B702-873EB88BADD8}"/>
    <cellStyle name="Currency 5 2 2 5 8 2 4" xfId="24803" xr:uid="{E1BFAB58-2E66-4FE1-9D96-AAC766D85A4F}"/>
    <cellStyle name="Currency 5 2 2 5 8 3" xfId="12139" xr:uid="{B873AC74-9EFB-4BEC-8AA7-6B3C611D899E}"/>
    <cellStyle name="Currency 5 2 2 5 8 3 2" xfId="48481" xr:uid="{291F1504-9971-4A8D-A1A6-8567F2C04133}"/>
    <cellStyle name="Currency 5 2 2 5 8 3 3" xfId="29885" xr:uid="{606FD251-2338-49D7-AF87-AD8E90B8999D}"/>
    <cellStyle name="Currency 5 2 2 5 8 4" xfId="39184" xr:uid="{37F231CF-C807-44A7-9346-6F9D2F608FA9}"/>
    <cellStyle name="Currency 5 2 2 5 8 5" xfId="20586" xr:uid="{D41A823E-519D-4082-A891-8CDEE0202DED}"/>
    <cellStyle name="Currency 5 2 2 5 9" xfId="4647" xr:uid="{00000000-0005-0000-0000-0000200C0000}"/>
    <cellStyle name="Currency 5 2 2 5 9 2" xfId="13973" xr:uid="{8E71D72D-7F42-475F-848F-C6EBB4DF5240}"/>
    <cellStyle name="Currency 5 2 2 5 9 2 2" xfId="50315" xr:uid="{8A8EADDF-C36D-4D35-9AAF-AAF0EA44D1ED}"/>
    <cellStyle name="Currency 5 2 2 5 9 2 3" xfId="31719" xr:uid="{CA03EEFA-0695-418A-8562-4C1415D44B37}"/>
    <cellStyle name="Currency 5 2 2 5 9 3" xfId="41018" xr:uid="{C8A6458C-09FE-49D2-B0A9-2B5E4240C823}"/>
    <cellStyle name="Currency 5 2 2 5 9 4" xfId="22420" xr:uid="{6028E79A-9651-4BB7-BD7B-47FFAB782CE3}"/>
    <cellStyle name="Currency 5 2 2 6" xfId="9584" xr:uid="{DC5749FB-A314-4F8C-B61F-309C27A570F5}"/>
    <cellStyle name="Currency 5 2 2 7" xfId="8787" xr:uid="{822EE7D8-70A6-49D7-843D-E84C848DC397}"/>
    <cellStyle name="Currency 5 2 2 7 2" xfId="35857" xr:uid="{432A50AC-E10E-497C-AB9E-CAD4FAE16EB8}"/>
    <cellStyle name="Currency 5 2 2 7 2 2" xfId="54452" xr:uid="{B0CA30C1-6EE3-43BE-B260-7732B99A6764}"/>
    <cellStyle name="Currency 5 2 2 7 3" xfId="45155" xr:uid="{47C2D101-558A-4577-A635-99B86F727A2E}"/>
    <cellStyle name="Currency 5 2 2 7 4" xfId="26558" xr:uid="{5EE29035-6371-40CE-940F-0EE0C642F3DD}"/>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13974" xr:uid="{5B935CA4-F6BB-42FC-AA5F-7F3C4C4ED02B}"/>
    <cellStyle name="Currency 5 2 4 10 2 2" xfId="50316" xr:uid="{9D6E4113-3C0F-44E9-A5D2-4F988893618B}"/>
    <cellStyle name="Currency 5 2 4 10 2 3" xfId="31720" xr:uid="{F46F19C5-898D-45D6-A974-0278842AA5B5}"/>
    <cellStyle name="Currency 5 2 4 10 3" xfId="41019" xr:uid="{04A94845-5DA4-4ACA-A651-4D0F4EF3D02E}"/>
    <cellStyle name="Currency 5 2 4 10 4" xfId="22421" xr:uid="{B5769C12-0466-40E0-A9E7-3B9B849185FF}"/>
    <cellStyle name="Currency 5 2 4 11" xfId="8859" xr:uid="{D3A5F8AD-5F4E-4BEA-A9B4-9A705A015524}"/>
    <cellStyle name="Currency 5 2 4 11 2" xfId="35929" xr:uid="{9E68FA07-C843-4BE4-BC18-659D292CE8DD}"/>
    <cellStyle name="Currency 5 2 4 11 2 2" xfId="54524" xr:uid="{72D908E2-98BA-45FE-B5C9-8BD445B47C33}"/>
    <cellStyle name="Currency 5 2 4 11 3" xfId="45227" xr:uid="{04F2912A-A01F-4132-9138-70C48ABD9202}"/>
    <cellStyle name="Currency 5 2 4 11 4" xfId="26630" xr:uid="{50F1E86E-2D3E-4F30-809C-5764886BA357}"/>
    <cellStyle name="Currency 5 2 4 12" xfId="9757" xr:uid="{12613B16-246B-4C9D-9600-BDFC6A2A4D2E}"/>
    <cellStyle name="Currency 5 2 4 12 2" xfId="46099" xr:uid="{C190E0FE-5A41-4668-A85A-F2725F0B8912}"/>
    <cellStyle name="Currency 5 2 4 12 3" xfId="27503" xr:uid="{79A5A9A5-221A-4CB3-928F-D034230A1830}"/>
    <cellStyle name="Currency 5 2 4 13" xfId="36802" xr:uid="{11BB3CB7-0AD7-445B-8BE4-207064DE75AF}"/>
    <cellStyle name="Currency 5 2 4 14" xfId="18204" xr:uid="{60909969-055A-487A-BAF5-F444B1E36ABB}"/>
    <cellStyle name="Currency 5 2 4 2" xfId="206" xr:uid="{00000000-0005-0000-0000-0000250C0000}"/>
    <cellStyle name="Currency 5 2 4 2 10" xfId="9066" xr:uid="{2F7A28AF-2120-4AAF-A58B-33C2E07F597D}"/>
    <cellStyle name="Currency 5 2 4 2 10 2" xfId="36136" xr:uid="{93D971AD-F6AA-4AC5-B414-1839D71B3002}"/>
    <cellStyle name="Currency 5 2 4 2 10 2 2" xfId="54731" xr:uid="{ACDDA749-3074-4E95-A746-559349039980}"/>
    <cellStyle name="Currency 5 2 4 2 10 3" xfId="45434" xr:uid="{6F3EA349-4575-44B5-BB60-2FC3936E2733}"/>
    <cellStyle name="Currency 5 2 4 2 10 4" xfId="26837" xr:uid="{DBCA5366-773E-476F-BC9A-09B494007B24}"/>
    <cellStyle name="Currency 5 2 4 2 11" xfId="9758" xr:uid="{E9592F46-6F6A-4BA0-A9CD-557BA7061AD6}"/>
    <cellStyle name="Currency 5 2 4 2 11 2" xfId="46100" xr:uid="{68F431CE-8D89-4CE6-80B0-EC69273E2657}"/>
    <cellStyle name="Currency 5 2 4 2 11 3" xfId="27504" xr:uid="{30B890F5-D894-47EF-9CA0-2108C46E8B25}"/>
    <cellStyle name="Currency 5 2 4 2 12" xfId="36803" xr:uid="{65687FD1-EB4E-4F5D-BD76-8EE22C70A148}"/>
    <cellStyle name="Currency 5 2 4 2 13" xfId="18205" xr:uid="{360116FB-FE0B-4485-85C6-F08ABEF6B5C8}"/>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16534" xr:uid="{595924DC-C8C5-4C54-BD05-4F0CAAA49DD9}"/>
    <cellStyle name="Currency 5 2 4 2 2 2 2 2 2" xfId="52876" xr:uid="{B235604A-D708-4293-B3AD-B25E133588B9}"/>
    <cellStyle name="Currency 5 2 4 2 2 2 2 2 3" xfId="34280" xr:uid="{8487CEF8-F836-4C8D-8C20-FC98C333BB87}"/>
    <cellStyle name="Currency 5 2 4 2 2 2 2 3" xfId="43579" xr:uid="{FCE7EA80-ADBF-4DA6-B3F8-24D1624F72C7}"/>
    <cellStyle name="Currency 5 2 4 2 2 2 2 4" xfId="24981" xr:uid="{4347F1E9-1DB8-44DB-A0F7-589E75FAC29C}"/>
    <cellStyle name="Currency 5 2 4 2 2 2 3" xfId="12317" xr:uid="{D6C52C21-BDAA-4FCF-A23B-F2AB2B7332B1}"/>
    <cellStyle name="Currency 5 2 4 2 2 2 3 2" xfId="48659" xr:uid="{18FBD204-2D9A-4854-A34B-128AFB67D3C4}"/>
    <cellStyle name="Currency 5 2 4 2 2 2 3 3" xfId="30063" xr:uid="{0DF3A7CA-EFA7-443F-B59D-FB99E0CC5D16}"/>
    <cellStyle name="Currency 5 2 4 2 2 2 4" xfId="39362" xr:uid="{0F2F83DF-58A6-4241-B5F5-6C08F01E08FA}"/>
    <cellStyle name="Currency 5 2 4 2 2 2 5" xfId="20764" xr:uid="{84FC8AAB-C236-4073-A2F2-333EC7085471}"/>
    <cellStyle name="Currency 5 2 4 2 2 3" xfId="5063" xr:uid="{00000000-0005-0000-0000-0000290C0000}"/>
    <cellStyle name="Currency 5 2 4 2 2 3 2" xfId="14389" xr:uid="{B3F0C40E-BBF3-49C9-AF30-9C564B62D82D}"/>
    <cellStyle name="Currency 5 2 4 2 2 3 2 2" xfId="50731" xr:uid="{B1744EF4-7734-49FD-919A-531DEA8E8D47}"/>
    <cellStyle name="Currency 5 2 4 2 2 3 2 3" xfId="32135" xr:uid="{EADF1CDC-027E-45AE-9B23-03944CCDF54F}"/>
    <cellStyle name="Currency 5 2 4 2 2 3 3" xfId="41434" xr:uid="{C108D6B6-5989-484E-B417-D4225DBD18AA}"/>
    <cellStyle name="Currency 5 2 4 2 2 3 4" xfId="22836" xr:uid="{6AFD52A4-2B3D-4B00-8443-2A63622FFB90}"/>
    <cellStyle name="Currency 5 2 4 2 2 4" xfId="9491" xr:uid="{64B868C7-9024-4970-9E74-7DF82417BD7A}"/>
    <cellStyle name="Currency 5 2 4 2 2 4 2" xfId="36552" xr:uid="{DF9825DD-F7EE-4228-A7CC-E4839D61A629}"/>
    <cellStyle name="Currency 5 2 4 2 2 4 2 2" xfId="55146" xr:uid="{14E1C855-C1F9-44A4-9583-78105A9CC6F1}"/>
    <cellStyle name="Currency 5 2 4 2 2 4 3" xfId="45849" xr:uid="{5FAF7F37-0C16-4209-A6CD-C415D93C9A3C}"/>
    <cellStyle name="Currency 5 2 4 2 2 4 4" xfId="27253" xr:uid="{8DDD15E8-978A-433B-A632-8ECAF8756B51}"/>
    <cellStyle name="Currency 5 2 4 2 2 5" xfId="10172" xr:uid="{996B8985-E013-432F-9DCC-87B4A2F2FB71}"/>
    <cellStyle name="Currency 5 2 4 2 2 5 2" xfId="46514" xr:uid="{A76F658D-95D6-4F0D-A40C-588E98752FFD}"/>
    <cellStyle name="Currency 5 2 4 2 2 5 3" xfId="27918" xr:uid="{E320B8A6-5A75-4D66-93FA-8182C2F20D6F}"/>
    <cellStyle name="Currency 5 2 4 2 2 6" xfId="37217" xr:uid="{EC4DE949-EFC0-4C80-B3B0-84BC11712444}"/>
    <cellStyle name="Currency 5 2 4 2 2 7" xfId="18619" xr:uid="{F1126E6A-1D46-4FAF-AA54-341092789635}"/>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16947" xr:uid="{2C72FC9F-2EDA-4258-9F07-830D620D8590}"/>
    <cellStyle name="Currency 5 2 4 2 3 2 2 2 2" xfId="53289" xr:uid="{416F01AC-EF3A-499B-9B9F-8FF7C0CC4B4E}"/>
    <cellStyle name="Currency 5 2 4 2 3 2 2 2 3" xfId="34693" xr:uid="{F944BCCA-052D-472A-9542-AA7DAD3A0E24}"/>
    <cellStyle name="Currency 5 2 4 2 3 2 2 3" xfId="43992" xr:uid="{29E51EAB-DE36-4995-93F6-DBAF2F17C448}"/>
    <cellStyle name="Currency 5 2 4 2 3 2 2 4" xfId="25394" xr:uid="{902BAD10-879A-41D0-A4B5-B49ED144DE2F}"/>
    <cellStyle name="Currency 5 2 4 2 3 2 3" xfId="12730" xr:uid="{7D00D1A0-5F68-4AFB-86EE-7628D235BA81}"/>
    <cellStyle name="Currency 5 2 4 2 3 2 3 2" xfId="49072" xr:uid="{AA861110-AD35-4DDB-A4E4-798A364ED8D5}"/>
    <cellStyle name="Currency 5 2 4 2 3 2 3 3" xfId="30476" xr:uid="{936DB30E-C511-4D84-AD25-8BFBDE341634}"/>
    <cellStyle name="Currency 5 2 4 2 3 2 4" xfId="39775" xr:uid="{18766C3F-D7B8-4D9E-970F-37846BDB1AB3}"/>
    <cellStyle name="Currency 5 2 4 2 3 2 5" xfId="21177" xr:uid="{3D5C09B7-24D8-476A-8ECD-F3536C246758}"/>
    <cellStyle name="Currency 5 2 4 2 3 3" xfId="5476" xr:uid="{00000000-0005-0000-0000-00002D0C0000}"/>
    <cellStyle name="Currency 5 2 4 2 3 3 2" xfId="14802" xr:uid="{DABE2EA1-E514-466B-8073-FAF8269184B3}"/>
    <cellStyle name="Currency 5 2 4 2 3 3 2 2" xfId="51144" xr:uid="{45BAD1FB-5973-4D97-AB3C-427CA87D6979}"/>
    <cellStyle name="Currency 5 2 4 2 3 3 2 3" xfId="32548" xr:uid="{5D76D994-3BC7-4C0C-86F5-C7385B0E33EE}"/>
    <cellStyle name="Currency 5 2 4 2 3 3 3" xfId="41847" xr:uid="{FDFBCD43-A696-49CA-B176-CC5CD193BC6B}"/>
    <cellStyle name="Currency 5 2 4 2 3 3 4" xfId="23249" xr:uid="{24C99E0C-8CC3-410B-A1D4-C4E44ABD3C12}"/>
    <cellStyle name="Currency 5 2 4 2 3 4" xfId="10585" xr:uid="{96F4C095-EB82-4C15-8D37-B2AA7F1C8FF9}"/>
    <cellStyle name="Currency 5 2 4 2 3 4 2" xfId="46927" xr:uid="{E7C3957D-44A5-44C5-A782-CF46BF261A14}"/>
    <cellStyle name="Currency 5 2 4 2 3 4 3" xfId="28331" xr:uid="{2A2E3B1A-4588-4722-B5A7-6BF8E338D2DF}"/>
    <cellStyle name="Currency 5 2 4 2 3 5" xfId="37630" xr:uid="{0DAF688A-0DCE-43DA-BD08-0C1C4F45AE15}"/>
    <cellStyle name="Currency 5 2 4 2 3 6" xfId="19032" xr:uid="{56B13553-2427-4CE2-AC13-F32DCEBCD417}"/>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17360" xr:uid="{E6E6F56D-879E-4DC7-85F2-6FD35328460B}"/>
    <cellStyle name="Currency 5 2 4 2 4 2 2 2 2" xfId="53702" xr:uid="{13C8B453-EF55-4F8A-B33D-FA45D9F1FD6B}"/>
    <cellStyle name="Currency 5 2 4 2 4 2 2 2 3" xfId="35106" xr:uid="{50F19E78-2CE7-4E9D-93D5-FB106D356E4C}"/>
    <cellStyle name="Currency 5 2 4 2 4 2 2 3" xfId="44405" xr:uid="{EA080C7E-B2AB-442F-BB52-B7F4F3F22E62}"/>
    <cellStyle name="Currency 5 2 4 2 4 2 2 4" xfId="25807" xr:uid="{19DE7435-63C1-4F16-84BE-39338FCB3424}"/>
    <cellStyle name="Currency 5 2 4 2 4 2 3" xfId="13143" xr:uid="{8278C206-4617-4F5B-9D19-A37404E95CC2}"/>
    <cellStyle name="Currency 5 2 4 2 4 2 3 2" xfId="49485" xr:uid="{8CD74613-9626-4FC2-90EE-6FE43B2A30FB}"/>
    <cellStyle name="Currency 5 2 4 2 4 2 3 3" xfId="30889" xr:uid="{A2722356-EA4A-4A0C-868D-047D9558A7E3}"/>
    <cellStyle name="Currency 5 2 4 2 4 2 4" xfId="40188" xr:uid="{5039C603-F3A9-4543-AE73-1385841DA685}"/>
    <cellStyle name="Currency 5 2 4 2 4 2 5" xfId="21590" xr:uid="{761D3ABB-036B-4ECE-BC58-ABC702764EBA}"/>
    <cellStyle name="Currency 5 2 4 2 4 3" xfId="5889" xr:uid="{00000000-0005-0000-0000-0000310C0000}"/>
    <cellStyle name="Currency 5 2 4 2 4 3 2" xfId="15215" xr:uid="{257E9A72-FFE9-4885-AB58-36DB62937256}"/>
    <cellStyle name="Currency 5 2 4 2 4 3 2 2" xfId="51557" xr:uid="{51F3796E-B96C-44FF-9995-F50659682134}"/>
    <cellStyle name="Currency 5 2 4 2 4 3 2 3" xfId="32961" xr:uid="{370BFCD7-F0D3-4348-9DB4-D6E3D25D1CFA}"/>
    <cellStyle name="Currency 5 2 4 2 4 3 3" xfId="42260" xr:uid="{63470015-3ACF-4383-84E3-87D48CFE77BC}"/>
    <cellStyle name="Currency 5 2 4 2 4 3 4" xfId="23662" xr:uid="{002E3C39-1DCE-48EB-8E71-DA8F221D8D99}"/>
    <cellStyle name="Currency 5 2 4 2 4 4" xfId="10998" xr:uid="{1697AB9C-4738-446A-A659-3CB41003B0AC}"/>
    <cellStyle name="Currency 5 2 4 2 4 4 2" xfId="47340" xr:uid="{A4739146-6ACD-48E8-92D1-8FEC27A3097A}"/>
    <cellStyle name="Currency 5 2 4 2 4 4 3" xfId="28744" xr:uid="{D09C331C-DB4F-43ED-88D4-DA7AC5FB0A1E}"/>
    <cellStyle name="Currency 5 2 4 2 4 5" xfId="38043" xr:uid="{1281C709-6E27-4D1B-A3B5-CB9076B8B4AC}"/>
    <cellStyle name="Currency 5 2 4 2 4 6" xfId="19445" xr:uid="{2D6148BC-89C1-4174-BBDF-4C4C2DA74E07}"/>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17773" xr:uid="{405B89DC-125D-4298-8AA9-AD40D60E6862}"/>
    <cellStyle name="Currency 5 2 4 2 5 2 2 2 2" xfId="54115" xr:uid="{BF17F922-1CD2-4BA4-8989-18A8FDA06018}"/>
    <cellStyle name="Currency 5 2 4 2 5 2 2 2 3" xfId="35519" xr:uid="{35230797-B2E7-432B-A773-E3484FAF1F49}"/>
    <cellStyle name="Currency 5 2 4 2 5 2 2 3" xfId="44818" xr:uid="{D0243CCF-ABF7-40AD-A24B-84C1936EB1BE}"/>
    <cellStyle name="Currency 5 2 4 2 5 2 2 4" xfId="26220" xr:uid="{AA58BE74-A516-407B-BC69-2F52C55593FE}"/>
    <cellStyle name="Currency 5 2 4 2 5 2 3" xfId="13556" xr:uid="{816EAA00-6022-4880-9EE9-126106866A15}"/>
    <cellStyle name="Currency 5 2 4 2 5 2 3 2" xfId="49898" xr:uid="{626C9F34-B65D-47C5-89CE-91E40955EE0D}"/>
    <cellStyle name="Currency 5 2 4 2 5 2 3 3" xfId="31302" xr:uid="{C7381802-A144-4193-912F-53BBC54F3B29}"/>
    <cellStyle name="Currency 5 2 4 2 5 2 4" xfId="40601" xr:uid="{8DE88ECB-CB1D-42A4-A2FA-3499B624E065}"/>
    <cellStyle name="Currency 5 2 4 2 5 2 5" xfId="22003" xr:uid="{E987F082-712B-4589-AC82-006AFA823E8C}"/>
    <cellStyle name="Currency 5 2 4 2 5 3" xfId="6302" xr:uid="{00000000-0005-0000-0000-0000350C0000}"/>
    <cellStyle name="Currency 5 2 4 2 5 3 2" xfId="15628" xr:uid="{A70C0B4B-FBAD-4CE1-89B3-855317D60581}"/>
    <cellStyle name="Currency 5 2 4 2 5 3 2 2" xfId="51970" xr:uid="{FA31EC50-2A7A-46FD-B17D-D2C511A266C4}"/>
    <cellStyle name="Currency 5 2 4 2 5 3 2 3" xfId="33374" xr:uid="{11DF0A63-FD43-4B66-83CC-127727CB789E}"/>
    <cellStyle name="Currency 5 2 4 2 5 3 3" xfId="42673" xr:uid="{7A0AB057-0D9F-4F53-8777-DB9FD98EE2CD}"/>
    <cellStyle name="Currency 5 2 4 2 5 3 4" xfId="24075" xr:uid="{E0E08F90-944F-43F9-B13C-B6F99B985371}"/>
    <cellStyle name="Currency 5 2 4 2 5 4" xfId="11411" xr:uid="{3620ADF3-603B-417D-A6A4-36FE2145297E}"/>
    <cellStyle name="Currency 5 2 4 2 5 4 2" xfId="47753" xr:uid="{E64FC660-3A98-4B85-B523-D4C0C97C25E0}"/>
    <cellStyle name="Currency 5 2 4 2 5 4 3" xfId="29157" xr:uid="{432A12A7-A6F0-4B96-98ED-61DD530E890E}"/>
    <cellStyle name="Currency 5 2 4 2 5 5" xfId="38456" xr:uid="{AC8B310F-A21B-4EF0-A7A6-6F80491469C6}"/>
    <cellStyle name="Currency 5 2 4 2 5 6" xfId="19858" xr:uid="{C1585C5D-74F7-40D6-B344-D5F79096B972}"/>
    <cellStyle name="Currency 5 2 4 2 6" xfId="2431" xr:uid="{00000000-0005-0000-0000-0000360C0000}"/>
    <cellStyle name="Currency 5 2 4 2 6 2" xfId="6715" xr:uid="{00000000-0005-0000-0000-0000370C0000}"/>
    <cellStyle name="Currency 5 2 4 2 6 2 2" xfId="16041" xr:uid="{14C71176-E40D-4C68-9B6B-133B6537DCEC}"/>
    <cellStyle name="Currency 5 2 4 2 6 2 2 2" xfId="52383" xr:uid="{2F13BD76-463B-4FD1-AD73-F7F57C8D21B8}"/>
    <cellStyle name="Currency 5 2 4 2 6 2 2 3" xfId="33787" xr:uid="{4D1666EC-7BDF-4847-AD1A-39CB05B8817B}"/>
    <cellStyle name="Currency 5 2 4 2 6 2 3" xfId="43086" xr:uid="{A3033A2F-0BDC-41FC-AE91-D4861D4EA2A3}"/>
    <cellStyle name="Currency 5 2 4 2 6 2 4" xfId="24488" xr:uid="{C56299A1-77F0-40EC-B313-BC6B34EB0CFB}"/>
    <cellStyle name="Currency 5 2 4 2 6 3" xfId="11824" xr:uid="{8D0FCFC6-7160-4531-AE96-17B2838A8EFA}"/>
    <cellStyle name="Currency 5 2 4 2 6 3 2" xfId="48166" xr:uid="{EA78D4D6-26A4-424C-BC27-942C6F75289E}"/>
    <cellStyle name="Currency 5 2 4 2 6 3 3" xfId="29570" xr:uid="{E1471FFD-C88A-49AD-A690-AC1F8C7E98A0}"/>
    <cellStyle name="Currency 5 2 4 2 6 4" xfId="38869" xr:uid="{60B77AED-66CF-4AA1-A733-F69BA23FF129}"/>
    <cellStyle name="Currency 5 2 4 2 6 5" xfId="20271" xr:uid="{F2358D2D-E4C1-4F79-9A26-6A5C9D582406}"/>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16358" xr:uid="{2AADC2B9-9F11-453D-A208-4D59EA26152D}"/>
    <cellStyle name="Currency 5 2 4 2 8 2 2 2" xfId="52700" xr:uid="{8291EFC4-7866-472E-8FBC-EC6AC5134247}"/>
    <cellStyle name="Currency 5 2 4 2 8 2 2 3" xfId="34104" xr:uid="{F46D27F2-F119-4E52-9A6D-57875030BC7E}"/>
    <cellStyle name="Currency 5 2 4 2 8 2 3" xfId="43403" xr:uid="{BB33E2D1-D6EA-4E2B-B9F5-C9C898906087}"/>
    <cellStyle name="Currency 5 2 4 2 8 2 4" xfId="24805" xr:uid="{0C85F33E-9AAD-4E8C-9BEE-6F006C73AEA5}"/>
    <cellStyle name="Currency 5 2 4 2 8 3" xfId="12141" xr:uid="{F5EBB6E1-9AAF-42AF-A2B8-EB705079175A}"/>
    <cellStyle name="Currency 5 2 4 2 8 3 2" xfId="48483" xr:uid="{DA35A50F-4EAC-4792-AC48-79EEE688DB46}"/>
    <cellStyle name="Currency 5 2 4 2 8 3 3" xfId="29887" xr:uid="{CD626234-87B9-41F6-86F4-42083E549939}"/>
    <cellStyle name="Currency 5 2 4 2 8 4" xfId="39186" xr:uid="{EB1D387C-825D-4627-9AD7-E45CD3168674}"/>
    <cellStyle name="Currency 5 2 4 2 8 5" xfId="20588" xr:uid="{5413AC1B-401C-4358-B8ED-DD0A70902C9F}"/>
    <cellStyle name="Currency 5 2 4 2 9" xfId="4649" xr:uid="{00000000-0005-0000-0000-00003B0C0000}"/>
    <cellStyle name="Currency 5 2 4 2 9 2" xfId="13975" xr:uid="{9714E84D-0D43-436A-9A6F-12A991BB42D4}"/>
    <cellStyle name="Currency 5 2 4 2 9 2 2" xfId="50317" xr:uid="{8DE9055F-F3B6-484D-BA98-C35B3BEE6EFB}"/>
    <cellStyle name="Currency 5 2 4 2 9 2 3" xfId="31721" xr:uid="{68EAF2ED-B2E3-4351-B0C4-CCBDEEDEACE0}"/>
    <cellStyle name="Currency 5 2 4 2 9 3" xfId="41020" xr:uid="{120D67B4-6C2A-49B5-AC72-7F4D10900C1B}"/>
    <cellStyle name="Currency 5 2 4 2 9 4" xfId="22422" xr:uid="{2F63312B-ACFC-4FA7-A553-A86A1781FDB1}"/>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16533" xr:uid="{9C1AEB4B-A29F-4519-847D-1451AADAFC72}"/>
    <cellStyle name="Currency 5 2 4 3 2 2 2 2" xfId="52875" xr:uid="{D80936A0-4879-4866-B87E-3AA435FA9477}"/>
    <cellStyle name="Currency 5 2 4 3 2 2 2 3" xfId="34279" xr:uid="{53FA8A03-1EB6-4ED6-A7EF-68B9583318FC}"/>
    <cellStyle name="Currency 5 2 4 3 2 2 3" xfId="43578" xr:uid="{0BE85929-08C3-41C5-B7C0-458581DA4D34}"/>
    <cellStyle name="Currency 5 2 4 3 2 2 4" xfId="24980" xr:uid="{C68DF3E8-2644-4E15-9BBA-A72D4D2ED2D5}"/>
    <cellStyle name="Currency 5 2 4 3 2 3" xfId="12316" xr:uid="{6E12B884-EDD7-4D5F-8058-42F72ABE3035}"/>
    <cellStyle name="Currency 5 2 4 3 2 3 2" xfId="48658" xr:uid="{B9ABF978-33B9-4F67-80F7-BC95569EFDF7}"/>
    <cellStyle name="Currency 5 2 4 3 2 3 3" xfId="30062" xr:uid="{00E3692A-418C-4156-AF1E-469CEE555106}"/>
    <cellStyle name="Currency 5 2 4 3 2 4" xfId="39361" xr:uid="{34A48E84-50EB-48FC-8BC9-6884DD146A55}"/>
    <cellStyle name="Currency 5 2 4 3 2 5" xfId="20763" xr:uid="{628134E3-A09A-4A3B-8399-69E4D8048BF0}"/>
    <cellStyle name="Currency 5 2 4 3 3" xfId="5062" xr:uid="{00000000-0005-0000-0000-00003F0C0000}"/>
    <cellStyle name="Currency 5 2 4 3 3 2" xfId="14388" xr:uid="{EC6EC6CF-6721-4486-B637-52DAE77AA4C8}"/>
    <cellStyle name="Currency 5 2 4 3 3 2 2" xfId="50730" xr:uid="{24153471-B589-42FC-BA82-EAE9BAE35DF6}"/>
    <cellStyle name="Currency 5 2 4 3 3 2 3" xfId="32134" xr:uid="{7D36BDB2-CF18-46C5-AA77-8AC7DB8E6DF9}"/>
    <cellStyle name="Currency 5 2 4 3 3 3" xfId="41433" xr:uid="{0EE4350A-2004-42C8-98EC-5AC3C1F83FE2}"/>
    <cellStyle name="Currency 5 2 4 3 3 4" xfId="22835" xr:uid="{C5AAF35D-C377-4356-8764-3707D4CB0523}"/>
    <cellStyle name="Currency 5 2 4 3 4" xfId="9284" xr:uid="{1D0B72AC-AFAC-428F-8BF0-6DFF9565613D}"/>
    <cellStyle name="Currency 5 2 4 3 4 2" xfId="36345" xr:uid="{FDC7D7C0-CC6F-4605-8B06-6EFE7B8D872D}"/>
    <cellStyle name="Currency 5 2 4 3 4 2 2" xfId="54939" xr:uid="{E6774CA3-0C44-4C09-A6BB-DACB56C31552}"/>
    <cellStyle name="Currency 5 2 4 3 4 3" xfId="45642" xr:uid="{DF0AA381-FC34-4CF0-A185-9FF35270EB3C}"/>
    <cellStyle name="Currency 5 2 4 3 4 4" xfId="27046" xr:uid="{3B0A1AC4-CA7E-4796-8249-8DB203E0765C}"/>
    <cellStyle name="Currency 5 2 4 3 5" xfId="10171" xr:uid="{C2CFE5EB-01CD-48C9-B64B-04A7AD7FF7D6}"/>
    <cellStyle name="Currency 5 2 4 3 5 2" xfId="46513" xr:uid="{B92D2A19-A519-4DB1-BC99-2658DC26EA7D}"/>
    <cellStyle name="Currency 5 2 4 3 5 3" xfId="27917" xr:uid="{AB6F657B-6E57-4082-8711-6240721E135A}"/>
    <cellStyle name="Currency 5 2 4 3 6" xfId="37216" xr:uid="{4B3DD41A-507A-40EF-AF3E-DEB6A88645F7}"/>
    <cellStyle name="Currency 5 2 4 3 7" xfId="18618" xr:uid="{F2E3CF62-E52B-46B3-9FF8-4A60C4F98F20}"/>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16946" xr:uid="{2C9E5A01-8820-4E19-B9A5-731A0284F89D}"/>
    <cellStyle name="Currency 5 2 4 4 2 2 2 2" xfId="53288" xr:uid="{C82206FE-CFFF-4F19-91D0-5D99DB89E390}"/>
    <cellStyle name="Currency 5 2 4 4 2 2 2 3" xfId="34692" xr:uid="{4AECBBFC-2C30-4B73-8D12-2448AAE7F315}"/>
    <cellStyle name="Currency 5 2 4 4 2 2 3" xfId="43991" xr:uid="{09AA5D73-FE9D-4596-8CF4-444A71AFE280}"/>
    <cellStyle name="Currency 5 2 4 4 2 2 4" xfId="25393" xr:uid="{A51ADFA0-1F2B-4DAC-B834-55F2539A1968}"/>
    <cellStyle name="Currency 5 2 4 4 2 3" xfId="12729" xr:uid="{86DBC12F-C2C6-4FC9-9597-10E0EEF4D250}"/>
    <cellStyle name="Currency 5 2 4 4 2 3 2" xfId="49071" xr:uid="{2DBCA09F-C7C3-4F9A-A853-6B505E103BD3}"/>
    <cellStyle name="Currency 5 2 4 4 2 3 3" xfId="30475" xr:uid="{9D1C9A70-6A2F-49B8-8653-9F644091BC49}"/>
    <cellStyle name="Currency 5 2 4 4 2 4" xfId="39774" xr:uid="{A285625A-EE8C-4065-BF7E-40D9C55025E2}"/>
    <cellStyle name="Currency 5 2 4 4 2 5" xfId="21176" xr:uid="{7BAB9683-6AD7-4FFA-9C12-CD6A6728EDC6}"/>
    <cellStyle name="Currency 5 2 4 4 3" xfId="5475" xr:uid="{00000000-0005-0000-0000-0000430C0000}"/>
    <cellStyle name="Currency 5 2 4 4 3 2" xfId="14801" xr:uid="{A05DC407-1754-422A-83A0-CE72AB9038BF}"/>
    <cellStyle name="Currency 5 2 4 4 3 2 2" xfId="51143" xr:uid="{88E7FF3F-7444-435B-9209-B00D04CF99A8}"/>
    <cellStyle name="Currency 5 2 4 4 3 2 3" xfId="32547" xr:uid="{26BCF4C8-7521-4372-9A1B-F4C4C07666EB}"/>
    <cellStyle name="Currency 5 2 4 4 3 3" xfId="41846" xr:uid="{3843AB10-CD89-47F4-8D4B-0BBB2D56B7B0}"/>
    <cellStyle name="Currency 5 2 4 4 3 4" xfId="23248" xr:uid="{7F4DCF8E-3831-4655-B5F9-AA945424C176}"/>
    <cellStyle name="Currency 5 2 4 4 4" xfId="10584" xr:uid="{0E785602-1946-4A87-9964-F736071B5B97}"/>
    <cellStyle name="Currency 5 2 4 4 4 2" xfId="46926" xr:uid="{BD6CD2E0-1C34-4C41-A18D-2CD5FEA86CE1}"/>
    <cellStyle name="Currency 5 2 4 4 4 3" xfId="28330" xr:uid="{4895DF89-0165-45D3-898E-464B8E131CE3}"/>
    <cellStyle name="Currency 5 2 4 4 5" xfId="37629" xr:uid="{247CC653-9C3A-4E28-855F-573C6DC156EE}"/>
    <cellStyle name="Currency 5 2 4 4 6" xfId="19031" xr:uid="{1E673432-1AF7-403A-B8FF-E6BB36FBC43F}"/>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17359" xr:uid="{C61471E4-9384-4876-8711-9A333AADAF65}"/>
    <cellStyle name="Currency 5 2 4 5 2 2 2 2" xfId="53701" xr:uid="{CB8D9BE6-03A2-4B51-B40E-DEF14A6D786C}"/>
    <cellStyle name="Currency 5 2 4 5 2 2 2 3" xfId="35105" xr:uid="{9C2A727D-7304-403E-BDAB-F1BCC86F6E68}"/>
    <cellStyle name="Currency 5 2 4 5 2 2 3" xfId="44404" xr:uid="{A0DD7981-B918-457B-A965-B58F132BC3A3}"/>
    <cellStyle name="Currency 5 2 4 5 2 2 4" xfId="25806" xr:uid="{C11F900B-152C-43C0-BFA2-C0B08C1EDE03}"/>
    <cellStyle name="Currency 5 2 4 5 2 3" xfId="13142" xr:uid="{9D48544C-76D6-476C-91A2-44E8B1E333FB}"/>
    <cellStyle name="Currency 5 2 4 5 2 3 2" xfId="49484" xr:uid="{89282278-2B4D-4DBB-9496-89AEEC9B0B54}"/>
    <cellStyle name="Currency 5 2 4 5 2 3 3" xfId="30888" xr:uid="{A1E4C0BE-5A09-49A2-8F0A-D4F1667762E3}"/>
    <cellStyle name="Currency 5 2 4 5 2 4" xfId="40187" xr:uid="{2F6215DE-9CC1-4C6B-AA73-2E95DB3FDF7E}"/>
    <cellStyle name="Currency 5 2 4 5 2 5" xfId="21589" xr:uid="{F8B56247-8B0E-4C27-98F3-52F2E360AA2C}"/>
    <cellStyle name="Currency 5 2 4 5 3" xfId="5888" xr:uid="{00000000-0005-0000-0000-0000470C0000}"/>
    <cellStyle name="Currency 5 2 4 5 3 2" xfId="15214" xr:uid="{F923EEDA-8BBC-454B-AD8A-5C34D91A7C35}"/>
    <cellStyle name="Currency 5 2 4 5 3 2 2" xfId="51556" xr:uid="{2A9D4F3B-0226-40F5-9F3C-73262084C875}"/>
    <cellStyle name="Currency 5 2 4 5 3 2 3" xfId="32960" xr:uid="{C2137DBA-75AC-4642-9401-19F18AB0C8F7}"/>
    <cellStyle name="Currency 5 2 4 5 3 3" xfId="42259" xr:uid="{D54B5D58-9DDC-4346-9172-709D40C2C53E}"/>
    <cellStyle name="Currency 5 2 4 5 3 4" xfId="23661" xr:uid="{EC504787-CF23-4FD6-B640-723F18C6584B}"/>
    <cellStyle name="Currency 5 2 4 5 4" xfId="10997" xr:uid="{1FB24FA4-9E33-4B8C-B7B2-E18A910AE355}"/>
    <cellStyle name="Currency 5 2 4 5 4 2" xfId="47339" xr:uid="{7048B99C-B982-4BD0-BB10-769888F75B90}"/>
    <cellStyle name="Currency 5 2 4 5 4 3" xfId="28743" xr:uid="{AF747F97-18A3-460F-B740-CD6F0B0CFBAB}"/>
    <cellStyle name="Currency 5 2 4 5 5" xfId="38042" xr:uid="{A0498D01-CA28-442D-81D6-EEB84C7426BD}"/>
    <cellStyle name="Currency 5 2 4 5 6" xfId="19444" xr:uid="{C4E719B5-BC99-4E64-BBA0-F45DACA4601B}"/>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17772" xr:uid="{D91858BD-028E-48CD-B416-7FD14FE6AF4A}"/>
    <cellStyle name="Currency 5 2 4 6 2 2 2 2" xfId="54114" xr:uid="{44B1D240-947E-4714-A8E6-50E6918B7F9E}"/>
    <cellStyle name="Currency 5 2 4 6 2 2 2 3" xfId="35518" xr:uid="{7361E925-FFDE-4173-8F6B-17B7B0AF02CA}"/>
    <cellStyle name="Currency 5 2 4 6 2 2 3" xfId="44817" xr:uid="{EF07C4D2-D2C5-4275-BE4D-58D5859222C4}"/>
    <cellStyle name="Currency 5 2 4 6 2 2 4" xfId="26219" xr:uid="{2ACD93C4-0E30-488C-9701-0942D32B005C}"/>
    <cellStyle name="Currency 5 2 4 6 2 3" xfId="13555" xr:uid="{6905A64C-9736-40FD-B2B4-6F2C922EDF1E}"/>
    <cellStyle name="Currency 5 2 4 6 2 3 2" xfId="49897" xr:uid="{E2ECAE27-45E8-42FF-A135-FC772CEE5752}"/>
    <cellStyle name="Currency 5 2 4 6 2 3 3" xfId="31301" xr:uid="{E0771317-1A24-42F1-83B8-A894CD314656}"/>
    <cellStyle name="Currency 5 2 4 6 2 4" xfId="40600" xr:uid="{8156E1DB-0140-4CC1-96EA-3245D82A5FFB}"/>
    <cellStyle name="Currency 5 2 4 6 2 5" xfId="22002" xr:uid="{8F75C2AE-7347-43F0-8850-CD474B8A8F6B}"/>
    <cellStyle name="Currency 5 2 4 6 3" xfId="6301" xr:uid="{00000000-0005-0000-0000-00004B0C0000}"/>
    <cellStyle name="Currency 5 2 4 6 3 2" xfId="15627" xr:uid="{9307D06C-B0C2-49BB-8EC0-CC230FB35268}"/>
    <cellStyle name="Currency 5 2 4 6 3 2 2" xfId="51969" xr:uid="{871FF225-5923-4E2D-BBD9-C1BA4BD751E2}"/>
    <cellStyle name="Currency 5 2 4 6 3 2 3" xfId="33373" xr:uid="{A822B904-C276-4887-A3D8-0A33E9E8FB04}"/>
    <cellStyle name="Currency 5 2 4 6 3 3" xfId="42672" xr:uid="{6FD386E8-575C-47E0-B956-D0B724176E44}"/>
    <cellStyle name="Currency 5 2 4 6 3 4" xfId="24074" xr:uid="{43D1A849-FF2F-4376-AEFA-FDE82508F634}"/>
    <cellStyle name="Currency 5 2 4 6 4" xfId="11410" xr:uid="{EEEF1968-C13C-4126-9C53-E82CFC36E97C}"/>
    <cellStyle name="Currency 5 2 4 6 4 2" xfId="47752" xr:uid="{00D1703B-F599-4B70-B881-78FB9FC249C9}"/>
    <cellStyle name="Currency 5 2 4 6 4 3" xfId="29156" xr:uid="{F8ED7581-FB68-49E5-BCCC-C43C1F82B369}"/>
    <cellStyle name="Currency 5 2 4 6 5" xfId="38455" xr:uid="{CD8278E4-9AB2-4B43-BFC4-36BD4F7AAF70}"/>
    <cellStyle name="Currency 5 2 4 6 6" xfId="19857" xr:uid="{934E0EE3-8BA0-49BF-A79C-AFBD5922FAF6}"/>
    <cellStyle name="Currency 5 2 4 7" xfId="2430" xr:uid="{00000000-0005-0000-0000-00004C0C0000}"/>
    <cellStyle name="Currency 5 2 4 7 2" xfId="6714" xr:uid="{00000000-0005-0000-0000-00004D0C0000}"/>
    <cellStyle name="Currency 5 2 4 7 2 2" xfId="16040" xr:uid="{939D2F49-E72F-4385-BFAC-4C3B5CE6432C}"/>
    <cellStyle name="Currency 5 2 4 7 2 2 2" xfId="52382" xr:uid="{5455929C-4384-48EC-BF66-E49D2D8B5B16}"/>
    <cellStyle name="Currency 5 2 4 7 2 2 3" xfId="33786" xr:uid="{7967A77B-AF4F-41A3-86B1-E35734C39575}"/>
    <cellStyle name="Currency 5 2 4 7 2 3" xfId="43085" xr:uid="{3C884CA2-3830-44A1-BFAE-892687D56A97}"/>
    <cellStyle name="Currency 5 2 4 7 2 4" xfId="24487" xr:uid="{7C3EEA54-3AA8-4DFB-BFD6-6C812FB250A4}"/>
    <cellStyle name="Currency 5 2 4 7 3" xfId="11823" xr:uid="{F7491CAD-2A7A-4CFC-ABEA-05CD3E172A46}"/>
    <cellStyle name="Currency 5 2 4 7 3 2" xfId="48165" xr:uid="{A4336371-29B4-4D9E-BF68-E3EE6FFCF1A4}"/>
    <cellStyle name="Currency 5 2 4 7 3 3" xfId="29569" xr:uid="{DC4C53F5-3A1C-49D0-A09F-A694411975C2}"/>
    <cellStyle name="Currency 5 2 4 7 4" xfId="38868" xr:uid="{C39E3CAF-9BF0-407E-9DA6-D8ED40D411CE}"/>
    <cellStyle name="Currency 5 2 4 7 5" xfId="20270" xr:uid="{911D07C9-D6A3-4E8F-A4A6-D4892437676A}"/>
    <cellStyle name="Currency 5 2 4 8" xfId="2727" xr:uid="{00000000-0005-0000-0000-00004E0C0000}"/>
    <cellStyle name="Currency 5 2 4 9" xfId="2808" xr:uid="{00000000-0005-0000-0000-00004F0C0000}"/>
    <cellStyle name="Currency 5 2 4 9 2" xfId="7031" xr:uid="{00000000-0005-0000-0000-0000500C0000}"/>
    <cellStyle name="Currency 5 2 4 9 2 2" xfId="16357" xr:uid="{BFDC5B8F-167F-4A0F-AEF5-D8610CE15FF7}"/>
    <cellStyle name="Currency 5 2 4 9 2 2 2" xfId="52699" xr:uid="{E55B82D3-545F-44A5-98AA-FB262A0986D4}"/>
    <cellStyle name="Currency 5 2 4 9 2 2 3" xfId="34103" xr:uid="{8CC924AA-8054-434C-A5B4-9F2F90362C24}"/>
    <cellStyle name="Currency 5 2 4 9 2 3" xfId="43402" xr:uid="{B33164B8-A6AF-4C9E-B405-D4CC68D20239}"/>
    <cellStyle name="Currency 5 2 4 9 2 4" xfId="24804" xr:uid="{D2AE0D8A-8B95-4BE4-A89D-8CE8BC852724}"/>
    <cellStyle name="Currency 5 2 4 9 3" xfId="12140" xr:uid="{5F80A16F-AF4E-4BED-8090-2AF00823CF24}"/>
    <cellStyle name="Currency 5 2 4 9 3 2" xfId="48482" xr:uid="{0C050400-96EF-48D1-834F-6AA7189D95C5}"/>
    <cellStyle name="Currency 5 2 4 9 3 3" xfId="29886" xr:uid="{21520A47-E21E-4712-92B0-E118AE349686}"/>
    <cellStyle name="Currency 5 2 4 9 4" xfId="39185" xr:uid="{73668552-396A-41B6-920E-8791F34B3DEF}"/>
    <cellStyle name="Currency 5 2 4 9 5" xfId="20587" xr:uid="{CA1C8393-0016-4AD9-96EF-7FE5D34E6D98}"/>
    <cellStyle name="Currency 5 2 5" xfId="207" xr:uid="{00000000-0005-0000-0000-0000510C0000}"/>
    <cellStyle name="Currency 5 2 5 10" xfId="8975" xr:uid="{3422EC31-C47F-46E0-A50C-FE05B1979387}"/>
    <cellStyle name="Currency 5 2 5 10 2" xfId="36045" xr:uid="{F9ADB392-B88C-4B60-9F29-2557945FEE8B}"/>
    <cellStyle name="Currency 5 2 5 10 2 2" xfId="54640" xr:uid="{6D409E5A-85DA-4178-BD48-8DDC5D5F3604}"/>
    <cellStyle name="Currency 5 2 5 10 3" xfId="45343" xr:uid="{895FE394-8E06-4463-901A-CC2C136E743F}"/>
    <cellStyle name="Currency 5 2 5 10 4" xfId="26746" xr:uid="{7BA294D0-BCC3-4BB8-BDB9-644F371FBB9F}"/>
    <cellStyle name="Currency 5 2 5 11" xfId="9759" xr:uid="{618EE5C3-356B-432F-B39A-424816030FFB}"/>
    <cellStyle name="Currency 5 2 5 11 2" xfId="46101" xr:uid="{1CCF02BF-C308-417B-9DF9-AE27B44355C8}"/>
    <cellStyle name="Currency 5 2 5 11 3" xfId="27505" xr:uid="{B68AD670-267D-4023-B6F5-B59119559D8D}"/>
    <cellStyle name="Currency 5 2 5 12" xfId="36804" xr:uid="{8E0AF4A1-91A6-4212-BD8C-62761FAE823B}"/>
    <cellStyle name="Currency 5 2 5 13" xfId="18206" xr:uid="{3EF7C89A-BEEF-4EB1-8FDC-885A6F9A8C44}"/>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16535" xr:uid="{F56EA2FC-5535-4B12-B000-75721BC82FB6}"/>
    <cellStyle name="Currency 5 2 5 2 2 2 2 2" xfId="52877" xr:uid="{B29930AF-B622-41D1-B76E-F8BE6FC2D4AE}"/>
    <cellStyle name="Currency 5 2 5 2 2 2 2 3" xfId="34281" xr:uid="{9575B465-55A3-45F5-AC32-81189BAEB7FA}"/>
    <cellStyle name="Currency 5 2 5 2 2 2 3" xfId="43580" xr:uid="{B4EAEEE0-638E-4539-B0C7-DF0C2D3533EF}"/>
    <cellStyle name="Currency 5 2 5 2 2 2 4" xfId="24982" xr:uid="{56B11374-A658-4E2A-AF0A-131496544450}"/>
    <cellStyle name="Currency 5 2 5 2 2 3" xfId="12318" xr:uid="{8B5DB5F3-7861-4C34-9958-A33F43D56A37}"/>
    <cellStyle name="Currency 5 2 5 2 2 3 2" xfId="48660" xr:uid="{3049894D-13D5-49C6-AB39-4F24D569806B}"/>
    <cellStyle name="Currency 5 2 5 2 2 3 3" xfId="30064" xr:uid="{05D2ADCA-93BA-45A5-A27B-C7560402C2DF}"/>
    <cellStyle name="Currency 5 2 5 2 2 4" xfId="39363" xr:uid="{8694EBE7-D119-42A8-8EC7-2E6D87799D00}"/>
    <cellStyle name="Currency 5 2 5 2 2 5" xfId="20765" xr:uid="{94BCD0B1-DFC5-4D9A-ABD6-F70DC12E326E}"/>
    <cellStyle name="Currency 5 2 5 2 3" xfId="5064" xr:uid="{00000000-0005-0000-0000-0000550C0000}"/>
    <cellStyle name="Currency 5 2 5 2 3 2" xfId="14390" xr:uid="{B28D34BA-E8B6-453C-A407-1B46CAC1BD49}"/>
    <cellStyle name="Currency 5 2 5 2 3 2 2" xfId="50732" xr:uid="{D02EEAE5-AC20-48E1-A0C7-0C9729CB6DEB}"/>
    <cellStyle name="Currency 5 2 5 2 3 2 3" xfId="32136" xr:uid="{46240863-1662-4A03-A16B-3BE534930AA8}"/>
    <cellStyle name="Currency 5 2 5 2 3 3" xfId="41435" xr:uid="{76DE6C7C-AECF-4A56-B93E-BBC19E5D0BCD}"/>
    <cellStyle name="Currency 5 2 5 2 3 4" xfId="22837" xr:uid="{98B66FBF-DA99-4B93-A314-2D3830EF935A}"/>
    <cellStyle name="Currency 5 2 5 2 4" xfId="9400" xr:uid="{6620DDCD-05C0-4AFD-8A83-F1190101CCB3}"/>
    <cellStyle name="Currency 5 2 5 2 4 2" xfId="36461" xr:uid="{FF65DCE7-7FB4-461D-ADCA-207470D87B72}"/>
    <cellStyle name="Currency 5 2 5 2 4 2 2" xfId="55055" xr:uid="{B82EEACF-6247-4170-A646-A96CDA2786DE}"/>
    <cellStyle name="Currency 5 2 5 2 4 3" xfId="45758" xr:uid="{AC440EC8-32CB-4294-AA61-9EF3AC1BE289}"/>
    <cellStyle name="Currency 5 2 5 2 4 4" xfId="27162" xr:uid="{EDE66087-339E-49CB-8403-3874E63DF3A1}"/>
    <cellStyle name="Currency 5 2 5 2 5" xfId="10173" xr:uid="{0572F6C4-87C6-4CBB-BB3E-44E5838949B8}"/>
    <cellStyle name="Currency 5 2 5 2 5 2" xfId="46515" xr:uid="{4BC48732-2A21-4B40-AAFE-6591F7EEED9D}"/>
    <cellStyle name="Currency 5 2 5 2 5 3" xfId="27919" xr:uid="{69F6D9FB-42D0-484A-84C1-CB9577532C4F}"/>
    <cellStyle name="Currency 5 2 5 2 6" xfId="37218" xr:uid="{F56F64A1-382A-4D49-BF2D-DB1C796BE93C}"/>
    <cellStyle name="Currency 5 2 5 2 7" xfId="18620" xr:uid="{C69AB3B0-A68C-4E3A-AFD3-CB4BE476224E}"/>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16948" xr:uid="{993962D5-2C52-4A60-B18D-FDEF32330346}"/>
    <cellStyle name="Currency 5 2 5 3 2 2 2 2" xfId="53290" xr:uid="{7842E07E-FD7F-441D-863C-2CC6AAB319CE}"/>
    <cellStyle name="Currency 5 2 5 3 2 2 2 3" xfId="34694" xr:uid="{1ED0CD22-D81E-465F-8CD8-49ED2C5A7828}"/>
    <cellStyle name="Currency 5 2 5 3 2 2 3" xfId="43993" xr:uid="{9E88B111-AF54-4B50-B777-4851C0DE6EF0}"/>
    <cellStyle name="Currency 5 2 5 3 2 2 4" xfId="25395" xr:uid="{AF1D0B6C-2184-4BA4-83EB-27E18AEDD17E}"/>
    <cellStyle name="Currency 5 2 5 3 2 3" xfId="12731" xr:uid="{00410406-91A8-46C1-AEEE-9216761304EF}"/>
    <cellStyle name="Currency 5 2 5 3 2 3 2" xfId="49073" xr:uid="{3271CA45-4CF0-44B6-B37D-C48C0E8D6C7E}"/>
    <cellStyle name="Currency 5 2 5 3 2 3 3" xfId="30477" xr:uid="{A0342BC6-CDC8-47A0-B24D-22E6CD5E9D18}"/>
    <cellStyle name="Currency 5 2 5 3 2 4" xfId="39776" xr:uid="{3DDC5347-2DF4-4DF2-BB10-191F419F3767}"/>
    <cellStyle name="Currency 5 2 5 3 2 5" xfId="21178" xr:uid="{A8316634-4BEB-4B2C-958F-7A75507267AA}"/>
    <cellStyle name="Currency 5 2 5 3 3" xfId="5477" xr:uid="{00000000-0005-0000-0000-0000590C0000}"/>
    <cellStyle name="Currency 5 2 5 3 3 2" xfId="14803" xr:uid="{0E25C072-CA48-4108-8967-2088A0B83735}"/>
    <cellStyle name="Currency 5 2 5 3 3 2 2" xfId="51145" xr:uid="{EFAFF03D-C341-4322-B1D6-B9D5B3C1A284}"/>
    <cellStyle name="Currency 5 2 5 3 3 2 3" xfId="32549" xr:uid="{FC33631B-5303-4F6B-9A38-87D12962ED6C}"/>
    <cellStyle name="Currency 5 2 5 3 3 3" xfId="41848" xr:uid="{0F97D09D-D6FC-4555-949F-FD970EA9B4FA}"/>
    <cellStyle name="Currency 5 2 5 3 3 4" xfId="23250" xr:uid="{35993A88-F5E0-4BC6-BA8A-84877F29B58F}"/>
    <cellStyle name="Currency 5 2 5 3 4" xfId="10586" xr:uid="{839F7028-9A85-4C67-A6BD-386FE9572D42}"/>
    <cellStyle name="Currency 5 2 5 3 4 2" xfId="46928" xr:uid="{637DEFB1-F86C-43E8-9D0B-EDAD555B66D3}"/>
    <cellStyle name="Currency 5 2 5 3 4 3" xfId="28332" xr:uid="{B15711BF-1010-48F7-830E-961B349698C0}"/>
    <cellStyle name="Currency 5 2 5 3 5" xfId="37631" xr:uid="{439B70F6-C57C-451F-A896-11F0545EE9C2}"/>
    <cellStyle name="Currency 5 2 5 3 6" xfId="19033" xr:uid="{F71A460A-E601-41EF-9DC2-23E3A813FBCF}"/>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17361" xr:uid="{5EB1D00B-A854-45E7-B1F5-4550585F22F4}"/>
    <cellStyle name="Currency 5 2 5 4 2 2 2 2" xfId="53703" xr:uid="{3BA0EA97-4B4D-44E7-A81E-F11C2CAC7216}"/>
    <cellStyle name="Currency 5 2 5 4 2 2 2 3" xfId="35107" xr:uid="{19617E9C-D726-472E-8454-5E896A1D32CB}"/>
    <cellStyle name="Currency 5 2 5 4 2 2 3" xfId="44406" xr:uid="{3FDC20A8-AAD2-4202-ADE8-5A6278BD1C01}"/>
    <cellStyle name="Currency 5 2 5 4 2 2 4" xfId="25808" xr:uid="{FDA4A17C-250C-4578-BAA3-DFEDFF026451}"/>
    <cellStyle name="Currency 5 2 5 4 2 3" xfId="13144" xr:uid="{C9371750-AD52-45B7-A141-E7944AE1140C}"/>
    <cellStyle name="Currency 5 2 5 4 2 3 2" xfId="49486" xr:uid="{AB7BC4BE-1920-425C-9467-C94685059757}"/>
    <cellStyle name="Currency 5 2 5 4 2 3 3" xfId="30890" xr:uid="{EB5D4D2E-5939-414A-827B-9800BB98DC69}"/>
    <cellStyle name="Currency 5 2 5 4 2 4" xfId="40189" xr:uid="{64EC4077-88CB-45A8-B97E-80AD67289F33}"/>
    <cellStyle name="Currency 5 2 5 4 2 5" xfId="21591" xr:uid="{3FF531D8-F325-47E7-9F53-C0854991C39C}"/>
    <cellStyle name="Currency 5 2 5 4 3" xfId="5890" xr:uid="{00000000-0005-0000-0000-00005D0C0000}"/>
    <cellStyle name="Currency 5 2 5 4 3 2" xfId="15216" xr:uid="{ECF0C65C-ABF3-48D1-A292-F6986B0FC37A}"/>
    <cellStyle name="Currency 5 2 5 4 3 2 2" xfId="51558" xr:uid="{C46E0AF1-61D4-4BFE-8ABE-DCCD4391FE29}"/>
    <cellStyle name="Currency 5 2 5 4 3 2 3" xfId="32962" xr:uid="{BFBC5CC0-0658-4542-B249-C78754ED86F9}"/>
    <cellStyle name="Currency 5 2 5 4 3 3" xfId="42261" xr:uid="{C6BB7FB2-759F-4B4B-83E5-7F23EE9502CF}"/>
    <cellStyle name="Currency 5 2 5 4 3 4" xfId="23663" xr:uid="{8A7D3661-3F9D-465B-B8E9-B3BBA5B0004E}"/>
    <cellStyle name="Currency 5 2 5 4 4" xfId="10999" xr:uid="{03B6C915-92F0-49DA-810A-E17D59096B24}"/>
    <cellStyle name="Currency 5 2 5 4 4 2" xfId="47341" xr:uid="{4FFEDD54-222A-453D-8B4D-885D81004A06}"/>
    <cellStyle name="Currency 5 2 5 4 4 3" xfId="28745" xr:uid="{80C595D3-9528-48B9-B067-C4158F7AA0FF}"/>
    <cellStyle name="Currency 5 2 5 4 5" xfId="38044" xr:uid="{1C0234BB-2CCA-4C73-9001-13279AB0282E}"/>
    <cellStyle name="Currency 5 2 5 4 6" xfId="19446" xr:uid="{0C6A9ADB-EA80-4366-B718-1DB22C03DFB7}"/>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17774" xr:uid="{B4E5A9A8-39C8-4F88-9318-1C6C3E05351D}"/>
    <cellStyle name="Currency 5 2 5 5 2 2 2 2" xfId="54116" xr:uid="{D32912D6-CEFE-4549-AC90-B7726BE213A7}"/>
    <cellStyle name="Currency 5 2 5 5 2 2 2 3" xfId="35520" xr:uid="{5BFE1A5B-DAB6-4A63-BE41-044B032D8FF2}"/>
    <cellStyle name="Currency 5 2 5 5 2 2 3" xfId="44819" xr:uid="{8594F50C-1E63-43DB-83FC-6B80C85DB59F}"/>
    <cellStyle name="Currency 5 2 5 5 2 2 4" xfId="26221" xr:uid="{83988B2E-6FB6-4FCB-8390-3C21D6F67109}"/>
    <cellStyle name="Currency 5 2 5 5 2 3" xfId="13557" xr:uid="{2A275DBE-FC0C-46D2-98BD-EB83DC5FB6AF}"/>
    <cellStyle name="Currency 5 2 5 5 2 3 2" xfId="49899" xr:uid="{D1B11CBB-7F7E-494E-B6F4-6C7CA17E43C1}"/>
    <cellStyle name="Currency 5 2 5 5 2 3 3" xfId="31303" xr:uid="{E81A4C39-C696-4C9D-95ED-45CE3506F435}"/>
    <cellStyle name="Currency 5 2 5 5 2 4" xfId="40602" xr:uid="{0B470269-2404-47CA-825E-21FBFA559B2F}"/>
    <cellStyle name="Currency 5 2 5 5 2 5" xfId="22004" xr:uid="{C274C3D9-0F8E-4CA0-9F20-ED770345FD6A}"/>
    <cellStyle name="Currency 5 2 5 5 3" xfId="6303" xr:uid="{00000000-0005-0000-0000-0000610C0000}"/>
    <cellStyle name="Currency 5 2 5 5 3 2" xfId="15629" xr:uid="{829D7E96-9536-44EA-A1D8-69E7AFA49C8F}"/>
    <cellStyle name="Currency 5 2 5 5 3 2 2" xfId="51971" xr:uid="{C4C330BE-1779-45B4-BADE-1EC2C288F478}"/>
    <cellStyle name="Currency 5 2 5 5 3 2 3" xfId="33375" xr:uid="{8A1055E2-3514-42ED-AFD6-58015333AB66}"/>
    <cellStyle name="Currency 5 2 5 5 3 3" xfId="42674" xr:uid="{A8D70E8A-23FA-4274-8489-CE8866F8A7A1}"/>
    <cellStyle name="Currency 5 2 5 5 3 4" xfId="24076" xr:uid="{184C84F9-196A-490C-9AC8-F903839CD425}"/>
    <cellStyle name="Currency 5 2 5 5 4" xfId="11412" xr:uid="{915CF05A-D5EB-43AA-806F-99BDB85E5558}"/>
    <cellStyle name="Currency 5 2 5 5 4 2" xfId="47754" xr:uid="{6601A133-C2BB-42A0-8DD6-45E9BBB3C54F}"/>
    <cellStyle name="Currency 5 2 5 5 4 3" xfId="29158" xr:uid="{1DC59671-1829-4553-9A4F-41C198490AFF}"/>
    <cellStyle name="Currency 5 2 5 5 5" xfId="38457" xr:uid="{747E40FB-FB51-49C8-86F8-0F4C2F38F0D1}"/>
    <cellStyle name="Currency 5 2 5 5 6" xfId="19859" xr:uid="{31EA1D7F-9AA4-4E6C-92EE-FA349ED98837}"/>
    <cellStyle name="Currency 5 2 5 6" xfId="2432" xr:uid="{00000000-0005-0000-0000-0000620C0000}"/>
    <cellStyle name="Currency 5 2 5 6 2" xfId="6716" xr:uid="{00000000-0005-0000-0000-0000630C0000}"/>
    <cellStyle name="Currency 5 2 5 6 2 2" xfId="16042" xr:uid="{240E9FAF-BD56-4613-8894-1B3F83869916}"/>
    <cellStyle name="Currency 5 2 5 6 2 2 2" xfId="52384" xr:uid="{E4034A87-6479-4DB4-8FD3-264847765BD9}"/>
    <cellStyle name="Currency 5 2 5 6 2 2 3" xfId="33788" xr:uid="{B9DCC710-A46C-488B-B4C4-5936B505DA04}"/>
    <cellStyle name="Currency 5 2 5 6 2 3" xfId="43087" xr:uid="{BFE8A19E-9C1D-4973-8F52-5184F3E0F1DC}"/>
    <cellStyle name="Currency 5 2 5 6 2 4" xfId="24489" xr:uid="{E46760C0-FCF9-475F-8EEE-2626E5510D69}"/>
    <cellStyle name="Currency 5 2 5 6 3" xfId="11825" xr:uid="{3563F37D-A621-44E0-B757-E80A9DFD8A7C}"/>
    <cellStyle name="Currency 5 2 5 6 3 2" xfId="48167" xr:uid="{05A28177-581F-4144-A4EC-E65639C1F629}"/>
    <cellStyle name="Currency 5 2 5 6 3 3" xfId="29571" xr:uid="{3CCB8405-6B42-48E7-A991-96E4D6C6BB97}"/>
    <cellStyle name="Currency 5 2 5 6 4" xfId="38870" xr:uid="{477D11F3-2A78-4530-8EA0-2BAA4A1DC25F}"/>
    <cellStyle name="Currency 5 2 5 6 5" xfId="20272" xr:uid="{B712858B-AE79-4CDD-8D35-C27A08D2E730}"/>
    <cellStyle name="Currency 5 2 5 7" xfId="2729" xr:uid="{00000000-0005-0000-0000-0000640C0000}"/>
    <cellStyle name="Currency 5 2 5 8" xfId="2810" xr:uid="{00000000-0005-0000-0000-0000650C0000}"/>
    <cellStyle name="Currency 5 2 5 8 2" xfId="7033" xr:uid="{00000000-0005-0000-0000-0000660C0000}"/>
    <cellStyle name="Currency 5 2 5 8 2 2" xfId="16359" xr:uid="{91AE13CA-CB3F-46D3-89A2-520B8B356FCC}"/>
    <cellStyle name="Currency 5 2 5 8 2 2 2" xfId="52701" xr:uid="{8BF42982-DC87-46D7-A9E8-6BF4F84ECC93}"/>
    <cellStyle name="Currency 5 2 5 8 2 2 3" xfId="34105" xr:uid="{30DF2D6A-C39E-44A3-B3F8-FC40A6A31AF5}"/>
    <cellStyle name="Currency 5 2 5 8 2 3" xfId="43404" xr:uid="{938C2027-EECE-46AA-9934-D241E01CBCB3}"/>
    <cellStyle name="Currency 5 2 5 8 2 4" xfId="24806" xr:uid="{C7FBC73F-BD63-492D-B5C3-E90AE6E35DD0}"/>
    <cellStyle name="Currency 5 2 5 8 3" xfId="12142" xr:uid="{AD8A6471-A06A-4E23-B349-E6EABE0562BD}"/>
    <cellStyle name="Currency 5 2 5 8 3 2" xfId="48484" xr:uid="{82E06534-47FE-46A2-AB1E-9729B16B869D}"/>
    <cellStyle name="Currency 5 2 5 8 3 3" xfId="29888" xr:uid="{96CBC354-AB96-4AA3-810C-80CEDD4863FD}"/>
    <cellStyle name="Currency 5 2 5 8 4" xfId="39187" xr:uid="{8EB9D252-D09E-4597-A138-0A9F414950FA}"/>
    <cellStyle name="Currency 5 2 5 8 5" xfId="20589" xr:uid="{4A6E02DE-D355-430B-B617-A7A0885133FE}"/>
    <cellStyle name="Currency 5 2 5 9" xfId="4650" xr:uid="{00000000-0005-0000-0000-0000670C0000}"/>
    <cellStyle name="Currency 5 2 5 9 2" xfId="13976" xr:uid="{B7D1AA1E-B332-4FDD-90B2-F1D883C5D24D}"/>
    <cellStyle name="Currency 5 2 5 9 2 2" xfId="50318" xr:uid="{1DBD4F91-AB80-441F-BB93-3940D0998F6F}"/>
    <cellStyle name="Currency 5 2 5 9 2 3" xfId="31722" xr:uid="{C5D2D26D-8133-4B41-95FF-0E4696118B39}"/>
    <cellStyle name="Currency 5 2 5 9 3" xfId="41021" xr:uid="{E6A87B9A-2BC4-48DC-B635-DF2144E27C1A}"/>
    <cellStyle name="Currency 5 2 5 9 4" xfId="22423" xr:uid="{5B59EC6E-E96C-4E16-926C-EB7C7C7DFB47}"/>
    <cellStyle name="Currency 5 2 6" xfId="208" xr:uid="{00000000-0005-0000-0000-0000680C0000}"/>
    <cellStyle name="Currency 5 2 6 10" xfId="9178" xr:uid="{19F6D70E-88E4-4E39-A1A9-3FF3D840E2F9}"/>
    <cellStyle name="Currency 5 2 6 10 2" xfId="36242" xr:uid="{41ED57C7-D3EA-4733-9954-DDC229F4D8D0}"/>
    <cellStyle name="Currency 5 2 6 10 2 2" xfId="54836" xr:uid="{7D52EC99-54F7-4DA9-AE0E-32DD5B663CD4}"/>
    <cellStyle name="Currency 5 2 6 10 3" xfId="45539" xr:uid="{3B581BBA-4CC6-41F9-9481-51940E62B9FD}"/>
    <cellStyle name="Currency 5 2 6 10 4" xfId="26943" xr:uid="{80F62CD6-339A-498E-A5DF-C63AE77AE973}"/>
    <cellStyle name="Currency 5 2 6 11" xfId="9760" xr:uid="{FC8D6D18-0E30-42C8-8CC6-CDC727231B2F}"/>
    <cellStyle name="Currency 5 2 6 11 2" xfId="46102" xr:uid="{3CC85408-7929-42ED-9386-D083B37BFA75}"/>
    <cellStyle name="Currency 5 2 6 11 3" xfId="27506" xr:uid="{9E026AF4-32FA-4B5C-B0E9-A8D4535059E2}"/>
    <cellStyle name="Currency 5 2 6 12" xfId="36805" xr:uid="{CB8D3CB6-DAF9-463A-87E3-1853D955BF7F}"/>
    <cellStyle name="Currency 5 2 6 13" xfId="18207" xr:uid="{82A34774-91C9-4AFF-89C7-D49684A875ED}"/>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16536" xr:uid="{037E1A02-A144-42C2-8118-4DC51EC1F587}"/>
    <cellStyle name="Currency 5 2 6 2 2 2 2 2" xfId="52878" xr:uid="{A90F059A-DBF2-4002-9D73-F3058BEC0E6B}"/>
    <cellStyle name="Currency 5 2 6 2 2 2 2 3" xfId="34282" xr:uid="{1EEAB8AD-8125-4E41-9923-3E10C016774B}"/>
    <cellStyle name="Currency 5 2 6 2 2 2 3" xfId="43581" xr:uid="{4FFF6CE9-F800-4719-A58D-052923D1E6C3}"/>
    <cellStyle name="Currency 5 2 6 2 2 2 4" xfId="24983" xr:uid="{B27A3D95-1211-45CF-AA07-9D34EED981F3}"/>
    <cellStyle name="Currency 5 2 6 2 2 3" xfId="12319" xr:uid="{F3792169-7AC6-4948-B85F-9ADE0608D037}"/>
    <cellStyle name="Currency 5 2 6 2 2 3 2" xfId="48661" xr:uid="{8349C1F3-1B95-4DE5-8B31-5117A88E21F5}"/>
    <cellStyle name="Currency 5 2 6 2 2 3 3" xfId="30065" xr:uid="{A31EF87D-EE31-448F-8484-51408FFE96F3}"/>
    <cellStyle name="Currency 5 2 6 2 2 4" xfId="39364" xr:uid="{3A3FF542-82ED-43A6-BBB5-D0AFED49AC48}"/>
    <cellStyle name="Currency 5 2 6 2 2 5" xfId="20766" xr:uid="{3E9CB396-4FEE-4C3D-9AE0-9DB2945B295A}"/>
    <cellStyle name="Currency 5 2 6 2 3" xfId="5065" xr:uid="{00000000-0005-0000-0000-00006C0C0000}"/>
    <cellStyle name="Currency 5 2 6 2 3 2" xfId="14391" xr:uid="{FDB3B874-2A52-440E-AD3B-2507DC5ACF3F}"/>
    <cellStyle name="Currency 5 2 6 2 3 2 2" xfId="50733" xr:uid="{B9244E30-3668-4F64-A6CA-5480C74D1FA7}"/>
    <cellStyle name="Currency 5 2 6 2 3 2 3" xfId="32137" xr:uid="{E9401817-9B8C-4722-B9B3-3B284945206E}"/>
    <cellStyle name="Currency 5 2 6 2 3 3" xfId="41436" xr:uid="{70852BEF-C2CE-4AAB-B06E-395CAFAA3299}"/>
    <cellStyle name="Currency 5 2 6 2 3 4" xfId="22838" xr:uid="{54DC9412-3F3D-48C0-9450-8803320764B3}"/>
    <cellStyle name="Currency 5 2 6 2 4" xfId="9599" xr:uid="{C2EE182C-D73D-4E6C-9671-0484CB4E8D68}"/>
    <cellStyle name="Currency 5 2 6 2 4 2" xfId="36649" xr:uid="{D3161C23-BC66-42C4-B2DD-EDB9B7915E00}"/>
    <cellStyle name="Currency 5 2 6 2 4 2 2" xfId="55243" xr:uid="{31E1EAA5-8DFE-453C-B5A1-9B279E0C0E7D}"/>
    <cellStyle name="Currency 5 2 6 2 4 3" xfId="45946" xr:uid="{B1F01017-3DB5-4146-A88F-9C8EC3707BEF}"/>
    <cellStyle name="Currency 5 2 6 2 4 4" xfId="27350" xr:uid="{CFD35F16-93CF-44EF-A2EF-ECD67B91DC43}"/>
    <cellStyle name="Currency 5 2 6 2 5" xfId="10174" xr:uid="{5D6D02D2-4F6C-4E42-A47E-085B0813D451}"/>
    <cellStyle name="Currency 5 2 6 2 5 2" xfId="46516" xr:uid="{A076404E-E8D0-4F46-911B-96F367FF7706}"/>
    <cellStyle name="Currency 5 2 6 2 5 3" xfId="27920" xr:uid="{595F6E28-5DA2-4CCA-AC3A-9E686413CAE6}"/>
    <cellStyle name="Currency 5 2 6 2 6" xfId="37219" xr:uid="{3F9FC820-1757-4992-A588-5F9E19DC81A0}"/>
    <cellStyle name="Currency 5 2 6 2 7" xfId="18621" xr:uid="{9BAF416D-92A3-4669-86D8-3F76152FBE81}"/>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16949" xr:uid="{6EF12FAF-8DFF-4BB9-A22B-45FF7540BCD3}"/>
    <cellStyle name="Currency 5 2 6 3 2 2 2 2" xfId="53291" xr:uid="{977AECAB-062F-4222-8421-02A380175DD5}"/>
    <cellStyle name="Currency 5 2 6 3 2 2 2 3" xfId="34695" xr:uid="{64434230-291B-4A11-A467-DBE0B306DFD1}"/>
    <cellStyle name="Currency 5 2 6 3 2 2 3" xfId="43994" xr:uid="{6F62762C-1FC0-40B8-A058-F2F356664E3E}"/>
    <cellStyle name="Currency 5 2 6 3 2 2 4" xfId="25396" xr:uid="{A4254334-2A6F-469D-BBB8-5F2B1C7F35CC}"/>
    <cellStyle name="Currency 5 2 6 3 2 3" xfId="12732" xr:uid="{72AC269C-AE20-4832-93B1-C37E11DAF9EF}"/>
    <cellStyle name="Currency 5 2 6 3 2 3 2" xfId="49074" xr:uid="{1CE9A052-7B00-4F34-9088-D76BA7069A1E}"/>
    <cellStyle name="Currency 5 2 6 3 2 3 3" xfId="30478" xr:uid="{2E263FA9-CADD-4E75-9D56-36460BD54A49}"/>
    <cellStyle name="Currency 5 2 6 3 2 4" xfId="39777" xr:uid="{EE4B1599-0874-40E7-B104-C4AC9D8286EB}"/>
    <cellStyle name="Currency 5 2 6 3 2 5" xfId="21179" xr:uid="{350398DC-73E7-45F5-98F2-DF4BBA568607}"/>
    <cellStyle name="Currency 5 2 6 3 3" xfId="5478" xr:uid="{00000000-0005-0000-0000-0000700C0000}"/>
    <cellStyle name="Currency 5 2 6 3 3 2" xfId="14804" xr:uid="{6555E769-265D-48B6-BAE5-044C76275B20}"/>
    <cellStyle name="Currency 5 2 6 3 3 2 2" xfId="51146" xr:uid="{C7DEE6E4-4DDD-4534-8DE8-34B4093FB3E6}"/>
    <cellStyle name="Currency 5 2 6 3 3 2 3" xfId="32550" xr:uid="{0B502BAC-EAC3-4D7E-879E-8F8AA821CC9E}"/>
    <cellStyle name="Currency 5 2 6 3 3 3" xfId="41849" xr:uid="{FDEEC129-4FE9-468F-BBA8-F9657D331FC7}"/>
    <cellStyle name="Currency 5 2 6 3 3 4" xfId="23251" xr:uid="{06602EDB-AA62-4368-8818-543F8A806286}"/>
    <cellStyle name="Currency 5 2 6 3 4" xfId="10587" xr:uid="{4C2D886B-AF94-4DC1-B986-EC993632DDAD}"/>
    <cellStyle name="Currency 5 2 6 3 4 2" xfId="46929" xr:uid="{27191918-954E-452D-A9C8-DE07FFFCCDFA}"/>
    <cellStyle name="Currency 5 2 6 3 4 3" xfId="28333" xr:uid="{F8249A6B-CCBC-4581-9A9A-3EBBADD718A2}"/>
    <cellStyle name="Currency 5 2 6 3 5" xfId="37632" xr:uid="{FD404E8A-038A-460F-8665-DB8805110214}"/>
    <cellStyle name="Currency 5 2 6 3 6" xfId="19034" xr:uid="{C9D88FDF-51A3-4924-8803-82EB69CB4909}"/>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17362" xr:uid="{6DFF551F-69E0-4144-8B51-589E94B1D393}"/>
    <cellStyle name="Currency 5 2 6 4 2 2 2 2" xfId="53704" xr:uid="{B9F5C732-DD1A-4A68-B81D-39B56F997856}"/>
    <cellStyle name="Currency 5 2 6 4 2 2 2 3" xfId="35108" xr:uid="{A7FA7305-F558-4B48-A7A0-5C34AF1795E4}"/>
    <cellStyle name="Currency 5 2 6 4 2 2 3" xfId="44407" xr:uid="{A723E31D-BBEE-465B-9CB8-96A20975D606}"/>
    <cellStyle name="Currency 5 2 6 4 2 2 4" xfId="25809" xr:uid="{1A0EF7A8-3AE3-467B-BDC6-2055944577D7}"/>
    <cellStyle name="Currency 5 2 6 4 2 3" xfId="13145" xr:uid="{F39B85DB-4105-4BEC-AA32-080F37BFC927}"/>
    <cellStyle name="Currency 5 2 6 4 2 3 2" xfId="49487" xr:uid="{96D3ADDF-4F39-4F0F-8D97-91A68C72C1E9}"/>
    <cellStyle name="Currency 5 2 6 4 2 3 3" xfId="30891" xr:uid="{5888AD7B-B62E-43A1-B0B4-6930F5221F94}"/>
    <cellStyle name="Currency 5 2 6 4 2 4" xfId="40190" xr:uid="{6A06F5E8-506E-4F98-BACA-5CDFA0128F83}"/>
    <cellStyle name="Currency 5 2 6 4 2 5" xfId="21592" xr:uid="{5D512194-C517-48CA-A59B-0548366BE8CB}"/>
    <cellStyle name="Currency 5 2 6 4 3" xfId="5891" xr:uid="{00000000-0005-0000-0000-0000740C0000}"/>
    <cellStyle name="Currency 5 2 6 4 3 2" xfId="15217" xr:uid="{4B3E3AFF-8BCC-4447-B3BD-C55CE8ED535D}"/>
    <cellStyle name="Currency 5 2 6 4 3 2 2" xfId="51559" xr:uid="{F973525A-D105-43F3-8AE1-F9F35C6056BE}"/>
    <cellStyle name="Currency 5 2 6 4 3 2 3" xfId="32963" xr:uid="{307B339F-5776-4F96-9FD6-DF1F0F6F7728}"/>
    <cellStyle name="Currency 5 2 6 4 3 3" xfId="42262" xr:uid="{6AEDAAB6-E9C2-4261-8C87-666667640ABC}"/>
    <cellStyle name="Currency 5 2 6 4 3 4" xfId="23664" xr:uid="{C5940881-F22E-47CE-B256-C1A69A4C62EF}"/>
    <cellStyle name="Currency 5 2 6 4 4" xfId="11000" xr:uid="{6F2E3B9A-A647-4E9C-B097-E7AB9F0FFC0D}"/>
    <cellStyle name="Currency 5 2 6 4 4 2" xfId="47342" xr:uid="{EF004EA0-BCFA-4F09-8E80-462EA48D65BC}"/>
    <cellStyle name="Currency 5 2 6 4 4 3" xfId="28746" xr:uid="{AC51809D-E346-47D6-B0FD-5217DF05BD7E}"/>
    <cellStyle name="Currency 5 2 6 4 5" xfId="38045" xr:uid="{7813E6D3-5DB3-43B6-BA6D-14268E50ABD7}"/>
    <cellStyle name="Currency 5 2 6 4 6" xfId="19447" xr:uid="{77A5F74F-94D2-4AB4-B23E-1830AEDE818D}"/>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17775" xr:uid="{6A506027-E736-4E1E-B380-CB18BF115A3C}"/>
    <cellStyle name="Currency 5 2 6 5 2 2 2 2" xfId="54117" xr:uid="{224F5481-36E6-471E-8424-8000F771C572}"/>
    <cellStyle name="Currency 5 2 6 5 2 2 2 3" xfId="35521" xr:uid="{83B4269A-D1CD-4D66-8303-DD78C0095A00}"/>
    <cellStyle name="Currency 5 2 6 5 2 2 3" xfId="44820" xr:uid="{FB1AD75E-6B59-4A77-B55E-17589DD1E338}"/>
    <cellStyle name="Currency 5 2 6 5 2 2 4" xfId="26222" xr:uid="{65C9C523-EEAE-418B-A3C1-44FD946AA091}"/>
    <cellStyle name="Currency 5 2 6 5 2 3" xfId="13558" xr:uid="{E0AAC5C1-7017-4593-9C7F-A9D40026AE3B}"/>
    <cellStyle name="Currency 5 2 6 5 2 3 2" xfId="49900" xr:uid="{8D31EBAE-EC35-484D-8C3A-7970AF85E349}"/>
    <cellStyle name="Currency 5 2 6 5 2 3 3" xfId="31304" xr:uid="{B28522CD-4E41-4352-862C-35574AC87444}"/>
    <cellStyle name="Currency 5 2 6 5 2 4" xfId="40603" xr:uid="{E349E354-6E5A-4384-8046-131F3F7F7028}"/>
    <cellStyle name="Currency 5 2 6 5 2 5" xfId="22005" xr:uid="{193BCEB9-50B1-43A2-8F8C-3F403C077A05}"/>
    <cellStyle name="Currency 5 2 6 5 3" xfId="6304" xr:uid="{00000000-0005-0000-0000-0000780C0000}"/>
    <cellStyle name="Currency 5 2 6 5 3 2" xfId="15630" xr:uid="{5427BC59-DBE9-46FB-B1D1-2C20FBCF72EC}"/>
    <cellStyle name="Currency 5 2 6 5 3 2 2" xfId="51972" xr:uid="{6FD200F2-9A9A-47AC-8105-6F5AF71537A3}"/>
    <cellStyle name="Currency 5 2 6 5 3 2 3" xfId="33376" xr:uid="{E60DA98A-F684-4C6A-84FD-9E21C65EC8EF}"/>
    <cellStyle name="Currency 5 2 6 5 3 3" xfId="42675" xr:uid="{B2B73B15-79A7-451A-A691-3A857D91C814}"/>
    <cellStyle name="Currency 5 2 6 5 3 4" xfId="24077" xr:uid="{45EF2DCD-EC11-4AAF-A29C-F5F54C44660B}"/>
    <cellStyle name="Currency 5 2 6 5 4" xfId="11413" xr:uid="{3F126CDA-4102-4224-A69E-27118DFB8006}"/>
    <cellStyle name="Currency 5 2 6 5 4 2" xfId="47755" xr:uid="{BF15968F-B9B6-474D-A3F8-8534ECDC4565}"/>
    <cellStyle name="Currency 5 2 6 5 4 3" xfId="29159" xr:uid="{0159B3D6-AEC7-4C08-8B5B-103987B9A456}"/>
    <cellStyle name="Currency 5 2 6 5 5" xfId="38458" xr:uid="{82D97F57-595E-4B63-A0F0-24AB5C59152D}"/>
    <cellStyle name="Currency 5 2 6 5 6" xfId="19860" xr:uid="{81C99FE3-D0B8-40D1-98DF-4E9B38FB022D}"/>
    <cellStyle name="Currency 5 2 6 6" xfId="2433" xr:uid="{00000000-0005-0000-0000-0000790C0000}"/>
    <cellStyle name="Currency 5 2 6 6 2" xfId="6717" xr:uid="{00000000-0005-0000-0000-00007A0C0000}"/>
    <cellStyle name="Currency 5 2 6 6 2 2" xfId="16043" xr:uid="{9281616C-D513-4189-A38D-BD4398B56FD6}"/>
    <cellStyle name="Currency 5 2 6 6 2 2 2" xfId="52385" xr:uid="{ACC4439C-6BAA-4DC2-9D8D-09B0B33EA052}"/>
    <cellStyle name="Currency 5 2 6 6 2 2 3" xfId="33789" xr:uid="{EE957B32-8351-4F6D-B81D-189D91ED9010}"/>
    <cellStyle name="Currency 5 2 6 6 2 3" xfId="43088" xr:uid="{109471F4-14D1-4A6E-BF7B-B76DD0EA57D6}"/>
    <cellStyle name="Currency 5 2 6 6 2 4" xfId="24490" xr:uid="{3775F3E2-94FA-4F0C-B316-D2D911F5FC1F}"/>
    <cellStyle name="Currency 5 2 6 6 3" xfId="11826" xr:uid="{3EA69D48-568F-44BC-9022-F37DB69725F2}"/>
    <cellStyle name="Currency 5 2 6 6 3 2" xfId="48168" xr:uid="{F1EA0BA1-CB10-4685-AD98-2A5E891794B3}"/>
    <cellStyle name="Currency 5 2 6 6 3 3" xfId="29572" xr:uid="{37AB1578-4638-44AD-8D32-4E5D56980771}"/>
    <cellStyle name="Currency 5 2 6 6 4" xfId="38871" xr:uid="{BCE62154-5B5A-46FA-A134-500971A1F6B8}"/>
    <cellStyle name="Currency 5 2 6 6 5" xfId="20273" xr:uid="{171BEA9A-74D1-430E-84FA-9EBAFB95E3E7}"/>
    <cellStyle name="Currency 5 2 6 7" xfId="2730" xr:uid="{00000000-0005-0000-0000-00007B0C0000}"/>
    <cellStyle name="Currency 5 2 6 8" xfId="2811" xr:uid="{00000000-0005-0000-0000-00007C0C0000}"/>
    <cellStyle name="Currency 5 2 6 8 2" xfId="7034" xr:uid="{00000000-0005-0000-0000-00007D0C0000}"/>
    <cellStyle name="Currency 5 2 6 8 2 2" xfId="16360" xr:uid="{5876976A-5C18-4EA0-97AB-CA4B0F8B8A70}"/>
    <cellStyle name="Currency 5 2 6 8 2 2 2" xfId="52702" xr:uid="{5BC580B5-5858-45B0-BF24-12DAEBF1D885}"/>
    <cellStyle name="Currency 5 2 6 8 2 2 3" xfId="34106" xr:uid="{95E4B664-2F3D-4CDB-9840-D6295EEDA423}"/>
    <cellStyle name="Currency 5 2 6 8 2 3" xfId="43405" xr:uid="{AEBC4F18-976B-4D57-BBD2-EE2CAA9DA7F1}"/>
    <cellStyle name="Currency 5 2 6 8 2 4" xfId="24807" xr:uid="{A2DB97B4-E571-4478-A2DD-2E28F10F717A}"/>
    <cellStyle name="Currency 5 2 6 8 3" xfId="12143" xr:uid="{5AB0ED22-E60F-4AA3-9AD9-B85B4280978E}"/>
    <cellStyle name="Currency 5 2 6 8 3 2" xfId="48485" xr:uid="{6CBDD244-7334-4AFD-9AFA-63C97E451CF4}"/>
    <cellStyle name="Currency 5 2 6 8 3 3" xfId="29889" xr:uid="{5C4A63FF-5BAB-4E74-9DBB-6D3B7D17656C}"/>
    <cellStyle name="Currency 5 2 6 8 4" xfId="39188" xr:uid="{B608D15C-ECA3-4E19-A28C-7DCAA2336994}"/>
    <cellStyle name="Currency 5 2 6 8 5" xfId="20590" xr:uid="{58B293F6-DEAC-4ABF-8C58-AC142DAAC972}"/>
    <cellStyle name="Currency 5 2 6 9" xfId="4651" xr:uid="{00000000-0005-0000-0000-00007E0C0000}"/>
    <cellStyle name="Currency 5 2 6 9 2" xfId="13977" xr:uid="{4974CD6B-26EC-49A8-8649-4F2EDF0787FD}"/>
    <cellStyle name="Currency 5 2 6 9 2 2" xfId="50319" xr:uid="{A528B0B3-3D82-4FDD-A0CC-20D621F4DCBA}"/>
    <cellStyle name="Currency 5 2 6 9 2 3" xfId="31723" xr:uid="{C8A86A79-01F5-49AD-A249-5D0181BDDCFD}"/>
    <cellStyle name="Currency 5 2 6 9 3" xfId="41022" xr:uid="{361E0B74-3252-418A-A1BC-3A1F3BB9F542}"/>
    <cellStyle name="Currency 5 2 6 9 4" xfId="22424" xr:uid="{25F75C5C-8ACB-48B3-8582-4FA4BBC0CE3E}"/>
    <cellStyle name="Currency 5 2 7" xfId="722" xr:uid="{00000000-0005-0000-0000-00007F0C0000}"/>
    <cellStyle name="Currency 5 2 8" xfId="8756" xr:uid="{D16196A2-D0A3-46A2-9B14-6B017B4CC82F}"/>
    <cellStyle name="Currency 5 2 8 2" xfId="35826" xr:uid="{30DA2040-55DE-4626-8AB2-3A083A002B30}"/>
    <cellStyle name="Currency 5 2 8 2 2" xfId="54421" xr:uid="{677B8890-E1E1-4873-95D3-3729FDDB4A5A}"/>
    <cellStyle name="Currency 5 2 8 3" xfId="45124" xr:uid="{E012D773-8EEA-466C-B1D9-C31C6CCC3A0C}"/>
    <cellStyle name="Currency 5 2 8 4" xfId="26527" xr:uid="{D2165850-9F25-4B19-AE39-264A54AA300A}"/>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16361" xr:uid="{2ABCA7CE-C0B3-41F0-A971-1B721D0FA205}"/>
    <cellStyle name="Currency 5 3 2 10 2 2 2" xfId="52703" xr:uid="{AFFB9196-57DF-46AF-BEF2-64903F70B439}"/>
    <cellStyle name="Currency 5 3 2 10 2 2 3" xfId="34107" xr:uid="{1EFDC1DE-8A1C-4273-B673-7BFE84369D8D}"/>
    <cellStyle name="Currency 5 3 2 10 2 3" xfId="43406" xr:uid="{BBC3A209-3AF6-42B2-84EC-E31B242BB412}"/>
    <cellStyle name="Currency 5 3 2 10 2 4" xfId="24808" xr:uid="{7F20C996-76EB-4030-AE7B-1C11325E3CEE}"/>
    <cellStyle name="Currency 5 3 2 10 3" xfId="12144" xr:uid="{CC2275A5-CCA1-41B9-A16D-F7009BAADEF2}"/>
    <cellStyle name="Currency 5 3 2 10 3 2" xfId="48486" xr:uid="{F896CCF0-D3B2-46C7-A51C-255ECE577B14}"/>
    <cellStyle name="Currency 5 3 2 10 3 3" xfId="29890" xr:uid="{886292E2-5910-4B30-BC45-153294991CD5}"/>
    <cellStyle name="Currency 5 3 2 10 4" xfId="39189" xr:uid="{86D8B32B-441D-426C-861A-E64F1E680D0E}"/>
    <cellStyle name="Currency 5 3 2 10 5" xfId="20591" xr:uid="{605B47BF-8892-48A2-8E02-6E97A61489CA}"/>
    <cellStyle name="Currency 5 3 2 11" xfId="4652" xr:uid="{00000000-0005-0000-0000-0000840C0000}"/>
    <cellStyle name="Currency 5 3 2 11 2" xfId="13978" xr:uid="{E008D31F-2F5A-46A3-A63C-419C482CBA09}"/>
    <cellStyle name="Currency 5 3 2 11 2 2" xfId="50320" xr:uid="{3F0A5D54-8039-46DB-868B-0779D88AE6C1}"/>
    <cellStyle name="Currency 5 3 2 11 2 3" xfId="31724" xr:uid="{1A58C626-4B72-4147-B574-4B2A86F6B2C3}"/>
    <cellStyle name="Currency 5 3 2 11 3" xfId="41023" xr:uid="{A7CAF1CC-27AA-4377-8D0E-09C40D7B1481}"/>
    <cellStyle name="Currency 5 3 2 11 4" xfId="22425" xr:uid="{DA1A7B4B-E94F-4869-8B43-D7179C710203}"/>
    <cellStyle name="Currency 5 3 2 12" xfId="8810" xr:uid="{C5234FF9-D509-4CD8-ADA1-D3604CCF3D1F}"/>
    <cellStyle name="Currency 5 3 2 12 2" xfId="35880" xr:uid="{2D1B04C8-A503-42F8-9C44-93F06F6124F5}"/>
    <cellStyle name="Currency 5 3 2 12 2 2" xfId="54475" xr:uid="{C8C8B883-A472-4E6E-962E-3AD49DC428FB}"/>
    <cellStyle name="Currency 5 3 2 12 3" xfId="45178" xr:uid="{A9CC78A5-8563-4B57-B956-06BAF58ADD54}"/>
    <cellStyle name="Currency 5 3 2 12 4" xfId="26581" xr:uid="{298E92BD-7569-42B7-B8C0-8D19BA58602B}"/>
    <cellStyle name="Currency 5 3 2 13" xfId="9761" xr:uid="{23A52AA5-4ABE-4865-A744-1599DC4F07AB}"/>
    <cellStyle name="Currency 5 3 2 13 2" xfId="46103" xr:uid="{D659D5DD-D083-4E1C-A447-4614F754E68F}"/>
    <cellStyle name="Currency 5 3 2 13 3" xfId="27507" xr:uid="{E757C435-BA89-41CE-94D4-DDABD30E1CFF}"/>
    <cellStyle name="Currency 5 3 2 14" xfId="36806" xr:uid="{81651600-4F03-4DFE-A16D-EA86E7787047}"/>
    <cellStyle name="Currency 5 3 2 15" xfId="18208" xr:uid="{D3C515AA-46D9-402F-800E-46DF10A400F7}"/>
    <cellStyle name="Currency 5 3 2 2" xfId="211" xr:uid="{00000000-0005-0000-0000-0000850C0000}"/>
    <cellStyle name="Currency 5 3 2 2 10" xfId="4653" xr:uid="{00000000-0005-0000-0000-0000860C0000}"/>
    <cellStyle name="Currency 5 3 2 2 10 2" xfId="13979" xr:uid="{30641EBA-3726-4482-85AC-BD360E306A84}"/>
    <cellStyle name="Currency 5 3 2 2 10 2 2" xfId="50321" xr:uid="{0B0164E6-D6C1-4136-B8F2-0D9972CE7AFB}"/>
    <cellStyle name="Currency 5 3 2 2 10 2 3" xfId="31725" xr:uid="{BCC4AE51-E5C0-455C-8F5E-52FDF9795214}"/>
    <cellStyle name="Currency 5 3 2 2 10 3" xfId="41024" xr:uid="{4CE6F5E0-76F7-4866-9B01-170921BE8739}"/>
    <cellStyle name="Currency 5 3 2 2 10 4" xfId="22426" xr:uid="{51E45BF4-19AB-4412-8750-D8D9568ACFDE}"/>
    <cellStyle name="Currency 5 3 2 2 11" xfId="8913" xr:uid="{FE033F82-2F16-4925-9899-F927AB9AA612}"/>
    <cellStyle name="Currency 5 3 2 2 11 2" xfId="35983" xr:uid="{4157D459-BB62-496A-8900-D49E89D523A5}"/>
    <cellStyle name="Currency 5 3 2 2 11 2 2" xfId="54578" xr:uid="{261B30BD-A6D5-4AF3-A289-DAFC37B50143}"/>
    <cellStyle name="Currency 5 3 2 2 11 3" xfId="45281" xr:uid="{070DF611-4D8B-457B-8D62-FA266C757EDB}"/>
    <cellStyle name="Currency 5 3 2 2 11 4" xfId="26684" xr:uid="{640B8819-854F-4B7B-A8A9-A765816DFDEE}"/>
    <cellStyle name="Currency 5 3 2 2 12" xfId="9762" xr:uid="{154B9E99-1D31-41A7-884E-156BF75712F1}"/>
    <cellStyle name="Currency 5 3 2 2 12 2" xfId="46104" xr:uid="{8FB905AB-5C57-4759-A869-92AC09C8BE91}"/>
    <cellStyle name="Currency 5 3 2 2 12 3" xfId="27508" xr:uid="{FB4DBE1F-6E49-413F-89E6-813D1C90A4E5}"/>
    <cellStyle name="Currency 5 3 2 2 13" xfId="36807" xr:uid="{2490496C-24BC-431E-B044-5E693CFAEB95}"/>
    <cellStyle name="Currency 5 3 2 2 14" xfId="18209" xr:uid="{770717C3-0AA1-45CB-880F-8FE91F03E9DC}"/>
    <cellStyle name="Currency 5 3 2 2 2" xfId="212" xr:uid="{00000000-0005-0000-0000-0000870C0000}"/>
    <cellStyle name="Currency 5 3 2 2 2 10" xfId="9120" xr:uid="{D5536A1F-8418-4CB5-B1E0-470AD716374A}"/>
    <cellStyle name="Currency 5 3 2 2 2 10 2" xfId="36190" xr:uid="{D6F08FC5-2439-43B9-81B9-674DF4E6053F}"/>
    <cellStyle name="Currency 5 3 2 2 2 10 2 2" xfId="54785" xr:uid="{21751517-8B9A-4E4E-A819-84A8DB7DF4AA}"/>
    <cellStyle name="Currency 5 3 2 2 2 10 3" xfId="45488" xr:uid="{2A6E18AD-7031-4CC9-B1C3-D53EAFCC36E3}"/>
    <cellStyle name="Currency 5 3 2 2 2 10 4" xfId="26891" xr:uid="{CFCFA12F-CD98-46E3-918C-82C9135E57B2}"/>
    <cellStyle name="Currency 5 3 2 2 2 11" xfId="9763" xr:uid="{228E14FB-151E-4358-B372-AE3C640D2F5E}"/>
    <cellStyle name="Currency 5 3 2 2 2 11 2" xfId="46105" xr:uid="{BBF3A589-BE3B-46AF-B219-86A265FED695}"/>
    <cellStyle name="Currency 5 3 2 2 2 11 3" xfId="27509" xr:uid="{AA1A73AA-9913-494A-86B8-5B64625EF2ED}"/>
    <cellStyle name="Currency 5 3 2 2 2 12" xfId="36808" xr:uid="{64137F5C-C33C-475F-ACC5-89EF4797A827}"/>
    <cellStyle name="Currency 5 3 2 2 2 13" xfId="18210" xr:uid="{6DB8C4C1-4DF4-44B3-946C-BA2B8C26B9A2}"/>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16539" xr:uid="{908A941D-AFD9-4604-99F0-5AF97C47AB16}"/>
    <cellStyle name="Currency 5 3 2 2 2 2 2 2 2 2" xfId="52881" xr:uid="{E35019DE-8880-47BA-A1FA-62A8B8B9265A}"/>
    <cellStyle name="Currency 5 3 2 2 2 2 2 2 2 3" xfId="34285" xr:uid="{90F512A6-EFDE-44C4-B0D4-5CE0126F6DE5}"/>
    <cellStyle name="Currency 5 3 2 2 2 2 2 2 3" xfId="43584" xr:uid="{A6A4154F-0499-440D-A312-A46CA172E94F}"/>
    <cellStyle name="Currency 5 3 2 2 2 2 2 2 4" xfId="24986" xr:uid="{B996208F-FCE3-4614-893C-1C52EF6702EF}"/>
    <cellStyle name="Currency 5 3 2 2 2 2 2 3" xfId="12322" xr:uid="{D80F3F58-4B21-4D95-8CEF-C86CC2A1B088}"/>
    <cellStyle name="Currency 5 3 2 2 2 2 2 3 2" xfId="48664" xr:uid="{E0AF340F-9AB0-4856-8152-640F18F71B09}"/>
    <cellStyle name="Currency 5 3 2 2 2 2 2 3 3" xfId="30068" xr:uid="{1B2B002F-3171-4B95-A351-60A74DA34915}"/>
    <cellStyle name="Currency 5 3 2 2 2 2 2 4" xfId="39367" xr:uid="{9E190163-11A8-466E-B03A-2A4804A5AC9B}"/>
    <cellStyle name="Currency 5 3 2 2 2 2 2 5" xfId="20769" xr:uid="{0AD0364D-5B8B-4DF4-B293-4ACD80FCD74E}"/>
    <cellStyle name="Currency 5 3 2 2 2 2 3" xfId="5068" xr:uid="{00000000-0005-0000-0000-00008B0C0000}"/>
    <cellStyle name="Currency 5 3 2 2 2 2 3 2" xfId="14394" xr:uid="{F37FC081-F3E2-450F-86DC-8273E20E2AAD}"/>
    <cellStyle name="Currency 5 3 2 2 2 2 3 2 2" xfId="50736" xr:uid="{4C6747F5-81B6-4BA9-B59A-AC39AC4B24FC}"/>
    <cellStyle name="Currency 5 3 2 2 2 2 3 2 3" xfId="32140" xr:uid="{06311914-8796-4E88-BF30-85163710DC78}"/>
    <cellStyle name="Currency 5 3 2 2 2 2 3 3" xfId="41439" xr:uid="{AD95F4E4-473E-42AE-B7B4-DC7EC673C994}"/>
    <cellStyle name="Currency 5 3 2 2 2 2 3 4" xfId="22841" xr:uid="{E6A01F55-98D3-4AB0-9A23-A35A6E8AF6EF}"/>
    <cellStyle name="Currency 5 3 2 2 2 2 4" xfId="9545" xr:uid="{F6C268D6-0334-42F7-AE4F-535ADD09B625}"/>
    <cellStyle name="Currency 5 3 2 2 2 2 4 2" xfId="36606" xr:uid="{9C46647D-55CF-4C16-9D3A-79F0E8069E7A}"/>
    <cellStyle name="Currency 5 3 2 2 2 2 4 2 2" xfId="55200" xr:uid="{3D00638B-E398-416F-B308-CDAB2D31D3F8}"/>
    <cellStyle name="Currency 5 3 2 2 2 2 4 3" xfId="45903" xr:uid="{4815713E-D80A-4D74-BEE3-6B08C21FCE11}"/>
    <cellStyle name="Currency 5 3 2 2 2 2 4 4" xfId="27307" xr:uid="{46931627-9F21-4703-A0AD-8C15AFC514E4}"/>
    <cellStyle name="Currency 5 3 2 2 2 2 5" xfId="10177" xr:uid="{8238627B-8A99-4001-9992-C6623BB4C5F2}"/>
    <cellStyle name="Currency 5 3 2 2 2 2 5 2" xfId="46519" xr:uid="{37DA1968-855E-4B0E-BA8D-539758E3B850}"/>
    <cellStyle name="Currency 5 3 2 2 2 2 5 3" xfId="27923" xr:uid="{A6CD644B-91A9-4CAE-BF12-B9256997C31B}"/>
    <cellStyle name="Currency 5 3 2 2 2 2 6" xfId="37222" xr:uid="{56847EB9-EFB9-4F43-B49A-C155E214BB8E}"/>
    <cellStyle name="Currency 5 3 2 2 2 2 7" xfId="18624" xr:uid="{BDF857C9-729B-46D0-B35C-9F0AA47092DE}"/>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16952" xr:uid="{8AE51AFF-4D61-45A2-8D7E-89D5F574C347}"/>
    <cellStyle name="Currency 5 3 2 2 2 3 2 2 2 2" xfId="53294" xr:uid="{3E89F453-9796-4E11-A7A4-F1E783203C2F}"/>
    <cellStyle name="Currency 5 3 2 2 2 3 2 2 2 3" xfId="34698" xr:uid="{6F7B6670-4602-4BF4-A906-B55C05C3F62A}"/>
    <cellStyle name="Currency 5 3 2 2 2 3 2 2 3" xfId="43997" xr:uid="{DE6A1E8A-FDE9-46BA-8373-8DC72344807B}"/>
    <cellStyle name="Currency 5 3 2 2 2 3 2 2 4" xfId="25399" xr:uid="{AD0C959A-CB6A-4FA9-8480-08C1E7025D6C}"/>
    <cellStyle name="Currency 5 3 2 2 2 3 2 3" xfId="12735" xr:uid="{D4837613-4B57-4AA5-99B2-A8BE1869BB6B}"/>
    <cellStyle name="Currency 5 3 2 2 2 3 2 3 2" xfId="49077" xr:uid="{04C1F3DF-A391-45C5-8EC9-D8235909EA47}"/>
    <cellStyle name="Currency 5 3 2 2 2 3 2 3 3" xfId="30481" xr:uid="{386F603B-C730-4C40-A5DA-B960B50C8497}"/>
    <cellStyle name="Currency 5 3 2 2 2 3 2 4" xfId="39780" xr:uid="{CEAD4E07-A8DC-40A9-A3D5-C4A912C4F9D3}"/>
    <cellStyle name="Currency 5 3 2 2 2 3 2 5" xfId="21182" xr:uid="{990EFFD0-BC0F-487B-99B5-86AEAA5E1A60}"/>
    <cellStyle name="Currency 5 3 2 2 2 3 3" xfId="5481" xr:uid="{00000000-0005-0000-0000-00008F0C0000}"/>
    <cellStyle name="Currency 5 3 2 2 2 3 3 2" xfId="14807" xr:uid="{0E5B5170-5757-43FD-90B7-765C55401752}"/>
    <cellStyle name="Currency 5 3 2 2 2 3 3 2 2" xfId="51149" xr:uid="{5DDF6E21-0BC5-4484-9839-438AB3DFD9C4}"/>
    <cellStyle name="Currency 5 3 2 2 2 3 3 2 3" xfId="32553" xr:uid="{755AA250-7121-4C21-BF1E-8C2D84AE8CB9}"/>
    <cellStyle name="Currency 5 3 2 2 2 3 3 3" xfId="41852" xr:uid="{B1AE96AE-DBAD-4A52-8A5D-F32D39CE81CB}"/>
    <cellStyle name="Currency 5 3 2 2 2 3 3 4" xfId="23254" xr:uid="{63632116-A940-47BB-984B-9FB11809E2AB}"/>
    <cellStyle name="Currency 5 3 2 2 2 3 4" xfId="10590" xr:uid="{72D4240F-1D6D-42A8-B5F9-E80D3381DC32}"/>
    <cellStyle name="Currency 5 3 2 2 2 3 4 2" xfId="46932" xr:uid="{36272CFC-9982-4EEE-B3FD-57B45F63B170}"/>
    <cellStyle name="Currency 5 3 2 2 2 3 4 3" xfId="28336" xr:uid="{17B929E5-8D39-4539-A506-A6F95C5A80E2}"/>
    <cellStyle name="Currency 5 3 2 2 2 3 5" xfId="37635" xr:uid="{8513E01E-2BA8-4198-9C1E-FE2DBCA32999}"/>
    <cellStyle name="Currency 5 3 2 2 2 3 6" xfId="19037" xr:uid="{B19F5F66-5664-4E5D-82C4-AAE39C2ECD5E}"/>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17365" xr:uid="{54FB33EB-B8E2-4B83-A15C-8CD2F8960E55}"/>
    <cellStyle name="Currency 5 3 2 2 2 4 2 2 2 2" xfId="53707" xr:uid="{8C8177E3-0960-40D0-BB8C-9E38ECAD239D}"/>
    <cellStyle name="Currency 5 3 2 2 2 4 2 2 2 3" xfId="35111" xr:uid="{A28D3294-8D3B-44AC-878F-264334D835A7}"/>
    <cellStyle name="Currency 5 3 2 2 2 4 2 2 3" xfId="44410" xr:uid="{A3C977ED-A6E6-4284-B7E7-AEFACBF92422}"/>
    <cellStyle name="Currency 5 3 2 2 2 4 2 2 4" xfId="25812" xr:uid="{2A1FFB7A-DCB6-4472-851C-ADBB34937F8F}"/>
    <cellStyle name="Currency 5 3 2 2 2 4 2 3" xfId="13148" xr:uid="{6ED19E4F-4A36-45BF-91BD-3673AA48C8CF}"/>
    <cellStyle name="Currency 5 3 2 2 2 4 2 3 2" xfId="49490" xr:uid="{F434B2CE-1B44-4B19-B7CE-DD72EFF3AAA9}"/>
    <cellStyle name="Currency 5 3 2 2 2 4 2 3 3" xfId="30894" xr:uid="{A0080ADE-EA75-4E14-B3F2-476CD72410A4}"/>
    <cellStyle name="Currency 5 3 2 2 2 4 2 4" xfId="40193" xr:uid="{2AADF540-CEF8-4363-8B5C-0C18F9380AD9}"/>
    <cellStyle name="Currency 5 3 2 2 2 4 2 5" xfId="21595" xr:uid="{AC3ECAFE-86F6-4C5E-B9B6-50429BBDFFE6}"/>
    <cellStyle name="Currency 5 3 2 2 2 4 3" xfId="5894" xr:uid="{00000000-0005-0000-0000-0000930C0000}"/>
    <cellStyle name="Currency 5 3 2 2 2 4 3 2" xfId="15220" xr:uid="{7485EB88-214C-4CCC-92E9-F8D13CCDE44D}"/>
    <cellStyle name="Currency 5 3 2 2 2 4 3 2 2" xfId="51562" xr:uid="{26AC9ECE-8193-482A-9590-FA0111E2DD5E}"/>
    <cellStyle name="Currency 5 3 2 2 2 4 3 2 3" xfId="32966" xr:uid="{BD48E2B4-4825-498F-95C3-F1EA0E1FC0F2}"/>
    <cellStyle name="Currency 5 3 2 2 2 4 3 3" xfId="42265" xr:uid="{CB28D000-5E8D-407A-B42B-EE58E7B7C401}"/>
    <cellStyle name="Currency 5 3 2 2 2 4 3 4" xfId="23667" xr:uid="{012AB71B-FE88-4696-B54C-AB2586A8717D}"/>
    <cellStyle name="Currency 5 3 2 2 2 4 4" xfId="11003" xr:uid="{FA3ABE4C-4F57-4CE8-9BB4-869F2866B68B}"/>
    <cellStyle name="Currency 5 3 2 2 2 4 4 2" xfId="47345" xr:uid="{A3E898DE-6D24-4E81-A3E3-8F161496B85C}"/>
    <cellStyle name="Currency 5 3 2 2 2 4 4 3" xfId="28749" xr:uid="{232E468F-86E5-44AA-8CD5-A5604120DEE9}"/>
    <cellStyle name="Currency 5 3 2 2 2 4 5" xfId="38048" xr:uid="{A29AE4A7-2FC3-4922-BDCB-5ABD172BE921}"/>
    <cellStyle name="Currency 5 3 2 2 2 4 6" xfId="19450" xr:uid="{51BAB7B4-87B9-4E55-831C-9CC4532480B3}"/>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17778" xr:uid="{417BB8B7-1A21-49E1-A150-47636C1D539A}"/>
    <cellStyle name="Currency 5 3 2 2 2 5 2 2 2 2" xfId="54120" xr:uid="{D189BA5B-B936-44EB-AF32-F30C5F97B285}"/>
    <cellStyle name="Currency 5 3 2 2 2 5 2 2 2 3" xfId="35524" xr:uid="{C1A2AFCD-F012-474B-BF99-11E65B0CAC0B}"/>
    <cellStyle name="Currency 5 3 2 2 2 5 2 2 3" xfId="44823" xr:uid="{12966DC4-AD42-4054-B871-40534B5A7F46}"/>
    <cellStyle name="Currency 5 3 2 2 2 5 2 2 4" xfId="26225" xr:uid="{F03039CA-D3F4-4704-8C67-F8816B5CF325}"/>
    <cellStyle name="Currency 5 3 2 2 2 5 2 3" xfId="13561" xr:uid="{035985DA-128F-4B79-8FDE-49DF8BE98348}"/>
    <cellStyle name="Currency 5 3 2 2 2 5 2 3 2" xfId="49903" xr:uid="{B3E5FB65-11F5-40C6-97EF-A3214D57CF39}"/>
    <cellStyle name="Currency 5 3 2 2 2 5 2 3 3" xfId="31307" xr:uid="{4CA1E5AC-1693-4CC1-AACD-B19C6B3C7D15}"/>
    <cellStyle name="Currency 5 3 2 2 2 5 2 4" xfId="40606" xr:uid="{BCBDA5B9-9B7B-4F1A-B83B-4AA9131C095C}"/>
    <cellStyle name="Currency 5 3 2 2 2 5 2 5" xfId="22008" xr:uid="{C4C75B8D-DAB5-4BE1-878C-33841BBF70C6}"/>
    <cellStyle name="Currency 5 3 2 2 2 5 3" xfId="6307" xr:uid="{00000000-0005-0000-0000-0000970C0000}"/>
    <cellStyle name="Currency 5 3 2 2 2 5 3 2" xfId="15633" xr:uid="{C9B421D2-F8EC-4376-9BB4-31474245D986}"/>
    <cellStyle name="Currency 5 3 2 2 2 5 3 2 2" xfId="51975" xr:uid="{79FC7DDF-A1F0-4F18-B252-5F9CF5390983}"/>
    <cellStyle name="Currency 5 3 2 2 2 5 3 2 3" xfId="33379" xr:uid="{C8DC284C-7015-4457-8F2F-3629D732CCB7}"/>
    <cellStyle name="Currency 5 3 2 2 2 5 3 3" xfId="42678" xr:uid="{404700AB-FD7A-42F1-9E17-716CFE38C2B4}"/>
    <cellStyle name="Currency 5 3 2 2 2 5 3 4" xfId="24080" xr:uid="{15FBF1E1-9234-4FD8-BBF7-B28E4AEF5436}"/>
    <cellStyle name="Currency 5 3 2 2 2 5 4" xfId="11416" xr:uid="{44FB132B-D4BA-4283-997D-798031063ED8}"/>
    <cellStyle name="Currency 5 3 2 2 2 5 4 2" xfId="47758" xr:uid="{7640E02E-CC96-4B7A-AD16-656EA2D05266}"/>
    <cellStyle name="Currency 5 3 2 2 2 5 4 3" xfId="29162" xr:uid="{746A0E6C-0461-4E72-A1DA-1CED99FB164C}"/>
    <cellStyle name="Currency 5 3 2 2 2 5 5" xfId="38461" xr:uid="{99D79BC2-FF5C-48C0-B3C4-8955403982E0}"/>
    <cellStyle name="Currency 5 3 2 2 2 5 6" xfId="19863" xr:uid="{F45955EE-B1C7-49E2-B760-6552AB5AB05A}"/>
    <cellStyle name="Currency 5 3 2 2 2 6" xfId="2436" xr:uid="{00000000-0005-0000-0000-0000980C0000}"/>
    <cellStyle name="Currency 5 3 2 2 2 6 2" xfId="6720" xr:uid="{00000000-0005-0000-0000-0000990C0000}"/>
    <cellStyle name="Currency 5 3 2 2 2 6 2 2" xfId="16046" xr:uid="{434FB48B-5FC3-494E-924E-376365391AA6}"/>
    <cellStyle name="Currency 5 3 2 2 2 6 2 2 2" xfId="52388" xr:uid="{AC4E64F8-E6E4-4BE0-8031-F5D618D46E83}"/>
    <cellStyle name="Currency 5 3 2 2 2 6 2 2 3" xfId="33792" xr:uid="{FC0175F6-59C8-4BA2-BBBD-8DA82B6D6E26}"/>
    <cellStyle name="Currency 5 3 2 2 2 6 2 3" xfId="43091" xr:uid="{F4D7C52B-14E9-40FD-AE11-7002842AC127}"/>
    <cellStyle name="Currency 5 3 2 2 2 6 2 4" xfId="24493" xr:uid="{7689FEDA-47D2-4095-AE7D-3A1068311F04}"/>
    <cellStyle name="Currency 5 3 2 2 2 6 3" xfId="11829" xr:uid="{06C5738A-8ED0-41B7-9F69-1598AC0AD7CE}"/>
    <cellStyle name="Currency 5 3 2 2 2 6 3 2" xfId="48171" xr:uid="{4D44724E-36C5-420D-9E63-A609A49D925A}"/>
    <cellStyle name="Currency 5 3 2 2 2 6 3 3" xfId="29575" xr:uid="{4F068EC2-1B3E-4153-B8DB-F0926C57B5E5}"/>
    <cellStyle name="Currency 5 3 2 2 2 6 4" xfId="38874" xr:uid="{F0D74709-8D5E-4DA5-9705-44D1AEBEEB08}"/>
    <cellStyle name="Currency 5 3 2 2 2 6 5" xfId="20276" xr:uid="{71229A6B-076C-4B26-928D-9C370EBA2036}"/>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16363" xr:uid="{AD6CF297-BD74-4640-AC02-9F92D51FBF7A}"/>
    <cellStyle name="Currency 5 3 2 2 2 8 2 2 2" xfId="52705" xr:uid="{F0933B98-B674-45AE-9CB2-05697075356C}"/>
    <cellStyle name="Currency 5 3 2 2 2 8 2 2 3" xfId="34109" xr:uid="{BB4D1C1F-7BD5-4876-A73B-8251405EB198}"/>
    <cellStyle name="Currency 5 3 2 2 2 8 2 3" xfId="43408" xr:uid="{5E565F15-898E-4081-8368-E3C4218F049B}"/>
    <cellStyle name="Currency 5 3 2 2 2 8 2 4" xfId="24810" xr:uid="{EE7FCA7F-EB8D-4A94-8158-4110943042F4}"/>
    <cellStyle name="Currency 5 3 2 2 2 8 3" xfId="12146" xr:uid="{71822032-7B4A-4921-9631-5571DDA55803}"/>
    <cellStyle name="Currency 5 3 2 2 2 8 3 2" xfId="48488" xr:uid="{1B461AB6-AEE2-454D-AE15-6B7FFA206C25}"/>
    <cellStyle name="Currency 5 3 2 2 2 8 3 3" xfId="29892" xr:uid="{4769263C-58FA-469C-8286-57321753F4F0}"/>
    <cellStyle name="Currency 5 3 2 2 2 8 4" xfId="39191" xr:uid="{7BA392D1-E190-438E-BD34-DF7E52A23CAB}"/>
    <cellStyle name="Currency 5 3 2 2 2 8 5" xfId="20593" xr:uid="{CD2DC858-B8BE-441D-958E-01556AFB5086}"/>
    <cellStyle name="Currency 5 3 2 2 2 9" xfId="4654" xr:uid="{00000000-0005-0000-0000-00009D0C0000}"/>
    <cellStyle name="Currency 5 3 2 2 2 9 2" xfId="13980" xr:uid="{FD0A26F6-A138-48D9-89DE-93B1BD202082}"/>
    <cellStyle name="Currency 5 3 2 2 2 9 2 2" xfId="50322" xr:uid="{4D3CF651-3A79-40B3-8E26-B21A51AE657B}"/>
    <cellStyle name="Currency 5 3 2 2 2 9 2 3" xfId="31726" xr:uid="{76479E36-2013-42D7-9D63-570667C8C930}"/>
    <cellStyle name="Currency 5 3 2 2 2 9 3" xfId="41025" xr:uid="{F4EC40C2-598C-4015-A214-AB5CF79A2E09}"/>
    <cellStyle name="Currency 5 3 2 2 2 9 4" xfId="22427" xr:uid="{95988B04-BD57-4547-8175-2400924C2C68}"/>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16538" xr:uid="{654CF58E-EED3-46CE-AE38-89044256EF1A}"/>
    <cellStyle name="Currency 5 3 2 2 3 2 2 2 2" xfId="52880" xr:uid="{CD4392C4-2DD3-4D68-BF5D-A0BBF6958842}"/>
    <cellStyle name="Currency 5 3 2 2 3 2 2 2 3" xfId="34284" xr:uid="{43455947-10E3-4493-A302-570C98AA0122}"/>
    <cellStyle name="Currency 5 3 2 2 3 2 2 3" xfId="43583" xr:uid="{236B691F-78CA-4739-93A5-58BF1480AF23}"/>
    <cellStyle name="Currency 5 3 2 2 3 2 2 4" xfId="24985" xr:uid="{8AB24378-ACE8-4F14-9DF4-7627F8B7261B}"/>
    <cellStyle name="Currency 5 3 2 2 3 2 3" xfId="12321" xr:uid="{A183D8B3-D912-4ECE-BF2D-41348FFF4059}"/>
    <cellStyle name="Currency 5 3 2 2 3 2 3 2" xfId="48663" xr:uid="{5EA8BF4E-3125-48AC-A90E-CD92BD78B205}"/>
    <cellStyle name="Currency 5 3 2 2 3 2 3 3" xfId="30067" xr:uid="{8951181E-AC07-4770-BE0D-B4900A618BBF}"/>
    <cellStyle name="Currency 5 3 2 2 3 2 4" xfId="39366" xr:uid="{484FF4CD-8968-4AE6-B870-C646CE8AB265}"/>
    <cellStyle name="Currency 5 3 2 2 3 2 5" xfId="20768" xr:uid="{2860425F-7FA3-4E89-82E7-CF512536AA1C}"/>
    <cellStyle name="Currency 5 3 2 2 3 3" xfId="5067" xr:uid="{00000000-0005-0000-0000-0000A10C0000}"/>
    <cellStyle name="Currency 5 3 2 2 3 3 2" xfId="14393" xr:uid="{113D6BF5-9D84-4BAF-8542-5C26D7F5E952}"/>
    <cellStyle name="Currency 5 3 2 2 3 3 2 2" xfId="50735" xr:uid="{6468495D-F048-4BAB-B73C-F2D76A3687FC}"/>
    <cellStyle name="Currency 5 3 2 2 3 3 2 3" xfId="32139" xr:uid="{C5551E6E-0F77-4FCF-A895-0FB4B886FA42}"/>
    <cellStyle name="Currency 5 3 2 2 3 3 3" xfId="41438" xr:uid="{58F1F141-56C8-40B5-8EB5-58B06AD864C9}"/>
    <cellStyle name="Currency 5 3 2 2 3 3 4" xfId="22840" xr:uid="{18B9261B-2960-4DFF-BE3C-0BFE48E38380}"/>
    <cellStyle name="Currency 5 3 2 2 3 4" xfId="9338" xr:uid="{E79296CA-9516-4DDA-84B2-A3B13AAA9D9D}"/>
    <cellStyle name="Currency 5 3 2 2 3 4 2" xfId="36399" xr:uid="{EB35B638-A60A-4BBF-9D4F-F6751FCB80D0}"/>
    <cellStyle name="Currency 5 3 2 2 3 4 2 2" xfId="54993" xr:uid="{DC8DFBC6-0800-4820-9092-EE8678B9F121}"/>
    <cellStyle name="Currency 5 3 2 2 3 4 3" xfId="45696" xr:uid="{D57D76EE-62E7-48AE-A2DB-C6FA7E453AB2}"/>
    <cellStyle name="Currency 5 3 2 2 3 4 4" xfId="27100" xr:uid="{BFBB01EB-1EF3-4B67-8153-78F29178A5F4}"/>
    <cellStyle name="Currency 5 3 2 2 3 5" xfId="10176" xr:uid="{0EEB4F71-C121-46E4-9C28-1CCAF7240837}"/>
    <cellStyle name="Currency 5 3 2 2 3 5 2" xfId="46518" xr:uid="{6DB74DF6-48F5-47DA-9DC5-7EC3E95342FB}"/>
    <cellStyle name="Currency 5 3 2 2 3 5 3" xfId="27922" xr:uid="{6DE9D4DB-DBBB-423E-AEF6-40C10578C06E}"/>
    <cellStyle name="Currency 5 3 2 2 3 6" xfId="37221" xr:uid="{DD582F2F-02B6-4E9B-8D54-0F5917CAE716}"/>
    <cellStyle name="Currency 5 3 2 2 3 7" xfId="18623" xr:uid="{6E58B93C-E16A-4431-9A43-3B0970F100D2}"/>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16951" xr:uid="{6654F9F8-F3E7-40F5-9184-5746D06A249F}"/>
    <cellStyle name="Currency 5 3 2 2 4 2 2 2 2" xfId="53293" xr:uid="{D2BEC81D-952B-4DA5-A655-505F421E3290}"/>
    <cellStyle name="Currency 5 3 2 2 4 2 2 2 3" xfId="34697" xr:uid="{399F8511-AE7D-4CEC-A600-6263E50BCB0E}"/>
    <cellStyle name="Currency 5 3 2 2 4 2 2 3" xfId="43996" xr:uid="{643B7AA6-DA22-48AF-BBF6-64788CB980ED}"/>
    <cellStyle name="Currency 5 3 2 2 4 2 2 4" xfId="25398" xr:uid="{EC4BAF38-391B-4AED-AF52-43723E4E809E}"/>
    <cellStyle name="Currency 5 3 2 2 4 2 3" xfId="12734" xr:uid="{C2CDA244-E8FD-43AE-82C2-E31A9FFFE23D}"/>
    <cellStyle name="Currency 5 3 2 2 4 2 3 2" xfId="49076" xr:uid="{4DEF7F20-3562-4EC9-B373-F885701DA0C0}"/>
    <cellStyle name="Currency 5 3 2 2 4 2 3 3" xfId="30480" xr:uid="{F6B34026-70FF-42A9-AFEB-AC101D21AB4D}"/>
    <cellStyle name="Currency 5 3 2 2 4 2 4" xfId="39779" xr:uid="{EBFCB720-8A40-4FC3-8E8F-06A6EA550CD2}"/>
    <cellStyle name="Currency 5 3 2 2 4 2 5" xfId="21181" xr:uid="{BAE88BC2-87EC-48FB-9C2D-954300E6C0D0}"/>
    <cellStyle name="Currency 5 3 2 2 4 3" xfId="5480" xr:uid="{00000000-0005-0000-0000-0000A50C0000}"/>
    <cellStyle name="Currency 5 3 2 2 4 3 2" xfId="14806" xr:uid="{AAFCCB1D-1100-4C9D-9E1A-E74443F33F02}"/>
    <cellStyle name="Currency 5 3 2 2 4 3 2 2" xfId="51148" xr:uid="{B48693E5-C8E3-4EAB-BD41-45DCDD3C01FC}"/>
    <cellStyle name="Currency 5 3 2 2 4 3 2 3" xfId="32552" xr:uid="{E7A30164-F0EC-4632-8FF9-DE4D148F100E}"/>
    <cellStyle name="Currency 5 3 2 2 4 3 3" xfId="41851" xr:uid="{5E9FCB8B-3916-43F1-9010-5CD2B4F93243}"/>
    <cellStyle name="Currency 5 3 2 2 4 3 4" xfId="23253" xr:uid="{275D8E63-6C98-463C-9ECA-5762986493CE}"/>
    <cellStyle name="Currency 5 3 2 2 4 4" xfId="10589" xr:uid="{D6CFFC17-672C-4536-899A-941E41903295}"/>
    <cellStyle name="Currency 5 3 2 2 4 4 2" xfId="46931" xr:uid="{8BE03BC9-7DC7-416B-9524-026832D6AC08}"/>
    <cellStyle name="Currency 5 3 2 2 4 4 3" xfId="28335" xr:uid="{D1874CEE-0DA5-43F3-BF7B-4DD35A63B033}"/>
    <cellStyle name="Currency 5 3 2 2 4 5" xfId="37634" xr:uid="{12D3ACAF-82AC-4DD8-A4E0-F189905963A9}"/>
    <cellStyle name="Currency 5 3 2 2 4 6" xfId="19036" xr:uid="{243B1C5E-497A-404F-804C-A6D118E2647A}"/>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17364" xr:uid="{45FE9F66-B5DA-4571-8B1A-BFD4004ECC92}"/>
    <cellStyle name="Currency 5 3 2 2 5 2 2 2 2" xfId="53706" xr:uid="{24ADE765-AAE9-4334-BE5C-4F33ADDCCADC}"/>
    <cellStyle name="Currency 5 3 2 2 5 2 2 2 3" xfId="35110" xr:uid="{F2AF05D5-BDC4-4CA9-9A16-37F66298D6DD}"/>
    <cellStyle name="Currency 5 3 2 2 5 2 2 3" xfId="44409" xr:uid="{0F18E439-EABC-45DA-B34A-CECC7DC6FF1B}"/>
    <cellStyle name="Currency 5 3 2 2 5 2 2 4" xfId="25811" xr:uid="{6D82A8FA-CA12-4104-8D11-C37B2D42E78B}"/>
    <cellStyle name="Currency 5 3 2 2 5 2 3" xfId="13147" xr:uid="{1C90811C-EAE5-4C07-880E-470750A68342}"/>
    <cellStyle name="Currency 5 3 2 2 5 2 3 2" xfId="49489" xr:uid="{AC54BCDA-E382-42AD-84E0-478E8FB95923}"/>
    <cellStyle name="Currency 5 3 2 2 5 2 3 3" xfId="30893" xr:uid="{EFB42920-F734-41AC-9F8E-D2EFBF856ADF}"/>
    <cellStyle name="Currency 5 3 2 2 5 2 4" xfId="40192" xr:uid="{BEA50C3F-3F85-412D-ACD9-E91C261B1583}"/>
    <cellStyle name="Currency 5 3 2 2 5 2 5" xfId="21594" xr:uid="{23CE42A5-616E-4EDF-8F6E-438D92F4BA88}"/>
    <cellStyle name="Currency 5 3 2 2 5 3" xfId="5893" xr:uid="{00000000-0005-0000-0000-0000A90C0000}"/>
    <cellStyle name="Currency 5 3 2 2 5 3 2" xfId="15219" xr:uid="{424FE2C2-6373-411B-B288-37ADECAF8EED}"/>
    <cellStyle name="Currency 5 3 2 2 5 3 2 2" xfId="51561" xr:uid="{CB5C3877-8EC1-49E5-A695-97B4B0B39530}"/>
    <cellStyle name="Currency 5 3 2 2 5 3 2 3" xfId="32965" xr:uid="{11A947EA-7D74-43F7-AA5A-7DFC4C631912}"/>
    <cellStyle name="Currency 5 3 2 2 5 3 3" xfId="42264" xr:uid="{A77950EB-5635-4702-A95F-A2C9E2C0DD1D}"/>
    <cellStyle name="Currency 5 3 2 2 5 3 4" xfId="23666" xr:uid="{D1F99E36-3C51-4BDE-8D86-6E172F6D7F13}"/>
    <cellStyle name="Currency 5 3 2 2 5 4" xfId="11002" xr:uid="{8B2C0A0A-1CBB-4092-93D8-8A00627137A6}"/>
    <cellStyle name="Currency 5 3 2 2 5 4 2" xfId="47344" xr:uid="{6C67FA2B-9F81-490B-83CA-9E9602DDD6CF}"/>
    <cellStyle name="Currency 5 3 2 2 5 4 3" xfId="28748" xr:uid="{244940D3-C767-4954-89F2-640440068CFA}"/>
    <cellStyle name="Currency 5 3 2 2 5 5" xfId="38047" xr:uid="{A425B686-4928-46C2-BF2C-2C0B08DA1500}"/>
    <cellStyle name="Currency 5 3 2 2 5 6" xfId="19449" xr:uid="{9165C7DB-2E88-49E4-A51E-14737119BF27}"/>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17777" xr:uid="{31715A7F-A806-4025-9287-66AA44E02A81}"/>
    <cellStyle name="Currency 5 3 2 2 6 2 2 2 2" xfId="54119" xr:uid="{0BF3FDFB-22A0-4614-A6A7-DEE1F58385E6}"/>
    <cellStyle name="Currency 5 3 2 2 6 2 2 2 3" xfId="35523" xr:uid="{04521C5B-FB35-4F8F-AD98-57B9309D479A}"/>
    <cellStyle name="Currency 5 3 2 2 6 2 2 3" xfId="44822" xr:uid="{C151F931-F453-4EFD-A26C-8A8CF519FF3E}"/>
    <cellStyle name="Currency 5 3 2 2 6 2 2 4" xfId="26224" xr:uid="{84CC8C81-9536-462B-880E-6CF1DF183DDB}"/>
    <cellStyle name="Currency 5 3 2 2 6 2 3" xfId="13560" xr:uid="{ED7D8266-6959-41E4-8802-DFB2C09057B2}"/>
    <cellStyle name="Currency 5 3 2 2 6 2 3 2" xfId="49902" xr:uid="{93ABADEA-5523-4924-B0C7-FDAEAF92887F}"/>
    <cellStyle name="Currency 5 3 2 2 6 2 3 3" xfId="31306" xr:uid="{9288E050-6CD6-49C9-838C-500EFFFD2B44}"/>
    <cellStyle name="Currency 5 3 2 2 6 2 4" xfId="40605" xr:uid="{AB6BEAF5-A8BE-4846-8C28-58439786A581}"/>
    <cellStyle name="Currency 5 3 2 2 6 2 5" xfId="22007" xr:uid="{C8C86E22-8F7A-45D5-8928-A4F5ECEC0BFA}"/>
    <cellStyle name="Currency 5 3 2 2 6 3" xfId="6306" xr:uid="{00000000-0005-0000-0000-0000AD0C0000}"/>
    <cellStyle name="Currency 5 3 2 2 6 3 2" xfId="15632" xr:uid="{1EF27EAE-20DD-432A-A955-D24D2F39BDAC}"/>
    <cellStyle name="Currency 5 3 2 2 6 3 2 2" xfId="51974" xr:uid="{B05ACCC0-604B-449E-8C5E-DDB177407E07}"/>
    <cellStyle name="Currency 5 3 2 2 6 3 2 3" xfId="33378" xr:uid="{B243996A-01AD-45D5-8C85-EADD6FCE63F5}"/>
    <cellStyle name="Currency 5 3 2 2 6 3 3" xfId="42677" xr:uid="{52CA9F06-7096-4467-AE9F-32481D149680}"/>
    <cellStyle name="Currency 5 3 2 2 6 3 4" xfId="24079" xr:uid="{FAA9CAA2-5862-4B92-A313-449DE098E0D4}"/>
    <cellStyle name="Currency 5 3 2 2 6 4" xfId="11415" xr:uid="{26E1B93C-C0E8-412A-AF71-80824665653E}"/>
    <cellStyle name="Currency 5 3 2 2 6 4 2" xfId="47757" xr:uid="{DEC84ED9-F7BE-48C8-8F79-91B89AC34F4B}"/>
    <cellStyle name="Currency 5 3 2 2 6 4 3" xfId="29161" xr:uid="{B404F839-A6C5-4769-806D-24F1FBAD71D6}"/>
    <cellStyle name="Currency 5 3 2 2 6 5" xfId="38460" xr:uid="{6CF458CB-48CC-47B6-9B25-FCF377EE9518}"/>
    <cellStyle name="Currency 5 3 2 2 6 6" xfId="19862" xr:uid="{A01CB4E6-283E-4A31-AAC5-6C7B518F7D3D}"/>
    <cellStyle name="Currency 5 3 2 2 7" xfId="2435" xr:uid="{00000000-0005-0000-0000-0000AE0C0000}"/>
    <cellStyle name="Currency 5 3 2 2 7 2" xfId="6719" xr:uid="{00000000-0005-0000-0000-0000AF0C0000}"/>
    <cellStyle name="Currency 5 3 2 2 7 2 2" xfId="16045" xr:uid="{FDBC45BA-A9B2-4F2B-9B50-0C71BD64A08D}"/>
    <cellStyle name="Currency 5 3 2 2 7 2 2 2" xfId="52387" xr:uid="{82346BE1-B616-49EC-8724-F39F5D3B21C1}"/>
    <cellStyle name="Currency 5 3 2 2 7 2 2 3" xfId="33791" xr:uid="{F88DC67D-9518-4196-A803-19BFFD905D46}"/>
    <cellStyle name="Currency 5 3 2 2 7 2 3" xfId="43090" xr:uid="{B1D08743-B11D-4052-8EE0-BE43A23DB335}"/>
    <cellStyle name="Currency 5 3 2 2 7 2 4" xfId="24492" xr:uid="{2F549182-1342-416C-8923-5E31447C2AA8}"/>
    <cellStyle name="Currency 5 3 2 2 7 3" xfId="11828" xr:uid="{028126A5-56FF-4056-826E-3723A3A0F2C3}"/>
    <cellStyle name="Currency 5 3 2 2 7 3 2" xfId="48170" xr:uid="{49786A1A-D9E9-402C-B9B2-4C7CA72061DD}"/>
    <cellStyle name="Currency 5 3 2 2 7 3 3" xfId="29574" xr:uid="{D68AF3F0-1C0E-449D-A3D8-A3F5303CAF2B}"/>
    <cellStyle name="Currency 5 3 2 2 7 4" xfId="38873" xr:uid="{2FC30AA6-8E48-4854-AD30-8F00451E7B84}"/>
    <cellStyle name="Currency 5 3 2 2 7 5" xfId="20275" xr:uid="{5CABCF83-BA99-4C95-8C0F-FA17C33EDE94}"/>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16362" xr:uid="{C85B54B1-D2FD-4723-BCF1-63CC004F4B82}"/>
    <cellStyle name="Currency 5 3 2 2 9 2 2 2" xfId="52704" xr:uid="{B6171121-ADB0-48BD-AE31-DBF635A26ADA}"/>
    <cellStyle name="Currency 5 3 2 2 9 2 2 3" xfId="34108" xr:uid="{00D3A91B-B000-4E5F-A04B-91169BCC60BC}"/>
    <cellStyle name="Currency 5 3 2 2 9 2 3" xfId="43407" xr:uid="{36C6BAEF-D989-4950-84C5-5F84949A5762}"/>
    <cellStyle name="Currency 5 3 2 2 9 2 4" xfId="24809" xr:uid="{2F4C41B6-0FB8-40AD-ABD8-04F1F0A0D1C8}"/>
    <cellStyle name="Currency 5 3 2 2 9 3" xfId="12145" xr:uid="{ADC1D03F-9140-474F-9120-3DAE8084106C}"/>
    <cellStyle name="Currency 5 3 2 2 9 3 2" xfId="48487" xr:uid="{B800C222-E7A0-4542-83F8-51F0A2704FB8}"/>
    <cellStyle name="Currency 5 3 2 2 9 3 3" xfId="29891" xr:uid="{F1599837-4566-4E54-96BD-652CF09A4083}"/>
    <cellStyle name="Currency 5 3 2 2 9 4" xfId="39190" xr:uid="{1E727B67-5113-4490-92E5-51E652928AB3}"/>
    <cellStyle name="Currency 5 3 2 2 9 5" xfId="20592" xr:uid="{E6475EDB-6B31-492C-983A-905AEFACFB8E}"/>
    <cellStyle name="Currency 5 3 2 3" xfId="213" xr:uid="{00000000-0005-0000-0000-0000B30C0000}"/>
    <cellStyle name="Currency 5 3 2 3 10" xfId="9017" xr:uid="{A6213F8D-EE09-4095-B9BE-99C55DEE210F}"/>
    <cellStyle name="Currency 5 3 2 3 10 2" xfId="36087" xr:uid="{BA700304-D846-4313-B10A-77812991D3BC}"/>
    <cellStyle name="Currency 5 3 2 3 10 2 2" xfId="54682" xr:uid="{2D43819D-5D8C-4F60-A1AE-CDC0A22EEF34}"/>
    <cellStyle name="Currency 5 3 2 3 10 3" xfId="45385" xr:uid="{EAFF28B3-15CB-4B25-9550-8AB9E83EEC89}"/>
    <cellStyle name="Currency 5 3 2 3 10 4" xfId="26788" xr:uid="{DF028710-E871-4914-9B73-F35A687AAD8B}"/>
    <cellStyle name="Currency 5 3 2 3 11" xfId="9764" xr:uid="{D22CEAEC-078E-4C49-95A7-ABEF4282C83B}"/>
    <cellStyle name="Currency 5 3 2 3 11 2" xfId="46106" xr:uid="{1B6D5F79-C9F9-4C7C-9CFC-799F82869DA7}"/>
    <cellStyle name="Currency 5 3 2 3 11 3" xfId="27510" xr:uid="{B886767A-434A-467C-9376-5E8DCF283AFE}"/>
    <cellStyle name="Currency 5 3 2 3 12" xfId="36809" xr:uid="{273ADBC7-C831-44DB-A9C0-929296067736}"/>
    <cellStyle name="Currency 5 3 2 3 13" xfId="18211" xr:uid="{28D9AF1B-7462-45C5-857E-A72E5EE1BDBD}"/>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16540" xr:uid="{C60EE064-1A17-4807-B7C1-23E17AA5B3FB}"/>
    <cellStyle name="Currency 5 3 2 3 2 2 2 2 2" xfId="52882" xr:uid="{16408746-B1D1-47BC-A073-C6495B071ED3}"/>
    <cellStyle name="Currency 5 3 2 3 2 2 2 2 3" xfId="34286" xr:uid="{1B9A9108-D6EA-4A34-9838-7E9090FA089F}"/>
    <cellStyle name="Currency 5 3 2 3 2 2 2 3" xfId="43585" xr:uid="{161A8231-F6E5-47BE-AB45-0E83F2A6522A}"/>
    <cellStyle name="Currency 5 3 2 3 2 2 2 4" xfId="24987" xr:uid="{8CB8CF59-D1E3-4795-A082-90CCF41478D6}"/>
    <cellStyle name="Currency 5 3 2 3 2 2 3" xfId="12323" xr:uid="{CBACD2B7-2C2B-4113-BF01-859E95E00E27}"/>
    <cellStyle name="Currency 5 3 2 3 2 2 3 2" xfId="48665" xr:uid="{DA9C7517-46C3-4AFB-88C9-4AB46DE58626}"/>
    <cellStyle name="Currency 5 3 2 3 2 2 3 3" xfId="30069" xr:uid="{B6CE2185-6559-4079-A739-7785E4F38BA3}"/>
    <cellStyle name="Currency 5 3 2 3 2 2 4" xfId="39368" xr:uid="{D3FBCD05-E4DC-4A8B-A02C-DE6C08303BAF}"/>
    <cellStyle name="Currency 5 3 2 3 2 2 5" xfId="20770" xr:uid="{E34FD49F-0AAE-42EB-ADEC-BA5991315280}"/>
    <cellStyle name="Currency 5 3 2 3 2 3" xfId="5069" xr:uid="{00000000-0005-0000-0000-0000B70C0000}"/>
    <cellStyle name="Currency 5 3 2 3 2 3 2" xfId="14395" xr:uid="{C67DC312-E1BC-46AE-8CA0-AC7265D94A95}"/>
    <cellStyle name="Currency 5 3 2 3 2 3 2 2" xfId="50737" xr:uid="{EE1E1516-E42F-483D-941A-2B441077E55B}"/>
    <cellStyle name="Currency 5 3 2 3 2 3 2 3" xfId="32141" xr:uid="{EB4000A7-8AA4-4F20-8CD9-C2636094A3AD}"/>
    <cellStyle name="Currency 5 3 2 3 2 3 3" xfId="41440" xr:uid="{859D9966-CCDE-48AF-84D3-C19046644858}"/>
    <cellStyle name="Currency 5 3 2 3 2 3 4" xfId="22842" xr:uid="{0ACCDF46-4AB5-485C-8744-41FDE75C8896}"/>
    <cellStyle name="Currency 5 3 2 3 2 4" xfId="9442" xr:uid="{AE48BD1F-B5DA-4007-BBEE-128FE2FE74D7}"/>
    <cellStyle name="Currency 5 3 2 3 2 4 2" xfId="36503" xr:uid="{A285D0CD-B032-4604-A381-30A589D9AE26}"/>
    <cellStyle name="Currency 5 3 2 3 2 4 2 2" xfId="55097" xr:uid="{679CE3B6-C841-400C-A5E7-85DC26D1B996}"/>
    <cellStyle name="Currency 5 3 2 3 2 4 3" xfId="45800" xr:uid="{B0089325-F69F-4867-8C52-036DEF943589}"/>
    <cellStyle name="Currency 5 3 2 3 2 4 4" xfId="27204" xr:uid="{0069642C-6BAD-4FC8-9C64-CEE108A9B343}"/>
    <cellStyle name="Currency 5 3 2 3 2 5" xfId="10178" xr:uid="{14354F19-03E3-442F-984D-50269EAE68C2}"/>
    <cellStyle name="Currency 5 3 2 3 2 5 2" xfId="46520" xr:uid="{BC5E1B47-A95F-45C8-9BDB-C6E464A2F1ED}"/>
    <cellStyle name="Currency 5 3 2 3 2 5 3" xfId="27924" xr:uid="{281474F0-FAE4-4A6C-9F9A-411CC42FAC11}"/>
    <cellStyle name="Currency 5 3 2 3 2 6" xfId="37223" xr:uid="{4B331F06-1550-4507-9E63-058037F17CD4}"/>
    <cellStyle name="Currency 5 3 2 3 2 7" xfId="18625" xr:uid="{FA8A60C1-A5F4-416A-A416-34BAA83E2E9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16953" xr:uid="{A842C6F9-1C3A-43CE-9811-3F3E7A39D925}"/>
    <cellStyle name="Currency 5 3 2 3 3 2 2 2 2" xfId="53295" xr:uid="{987C27F1-8029-4CC2-8BD7-5A6664C3CAA1}"/>
    <cellStyle name="Currency 5 3 2 3 3 2 2 2 3" xfId="34699" xr:uid="{EA8DCC26-3276-4653-9FF2-7EC5AEE4E00D}"/>
    <cellStyle name="Currency 5 3 2 3 3 2 2 3" xfId="43998" xr:uid="{C067B4D2-D10C-460A-98DA-D98DC666ABC5}"/>
    <cellStyle name="Currency 5 3 2 3 3 2 2 4" xfId="25400" xr:uid="{4F469124-BDAC-49C7-896D-BDCDACD311A8}"/>
    <cellStyle name="Currency 5 3 2 3 3 2 3" xfId="12736" xr:uid="{84303E9C-5C59-4D6F-A498-4BD2A4889BE1}"/>
    <cellStyle name="Currency 5 3 2 3 3 2 3 2" xfId="49078" xr:uid="{B1F396E2-F289-47EE-A28F-2B004BFD9B9F}"/>
    <cellStyle name="Currency 5 3 2 3 3 2 3 3" xfId="30482" xr:uid="{BCB48722-402E-4DC4-BD2B-7AC0208A0F05}"/>
    <cellStyle name="Currency 5 3 2 3 3 2 4" xfId="39781" xr:uid="{33EA0291-3CFA-4B9C-8814-62A4C2BF7E4F}"/>
    <cellStyle name="Currency 5 3 2 3 3 2 5" xfId="21183" xr:uid="{54366F05-469A-4A8B-BBF2-954112DF7B61}"/>
    <cellStyle name="Currency 5 3 2 3 3 3" xfId="5482" xr:uid="{00000000-0005-0000-0000-0000BB0C0000}"/>
    <cellStyle name="Currency 5 3 2 3 3 3 2" xfId="14808" xr:uid="{AAE594EB-C093-431E-A6B1-BEBB36D8B051}"/>
    <cellStyle name="Currency 5 3 2 3 3 3 2 2" xfId="51150" xr:uid="{6D0D23B7-DB24-4713-9311-FC7FCAB12BA0}"/>
    <cellStyle name="Currency 5 3 2 3 3 3 2 3" xfId="32554" xr:uid="{92741607-BF9A-44B9-B848-529F2116DBB7}"/>
    <cellStyle name="Currency 5 3 2 3 3 3 3" xfId="41853" xr:uid="{C393986E-07DB-4D29-AFE2-1B3A7A13C425}"/>
    <cellStyle name="Currency 5 3 2 3 3 3 4" xfId="23255" xr:uid="{C4F946A1-443A-4994-B277-5A0BD86F437F}"/>
    <cellStyle name="Currency 5 3 2 3 3 4" xfId="10591" xr:uid="{62978615-9C16-4373-B331-F753768EC51A}"/>
    <cellStyle name="Currency 5 3 2 3 3 4 2" xfId="46933" xr:uid="{63510080-E68A-4E6F-9E40-F37F1B9788CA}"/>
    <cellStyle name="Currency 5 3 2 3 3 4 3" xfId="28337" xr:uid="{B92C0B1C-7008-4BEC-9052-F26B8D118CA2}"/>
    <cellStyle name="Currency 5 3 2 3 3 5" xfId="37636" xr:uid="{A945A96C-707A-4FD6-9E07-436842FEFADC}"/>
    <cellStyle name="Currency 5 3 2 3 3 6" xfId="19038" xr:uid="{06995258-4ABF-4354-BD43-A72E46ED9D37}"/>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17366" xr:uid="{38523209-116B-4E28-BE34-902DD45336BF}"/>
    <cellStyle name="Currency 5 3 2 3 4 2 2 2 2" xfId="53708" xr:uid="{A1BDA581-D1AB-4845-8E60-A93001DB7D41}"/>
    <cellStyle name="Currency 5 3 2 3 4 2 2 2 3" xfId="35112" xr:uid="{26A5884B-86BD-45C0-86CC-FA62190E8EFD}"/>
    <cellStyle name="Currency 5 3 2 3 4 2 2 3" xfId="44411" xr:uid="{A09EFF9E-79FC-48E5-B32E-F1CDF4F7A68D}"/>
    <cellStyle name="Currency 5 3 2 3 4 2 2 4" xfId="25813" xr:uid="{1A6E239B-F4EC-45C3-B7C1-FA6B1794D08B}"/>
    <cellStyle name="Currency 5 3 2 3 4 2 3" xfId="13149" xr:uid="{89D483A4-61A2-4B88-9010-B2CB0508F1BD}"/>
    <cellStyle name="Currency 5 3 2 3 4 2 3 2" xfId="49491" xr:uid="{6741DC1E-7AC5-4F41-825E-4D31848E0F9E}"/>
    <cellStyle name="Currency 5 3 2 3 4 2 3 3" xfId="30895" xr:uid="{5A77722F-77C8-49D5-B6B8-D596AB7BB78F}"/>
    <cellStyle name="Currency 5 3 2 3 4 2 4" xfId="40194" xr:uid="{342DFF0C-9EBA-4E89-9BA7-8C4B916AF0F8}"/>
    <cellStyle name="Currency 5 3 2 3 4 2 5" xfId="21596" xr:uid="{38436235-9E6F-4406-85A9-FB190AA33120}"/>
    <cellStyle name="Currency 5 3 2 3 4 3" xfId="5895" xr:uid="{00000000-0005-0000-0000-0000BF0C0000}"/>
    <cellStyle name="Currency 5 3 2 3 4 3 2" xfId="15221" xr:uid="{0A3AFDBF-8515-47FD-8D42-BC094A35A8DE}"/>
    <cellStyle name="Currency 5 3 2 3 4 3 2 2" xfId="51563" xr:uid="{DE3103F5-4909-4E8B-AC37-D3A9FE4D980A}"/>
    <cellStyle name="Currency 5 3 2 3 4 3 2 3" xfId="32967" xr:uid="{FDAC38A1-E377-4A30-8CF6-C10123E2D99C}"/>
    <cellStyle name="Currency 5 3 2 3 4 3 3" xfId="42266" xr:uid="{4FB1359D-7A38-44AE-B347-986AFB4671E4}"/>
    <cellStyle name="Currency 5 3 2 3 4 3 4" xfId="23668" xr:uid="{2663DE61-5101-4521-B24F-C9816ED68A3F}"/>
    <cellStyle name="Currency 5 3 2 3 4 4" xfId="11004" xr:uid="{3C6FBDEF-0534-4FD0-96ED-BE013A42BF45}"/>
    <cellStyle name="Currency 5 3 2 3 4 4 2" xfId="47346" xr:uid="{36C01DED-29BE-4879-8BFC-AA7F5AFCC78A}"/>
    <cellStyle name="Currency 5 3 2 3 4 4 3" xfId="28750" xr:uid="{48A138EF-1D24-4002-825B-FD109B08AA1F}"/>
    <cellStyle name="Currency 5 3 2 3 4 5" xfId="38049" xr:uid="{251EC31D-7114-410B-A767-63B9A76B597B}"/>
    <cellStyle name="Currency 5 3 2 3 4 6" xfId="19451" xr:uid="{A5851495-746D-4CB4-A104-25AC1CF5E9C1}"/>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17779" xr:uid="{2B49725D-36F0-4672-BC67-5F1E62938FEC}"/>
    <cellStyle name="Currency 5 3 2 3 5 2 2 2 2" xfId="54121" xr:uid="{CA73566E-B300-4F0B-AF44-F803986313AD}"/>
    <cellStyle name="Currency 5 3 2 3 5 2 2 2 3" xfId="35525" xr:uid="{68EB2164-A441-479E-B920-2B7B3CC12693}"/>
    <cellStyle name="Currency 5 3 2 3 5 2 2 3" xfId="44824" xr:uid="{70A3C579-ACC0-43C2-98EB-E85D1F4F56E4}"/>
    <cellStyle name="Currency 5 3 2 3 5 2 2 4" xfId="26226" xr:uid="{DCB7E8AD-C181-43E5-8D8A-B321359105B4}"/>
    <cellStyle name="Currency 5 3 2 3 5 2 3" xfId="13562" xr:uid="{20459396-BB39-4C17-B38E-48E6368FAFDD}"/>
    <cellStyle name="Currency 5 3 2 3 5 2 3 2" xfId="49904" xr:uid="{60343EAD-5C33-4FBE-84D8-6820099BDF72}"/>
    <cellStyle name="Currency 5 3 2 3 5 2 3 3" xfId="31308" xr:uid="{6A9BF4D7-5004-4AFF-A32F-4E5CBB071F5C}"/>
    <cellStyle name="Currency 5 3 2 3 5 2 4" xfId="40607" xr:uid="{A9882EA4-52B7-4C25-944D-740CCAE5BDEE}"/>
    <cellStyle name="Currency 5 3 2 3 5 2 5" xfId="22009" xr:uid="{D2E29162-B773-4373-8476-3DC1FA239D22}"/>
    <cellStyle name="Currency 5 3 2 3 5 3" xfId="6308" xr:uid="{00000000-0005-0000-0000-0000C30C0000}"/>
    <cellStyle name="Currency 5 3 2 3 5 3 2" xfId="15634" xr:uid="{926F7924-786A-4E3E-8A89-DDA1B2E23DD0}"/>
    <cellStyle name="Currency 5 3 2 3 5 3 2 2" xfId="51976" xr:uid="{2E8F07E7-B481-40B8-9EFD-741ACDA93C9F}"/>
    <cellStyle name="Currency 5 3 2 3 5 3 2 3" xfId="33380" xr:uid="{4C40D9D5-CEA0-4C9A-9939-D7517F319595}"/>
    <cellStyle name="Currency 5 3 2 3 5 3 3" xfId="42679" xr:uid="{41B7A708-E165-411D-A175-7C540D8C2B58}"/>
    <cellStyle name="Currency 5 3 2 3 5 3 4" xfId="24081" xr:uid="{32D3C21F-7BFD-48C2-8B6A-13136BED0977}"/>
    <cellStyle name="Currency 5 3 2 3 5 4" xfId="11417" xr:uid="{6B773BD0-F84F-4648-8BFD-A3B4BCF4A84F}"/>
    <cellStyle name="Currency 5 3 2 3 5 4 2" xfId="47759" xr:uid="{6C207892-0F7D-4ADF-A78B-779B3BCA66C8}"/>
    <cellStyle name="Currency 5 3 2 3 5 4 3" xfId="29163" xr:uid="{0C3BBDBD-CC89-48E9-BE5C-EBEF8170D785}"/>
    <cellStyle name="Currency 5 3 2 3 5 5" xfId="38462" xr:uid="{83AB3168-DAED-41C7-9CE8-661E0CD78C31}"/>
    <cellStyle name="Currency 5 3 2 3 5 6" xfId="19864" xr:uid="{2048CB39-81EB-438A-954C-037F484EB2B4}"/>
    <cellStyle name="Currency 5 3 2 3 6" xfId="2437" xr:uid="{00000000-0005-0000-0000-0000C40C0000}"/>
    <cellStyle name="Currency 5 3 2 3 6 2" xfId="6721" xr:uid="{00000000-0005-0000-0000-0000C50C0000}"/>
    <cellStyle name="Currency 5 3 2 3 6 2 2" xfId="16047" xr:uid="{F426873D-51C2-4579-BFB5-098CB2ACD012}"/>
    <cellStyle name="Currency 5 3 2 3 6 2 2 2" xfId="52389" xr:uid="{6EFA3CA9-2BD0-4B7C-AEE8-3BB23DD627C8}"/>
    <cellStyle name="Currency 5 3 2 3 6 2 2 3" xfId="33793" xr:uid="{1E107A82-4050-496F-83B9-CD6E4CA4946A}"/>
    <cellStyle name="Currency 5 3 2 3 6 2 3" xfId="43092" xr:uid="{120E046D-1111-4ECC-8AA1-ACB0B4C3B868}"/>
    <cellStyle name="Currency 5 3 2 3 6 2 4" xfId="24494" xr:uid="{BC1823E0-8B86-4491-962C-C3DD18EC74B1}"/>
    <cellStyle name="Currency 5 3 2 3 6 3" xfId="11830" xr:uid="{A9C4BFBA-53E3-4A77-8266-05D573BF802B}"/>
    <cellStyle name="Currency 5 3 2 3 6 3 2" xfId="48172" xr:uid="{A60EBEE4-6501-475D-8932-B9845B6E752E}"/>
    <cellStyle name="Currency 5 3 2 3 6 3 3" xfId="29576" xr:uid="{494B424D-0184-4C39-8CDF-E8A7CE30746B}"/>
    <cellStyle name="Currency 5 3 2 3 6 4" xfId="38875" xr:uid="{3FCB27CE-0E10-4AB0-9925-2AACEAF97AAF}"/>
    <cellStyle name="Currency 5 3 2 3 6 5" xfId="20277" xr:uid="{1A1F1635-13A2-43DD-A55B-4337C50245C4}"/>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16364" xr:uid="{E328ABCA-CE78-4A89-828C-5A72051A9F9A}"/>
    <cellStyle name="Currency 5 3 2 3 8 2 2 2" xfId="52706" xr:uid="{5DCF0D95-3B7E-49C3-9D4D-4760D5494833}"/>
    <cellStyle name="Currency 5 3 2 3 8 2 2 3" xfId="34110" xr:uid="{6451288C-598E-47A2-A284-7ACAA1BBB8CC}"/>
    <cellStyle name="Currency 5 3 2 3 8 2 3" xfId="43409" xr:uid="{2992C80E-3AF3-423B-9D09-06BAE79B90BE}"/>
    <cellStyle name="Currency 5 3 2 3 8 2 4" xfId="24811" xr:uid="{728564BB-7178-4E63-9AE7-B55ED7E90FA1}"/>
    <cellStyle name="Currency 5 3 2 3 8 3" xfId="12147" xr:uid="{C9C87ACA-0754-44F4-8860-9C7EB15464D9}"/>
    <cellStyle name="Currency 5 3 2 3 8 3 2" xfId="48489" xr:uid="{B3BC64C1-304D-42D8-AFC8-6CEC6D8F21E5}"/>
    <cellStyle name="Currency 5 3 2 3 8 3 3" xfId="29893" xr:uid="{510BDC23-A86F-46B9-ACEE-43424F782D78}"/>
    <cellStyle name="Currency 5 3 2 3 8 4" xfId="39192" xr:uid="{53AD50C9-4B9E-430C-A1F6-CE327287DACF}"/>
    <cellStyle name="Currency 5 3 2 3 8 5" xfId="20594" xr:uid="{BB9BB498-44E0-4B47-891A-FAF8BBC7CE18}"/>
    <cellStyle name="Currency 5 3 2 3 9" xfId="4655" xr:uid="{00000000-0005-0000-0000-0000C90C0000}"/>
    <cellStyle name="Currency 5 3 2 3 9 2" xfId="13981" xr:uid="{D133B3E1-4C8B-4CCF-A5AC-3F2DE429F616}"/>
    <cellStyle name="Currency 5 3 2 3 9 2 2" xfId="50323" xr:uid="{04308F67-D800-4C42-B088-184A020C4536}"/>
    <cellStyle name="Currency 5 3 2 3 9 2 3" xfId="31727" xr:uid="{035D45A6-85BB-4AF5-911F-78610ADE067C}"/>
    <cellStyle name="Currency 5 3 2 3 9 3" xfId="41026" xr:uid="{4584247D-352C-4F3A-8E3D-8B5EAD7E154B}"/>
    <cellStyle name="Currency 5 3 2 3 9 4" xfId="22428" xr:uid="{DC1C9836-8C28-41FB-9E6A-24FAA60945F9}"/>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16537" xr:uid="{24F39F61-B81E-4E52-A22B-8278DDFBA5FD}"/>
    <cellStyle name="Currency 5 3 2 4 2 2 2 2" xfId="52879" xr:uid="{172C8573-EC92-4FD2-AAEB-E08DABD5FAE5}"/>
    <cellStyle name="Currency 5 3 2 4 2 2 2 3" xfId="34283" xr:uid="{70DA75FC-C580-40C5-BA89-E3D24E5AACF8}"/>
    <cellStyle name="Currency 5 3 2 4 2 2 3" xfId="43582" xr:uid="{5759F694-2DE7-43E5-B5CD-39E46BC31A14}"/>
    <cellStyle name="Currency 5 3 2 4 2 2 4" xfId="24984" xr:uid="{8260C57A-D3C8-4F43-9E10-6F34F5D42C28}"/>
    <cellStyle name="Currency 5 3 2 4 2 3" xfId="12320" xr:uid="{4119796A-CC0C-41A3-A6B7-C3156E6E2DC3}"/>
    <cellStyle name="Currency 5 3 2 4 2 3 2" xfId="48662" xr:uid="{C2F85A24-2A5A-4386-8A87-BA368E1585A3}"/>
    <cellStyle name="Currency 5 3 2 4 2 3 3" xfId="30066" xr:uid="{DC2A4BAF-FCC2-4C66-AB6E-F0905699F337}"/>
    <cellStyle name="Currency 5 3 2 4 2 4" xfId="39365" xr:uid="{5D8BF740-5DFD-46FA-8E49-1A2F9E82BE9C}"/>
    <cellStyle name="Currency 5 3 2 4 2 5" xfId="20767" xr:uid="{D7B0B126-2245-41E8-974F-3F78FAF96693}"/>
    <cellStyle name="Currency 5 3 2 4 3" xfId="5066" xr:uid="{00000000-0005-0000-0000-0000CD0C0000}"/>
    <cellStyle name="Currency 5 3 2 4 3 2" xfId="14392" xr:uid="{DCFBBA87-76D9-4F26-A78C-4F74F54B07E2}"/>
    <cellStyle name="Currency 5 3 2 4 3 2 2" xfId="50734" xr:uid="{957E6292-AA93-4FB8-BCFE-AA115D02DDD5}"/>
    <cellStyle name="Currency 5 3 2 4 3 2 3" xfId="32138" xr:uid="{E3A13653-3735-48FE-8CE7-9C86F7E50EAC}"/>
    <cellStyle name="Currency 5 3 2 4 3 3" xfId="41437" xr:uid="{2D035DA9-1276-4F21-AE2B-F5B9ABF9BAC3}"/>
    <cellStyle name="Currency 5 3 2 4 3 4" xfId="22839" xr:uid="{85B496A4-75B5-46C2-B554-391E40B69F9A}"/>
    <cellStyle name="Currency 5 3 2 4 4" xfId="9235" xr:uid="{F2FD4117-6EF1-4663-964A-AB5B57E6F469}"/>
    <cellStyle name="Currency 5 3 2 4 4 2" xfId="36296" xr:uid="{58DC768C-13FB-470B-B7B5-9EED268FA188}"/>
    <cellStyle name="Currency 5 3 2 4 4 2 2" xfId="54890" xr:uid="{31821B32-3F6E-4893-83BC-C2D2E5D32520}"/>
    <cellStyle name="Currency 5 3 2 4 4 3" xfId="45593" xr:uid="{C3143F9F-927D-4AAF-9BC9-E395E3B818E1}"/>
    <cellStyle name="Currency 5 3 2 4 4 4" xfId="26997" xr:uid="{BEE9A911-26A4-436D-99D9-A00191B24A7C}"/>
    <cellStyle name="Currency 5 3 2 4 5" xfId="10175" xr:uid="{CF2F3B42-A59F-4A26-8F07-EE66ABD53A29}"/>
    <cellStyle name="Currency 5 3 2 4 5 2" xfId="46517" xr:uid="{D7E63362-DD74-481F-9F32-50F7CB909B98}"/>
    <cellStyle name="Currency 5 3 2 4 5 3" xfId="27921" xr:uid="{6CCEEA69-9757-4DF6-A9AA-E1BB88B25041}"/>
    <cellStyle name="Currency 5 3 2 4 6" xfId="37220" xr:uid="{C4E3BFAA-75CD-474A-93F4-6A5DD83798C0}"/>
    <cellStyle name="Currency 5 3 2 4 7" xfId="18622" xr:uid="{AA9986E6-F532-4FAB-A960-CE8AC39216F7}"/>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16950" xr:uid="{0DEE4CCD-B766-4364-B2AE-115608639B5E}"/>
    <cellStyle name="Currency 5 3 2 5 2 2 2 2" xfId="53292" xr:uid="{C286F947-087E-4069-B004-B29D807D4E4D}"/>
    <cellStyle name="Currency 5 3 2 5 2 2 2 3" xfId="34696" xr:uid="{0B6310DF-CB82-4DE1-9DE3-3BF86F7C0808}"/>
    <cellStyle name="Currency 5 3 2 5 2 2 3" xfId="43995" xr:uid="{A442DC7F-E1A9-4609-9740-B859E0EF5607}"/>
    <cellStyle name="Currency 5 3 2 5 2 2 4" xfId="25397" xr:uid="{42A4E6B7-58B4-4270-9B13-CDA5E4C7E8AE}"/>
    <cellStyle name="Currency 5 3 2 5 2 3" xfId="12733" xr:uid="{25F485F9-3276-4C78-8C9B-1A82893B4FF2}"/>
    <cellStyle name="Currency 5 3 2 5 2 3 2" xfId="49075" xr:uid="{51DA5550-A6CE-4055-89CC-0FFE55E0A0B3}"/>
    <cellStyle name="Currency 5 3 2 5 2 3 3" xfId="30479" xr:uid="{F104746F-6613-4947-8A65-6422B2948D96}"/>
    <cellStyle name="Currency 5 3 2 5 2 4" xfId="39778" xr:uid="{C3012DA6-EC60-4118-B4E9-B3273ADD6874}"/>
    <cellStyle name="Currency 5 3 2 5 2 5" xfId="21180" xr:uid="{8A6B654B-B130-4A58-BDE8-1F26E917FC02}"/>
    <cellStyle name="Currency 5 3 2 5 3" xfId="5479" xr:uid="{00000000-0005-0000-0000-0000D10C0000}"/>
    <cellStyle name="Currency 5 3 2 5 3 2" xfId="14805" xr:uid="{19467A54-1166-40AC-8931-0BFBEA707DDE}"/>
    <cellStyle name="Currency 5 3 2 5 3 2 2" xfId="51147" xr:uid="{18C140F5-2CAE-4C88-9DBE-9BB9E64BCA70}"/>
    <cellStyle name="Currency 5 3 2 5 3 2 3" xfId="32551" xr:uid="{174E35D6-3EC8-44CD-8C26-2C4365386C23}"/>
    <cellStyle name="Currency 5 3 2 5 3 3" xfId="41850" xr:uid="{4F860C7B-4676-423C-809A-7C7401032B3C}"/>
    <cellStyle name="Currency 5 3 2 5 3 4" xfId="23252" xr:uid="{9650ED0C-F85B-431B-821E-F21A982F8E35}"/>
    <cellStyle name="Currency 5 3 2 5 4" xfId="10588" xr:uid="{31DC641E-DACF-488D-9FE0-D9DC41D452E0}"/>
    <cellStyle name="Currency 5 3 2 5 4 2" xfId="46930" xr:uid="{1CB18797-7945-436F-9BDB-6D0060159120}"/>
    <cellStyle name="Currency 5 3 2 5 4 3" xfId="28334" xr:uid="{C75AD476-BBAA-4607-AA25-AB941D95C0DF}"/>
    <cellStyle name="Currency 5 3 2 5 5" xfId="37633" xr:uid="{0A279F46-8B2F-4EEE-B1B7-73416F945AAD}"/>
    <cellStyle name="Currency 5 3 2 5 6" xfId="19035" xr:uid="{4D4AB31D-6494-450D-A4C1-0D489F64363F}"/>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17363" xr:uid="{BB1DBA9B-30F2-4592-9F0E-E89C7F219371}"/>
    <cellStyle name="Currency 5 3 2 6 2 2 2 2" xfId="53705" xr:uid="{C8A990D0-C4D0-4047-A37B-500DC835E04A}"/>
    <cellStyle name="Currency 5 3 2 6 2 2 2 3" xfId="35109" xr:uid="{E1EAC1BD-B42F-4BF1-A462-432E605CB9EB}"/>
    <cellStyle name="Currency 5 3 2 6 2 2 3" xfId="44408" xr:uid="{736D0524-C3D3-43B7-8493-1AE2F77D5C48}"/>
    <cellStyle name="Currency 5 3 2 6 2 2 4" xfId="25810" xr:uid="{74EA131B-D2FB-4249-9332-B25772F60E74}"/>
    <cellStyle name="Currency 5 3 2 6 2 3" xfId="13146" xr:uid="{4C230071-DBDE-4F40-B352-F4C5BE5C9B1E}"/>
    <cellStyle name="Currency 5 3 2 6 2 3 2" xfId="49488" xr:uid="{2199410D-E57C-4C09-897C-3436E0181DE7}"/>
    <cellStyle name="Currency 5 3 2 6 2 3 3" xfId="30892" xr:uid="{31034201-9571-4FA8-B28A-8EC94B8AEC37}"/>
    <cellStyle name="Currency 5 3 2 6 2 4" xfId="40191" xr:uid="{D868B507-538F-4088-AB2F-28E2E83C7DB0}"/>
    <cellStyle name="Currency 5 3 2 6 2 5" xfId="21593" xr:uid="{B35AA900-65D3-4F54-B64B-47CA49FE653A}"/>
    <cellStyle name="Currency 5 3 2 6 3" xfId="5892" xr:uid="{00000000-0005-0000-0000-0000D50C0000}"/>
    <cellStyle name="Currency 5 3 2 6 3 2" xfId="15218" xr:uid="{FDAB8F52-58B8-459B-8FB5-D1D66E03FB95}"/>
    <cellStyle name="Currency 5 3 2 6 3 2 2" xfId="51560" xr:uid="{7C878928-1392-4E0F-B924-0A6314D5875A}"/>
    <cellStyle name="Currency 5 3 2 6 3 2 3" xfId="32964" xr:uid="{C0AFA323-36BD-4F4E-9C41-951BD93315FA}"/>
    <cellStyle name="Currency 5 3 2 6 3 3" xfId="42263" xr:uid="{E1AA3CD3-2EF2-49AD-99DF-2A8FB5970E31}"/>
    <cellStyle name="Currency 5 3 2 6 3 4" xfId="23665" xr:uid="{DE1EEA2F-2AF2-4C78-A4CD-FBCBC910A449}"/>
    <cellStyle name="Currency 5 3 2 6 4" xfId="11001" xr:uid="{C7D678D3-5F6D-40BF-8115-8C9BC52B173A}"/>
    <cellStyle name="Currency 5 3 2 6 4 2" xfId="47343" xr:uid="{A4028557-AE0A-423A-A744-8D2DBE97512E}"/>
    <cellStyle name="Currency 5 3 2 6 4 3" xfId="28747" xr:uid="{EAE2A179-0BF7-44D0-8A41-41B97F0E6E0E}"/>
    <cellStyle name="Currency 5 3 2 6 5" xfId="38046" xr:uid="{59FACED8-F454-4A5A-B30E-D741DB5420BE}"/>
    <cellStyle name="Currency 5 3 2 6 6" xfId="19448" xr:uid="{5C3770A5-FBE0-4818-A225-34B455206A30}"/>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17776" xr:uid="{8D1069D0-F988-4973-829B-24A57E0DB5AD}"/>
    <cellStyle name="Currency 5 3 2 7 2 2 2 2" xfId="54118" xr:uid="{14A62495-E7E6-43DE-8EB0-0A97915E62BA}"/>
    <cellStyle name="Currency 5 3 2 7 2 2 2 3" xfId="35522" xr:uid="{8F654FDE-9C9A-4944-BC21-F0CEC65F8BCE}"/>
    <cellStyle name="Currency 5 3 2 7 2 2 3" xfId="44821" xr:uid="{BAEC8547-C8D9-4E7D-87E2-51A202189493}"/>
    <cellStyle name="Currency 5 3 2 7 2 2 4" xfId="26223" xr:uid="{F5466566-3744-4EB9-86B0-E2B33E57F8B4}"/>
    <cellStyle name="Currency 5 3 2 7 2 3" xfId="13559" xr:uid="{78CDE00C-0024-4CBD-9E05-003CC85080F1}"/>
    <cellStyle name="Currency 5 3 2 7 2 3 2" xfId="49901" xr:uid="{2997E332-900F-4DCB-8C3A-57F3FDF45EC6}"/>
    <cellStyle name="Currency 5 3 2 7 2 3 3" xfId="31305" xr:uid="{F5814EC2-2684-4811-99E1-71E85D51DA49}"/>
    <cellStyle name="Currency 5 3 2 7 2 4" xfId="40604" xr:uid="{EC1E417A-1DF0-465E-A6B4-8151C40FF800}"/>
    <cellStyle name="Currency 5 3 2 7 2 5" xfId="22006" xr:uid="{DCB241C5-8083-4DB7-A835-8414C3572A13}"/>
    <cellStyle name="Currency 5 3 2 7 3" xfId="6305" xr:uid="{00000000-0005-0000-0000-0000D90C0000}"/>
    <cellStyle name="Currency 5 3 2 7 3 2" xfId="15631" xr:uid="{E5CCBBFF-265B-4A13-88D1-364363B8BD88}"/>
    <cellStyle name="Currency 5 3 2 7 3 2 2" xfId="51973" xr:uid="{3D5C1B8E-25B9-4ECF-BFE0-AEE388BE253B}"/>
    <cellStyle name="Currency 5 3 2 7 3 2 3" xfId="33377" xr:uid="{93F6BBB3-1407-4732-B77A-5B0E869955A7}"/>
    <cellStyle name="Currency 5 3 2 7 3 3" xfId="42676" xr:uid="{E8217848-A410-4643-9696-F6D98DCE6A5F}"/>
    <cellStyle name="Currency 5 3 2 7 3 4" xfId="24078" xr:uid="{270F019C-E1EC-4969-84D1-AB7DAA40500F}"/>
    <cellStyle name="Currency 5 3 2 7 4" xfId="11414" xr:uid="{672CA183-E845-4BBD-8A6B-B31A9E76C221}"/>
    <cellStyle name="Currency 5 3 2 7 4 2" xfId="47756" xr:uid="{677037F6-1213-409D-A6D2-808EACEB0225}"/>
    <cellStyle name="Currency 5 3 2 7 4 3" xfId="29160" xr:uid="{9470ACDB-6CE1-487A-A9AB-565EB6A9253B}"/>
    <cellStyle name="Currency 5 3 2 7 5" xfId="38459" xr:uid="{9BA799FF-CD00-484A-BDD2-467735B8E0FD}"/>
    <cellStyle name="Currency 5 3 2 7 6" xfId="19861" xr:uid="{4C3F2006-EDEA-4ABF-9D11-6E81983A4E81}"/>
    <cellStyle name="Currency 5 3 2 8" xfId="2434" xr:uid="{00000000-0005-0000-0000-0000DA0C0000}"/>
    <cellStyle name="Currency 5 3 2 8 2" xfId="6718" xr:uid="{00000000-0005-0000-0000-0000DB0C0000}"/>
    <cellStyle name="Currency 5 3 2 8 2 2" xfId="16044" xr:uid="{42BE68F4-4244-4571-B570-7C905C0F5380}"/>
    <cellStyle name="Currency 5 3 2 8 2 2 2" xfId="52386" xr:uid="{E2C8E93F-A760-4035-A974-B2BF232767E7}"/>
    <cellStyle name="Currency 5 3 2 8 2 2 3" xfId="33790" xr:uid="{E30662AB-1479-43AD-B16D-2696BD8F26A5}"/>
    <cellStyle name="Currency 5 3 2 8 2 3" xfId="43089" xr:uid="{B8746486-EA51-48AB-8A5D-FF36CEEA65C8}"/>
    <cellStyle name="Currency 5 3 2 8 2 4" xfId="24491" xr:uid="{A451A7E2-5E60-4940-88CC-909E4E451F93}"/>
    <cellStyle name="Currency 5 3 2 8 3" xfId="11827" xr:uid="{8A09C868-240E-4CC4-B460-EA8F6D4975CF}"/>
    <cellStyle name="Currency 5 3 2 8 3 2" xfId="48169" xr:uid="{001E3400-A6EB-4AC5-BBB2-405F7702CF14}"/>
    <cellStyle name="Currency 5 3 2 8 3 3" xfId="29573" xr:uid="{0F062A51-95D4-4DB1-96A6-23E46BE0D558}"/>
    <cellStyle name="Currency 5 3 2 8 4" xfId="38872" xr:uid="{45E1EEBA-05A8-4BBE-9A2D-2ED48A57D614}"/>
    <cellStyle name="Currency 5 3 2 8 5" xfId="20274" xr:uid="{C8974C04-5737-4A16-ABE3-49526B91E5A7}"/>
    <cellStyle name="Currency 5 3 2 9" xfId="2731" xr:uid="{00000000-0005-0000-0000-0000DC0C0000}"/>
    <cellStyle name="Currency 5 3 3" xfId="214" xr:uid="{00000000-0005-0000-0000-0000DD0C0000}"/>
    <cellStyle name="Currency 5 3 3 10" xfId="4656" xr:uid="{00000000-0005-0000-0000-0000DE0C0000}"/>
    <cellStyle name="Currency 5 3 3 10 2" xfId="13982" xr:uid="{437F8993-3DA6-40C1-A58F-B0313B7C5E78}"/>
    <cellStyle name="Currency 5 3 3 10 2 2" xfId="50324" xr:uid="{A09B009A-BCC7-4593-BF97-60A855B33CE1}"/>
    <cellStyle name="Currency 5 3 3 10 2 3" xfId="31728" xr:uid="{E6B475A6-273F-47BA-B7D7-8E72D59F69E9}"/>
    <cellStyle name="Currency 5 3 3 10 3" xfId="41027" xr:uid="{F9295E50-606F-4B8F-A982-6B9CA73E9501}"/>
    <cellStyle name="Currency 5 3 3 10 4" xfId="22429" xr:uid="{A385233F-FDA0-4B9C-9F89-EB8C3798F437}"/>
    <cellStyle name="Currency 5 3 3 11" xfId="8882" xr:uid="{A86B3ED4-B552-42F3-9E77-C6763F86EEE6}"/>
    <cellStyle name="Currency 5 3 3 11 2" xfId="35952" xr:uid="{B6078297-3B40-43E9-A1DF-10592BF824E6}"/>
    <cellStyle name="Currency 5 3 3 11 2 2" xfId="54547" xr:uid="{9B774437-4437-4BCF-AF82-527FA19553E2}"/>
    <cellStyle name="Currency 5 3 3 11 3" xfId="45250" xr:uid="{4EFCC178-D548-4275-A177-69840ACD8E54}"/>
    <cellStyle name="Currency 5 3 3 11 4" xfId="26653" xr:uid="{EB972886-36FD-4648-9815-A32E9EBAFE53}"/>
    <cellStyle name="Currency 5 3 3 12" xfId="9765" xr:uid="{E1AD64AD-4872-44C6-8287-5A344A87C58B}"/>
    <cellStyle name="Currency 5 3 3 12 2" xfId="46107" xr:uid="{C4FBDCBB-A1F8-4C76-B1AF-64A9B717C1E2}"/>
    <cellStyle name="Currency 5 3 3 12 3" xfId="27511" xr:uid="{921D5CCE-74AA-4F3D-B946-3A11605798B2}"/>
    <cellStyle name="Currency 5 3 3 13" xfId="36810" xr:uid="{9135133C-BFA5-4D59-A0B0-D2D2DCB6A6D7}"/>
    <cellStyle name="Currency 5 3 3 14" xfId="18212" xr:uid="{0E35FC26-3928-40AE-9535-A3273C0192DE}"/>
    <cellStyle name="Currency 5 3 3 2" xfId="215" xr:uid="{00000000-0005-0000-0000-0000DF0C0000}"/>
    <cellStyle name="Currency 5 3 3 2 10" xfId="9089" xr:uid="{7CFB8DCC-02AE-4CC5-8E10-3D33399ECECE}"/>
    <cellStyle name="Currency 5 3 3 2 10 2" xfId="36159" xr:uid="{E6C2A5E5-C847-4EBF-8286-4406B9B56F9C}"/>
    <cellStyle name="Currency 5 3 3 2 10 2 2" xfId="54754" xr:uid="{FCAA01E2-5735-4222-8A8D-ED14CB8D1A30}"/>
    <cellStyle name="Currency 5 3 3 2 10 3" xfId="45457" xr:uid="{63F9B26F-2A85-41C9-BFC6-16DFC02F88C0}"/>
    <cellStyle name="Currency 5 3 3 2 10 4" xfId="26860" xr:uid="{90FA68A4-9F76-4B44-84A4-FC6A44501854}"/>
    <cellStyle name="Currency 5 3 3 2 11" xfId="9766" xr:uid="{7EC7174C-FAB4-470C-8DC2-575E1A768358}"/>
    <cellStyle name="Currency 5 3 3 2 11 2" xfId="46108" xr:uid="{6D39032D-F53C-46A1-8548-904E1EB296A8}"/>
    <cellStyle name="Currency 5 3 3 2 11 3" xfId="27512" xr:uid="{286DE57D-2D7D-42A5-AE81-F8F9EFADBFCD}"/>
    <cellStyle name="Currency 5 3 3 2 12" xfId="36811" xr:uid="{FBB75EFA-A772-4723-9E21-D13285CAF576}"/>
    <cellStyle name="Currency 5 3 3 2 13" xfId="18213" xr:uid="{434CBE01-6D5A-465D-8848-081F29C2BF3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16542" xr:uid="{1A3DC846-2483-4730-B57C-52D7F1C2686C}"/>
    <cellStyle name="Currency 5 3 3 2 2 2 2 2 2" xfId="52884" xr:uid="{AB2EFFC2-1995-4381-B494-653103E85499}"/>
    <cellStyle name="Currency 5 3 3 2 2 2 2 2 3" xfId="34288" xr:uid="{B0F9F399-9CB7-4483-AACD-B2CC359F2322}"/>
    <cellStyle name="Currency 5 3 3 2 2 2 2 3" xfId="43587" xr:uid="{1B25DEBE-EDE9-4A20-9123-1C3F864BC571}"/>
    <cellStyle name="Currency 5 3 3 2 2 2 2 4" xfId="24989" xr:uid="{FDE27358-3020-4703-84D7-30BA45B9C3AA}"/>
    <cellStyle name="Currency 5 3 3 2 2 2 3" xfId="12325" xr:uid="{C0A60F7D-883F-4928-B5CC-2AD9F70286DC}"/>
    <cellStyle name="Currency 5 3 3 2 2 2 3 2" xfId="48667" xr:uid="{BCDB4B4C-3CA2-4C30-A3F2-5A04D2FAC60E}"/>
    <cellStyle name="Currency 5 3 3 2 2 2 3 3" xfId="30071" xr:uid="{0281A371-637A-4F70-A193-175686A34AAD}"/>
    <cellStyle name="Currency 5 3 3 2 2 2 4" xfId="39370" xr:uid="{122483BE-4432-4462-9443-BB77BD6AE23E}"/>
    <cellStyle name="Currency 5 3 3 2 2 2 5" xfId="20772" xr:uid="{C2E8E8B4-DC47-4596-9DC8-3F942EBDC3AB}"/>
    <cellStyle name="Currency 5 3 3 2 2 3" xfId="5071" xr:uid="{00000000-0005-0000-0000-0000E30C0000}"/>
    <cellStyle name="Currency 5 3 3 2 2 3 2" xfId="14397" xr:uid="{19062B37-26A4-41C2-A19D-1C6598A42B14}"/>
    <cellStyle name="Currency 5 3 3 2 2 3 2 2" xfId="50739" xr:uid="{574DB906-D647-4C32-8648-34E6F826CE68}"/>
    <cellStyle name="Currency 5 3 3 2 2 3 2 3" xfId="32143" xr:uid="{C56B2E49-C7AF-4714-A443-58A69E8620A2}"/>
    <cellStyle name="Currency 5 3 3 2 2 3 3" xfId="41442" xr:uid="{030DA489-1164-4221-885B-8362460EC81F}"/>
    <cellStyle name="Currency 5 3 3 2 2 3 4" xfId="22844" xr:uid="{1D610553-E762-4254-9825-B8D1254C8AE3}"/>
    <cellStyle name="Currency 5 3 3 2 2 4" xfId="9514" xr:uid="{9A504F43-6423-4200-B7AF-F17B65B2005C}"/>
    <cellStyle name="Currency 5 3 3 2 2 4 2" xfId="36575" xr:uid="{31F35F34-86B3-4527-BEB3-358F22489132}"/>
    <cellStyle name="Currency 5 3 3 2 2 4 2 2" xfId="55169" xr:uid="{85874174-38B5-4875-AC2A-F84F1415CD85}"/>
    <cellStyle name="Currency 5 3 3 2 2 4 3" xfId="45872" xr:uid="{3B788E1C-961B-45A5-9CFC-9835390E77D8}"/>
    <cellStyle name="Currency 5 3 3 2 2 4 4" xfId="27276" xr:uid="{9795647E-311E-4F5D-8890-BAADAA83644A}"/>
    <cellStyle name="Currency 5 3 3 2 2 5" xfId="10180" xr:uid="{251E1A33-3931-43D5-B00E-DBBE4025DB96}"/>
    <cellStyle name="Currency 5 3 3 2 2 5 2" xfId="46522" xr:uid="{1A98F9B5-EF39-4F76-B609-2CB13815D149}"/>
    <cellStyle name="Currency 5 3 3 2 2 5 3" xfId="27926" xr:uid="{DAEAEE58-B11D-48EE-82E2-4E0FCEDF29A8}"/>
    <cellStyle name="Currency 5 3 3 2 2 6" xfId="37225" xr:uid="{860939FD-F607-4C80-978D-CB3ECAC4411F}"/>
    <cellStyle name="Currency 5 3 3 2 2 7" xfId="18627" xr:uid="{ED8D253A-A498-41CB-9472-4730B61687E4}"/>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16955" xr:uid="{A97AD004-9621-472F-9942-EBA768964E36}"/>
    <cellStyle name="Currency 5 3 3 2 3 2 2 2 2" xfId="53297" xr:uid="{735FD7B5-3720-46BC-983F-24BEFC833051}"/>
    <cellStyle name="Currency 5 3 3 2 3 2 2 2 3" xfId="34701" xr:uid="{BD68841F-5535-4FA8-AD0F-0B5CB2BE9AE1}"/>
    <cellStyle name="Currency 5 3 3 2 3 2 2 3" xfId="44000" xr:uid="{72D45A59-70DE-4A47-9DAA-03BE90D14D60}"/>
    <cellStyle name="Currency 5 3 3 2 3 2 2 4" xfId="25402" xr:uid="{E5563E6D-96F1-4EAD-94BB-5F363C8C6A9A}"/>
    <cellStyle name="Currency 5 3 3 2 3 2 3" xfId="12738" xr:uid="{5F188E37-42F3-4C4B-BB22-E0BD2CA224CE}"/>
    <cellStyle name="Currency 5 3 3 2 3 2 3 2" xfId="49080" xr:uid="{C712730B-34D1-458D-AB53-4B20AFFB33E7}"/>
    <cellStyle name="Currency 5 3 3 2 3 2 3 3" xfId="30484" xr:uid="{A565072C-25AB-4705-8925-66EE8FC479CD}"/>
    <cellStyle name="Currency 5 3 3 2 3 2 4" xfId="39783" xr:uid="{87AACC73-84B5-4FB5-BC19-57827F29D84A}"/>
    <cellStyle name="Currency 5 3 3 2 3 2 5" xfId="21185" xr:uid="{B16C54C4-1338-4948-A554-EC974AB56B98}"/>
    <cellStyle name="Currency 5 3 3 2 3 3" xfId="5484" xr:uid="{00000000-0005-0000-0000-0000E70C0000}"/>
    <cellStyle name="Currency 5 3 3 2 3 3 2" xfId="14810" xr:uid="{B9F682D1-5F0D-4062-8225-B5EB2AA77C88}"/>
    <cellStyle name="Currency 5 3 3 2 3 3 2 2" xfId="51152" xr:uid="{66DC5E8C-5954-461D-AE79-6B97C910B39A}"/>
    <cellStyle name="Currency 5 3 3 2 3 3 2 3" xfId="32556" xr:uid="{A3F9F6C4-ADD1-411D-BF80-C6CFE7AAE40A}"/>
    <cellStyle name="Currency 5 3 3 2 3 3 3" xfId="41855" xr:uid="{A690659C-94A5-4ADE-BA72-FBBDA87A73A0}"/>
    <cellStyle name="Currency 5 3 3 2 3 3 4" xfId="23257" xr:uid="{4DB5DE15-6105-4344-A964-681AB8369D39}"/>
    <cellStyle name="Currency 5 3 3 2 3 4" xfId="10593" xr:uid="{48BD8359-5D5F-4A3B-B9B0-ABD6FA85151E}"/>
    <cellStyle name="Currency 5 3 3 2 3 4 2" xfId="46935" xr:uid="{11349196-ACCC-4B03-BBFC-6397C2395265}"/>
    <cellStyle name="Currency 5 3 3 2 3 4 3" xfId="28339" xr:uid="{7078D2AE-F5D1-469B-A465-A52D1DBB0604}"/>
    <cellStyle name="Currency 5 3 3 2 3 5" xfId="37638" xr:uid="{F41C89A6-2757-421F-8A68-2708780FB24F}"/>
    <cellStyle name="Currency 5 3 3 2 3 6" xfId="19040" xr:uid="{E7C493CC-6CA3-4252-AD4D-EA949DC17C49}"/>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17368" xr:uid="{7E54ACE7-7086-46E1-B089-F9BB66B20760}"/>
    <cellStyle name="Currency 5 3 3 2 4 2 2 2 2" xfId="53710" xr:uid="{055591AD-AD1E-4665-9403-A5BD079645B3}"/>
    <cellStyle name="Currency 5 3 3 2 4 2 2 2 3" xfId="35114" xr:uid="{FDD05017-DF37-4936-94C5-218CE83363B1}"/>
    <cellStyle name="Currency 5 3 3 2 4 2 2 3" xfId="44413" xr:uid="{5CC27481-B9DD-4912-949F-F2BC4B2FE4DB}"/>
    <cellStyle name="Currency 5 3 3 2 4 2 2 4" xfId="25815" xr:uid="{139D76C2-7B06-42E0-B550-6FE3004F29E7}"/>
    <cellStyle name="Currency 5 3 3 2 4 2 3" xfId="13151" xr:uid="{91677A4E-C46E-450B-A802-F5BF5A64E368}"/>
    <cellStyle name="Currency 5 3 3 2 4 2 3 2" xfId="49493" xr:uid="{532A84A1-C24F-4769-B7C9-5C17F6AEB7BC}"/>
    <cellStyle name="Currency 5 3 3 2 4 2 3 3" xfId="30897" xr:uid="{7778DD2F-1F17-4B5C-B9A8-0DA433AF5B05}"/>
    <cellStyle name="Currency 5 3 3 2 4 2 4" xfId="40196" xr:uid="{8EEF6753-6D86-42BA-8415-04857A135713}"/>
    <cellStyle name="Currency 5 3 3 2 4 2 5" xfId="21598" xr:uid="{1A22A906-F072-448D-A301-B86273EB07DD}"/>
    <cellStyle name="Currency 5 3 3 2 4 3" xfId="5897" xr:uid="{00000000-0005-0000-0000-0000EB0C0000}"/>
    <cellStyle name="Currency 5 3 3 2 4 3 2" xfId="15223" xr:uid="{B75932A0-615D-496B-B9D4-CE27F257B1BF}"/>
    <cellStyle name="Currency 5 3 3 2 4 3 2 2" xfId="51565" xr:uid="{AF361A21-EEF7-43E5-BC37-A77237673E3A}"/>
    <cellStyle name="Currency 5 3 3 2 4 3 2 3" xfId="32969" xr:uid="{2CE27BA6-B926-4AA8-8EC3-FA454D9F83B3}"/>
    <cellStyle name="Currency 5 3 3 2 4 3 3" xfId="42268" xr:uid="{4436F0AE-9162-4015-A7FE-9B0DF21C2E4F}"/>
    <cellStyle name="Currency 5 3 3 2 4 3 4" xfId="23670" xr:uid="{C201637A-1F18-470B-BBE3-14095845A9D5}"/>
    <cellStyle name="Currency 5 3 3 2 4 4" xfId="11006" xr:uid="{B02C079E-3EE2-4031-A935-A4D64DA64F4B}"/>
    <cellStyle name="Currency 5 3 3 2 4 4 2" xfId="47348" xr:uid="{CAABBB2D-24DF-4A14-8CC7-1456121F1C75}"/>
    <cellStyle name="Currency 5 3 3 2 4 4 3" xfId="28752" xr:uid="{8A8E33FD-A877-4B33-A4D2-9893B994CE8D}"/>
    <cellStyle name="Currency 5 3 3 2 4 5" xfId="38051" xr:uid="{2A22F413-1207-40AA-AE0D-48694E6D7DB7}"/>
    <cellStyle name="Currency 5 3 3 2 4 6" xfId="19453" xr:uid="{02878173-D2D1-46B3-A3CD-D43FCD38C159}"/>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17781" xr:uid="{E8D9EC04-0724-4C58-B613-3D894675266D}"/>
    <cellStyle name="Currency 5 3 3 2 5 2 2 2 2" xfId="54123" xr:uid="{884241E8-03E6-4DF7-8F0F-746A7AA3BFAE}"/>
    <cellStyle name="Currency 5 3 3 2 5 2 2 2 3" xfId="35527" xr:uid="{7D7309A3-5511-47FC-A66D-CF18AEA44D91}"/>
    <cellStyle name="Currency 5 3 3 2 5 2 2 3" xfId="44826" xr:uid="{730B7C69-743E-41FF-835D-824EC897CE7C}"/>
    <cellStyle name="Currency 5 3 3 2 5 2 2 4" xfId="26228" xr:uid="{91B55035-B39F-484F-83B7-CEC91E5F6A81}"/>
    <cellStyle name="Currency 5 3 3 2 5 2 3" xfId="13564" xr:uid="{FB03CBB5-0C98-4AA6-A77C-74F7FE5B801B}"/>
    <cellStyle name="Currency 5 3 3 2 5 2 3 2" xfId="49906" xr:uid="{AD50EC45-F27C-4150-83F5-683C90657CD3}"/>
    <cellStyle name="Currency 5 3 3 2 5 2 3 3" xfId="31310" xr:uid="{160C248D-FC0A-4500-9D8C-D06D35AFF4E4}"/>
    <cellStyle name="Currency 5 3 3 2 5 2 4" xfId="40609" xr:uid="{B9B6A3A7-AB6E-4EFF-8878-95F56EC918C4}"/>
    <cellStyle name="Currency 5 3 3 2 5 2 5" xfId="22011" xr:uid="{8ECBC3BC-1012-41BD-B0C5-69658A841689}"/>
    <cellStyle name="Currency 5 3 3 2 5 3" xfId="6310" xr:uid="{00000000-0005-0000-0000-0000EF0C0000}"/>
    <cellStyle name="Currency 5 3 3 2 5 3 2" xfId="15636" xr:uid="{A4219CEA-385D-4980-A004-176D868ACEF9}"/>
    <cellStyle name="Currency 5 3 3 2 5 3 2 2" xfId="51978" xr:uid="{A9A9F963-26C4-4F40-910E-D9E6A4167D51}"/>
    <cellStyle name="Currency 5 3 3 2 5 3 2 3" xfId="33382" xr:uid="{DD8BBBFE-B92F-42E9-A3B0-FEA667C8DDED}"/>
    <cellStyle name="Currency 5 3 3 2 5 3 3" xfId="42681" xr:uid="{6C247F41-A842-4904-A8B3-838481FE7A08}"/>
    <cellStyle name="Currency 5 3 3 2 5 3 4" xfId="24083" xr:uid="{7DF90FF6-D756-4F14-ABFE-4C5C772BFC5B}"/>
    <cellStyle name="Currency 5 3 3 2 5 4" xfId="11419" xr:uid="{6B2E1C4E-8CAC-4BC4-AAB3-0C9AFF925298}"/>
    <cellStyle name="Currency 5 3 3 2 5 4 2" xfId="47761" xr:uid="{917F4FEC-A2F5-4AC5-A3FE-4C6F68143EE9}"/>
    <cellStyle name="Currency 5 3 3 2 5 4 3" xfId="29165" xr:uid="{CF0A19AB-F462-452E-8C28-13652EEAD2F5}"/>
    <cellStyle name="Currency 5 3 3 2 5 5" xfId="38464" xr:uid="{6E9536BE-EC38-4A77-A56F-A5B7C1F25056}"/>
    <cellStyle name="Currency 5 3 3 2 5 6" xfId="19866" xr:uid="{7FA457AB-53B8-4B89-BD46-DBBD63946F3F}"/>
    <cellStyle name="Currency 5 3 3 2 6" xfId="2439" xr:uid="{00000000-0005-0000-0000-0000F00C0000}"/>
    <cellStyle name="Currency 5 3 3 2 6 2" xfId="6723" xr:uid="{00000000-0005-0000-0000-0000F10C0000}"/>
    <cellStyle name="Currency 5 3 3 2 6 2 2" xfId="16049" xr:uid="{7DB7C399-02B4-4551-B7FC-E8EAEBB07F28}"/>
    <cellStyle name="Currency 5 3 3 2 6 2 2 2" xfId="52391" xr:uid="{65CACF97-D54C-4BB6-B411-D52680010937}"/>
    <cellStyle name="Currency 5 3 3 2 6 2 2 3" xfId="33795" xr:uid="{1FF70F02-F7F4-4542-A842-4235B685A8BF}"/>
    <cellStyle name="Currency 5 3 3 2 6 2 3" xfId="43094" xr:uid="{0AA840E6-F1E0-42A6-9A5A-28300005F712}"/>
    <cellStyle name="Currency 5 3 3 2 6 2 4" xfId="24496" xr:uid="{3279DA20-0325-49C6-9A72-7DB27209D26A}"/>
    <cellStyle name="Currency 5 3 3 2 6 3" xfId="11832" xr:uid="{82B07BA0-E2C3-4A4D-ADCA-7A3A9A20161F}"/>
    <cellStyle name="Currency 5 3 3 2 6 3 2" xfId="48174" xr:uid="{380F9FFB-BF65-42BB-AE77-0D0B44016997}"/>
    <cellStyle name="Currency 5 3 3 2 6 3 3" xfId="29578" xr:uid="{BBC00EA2-35A7-48E6-A331-EBE43F2938BA}"/>
    <cellStyle name="Currency 5 3 3 2 6 4" xfId="38877" xr:uid="{C788A623-25D5-4181-955D-6D748EC71354}"/>
    <cellStyle name="Currency 5 3 3 2 6 5" xfId="20279" xr:uid="{D11460BF-E6B7-43D2-A356-7BB238AE796C}"/>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16366" xr:uid="{FEF4256B-ADC2-46D7-8A12-732B0D3CB0FD}"/>
    <cellStyle name="Currency 5 3 3 2 8 2 2 2" xfId="52708" xr:uid="{70A7881E-0212-45A8-BD02-7635416EC08D}"/>
    <cellStyle name="Currency 5 3 3 2 8 2 2 3" xfId="34112" xr:uid="{68D5F383-D465-4D8C-9A1B-1A58E3AA5EF8}"/>
    <cellStyle name="Currency 5 3 3 2 8 2 3" xfId="43411" xr:uid="{D4CBAC9D-6B26-41A1-8C4C-FC9B532C69DA}"/>
    <cellStyle name="Currency 5 3 3 2 8 2 4" xfId="24813" xr:uid="{6FF8D5BB-7A5D-440C-B99F-37608364C157}"/>
    <cellStyle name="Currency 5 3 3 2 8 3" xfId="12149" xr:uid="{7E37968A-7AD2-46FB-B258-961EBEF2E593}"/>
    <cellStyle name="Currency 5 3 3 2 8 3 2" xfId="48491" xr:uid="{630B3472-28AF-4064-861A-86E85A8F4295}"/>
    <cellStyle name="Currency 5 3 3 2 8 3 3" xfId="29895" xr:uid="{4219BAE5-1E13-48B6-A6AC-D7990861CEC3}"/>
    <cellStyle name="Currency 5 3 3 2 8 4" xfId="39194" xr:uid="{D2FF5B1D-218C-48C2-89CF-8E1A9795F1D4}"/>
    <cellStyle name="Currency 5 3 3 2 8 5" xfId="20596" xr:uid="{59B3A3FA-9F63-4EAB-A782-05084346174B}"/>
    <cellStyle name="Currency 5 3 3 2 9" xfId="4657" xr:uid="{00000000-0005-0000-0000-0000F50C0000}"/>
    <cellStyle name="Currency 5 3 3 2 9 2" xfId="13983" xr:uid="{BD1C40B8-C594-467A-A928-A37748CB634D}"/>
    <cellStyle name="Currency 5 3 3 2 9 2 2" xfId="50325" xr:uid="{FD81C51D-440C-4649-A10E-D29278E57B7C}"/>
    <cellStyle name="Currency 5 3 3 2 9 2 3" xfId="31729" xr:uid="{E4BAF9E3-147E-41CD-9349-FC78603A58A3}"/>
    <cellStyle name="Currency 5 3 3 2 9 3" xfId="41028" xr:uid="{C06BB28D-6AE4-414A-B2E1-DA1B6254F091}"/>
    <cellStyle name="Currency 5 3 3 2 9 4" xfId="22430" xr:uid="{9C11B28C-A4F2-4B5B-A3D8-711FA05F4FBF}"/>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16541" xr:uid="{0C764A53-254F-4FFE-AF62-5C6E7EDFB6F8}"/>
    <cellStyle name="Currency 5 3 3 3 2 2 2 2" xfId="52883" xr:uid="{FB930D3B-4DC7-4845-BF3F-0DB36975EBF8}"/>
    <cellStyle name="Currency 5 3 3 3 2 2 2 3" xfId="34287" xr:uid="{63D21F58-CB43-4AF6-8C1A-776D80DC3825}"/>
    <cellStyle name="Currency 5 3 3 3 2 2 3" xfId="43586" xr:uid="{C495886F-80C0-446C-8E20-B95EFDC35AE1}"/>
    <cellStyle name="Currency 5 3 3 3 2 2 4" xfId="24988" xr:uid="{88EC5A78-0387-4CA8-85F0-484184F170A5}"/>
    <cellStyle name="Currency 5 3 3 3 2 3" xfId="12324" xr:uid="{D7D652A9-AB6F-4E92-B131-C9A3C673C8EA}"/>
    <cellStyle name="Currency 5 3 3 3 2 3 2" xfId="48666" xr:uid="{24CADCDD-DFD2-4FED-8B9A-54C13DCED2B9}"/>
    <cellStyle name="Currency 5 3 3 3 2 3 3" xfId="30070" xr:uid="{3CB423EF-8A88-4681-86C8-CCE87E1686AC}"/>
    <cellStyle name="Currency 5 3 3 3 2 4" xfId="39369" xr:uid="{E8A1482C-3905-4BE1-8001-EEF1153253E4}"/>
    <cellStyle name="Currency 5 3 3 3 2 5" xfId="20771" xr:uid="{8B739D87-1170-450E-B2DB-C3D773D92E17}"/>
    <cellStyle name="Currency 5 3 3 3 3" xfId="5070" xr:uid="{00000000-0005-0000-0000-0000F90C0000}"/>
    <cellStyle name="Currency 5 3 3 3 3 2" xfId="14396" xr:uid="{2C4B6D3E-BFC2-4AE3-8601-D47D2D70A0F6}"/>
    <cellStyle name="Currency 5 3 3 3 3 2 2" xfId="50738" xr:uid="{80E5E216-7171-4B4F-B1C6-F7F6DA0B2630}"/>
    <cellStyle name="Currency 5 3 3 3 3 2 3" xfId="32142" xr:uid="{D6384220-69C0-4483-B947-0C3A1957AA29}"/>
    <cellStyle name="Currency 5 3 3 3 3 3" xfId="41441" xr:uid="{7D0B9824-E1F2-4891-8B88-F35E23381FB5}"/>
    <cellStyle name="Currency 5 3 3 3 3 4" xfId="22843" xr:uid="{925DA112-2116-4067-80EE-403C59C2D7E5}"/>
    <cellStyle name="Currency 5 3 3 3 4" xfId="9307" xr:uid="{3F0512A0-B779-46E4-A963-62E327C6AC5F}"/>
    <cellStyle name="Currency 5 3 3 3 4 2" xfId="36368" xr:uid="{6A110E61-2B31-42BF-8697-83BB8DCE0A32}"/>
    <cellStyle name="Currency 5 3 3 3 4 2 2" xfId="54962" xr:uid="{F297957D-ADB1-4686-A3CE-970247382DC5}"/>
    <cellStyle name="Currency 5 3 3 3 4 3" xfId="45665" xr:uid="{7C37EB06-63FC-4CBC-B727-1F3D6D98A135}"/>
    <cellStyle name="Currency 5 3 3 3 4 4" xfId="27069" xr:uid="{24FAB98C-5231-41F3-B0C5-8ED0CE334A25}"/>
    <cellStyle name="Currency 5 3 3 3 5" xfId="10179" xr:uid="{6EDFE1F0-AE2F-42F8-9CC2-8A00E0E8BB19}"/>
    <cellStyle name="Currency 5 3 3 3 5 2" xfId="46521" xr:uid="{B5234242-80A1-4D43-ADD1-11B909F444B6}"/>
    <cellStyle name="Currency 5 3 3 3 5 3" xfId="27925" xr:uid="{6863C333-DE9B-46F7-AECD-00BF32392B66}"/>
    <cellStyle name="Currency 5 3 3 3 6" xfId="37224" xr:uid="{9F2FCED9-9490-4464-96AF-7BF289AFD9FB}"/>
    <cellStyle name="Currency 5 3 3 3 7" xfId="18626" xr:uid="{09DCF943-D418-4C2B-A810-289FBD318914}"/>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16954" xr:uid="{8DD214FB-C095-4932-A4E6-E6B318E24A13}"/>
    <cellStyle name="Currency 5 3 3 4 2 2 2 2" xfId="53296" xr:uid="{38C4A5D2-322D-4993-A601-EE5F9F7E05F1}"/>
    <cellStyle name="Currency 5 3 3 4 2 2 2 3" xfId="34700" xr:uid="{A51601EA-E64C-4622-93A9-E7B27A2C7F21}"/>
    <cellStyle name="Currency 5 3 3 4 2 2 3" xfId="43999" xr:uid="{710872B5-BE79-4FA4-BD4F-ECA134AE87F7}"/>
    <cellStyle name="Currency 5 3 3 4 2 2 4" xfId="25401" xr:uid="{648D71F6-A43C-4245-883C-AF3E545FD668}"/>
    <cellStyle name="Currency 5 3 3 4 2 3" xfId="12737" xr:uid="{531656B8-A65F-4C67-97CD-7312F48411DE}"/>
    <cellStyle name="Currency 5 3 3 4 2 3 2" xfId="49079" xr:uid="{BA37493D-33B9-465A-B247-1E05EE2E59A9}"/>
    <cellStyle name="Currency 5 3 3 4 2 3 3" xfId="30483" xr:uid="{0A690850-6C3D-4CDA-8572-2429B604A414}"/>
    <cellStyle name="Currency 5 3 3 4 2 4" xfId="39782" xr:uid="{CF871881-AF84-42DE-A95F-E24AED353B9A}"/>
    <cellStyle name="Currency 5 3 3 4 2 5" xfId="21184" xr:uid="{45930A7E-79FA-48E3-933C-34A8C17E63B8}"/>
    <cellStyle name="Currency 5 3 3 4 3" xfId="5483" xr:uid="{00000000-0005-0000-0000-0000FD0C0000}"/>
    <cellStyle name="Currency 5 3 3 4 3 2" xfId="14809" xr:uid="{C33CBFC6-AE3C-4CF8-AA27-7531D4053E8C}"/>
    <cellStyle name="Currency 5 3 3 4 3 2 2" xfId="51151" xr:uid="{53F4D927-8B76-406B-92FE-F14A53BDB70D}"/>
    <cellStyle name="Currency 5 3 3 4 3 2 3" xfId="32555" xr:uid="{A45ECD6F-6FCB-411E-ADE0-132537A1B71A}"/>
    <cellStyle name="Currency 5 3 3 4 3 3" xfId="41854" xr:uid="{263A3A02-DA24-403B-9B1D-BB6B042242FC}"/>
    <cellStyle name="Currency 5 3 3 4 3 4" xfId="23256" xr:uid="{BF050170-FF4A-4C3D-B8AA-41A0972D92EB}"/>
    <cellStyle name="Currency 5 3 3 4 4" xfId="10592" xr:uid="{BC3C6BED-F4B5-4191-A473-2029157D0B1A}"/>
    <cellStyle name="Currency 5 3 3 4 4 2" xfId="46934" xr:uid="{BA1BAA4D-A2F3-425B-838C-794EF9050E8E}"/>
    <cellStyle name="Currency 5 3 3 4 4 3" xfId="28338" xr:uid="{0A296C24-3E3F-4ACA-B9D7-94A8C577CD02}"/>
    <cellStyle name="Currency 5 3 3 4 5" xfId="37637" xr:uid="{0A176A18-9E50-49E9-A8A3-CA17B5C08EF8}"/>
    <cellStyle name="Currency 5 3 3 4 6" xfId="19039" xr:uid="{EB0887C4-8701-47EF-95C1-AD1591B5BFDE}"/>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17367" xr:uid="{7A677A21-EBD1-4218-B1D5-ECC09F2EC41E}"/>
    <cellStyle name="Currency 5 3 3 5 2 2 2 2" xfId="53709" xr:uid="{4C1DD076-6F0B-4B33-B7DD-4D6F18C99754}"/>
    <cellStyle name="Currency 5 3 3 5 2 2 2 3" xfId="35113" xr:uid="{B8AD18C3-20C4-4F13-A803-9524CB0A55DB}"/>
    <cellStyle name="Currency 5 3 3 5 2 2 3" xfId="44412" xr:uid="{F5261637-6714-42F8-83AF-07103CCC364B}"/>
    <cellStyle name="Currency 5 3 3 5 2 2 4" xfId="25814" xr:uid="{1BE38A40-B2FF-4DA7-8778-A9CCAC2355FB}"/>
    <cellStyle name="Currency 5 3 3 5 2 3" xfId="13150" xr:uid="{79A05257-7046-4672-AB35-CDF69B81AB64}"/>
    <cellStyle name="Currency 5 3 3 5 2 3 2" xfId="49492" xr:uid="{F5BFBA17-53FA-4D79-86ED-AB34A4C97606}"/>
    <cellStyle name="Currency 5 3 3 5 2 3 3" xfId="30896" xr:uid="{AFF972E1-75F3-48DB-A97B-B438F968DB65}"/>
    <cellStyle name="Currency 5 3 3 5 2 4" xfId="40195" xr:uid="{6BE2E326-CB26-468B-9AC8-AEAAA14513B1}"/>
    <cellStyle name="Currency 5 3 3 5 2 5" xfId="21597" xr:uid="{29477AC4-5F07-4DE1-A0D7-5A3483F708C5}"/>
    <cellStyle name="Currency 5 3 3 5 3" xfId="5896" xr:uid="{00000000-0005-0000-0000-0000010D0000}"/>
    <cellStyle name="Currency 5 3 3 5 3 2" xfId="15222" xr:uid="{64E197B8-2135-4A39-BC14-E06C3751553A}"/>
    <cellStyle name="Currency 5 3 3 5 3 2 2" xfId="51564" xr:uid="{41028F2D-F06B-414C-BF77-E7EF9B521F87}"/>
    <cellStyle name="Currency 5 3 3 5 3 2 3" xfId="32968" xr:uid="{EFB786D5-DB9B-4C8C-BF06-FFDA545A95A4}"/>
    <cellStyle name="Currency 5 3 3 5 3 3" xfId="42267" xr:uid="{1EFC3A97-07FD-428F-A6A3-51B5D2F237EE}"/>
    <cellStyle name="Currency 5 3 3 5 3 4" xfId="23669" xr:uid="{6C057A1B-EC25-4F6B-BC0F-C7542EF5BE88}"/>
    <cellStyle name="Currency 5 3 3 5 4" xfId="11005" xr:uid="{63E3FF0A-5B24-4A27-A419-3DF244071580}"/>
    <cellStyle name="Currency 5 3 3 5 4 2" xfId="47347" xr:uid="{BF421C74-180E-477F-9BD4-1061125EDAC2}"/>
    <cellStyle name="Currency 5 3 3 5 4 3" xfId="28751" xr:uid="{CFC5854E-40C0-429E-9543-155BF0A8E6ED}"/>
    <cellStyle name="Currency 5 3 3 5 5" xfId="38050" xr:uid="{98D86C85-E392-4F64-AFCA-4F491AF7C62A}"/>
    <cellStyle name="Currency 5 3 3 5 6" xfId="19452" xr:uid="{464969B7-B535-446E-9A25-89D06F058C96}"/>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17780" xr:uid="{019A8F53-6142-45B1-8B95-6FF33F843D1B}"/>
    <cellStyle name="Currency 5 3 3 6 2 2 2 2" xfId="54122" xr:uid="{306EA071-1332-4BF7-B64A-294A97ABAFEB}"/>
    <cellStyle name="Currency 5 3 3 6 2 2 2 3" xfId="35526" xr:uid="{ACE52A9E-A179-45AE-9771-0EAB08FDD674}"/>
    <cellStyle name="Currency 5 3 3 6 2 2 3" xfId="44825" xr:uid="{91917AAD-96F9-4BEB-99A5-4399AAA17935}"/>
    <cellStyle name="Currency 5 3 3 6 2 2 4" xfId="26227" xr:uid="{310D25DA-A7E7-4FE5-9912-910A36959949}"/>
    <cellStyle name="Currency 5 3 3 6 2 3" xfId="13563" xr:uid="{46A333DB-647A-47EB-89CD-F769C5CF0C5C}"/>
    <cellStyle name="Currency 5 3 3 6 2 3 2" xfId="49905" xr:uid="{3F06987C-F84E-4D83-8C38-B6A6FCD2000E}"/>
    <cellStyle name="Currency 5 3 3 6 2 3 3" xfId="31309" xr:uid="{99DE8CF1-3F09-4F47-94CF-6FBD44D50270}"/>
    <cellStyle name="Currency 5 3 3 6 2 4" xfId="40608" xr:uid="{3E64DAF2-7580-4737-8FFD-636071B79524}"/>
    <cellStyle name="Currency 5 3 3 6 2 5" xfId="22010" xr:uid="{99A17CA7-8569-4D46-827A-7D43F2BE0B2A}"/>
    <cellStyle name="Currency 5 3 3 6 3" xfId="6309" xr:uid="{00000000-0005-0000-0000-0000050D0000}"/>
    <cellStyle name="Currency 5 3 3 6 3 2" xfId="15635" xr:uid="{96935C30-ED31-45B8-BA39-E74B28303FDF}"/>
    <cellStyle name="Currency 5 3 3 6 3 2 2" xfId="51977" xr:uid="{429625D9-459E-4B7D-AA17-77B846D2800D}"/>
    <cellStyle name="Currency 5 3 3 6 3 2 3" xfId="33381" xr:uid="{BCC18FDA-8CDD-4858-BB77-49FB81650FBA}"/>
    <cellStyle name="Currency 5 3 3 6 3 3" xfId="42680" xr:uid="{9C2C2D6C-38E9-4141-BE12-8B2074971CF9}"/>
    <cellStyle name="Currency 5 3 3 6 3 4" xfId="24082" xr:uid="{28505E88-9B4E-4940-A355-69F8A8A1BA48}"/>
    <cellStyle name="Currency 5 3 3 6 4" xfId="11418" xr:uid="{D5624395-C4D4-40B2-AF29-011A79274DF2}"/>
    <cellStyle name="Currency 5 3 3 6 4 2" xfId="47760" xr:uid="{108099F9-FA15-49DA-8D81-4CB44EB897BE}"/>
    <cellStyle name="Currency 5 3 3 6 4 3" xfId="29164" xr:uid="{C47FD947-89FF-4479-9D9C-8194A27A99A9}"/>
    <cellStyle name="Currency 5 3 3 6 5" xfId="38463" xr:uid="{F1EEC394-DAD3-4FBC-9E21-BDA8F7107EBE}"/>
    <cellStyle name="Currency 5 3 3 6 6" xfId="19865" xr:uid="{0C63DB6D-0303-4E3E-94C9-A95E4C7D60B5}"/>
    <cellStyle name="Currency 5 3 3 7" xfId="2438" xr:uid="{00000000-0005-0000-0000-0000060D0000}"/>
    <cellStyle name="Currency 5 3 3 7 2" xfId="6722" xr:uid="{00000000-0005-0000-0000-0000070D0000}"/>
    <cellStyle name="Currency 5 3 3 7 2 2" xfId="16048" xr:uid="{8A882567-6C28-490B-80D6-A110F53220A6}"/>
    <cellStyle name="Currency 5 3 3 7 2 2 2" xfId="52390" xr:uid="{14DC8C7A-E98D-47EA-B9FA-DAB429521DF1}"/>
    <cellStyle name="Currency 5 3 3 7 2 2 3" xfId="33794" xr:uid="{5D7E252E-666B-40EB-9EBD-A20A811C0BB9}"/>
    <cellStyle name="Currency 5 3 3 7 2 3" xfId="43093" xr:uid="{EDA3B819-8769-43EE-BA38-642FC3F078E6}"/>
    <cellStyle name="Currency 5 3 3 7 2 4" xfId="24495" xr:uid="{60C88844-11F9-4846-9858-10E2CA39C399}"/>
    <cellStyle name="Currency 5 3 3 7 3" xfId="11831" xr:uid="{AC4BCCD3-AB9B-4BA7-B95A-ED1CD93DD3FF}"/>
    <cellStyle name="Currency 5 3 3 7 3 2" xfId="48173" xr:uid="{3AACC484-6E16-4693-8384-6B78FCD46728}"/>
    <cellStyle name="Currency 5 3 3 7 3 3" xfId="29577" xr:uid="{996F3783-4D2D-48D0-B965-C7EFD6F95946}"/>
    <cellStyle name="Currency 5 3 3 7 4" xfId="38876" xr:uid="{D7EB6913-8879-485F-BCE8-26CA6D1494CD}"/>
    <cellStyle name="Currency 5 3 3 7 5" xfId="20278" xr:uid="{C8A59579-82B0-4901-9AC5-A2A5A3E0DCE0}"/>
    <cellStyle name="Currency 5 3 3 8" xfId="2735" xr:uid="{00000000-0005-0000-0000-0000080D0000}"/>
    <cellStyle name="Currency 5 3 3 9" xfId="2816" xr:uid="{00000000-0005-0000-0000-0000090D0000}"/>
    <cellStyle name="Currency 5 3 3 9 2" xfId="7039" xr:uid="{00000000-0005-0000-0000-00000A0D0000}"/>
    <cellStyle name="Currency 5 3 3 9 2 2" xfId="16365" xr:uid="{B7E485A9-9E5D-44C5-A29D-6A0715E8D64B}"/>
    <cellStyle name="Currency 5 3 3 9 2 2 2" xfId="52707" xr:uid="{205B5E7B-9357-4861-8B81-8B1D250C9B11}"/>
    <cellStyle name="Currency 5 3 3 9 2 2 3" xfId="34111" xr:uid="{8D832C63-B8AC-4E63-922C-5591F0263FAE}"/>
    <cellStyle name="Currency 5 3 3 9 2 3" xfId="43410" xr:uid="{41E0E559-6C2D-426F-8C7C-9C102F6940A2}"/>
    <cellStyle name="Currency 5 3 3 9 2 4" xfId="24812" xr:uid="{F340BBAC-AB04-4AC8-85EF-B80C2857DC1C}"/>
    <cellStyle name="Currency 5 3 3 9 3" xfId="12148" xr:uid="{F1544D5E-D756-4F01-AE8E-1B4427767334}"/>
    <cellStyle name="Currency 5 3 3 9 3 2" xfId="48490" xr:uid="{D6A287D3-E306-4699-80CE-EA93AF18A9D7}"/>
    <cellStyle name="Currency 5 3 3 9 3 3" xfId="29894" xr:uid="{1983CAD8-A5B9-47D8-8EBD-3E8E158E8030}"/>
    <cellStyle name="Currency 5 3 3 9 4" xfId="39193" xr:uid="{F74A451C-8C29-4750-A7FF-871AC671F195}"/>
    <cellStyle name="Currency 5 3 3 9 5" xfId="20595" xr:uid="{D8FC363A-653D-4EF5-8994-4C6F9ECE78F6}"/>
    <cellStyle name="Currency 5 3 4" xfId="216" xr:uid="{00000000-0005-0000-0000-00000B0D0000}"/>
    <cellStyle name="Currency 5 3 4 10" xfId="8986" xr:uid="{4F6CFA4A-F10A-4043-AD92-C0A3F7F06459}"/>
    <cellStyle name="Currency 5 3 4 10 2" xfId="36056" xr:uid="{AFEB64E6-189E-4646-B13A-8740C6959C43}"/>
    <cellStyle name="Currency 5 3 4 10 2 2" xfId="54651" xr:uid="{A8600EF3-848D-4263-A83F-6AEE303AD241}"/>
    <cellStyle name="Currency 5 3 4 10 3" xfId="45354" xr:uid="{577AF6D9-A405-407C-9A83-714B57F99A01}"/>
    <cellStyle name="Currency 5 3 4 10 4" xfId="26757" xr:uid="{EFC0AB24-EBE4-4BEB-B968-191B0A11CE73}"/>
    <cellStyle name="Currency 5 3 4 11" xfId="9767" xr:uid="{54D77CF5-BC36-47D7-9B4D-8EFE92971460}"/>
    <cellStyle name="Currency 5 3 4 11 2" xfId="46109" xr:uid="{96CC6DF2-504B-42F8-9F4A-ED9E453CEC0A}"/>
    <cellStyle name="Currency 5 3 4 11 3" xfId="27513" xr:uid="{4D3F7C7A-F088-4C34-A46B-A71B6B24750F}"/>
    <cellStyle name="Currency 5 3 4 12" xfId="36812" xr:uid="{F15E939B-672D-4C58-8977-AAAC46EF35E1}"/>
    <cellStyle name="Currency 5 3 4 13" xfId="18214" xr:uid="{FDEB1608-F342-4464-A927-2EEABCD17A57}"/>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16543" xr:uid="{03B58D14-2BD0-4922-A36C-71337D8B097A}"/>
    <cellStyle name="Currency 5 3 4 2 2 2 2 2" xfId="52885" xr:uid="{3BAA1561-4295-492E-BCA4-2B08DB34A96D}"/>
    <cellStyle name="Currency 5 3 4 2 2 2 2 3" xfId="34289" xr:uid="{84B5C530-8095-4267-A642-77BBC34E885B}"/>
    <cellStyle name="Currency 5 3 4 2 2 2 3" xfId="43588" xr:uid="{A10409C0-4A7D-4C7B-A4D0-E1F5B61E2932}"/>
    <cellStyle name="Currency 5 3 4 2 2 2 4" xfId="24990" xr:uid="{98458526-6F1F-4514-882D-86F8483A6F2E}"/>
    <cellStyle name="Currency 5 3 4 2 2 3" xfId="12326" xr:uid="{BCADB2FF-2D2F-4670-9E10-B00E5029B1D2}"/>
    <cellStyle name="Currency 5 3 4 2 2 3 2" xfId="48668" xr:uid="{23E0C987-91A9-4BB6-A501-59293A51A3F8}"/>
    <cellStyle name="Currency 5 3 4 2 2 3 3" xfId="30072" xr:uid="{D289810F-5BCB-45CD-A910-084FF79C6050}"/>
    <cellStyle name="Currency 5 3 4 2 2 4" xfId="39371" xr:uid="{6D271010-3FE1-4F5B-8B43-72AD3993378C}"/>
    <cellStyle name="Currency 5 3 4 2 2 5" xfId="20773" xr:uid="{C64211FA-1628-4B78-9C5B-B18165E38AD6}"/>
    <cellStyle name="Currency 5 3 4 2 3" xfId="5072" xr:uid="{00000000-0005-0000-0000-00000F0D0000}"/>
    <cellStyle name="Currency 5 3 4 2 3 2" xfId="14398" xr:uid="{7AFE8E86-CFD6-47BB-9E3D-792732B0C828}"/>
    <cellStyle name="Currency 5 3 4 2 3 2 2" xfId="50740" xr:uid="{110D6FA8-CE0B-4E25-A15B-F7F7799D3162}"/>
    <cellStyle name="Currency 5 3 4 2 3 2 3" xfId="32144" xr:uid="{EF6910F4-31EE-4A9E-BB4E-545F4E02E703}"/>
    <cellStyle name="Currency 5 3 4 2 3 3" xfId="41443" xr:uid="{CEF95CCC-8E95-4876-8DAE-9D2B8383B87C}"/>
    <cellStyle name="Currency 5 3 4 2 3 4" xfId="22845" xr:uid="{E4ACE923-EBF3-4B57-BBDE-C5E92F1F6956}"/>
    <cellStyle name="Currency 5 3 4 2 4" xfId="9411" xr:uid="{2729DEB6-408B-463E-B468-91D932C31FD7}"/>
    <cellStyle name="Currency 5 3 4 2 4 2" xfId="36472" xr:uid="{410A831C-AF6D-4C36-AC10-DC1FDBF09A53}"/>
    <cellStyle name="Currency 5 3 4 2 4 2 2" xfId="55066" xr:uid="{BE46BBE4-353D-49B0-A3C9-1CA35CA1C841}"/>
    <cellStyle name="Currency 5 3 4 2 4 3" xfId="45769" xr:uid="{785E6F5D-F226-4363-8A8F-98FBEAD86A64}"/>
    <cellStyle name="Currency 5 3 4 2 4 4" xfId="27173" xr:uid="{CCCDAF65-0676-496F-BD9D-2A672CF9BC0A}"/>
    <cellStyle name="Currency 5 3 4 2 5" xfId="10181" xr:uid="{F56A6BEE-0042-4382-8863-73773CE0C597}"/>
    <cellStyle name="Currency 5 3 4 2 5 2" xfId="46523" xr:uid="{A2C0E241-378B-4527-BDD8-06346A0ABC9D}"/>
    <cellStyle name="Currency 5 3 4 2 5 3" xfId="27927" xr:uid="{4CE2094A-B340-4F41-B7F5-915F99B79349}"/>
    <cellStyle name="Currency 5 3 4 2 6" xfId="37226" xr:uid="{8C11E089-B8CB-4FF5-BCA6-E5C127B89805}"/>
    <cellStyle name="Currency 5 3 4 2 7" xfId="18628" xr:uid="{08360A1B-3387-4DA7-AB37-24F99DF0AA48}"/>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16956" xr:uid="{43DBD919-357A-493A-9BFA-04B8D43D6E4F}"/>
    <cellStyle name="Currency 5 3 4 3 2 2 2 2" xfId="53298" xr:uid="{082D303E-970F-482C-BC04-18D5F4B8E344}"/>
    <cellStyle name="Currency 5 3 4 3 2 2 2 3" xfId="34702" xr:uid="{E1C859F5-92A6-4761-A09B-5477DC4F7B19}"/>
    <cellStyle name="Currency 5 3 4 3 2 2 3" xfId="44001" xr:uid="{0E21E514-3C9D-4DB6-8EA8-5BF5B31D1DCC}"/>
    <cellStyle name="Currency 5 3 4 3 2 2 4" xfId="25403" xr:uid="{20CFB262-395F-44D7-B26A-43DB5420C31E}"/>
    <cellStyle name="Currency 5 3 4 3 2 3" xfId="12739" xr:uid="{E2288A37-70A5-44DF-BA5C-0430DED71961}"/>
    <cellStyle name="Currency 5 3 4 3 2 3 2" xfId="49081" xr:uid="{82C5D31C-5C2E-45BA-AB35-E61D9EF08993}"/>
    <cellStyle name="Currency 5 3 4 3 2 3 3" xfId="30485" xr:uid="{2D1C39A8-BE51-4AB1-A00B-47078913BBBF}"/>
    <cellStyle name="Currency 5 3 4 3 2 4" xfId="39784" xr:uid="{C6B6BD9E-1AFE-4985-87AE-174A61707D2D}"/>
    <cellStyle name="Currency 5 3 4 3 2 5" xfId="21186" xr:uid="{F4751B6B-609B-4135-8D80-0400FC06ED75}"/>
    <cellStyle name="Currency 5 3 4 3 3" xfId="5485" xr:uid="{00000000-0005-0000-0000-0000130D0000}"/>
    <cellStyle name="Currency 5 3 4 3 3 2" xfId="14811" xr:uid="{DD11C481-11A6-469B-9907-4846BEF21E27}"/>
    <cellStyle name="Currency 5 3 4 3 3 2 2" xfId="51153" xr:uid="{EE0451F6-3FB5-4286-997F-22D65640D784}"/>
    <cellStyle name="Currency 5 3 4 3 3 2 3" xfId="32557" xr:uid="{B41E0523-531C-42ED-917C-115CBBF22D5A}"/>
    <cellStyle name="Currency 5 3 4 3 3 3" xfId="41856" xr:uid="{B97898DA-911C-471E-9CAB-B755A1EE6F2B}"/>
    <cellStyle name="Currency 5 3 4 3 3 4" xfId="23258" xr:uid="{684FA55C-60C1-4A09-9F4C-FC362FBCFCE6}"/>
    <cellStyle name="Currency 5 3 4 3 4" xfId="10594" xr:uid="{2EAE21D9-938E-4966-BEA0-169B3BB741E4}"/>
    <cellStyle name="Currency 5 3 4 3 4 2" xfId="46936" xr:uid="{1FB09F1E-A5E6-4C82-BDBF-2F22517716CD}"/>
    <cellStyle name="Currency 5 3 4 3 4 3" xfId="28340" xr:uid="{ADFC1B1C-EEFD-4057-BAEA-7C45B34F4E1E}"/>
    <cellStyle name="Currency 5 3 4 3 5" xfId="37639" xr:uid="{F485BA8A-D841-4183-A956-F9C13AEE95F3}"/>
    <cellStyle name="Currency 5 3 4 3 6" xfId="19041" xr:uid="{B6764B8F-7824-4C94-9C26-731F3B2FF88A}"/>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17369" xr:uid="{CB729D2E-79B1-4358-902E-1EC12C62EAAB}"/>
    <cellStyle name="Currency 5 3 4 4 2 2 2 2" xfId="53711" xr:uid="{C26DED9A-DB11-4A8C-8357-27C990501759}"/>
    <cellStyle name="Currency 5 3 4 4 2 2 2 3" xfId="35115" xr:uid="{BCE15E91-1CE9-41C8-A9C1-272F99E4FA70}"/>
    <cellStyle name="Currency 5 3 4 4 2 2 3" xfId="44414" xr:uid="{326AC394-68FC-4682-9602-A763D8474102}"/>
    <cellStyle name="Currency 5 3 4 4 2 2 4" xfId="25816" xr:uid="{FB9EAC17-3A3B-4B25-AA13-2CFE6E3DAE51}"/>
    <cellStyle name="Currency 5 3 4 4 2 3" xfId="13152" xr:uid="{1FEA05F9-BF1B-4610-B804-A2B72BA64A85}"/>
    <cellStyle name="Currency 5 3 4 4 2 3 2" xfId="49494" xr:uid="{D15860B3-F3E1-4FD5-AB88-D5012FAC9981}"/>
    <cellStyle name="Currency 5 3 4 4 2 3 3" xfId="30898" xr:uid="{FBC31FEC-FA9C-43F5-BDA5-780E6462502D}"/>
    <cellStyle name="Currency 5 3 4 4 2 4" xfId="40197" xr:uid="{3B1B1765-7B9D-4520-AB30-8140000CD968}"/>
    <cellStyle name="Currency 5 3 4 4 2 5" xfId="21599" xr:uid="{43FD5EE2-58AA-4932-AD49-9438281A7732}"/>
    <cellStyle name="Currency 5 3 4 4 3" xfId="5898" xr:uid="{00000000-0005-0000-0000-0000170D0000}"/>
    <cellStyle name="Currency 5 3 4 4 3 2" xfId="15224" xr:uid="{6EAC5B7E-2DE2-432F-A47B-23FA54BACF66}"/>
    <cellStyle name="Currency 5 3 4 4 3 2 2" xfId="51566" xr:uid="{720DC0DB-A0E3-4215-8C0F-CE34D7CE5AB9}"/>
    <cellStyle name="Currency 5 3 4 4 3 2 3" xfId="32970" xr:uid="{7430D096-9A95-4BAE-AF25-7E75ABCEBF26}"/>
    <cellStyle name="Currency 5 3 4 4 3 3" xfId="42269" xr:uid="{B9EA60DD-A173-4D4A-B4BF-0BF16C7B5CA3}"/>
    <cellStyle name="Currency 5 3 4 4 3 4" xfId="23671" xr:uid="{FE9B7538-FA46-44C3-82E6-1A79A596595C}"/>
    <cellStyle name="Currency 5 3 4 4 4" xfId="11007" xr:uid="{6E8EF420-F6AA-4ECD-88B6-ABC66F50466B}"/>
    <cellStyle name="Currency 5 3 4 4 4 2" xfId="47349" xr:uid="{D1D366EE-E787-4A89-8C71-D5F9AB0A426B}"/>
    <cellStyle name="Currency 5 3 4 4 4 3" xfId="28753" xr:uid="{D5142621-A180-4B3C-88FB-5F19D567236B}"/>
    <cellStyle name="Currency 5 3 4 4 5" xfId="38052" xr:uid="{FA86AEDB-6DCA-4246-A97E-428E320BA632}"/>
    <cellStyle name="Currency 5 3 4 4 6" xfId="19454" xr:uid="{759F388B-E33B-4650-A1CF-5692CB75C726}"/>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17782" xr:uid="{C0D5E994-88EC-40F3-BDDD-B9B009BE530C}"/>
    <cellStyle name="Currency 5 3 4 5 2 2 2 2" xfId="54124" xr:uid="{A05FF9C2-310E-4907-9811-F6BD5F7557D0}"/>
    <cellStyle name="Currency 5 3 4 5 2 2 2 3" xfId="35528" xr:uid="{AAC04F3B-1737-4EEE-BA22-4063FB0803DD}"/>
    <cellStyle name="Currency 5 3 4 5 2 2 3" xfId="44827" xr:uid="{BB085C89-4127-4FD9-B9DF-730B3DD4503E}"/>
    <cellStyle name="Currency 5 3 4 5 2 2 4" xfId="26229" xr:uid="{9F89EC06-CBD4-41E4-9C46-F5F0651C1322}"/>
    <cellStyle name="Currency 5 3 4 5 2 3" xfId="13565" xr:uid="{6DD03AE2-A0D6-4276-BA73-0882C54E5434}"/>
    <cellStyle name="Currency 5 3 4 5 2 3 2" xfId="49907" xr:uid="{71538C83-4030-464C-865C-F807720B8550}"/>
    <cellStyle name="Currency 5 3 4 5 2 3 3" xfId="31311" xr:uid="{18B1221C-30FB-4FF0-9430-673F558B9DBC}"/>
    <cellStyle name="Currency 5 3 4 5 2 4" xfId="40610" xr:uid="{61632345-FB84-4BFA-A1C8-C441A1D03CC3}"/>
    <cellStyle name="Currency 5 3 4 5 2 5" xfId="22012" xr:uid="{3EC097D5-89DE-40C7-BBC7-49CF99FE89C5}"/>
    <cellStyle name="Currency 5 3 4 5 3" xfId="6311" xr:uid="{00000000-0005-0000-0000-00001B0D0000}"/>
    <cellStyle name="Currency 5 3 4 5 3 2" xfId="15637" xr:uid="{AD43BF8C-5631-4A2E-A13A-6BB66BA9C3D5}"/>
    <cellStyle name="Currency 5 3 4 5 3 2 2" xfId="51979" xr:uid="{28B87C41-2876-43D8-9F4C-BEA43B7AE753}"/>
    <cellStyle name="Currency 5 3 4 5 3 2 3" xfId="33383" xr:uid="{408CCC65-FD9C-4944-9769-9A2FC57D58CC}"/>
    <cellStyle name="Currency 5 3 4 5 3 3" xfId="42682" xr:uid="{C08A1A88-EE77-46A6-A4E4-511C88B6B44E}"/>
    <cellStyle name="Currency 5 3 4 5 3 4" xfId="24084" xr:uid="{4311EE2A-5154-47B4-8D37-B637E5AC61F4}"/>
    <cellStyle name="Currency 5 3 4 5 4" xfId="11420" xr:uid="{083770DB-91A0-4534-A926-E7384C355D25}"/>
    <cellStyle name="Currency 5 3 4 5 4 2" xfId="47762" xr:uid="{57D8387A-E51C-43B7-88AA-3EBF6A0EED93}"/>
    <cellStyle name="Currency 5 3 4 5 4 3" xfId="29166" xr:uid="{5CE57294-DACF-4DC9-88F0-CF85A030C923}"/>
    <cellStyle name="Currency 5 3 4 5 5" xfId="38465" xr:uid="{5D84A0F6-D64F-489E-A9F8-DD8AEB7BB365}"/>
    <cellStyle name="Currency 5 3 4 5 6" xfId="19867" xr:uid="{C897DA7F-A504-4FBB-8F09-B0DE3F3557D0}"/>
    <cellStyle name="Currency 5 3 4 6" xfId="2440" xr:uid="{00000000-0005-0000-0000-00001C0D0000}"/>
    <cellStyle name="Currency 5 3 4 6 2" xfId="6724" xr:uid="{00000000-0005-0000-0000-00001D0D0000}"/>
    <cellStyle name="Currency 5 3 4 6 2 2" xfId="16050" xr:uid="{6345090B-8BD2-409F-AAE2-3CC404FCADF3}"/>
    <cellStyle name="Currency 5 3 4 6 2 2 2" xfId="52392" xr:uid="{710A12D8-1D85-494C-8096-8C81D09AED16}"/>
    <cellStyle name="Currency 5 3 4 6 2 2 3" xfId="33796" xr:uid="{1B773B3B-FB44-4975-8787-3A55FA55C91D}"/>
    <cellStyle name="Currency 5 3 4 6 2 3" xfId="43095" xr:uid="{77F275A0-A5BF-4B8D-BDC4-C6AFAD901349}"/>
    <cellStyle name="Currency 5 3 4 6 2 4" xfId="24497" xr:uid="{8A2F4DCA-E9AF-417E-8E9A-2EFDDC0A32F7}"/>
    <cellStyle name="Currency 5 3 4 6 3" xfId="11833" xr:uid="{9A9CC3C5-B02F-4C04-A50C-78B165CBA2D9}"/>
    <cellStyle name="Currency 5 3 4 6 3 2" xfId="48175" xr:uid="{BED0C850-01D7-47E7-B5E6-046DB24EC789}"/>
    <cellStyle name="Currency 5 3 4 6 3 3" xfId="29579" xr:uid="{457884AA-9C95-4A16-8D0F-BC104FB8FE46}"/>
    <cellStyle name="Currency 5 3 4 6 4" xfId="38878" xr:uid="{DFC0BB7F-FBBB-43F7-B192-F6A93FFED8AF}"/>
    <cellStyle name="Currency 5 3 4 6 5" xfId="20280" xr:uid="{D3338E15-BCA4-4FF9-8FAD-11FEF6B748B5}"/>
    <cellStyle name="Currency 5 3 4 7" xfId="2737" xr:uid="{00000000-0005-0000-0000-00001E0D0000}"/>
    <cellStyle name="Currency 5 3 4 8" xfId="2818" xr:uid="{00000000-0005-0000-0000-00001F0D0000}"/>
    <cellStyle name="Currency 5 3 4 8 2" xfId="7041" xr:uid="{00000000-0005-0000-0000-0000200D0000}"/>
    <cellStyle name="Currency 5 3 4 8 2 2" xfId="16367" xr:uid="{B29460FA-4A9D-4B52-A208-B3DD228234AF}"/>
    <cellStyle name="Currency 5 3 4 8 2 2 2" xfId="52709" xr:uid="{4F75AA1A-CAA5-490D-B9F4-B3DFF8D60569}"/>
    <cellStyle name="Currency 5 3 4 8 2 2 3" xfId="34113" xr:uid="{3FF81161-5167-49B4-8E1F-0CE4361CB933}"/>
    <cellStyle name="Currency 5 3 4 8 2 3" xfId="43412" xr:uid="{460669DF-225A-471C-B52C-09DF96A40163}"/>
    <cellStyle name="Currency 5 3 4 8 2 4" xfId="24814" xr:uid="{0A0999DF-333A-4FB6-8BCE-585FF29464DE}"/>
    <cellStyle name="Currency 5 3 4 8 3" xfId="12150" xr:uid="{CDFFBA00-6708-476D-8632-525592B12450}"/>
    <cellStyle name="Currency 5 3 4 8 3 2" xfId="48492" xr:uid="{2380C824-9A25-4F29-AC50-A63DFFC8C5E3}"/>
    <cellStyle name="Currency 5 3 4 8 3 3" xfId="29896" xr:uid="{914F4395-96EA-40E3-BB54-394C317D7E90}"/>
    <cellStyle name="Currency 5 3 4 8 4" xfId="39195" xr:uid="{A1353B08-E18A-46FD-846E-4B78E15E176B}"/>
    <cellStyle name="Currency 5 3 4 8 5" xfId="20597" xr:uid="{292A092F-89F6-4CDA-BB5E-D656EE2D455B}"/>
    <cellStyle name="Currency 5 3 4 9" xfId="4658" xr:uid="{00000000-0005-0000-0000-0000210D0000}"/>
    <cellStyle name="Currency 5 3 4 9 2" xfId="13984" xr:uid="{DE8C8424-0EBD-4833-8A7C-0C36EE1CA598}"/>
    <cellStyle name="Currency 5 3 4 9 2 2" xfId="50326" xr:uid="{B4A6F63F-2294-463F-BC30-A855B8D82085}"/>
    <cellStyle name="Currency 5 3 4 9 2 3" xfId="31730" xr:uid="{C4249814-6210-4EB2-8DA7-545ED99A9428}"/>
    <cellStyle name="Currency 5 3 4 9 3" xfId="41029" xr:uid="{CE8990D8-2A70-4F2D-9E86-FE418318CE1D}"/>
    <cellStyle name="Currency 5 3 4 9 4" xfId="22431" xr:uid="{64CD1C68-8461-4447-98A1-B6CA967B1BB7}"/>
    <cellStyle name="Currency 5 3 5" xfId="217" xr:uid="{00000000-0005-0000-0000-0000220D0000}"/>
    <cellStyle name="Currency 5 3 5 10" xfId="9203" xr:uid="{6167CBBD-227C-4457-B6B6-18EF5C089771}"/>
    <cellStyle name="Currency 5 3 5 10 2" xfId="36265" xr:uid="{F120AA5E-1EF9-4131-8FD3-E274FF4B2D9B}"/>
    <cellStyle name="Currency 5 3 5 10 2 2" xfId="54859" xr:uid="{B8BBB74A-01C5-40C1-929B-F41B9A71C95C}"/>
    <cellStyle name="Currency 5 3 5 10 3" xfId="45562" xr:uid="{301D0B81-FEAF-4D53-B847-62D49BEF9385}"/>
    <cellStyle name="Currency 5 3 5 10 4" xfId="26966" xr:uid="{751F4552-9A62-42A1-84BB-FC4E00629CAC}"/>
    <cellStyle name="Currency 5 3 5 11" xfId="9768" xr:uid="{1C1BF32B-AE1C-406B-BB79-37952538B822}"/>
    <cellStyle name="Currency 5 3 5 11 2" xfId="46110" xr:uid="{7C0697A9-C21F-407D-B072-0E6180EE7689}"/>
    <cellStyle name="Currency 5 3 5 11 3" xfId="27514" xr:uid="{D76D4AB7-FD55-4104-9E96-7DCBF9933096}"/>
    <cellStyle name="Currency 5 3 5 12" xfId="36813" xr:uid="{4F31B2D9-29A7-42D0-AE13-DE77CD8E8AE5}"/>
    <cellStyle name="Currency 5 3 5 13" xfId="18215" xr:uid="{156E0D4A-A925-4E7D-8757-DC21974648B3}"/>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16544" xr:uid="{96ADC32A-C086-4820-B6BE-4BB417C5FD26}"/>
    <cellStyle name="Currency 5 3 5 2 2 2 2 2" xfId="52886" xr:uid="{14A712A6-2C17-4515-A3CB-2C6097A410A9}"/>
    <cellStyle name="Currency 5 3 5 2 2 2 2 3" xfId="34290" xr:uid="{719C83D8-A6E5-4F5D-AD5D-8A45C8D32F9D}"/>
    <cellStyle name="Currency 5 3 5 2 2 2 3" xfId="43589" xr:uid="{6F8EA1FA-E3A0-4E60-B623-706D41D3B99B}"/>
    <cellStyle name="Currency 5 3 5 2 2 2 4" xfId="24991" xr:uid="{755753D0-2FF2-44D7-9583-597A99F64752}"/>
    <cellStyle name="Currency 5 3 5 2 2 3" xfId="12327" xr:uid="{0803EB51-A493-420B-AFED-E9456E095567}"/>
    <cellStyle name="Currency 5 3 5 2 2 3 2" xfId="48669" xr:uid="{2A6FC416-D4F9-4D2A-A820-5BFF65E6CE27}"/>
    <cellStyle name="Currency 5 3 5 2 2 3 3" xfId="30073" xr:uid="{E1D80976-474F-4A76-B880-1594903A8D67}"/>
    <cellStyle name="Currency 5 3 5 2 2 4" xfId="39372" xr:uid="{7B38046A-E694-42D0-9C78-E1403C8A0CBD}"/>
    <cellStyle name="Currency 5 3 5 2 2 5" xfId="20774" xr:uid="{09FC168C-8437-47BD-982E-C925719030D6}"/>
    <cellStyle name="Currency 5 3 5 2 3" xfId="5073" xr:uid="{00000000-0005-0000-0000-0000260D0000}"/>
    <cellStyle name="Currency 5 3 5 2 3 2" xfId="14399" xr:uid="{16F709D1-1F08-4EE3-BA1A-109CF48D4F52}"/>
    <cellStyle name="Currency 5 3 5 2 3 2 2" xfId="50741" xr:uid="{5C4CDC46-4986-4911-A329-B9B3BC21E923}"/>
    <cellStyle name="Currency 5 3 5 2 3 2 3" xfId="32145" xr:uid="{4AE069D7-BE00-4576-ADBC-2AC808D29672}"/>
    <cellStyle name="Currency 5 3 5 2 3 3" xfId="41444" xr:uid="{A5338ABA-9A2C-4A74-8CBD-0F00B4F1C0B8}"/>
    <cellStyle name="Currency 5 3 5 2 3 4" xfId="22846" xr:uid="{13E61920-7917-4FA0-8D9A-B32204C6EE4B}"/>
    <cellStyle name="Currency 5 3 5 2 4" xfId="9600" xr:uid="{650A4058-48FE-4F3E-8845-8F52DF332026}"/>
    <cellStyle name="Currency 5 3 5 2 4 2" xfId="36650" xr:uid="{B742365C-FFFC-4841-AE55-73F52EE69795}"/>
    <cellStyle name="Currency 5 3 5 2 4 2 2" xfId="55244" xr:uid="{5672A3A7-7A91-4CA8-9D10-72DE0EDE3575}"/>
    <cellStyle name="Currency 5 3 5 2 4 3" xfId="45947" xr:uid="{7D49CB29-906A-4812-A8F3-05CF0C1374D8}"/>
    <cellStyle name="Currency 5 3 5 2 4 4" xfId="27351" xr:uid="{D03FC310-DAB4-4490-8E26-704F5D29ABAE}"/>
    <cellStyle name="Currency 5 3 5 2 5" xfId="10182" xr:uid="{2785A935-1BE8-41CD-B89D-6D9FB0CE0FB9}"/>
    <cellStyle name="Currency 5 3 5 2 5 2" xfId="46524" xr:uid="{435BBF8B-4A63-45E8-98FA-A158760C7123}"/>
    <cellStyle name="Currency 5 3 5 2 5 3" xfId="27928" xr:uid="{8F705052-417A-4556-8AD4-BCFCCE27B537}"/>
    <cellStyle name="Currency 5 3 5 2 6" xfId="37227" xr:uid="{5271A714-AEB7-4EC8-BCAE-B0768733C9C7}"/>
    <cellStyle name="Currency 5 3 5 2 7" xfId="18629" xr:uid="{5C92891B-1FA6-4E3E-AFCB-BE1427005B74}"/>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16957" xr:uid="{4FC921FB-CCAA-4C2C-9F01-2CE78C2986E0}"/>
    <cellStyle name="Currency 5 3 5 3 2 2 2 2" xfId="53299" xr:uid="{1FF0C921-5DF9-4738-B485-CB87E3A08C52}"/>
    <cellStyle name="Currency 5 3 5 3 2 2 2 3" xfId="34703" xr:uid="{94033D68-42DC-4AD2-AF6A-C4D56E409174}"/>
    <cellStyle name="Currency 5 3 5 3 2 2 3" xfId="44002" xr:uid="{972D50A4-8EFB-45E4-B8AB-676AB50ED97B}"/>
    <cellStyle name="Currency 5 3 5 3 2 2 4" xfId="25404" xr:uid="{4A3E2B85-DDB2-40D4-840D-B159316BCD81}"/>
    <cellStyle name="Currency 5 3 5 3 2 3" xfId="12740" xr:uid="{F5F2686C-AC96-4F08-9C29-7D7104D41632}"/>
    <cellStyle name="Currency 5 3 5 3 2 3 2" xfId="49082" xr:uid="{1D25670C-C2A6-47D9-AF01-3F4AA9BADFFD}"/>
    <cellStyle name="Currency 5 3 5 3 2 3 3" xfId="30486" xr:uid="{9B63AAAE-7172-415D-A5B4-1C26D455E302}"/>
    <cellStyle name="Currency 5 3 5 3 2 4" xfId="39785" xr:uid="{D8F06D48-5F9E-481D-85F8-D3765C6C539C}"/>
    <cellStyle name="Currency 5 3 5 3 2 5" xfId="21187" xr:uid="{412591FA-8E0C-42D7-ADE3-B6631391B39D}"/>
    <cellStyle name="Currency 5 3 5 3 3" xfId="5486" xr:uid="{00000000-0005-0000-0000-00002A0D0000}"/>
    <cellStyle name="Currency 5 3 5 3 3 2" xfId="14812" xr:uid="{69255504-B601-4189-A688-527306696891}"/>
    <cellStyle name="Currency 5 3 5 3 3 2 2" xfId="51154" xr:uid="{49312929-62B2-4FAA-9361-A3601F52416B}"/>
    <cellStyle name="Currency 5 3 5 3 3 2 3" xfId="32558" xr:uid="{C4238378-9F3F-4302-BD0B-F655DDF9B42A}"/>
    <cellStyle name="Currency 5 3 5 3 3 3" xfId="41857" xr:uid="{A0457FB6-E1C5-4116-8399-E8F644F22068}"/>
    <cellStyle name="Currency 5 3 5 3 3 4" xfId="23259" xr:uid="{7850C2EE-D47F-4F8F-92AB-B5BE393683E6}"/>
    <cellStyle name="Currency 5 3 5 3 4" xfId="10595" xr:uid="{BC1E2B7E-BA3E-448E-9F79-EAF6AEB1582A}"/>
    <cellStyle name="Currency 5 3 5 3 4 2" xfId="46937" xr:uid="{A54DC3B4-D2FD-4D19-8B07-464137935AA4}"/>
    <cellStyle name="Currency 5 3 5 3 4 3" xfId="28341" xr:uid="{671D53F5-E290-4006-90EE-54887E58CFE8}"/>
    <cellStyle name="Currency 5 3 5 3 5" xfId="37640" xr:uid="{69F1F06D-661F-41F0-B230-D4C660622D74}"/>
    <cellStyle name="Currency 5 3 5 3 6" xfId="19042" xr:uid="{3EB3CC37-6E3A-437A-BDFE-6829808E8330}"/>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17370" xr:uid="{39C9B9FF-0290-4C66-9184-89DC5A51C306}"/>
    <cellStyle name="Currency 5 3 5 4 2 2 2 2" xfId="53712" xr:uid="{DA1C833D-51E8-46AC-8EA8-5129DBC58DA0}"/>
    <cellStyle name="Currency 5 3 5 4 2 2 2 3" xfId="35116" xr:uid="{DE947D2D-F83D-46A6-A847-54EBA537BE78}"/>
    <cellStyle name="Currency 5 3 5 4 2 2 3" xfId="44415" xr:uid="{CE942035-5389-4E17-98E5-C41C1C81AD3B}"/>
    <cellStyle name="Currency 5 3 5 4 2 2 4" xfId="25817" xr:uid="{A7AB8AAE-0E64-4AFE-AEB5-E74E18A2D235}"/>
    <cellStyle name="Currency 5 3 5 4 2 3" xfId="13153" xr:uid="{FD72F97E-3FFB-4E6A-BC00-611454C6F110}"/>
    <cellStyle name="Currency 5 3 5 4 2 3 2" xfId="49495" xr:uid="{AD38A717-82C1-449B-8985-3F5E59EA004C}"/>
    <cellStyle name="Currency 5 3 5 4 2 3 3" xfId="30899" xr:uid="{8B242D11-EC15-4574-B17A-DA4CAC89F424}"/>
    <cellStyle name="Currency 5 3 5 4 2 4" xfId="40198" xr:uid="{80601828-A165-4D0B-84D4-C7A9C2D9241A}"/>
    <cellStyle name="Currency 5 3 5 4 2 5" xfId="21600" xr:uid="{2F99D713-969B-4A27-8FEA-A424885F9983}"/>
    <cellStyle name="Currency 5 3 5 4 3" xfId="5899" xr:uid="{00000000-0005-0000-0000-00002E0D0000}"/>
    <cellStyle name="Currency 5 3 5 4 3 2" xfId="15225" xr:uid="{AC066685-6916-4059-AF9F-6E81618F2021}"/>
    <cellStyle name="Currency 5 3 5 4 3 2 2" xfId="51567" xr:uid="{CFE4BB7F-A896-41AB-8E62-82124D2BEDB2}"/>
    <cellStyle name="Currency 5 3 5 4 3 2 3" xfId="32971" xr:uid="{24DE6494-080E-417B-B292-8836F3D68211}"/>
    <cellStyle name="Currency 5 3 5 4 3 3" xfId="42270" xr:uid="{A974A48A-5065-4D19-89BB-C4DC788FABA2}"/>
    <cellStyle name="Currency 5 3 5 4 3 4" xfId="23672" xr:uid="{58FED65C-5538-41E9-846F-6FFB0F5EFFFF}"/>
    <cellStyle name="Currency 5 3 5 4 4" xfId="11008" xr:uid="{0D29C183-3EAE-4640-BFA8-7E8F436916F6}"/>
    <cellStyle name="Currency 5 3 5 4 4 2" xfId="47350" xr:uid="{F9738DFC-65B0-4ECB-B828-4805E7818BAE}"/>
    <cellStyle name="Currency 5 3 5 4 4 3" xfId="28754" xr:uid="{C59590DF-307D-4288-981F-AE1B6725756E}"/>
    <cellStyle name="Currency 5 3 5 4 5" xfId="38053" xr:uid="{FE3AB118-E1D7-49DF-A7D4-E8ED12199033}"/>
    <cellStyle name="Currency 5 3 5 4 6" xfId="19455" xr:uid="{6FEE74CF-5FBA-4BC8-A3EA-471492DBE5AB}"/>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17783" xr:uid="{90A49214-7CBA-4B32-AB1A-840D6974DFD9}"/>
    <cellStyle name="Currency 5 3 5 5 2 2 2 2" xfId="54125" xr:uid="{598B2A4D-3AB8-4A2E-858F-522F51766F43}"/>
    <cellStyle name="Currency 5 3 5 5 2 2 2 3" xfId="35529" xr:uid="{D35C2E53-92F9-4EF2-814B-C7C6D0712837}"/>
    <cellStyle name="Currency 5 3 5 5 2 2 3" xfId="44828" xr:uid="{4B78088E-4F0C-44DA-9A1E-A5F216F518F3}"/>
    <cellStyle name="Currency 5 3 5 5 2 2 4" xfId="26230" xr:uid="{E3B0F928-D2AE-4D8A-BDA4-44E0C81B4B07}"/>
    <cellStyle name="Currency 5 3 5 5 2 3" xfId="13566" xr:uid="{E24C438B-C79C-43E8-9EE3-88A2B4DCC376}"/>
    <cellStyle name="Currency 5 3 5 5 2 3 2" xfId="49908" xr:uid="{8272092D-C586-4CEB-A548-F88AD5D6E0CE}"/>
    <cellStyle name="Currency 5 3 5 5 2 3 3" xfId="31312" xr:uid="{084EAF7B-B64E-47D1-94D1-24F4D2BD98D9}"/>
    <cellStyle name="Currency 5 3 5 5 2 4" xfId="40611" xr:uid="{5B70DE75-C3A6-4E5F-A7F9-9A53B2ECE12D}"/>
    <cellStyle name="Currency 5 3 5 5 2 5" xfId="22013" xr:uid="{6033B79D-34F1-4172-9C6C-9D43913137BE}"/>
    <cellStyle name="Currency 5 3 5 5 3" xfId="6312" xr:uid="{00000000-0005-0000-0000-0000320D0000}"/>
    <cellStyle name="Currency 5 3 5 5 3 2" xfId="15638" xr:uid="{E8D31E77-BA9D-4F1C-B2BA-C393DD9F75E4}"/>
    <cellStyle name="Currency 5 3 5 5 3 2 2" xfId="51980" xr:uid="{3CF44C35-FAAA-4806-97E3-A46D2FD02F09}"/>
    <cellStyle name="Currency 5 3 5 5 3 2 3" xfId="33384" xr:uid="{1821B980-1185-44FF-84E5-4D15F5702B33}"/>
    <cellStyle name="Currency 5 3 5 5 3 3" xfId="42683" xr:uid="{D4C58807-FC86-419A-A414-9BAA7780D990}"/>
    <cellStyle name="Currency 5 3 5 5 3 4" xfId="24085" xr:uid="{B4E28D0A-BD43-4D34-82C9-2D8EE1DB63BB}"/>
    <cellStyle name="Currency 5 3 5 5 4" xfId="11421" xr:uid="{3AC371AC-E587-42B3-92D9-6CF1CAC716F7}"/>
    <cellStyle name="Currency 5 3 5 5 4 2" xfId="47763" xr:uid="{BF527BEA-551D-4083-891E-A4DB1D5E3DBF}"/>
    <cellStyle name="Currency 5 3 5 5 4 3" xfId="29167" xr:uid="{6A948041-18E0-4066-9717-FD79A1766A80}"/>
    <cellStyle name="Currency 5 3 5 5 5" xfId="38466" xr:uid="{45545332-F82A-4F08-AFA1-14FA2B6E995E}"/>
    <cellStyle name="Currency 5 3 5 5 6" xfId="19868" xr:uid="{7465C77B-AAB7-4881-ACA9-A09E3922D120}"/>
    <cellStyle name="Currency 5 3 5 6" xfId="2441" xr:uid="{00000000-0005-0000-0000-0000330D0000}"/>
    <cellStyle name="Currency 5 3 5 6 2" xfId="6725" xr:uid="{00000000-0005-0000-0000-0000340D0000}"/>
    <cellStyle name="Currency 5 3 5 6 2 2" xfId="16051" xr:uid="{11E8704A-1F1A-4B05-B87E-820F1D0DF8C7}"/>
    <cellStyle name="Currency 5 3 5 6 2 2 2" xfId="52393" xr:uid="{D746F45B-3667-4C1B-A94B-6DFED308ECF1}"/>
    <cellStyle name="Currency 5 3 5 6 2 2 3" xfId="33797" xr:uid="{78624BE1-F1CD-4D88-ADA3-458F7071D54A}"/>
    <cellStyle name="Currency 5 3 5 6 2 3" xfId="43096" xr:uid="{EB24B73A-A2E1-44BF-A96F-BB819108BB0D}"/>
    <cellStyle name="Currency 5 3 5 6 2 4" xfId="24498" xr:uid="{BC5BD4DA-4BA0-44DE-B8DC-4AD26731B23F}"/>
    <cellStyle name="Currency 5 3 5 6 3" xfId="11834" xr:uid="{2CF9EAF0-3B57-49BE-8993-AD21953491B6}"/>
    <cellStyle name="Currency 5 3 5 6 3 2" xfId="48176" xr:uid="{8AE74B16-86ED-4342-A08F-4E57D50E145E}"/>
    <cellStyle name="Currency 5 3 5 6 3 3" xfId="29580" xr:uid="{0DB629F3-EC36-473F-BA82-D9AB9FCF3279}"/>
    <cellStyle name="Currency 5 3 5 6 4" xfId="38879" xr:uid="{D72DECDE-C31C-446A-9CFF-0874E694B917}"/>
    <cellStyle name="Currency 5 3 5 6 5" xfId="20281" xr:uid="{79E4D339-2359-4512-BBBB-456BD5F44630}"/>
    <cellStyle name="Currency 5 3 5 7" xfId="2738" xr:uid="{00000000-0005-0000-0000-0000350D0000}"/>
    <cellStyle name="Currency 5 3 5 8" xfId="2819" xr:uid="{00000000-0005-0000-0000-0000360D0000}"/>
    <cellStyle name="Currency 5 3 5 8 2" xfId="7042" xr:uid="{00000000-0005-0000-0000-0000370D0000}"/>
    <cellStyle name="Currency 5 3 5 8 2 2" xfId="16368" xr:uid="{DF533416-E5B1-4ABB-A915-CBBBFC3830FB}"/>
    <cellStyle name="Currency 5 3 5 8 2 2 2" xfId="52710" xr:uid="{BC7C75FD-F74E-4A6E-A9A5-8006BC0BD790}"/>
    <cellStyle name="Currency 5 3 5 8 2 2 3" xfId="34114" xr:uid="{AEEE3B8E-CAEF-44AA-B7FA-FC8E45CE6C80}"/>
    <cellStyle name="Currency 5 3 5 8 2 3" xfId="43413" xr:uid="{D838A535-A2B5-4B6A-B0F5-F589B5A778A6}"/>
    <cellStyle name="Currency 5 3 5 8 2 4" xfId="24815" xr:uid="{B28BB20F-9D75-43F0-B66C-DC9573006D57}"/>
    <cellStyle name="Currency 5 3 5 8 3" xfId="12151" xr:uid="{DE9CE618-245C-457E-AFC3-3588CEDF5E33}"/>
    <cellStyle name="Currency 5 3 5 8 3 2" xfId="48493" xr:uid="{AFCA20D6-F58E-4D9E-A087-705FA570A98C}"/>
    <cellStyle name="Currency 5 3 5 8 3 3" xfId="29897" xr:uid="{0D548645-5A8C-47EB-8AD8-470609DB29C5}"/>
    <cellStyle name="Currency 5 3 5 8 4" xfId="39196" xr:uid="{3323F640-A440-4C7E-A1BB-5B4FE6D6C599}"/>
    <cellStyle name="Currency 5 3 5 8 5" xfId="20598" xr:uid="{C648E9E4-D3C8-4464-BBE4-91F248ECAB7F}"/>
    <cellStyle name="Currency 5 3 5 9" xfId="4659" xr:uid="{00000000-0005-0000-0000-0000380D0000}"/>
    <cellStyle name="Currency 5 3 5 9 2" xfId="13985" xr:uid="{7BD5F35F-EAC0-41F4-8153-3C2EA3F66ED8}"/>
    <cellStyle name="Currency 5 3 5 9 2 2" xfId="50327" xr:uid="{7F8870D4-9045-47F1-BD9C-61086664A6BC}"/>
    <cellStyle name="Currency 5 3 5 9 2 3" xfId="31731" xr:uid="{A6F898A7-2956-4998-B64C-F0A97EF9070E}"/>
    <cellStyle name="Currency 5 3 5 9 3" xfId="41030" xr:uid="{63F64805-A01B-4A3A-ACB6-A7EF20D816B8}"/>
    <cellStyle name="Currency 5 3 5 9 4" xfId="22432" xr:uid="{4571896A-8EDA-4677-96EC-20BCCE94A81F}"/>
    <cellStyle name="Currency 5 3 6" xfId="9585" xr:uid="{F259418A-5AC0-4C4E-A98C-07B5BEE6D673}"/>
    <cellStyle name="Currency 5 3 7" xfId="8779" xr:uid="{856D4C12-E347-4E8F-9200-2EC71AC3E0CB}"/>
    <cellStyle name="Currency 5 3 7 2" xfId="35849" xr:uid="{5C75D2A6-39F6-4576-98DD-041B2D900F78}"/>
    <cellStyle name="Currency 5 3 7 2 2" xfId="54444" xr:uid="{B21145B3-48AA-4C72-9F88-DB6198B5A783}"/>
    <cellStyle name="Currency 5 3 7 3" xfId="45147" xr:uid="{C2233C24-B863-481E-B37F-D2029EBB38B3}"/>
    <cellStyle name="Currency 5 3 7 4" xfId="26550" xr:uid="{6499CA33-5C04-45C0-9DDE-D150309032E6}"/>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13986" xr:uid="{3107F56D-B2DD-4E95-988B-473CFA136DBE}"/>
    <cellStyle name="Currency 5 5 10 2 2" xfId="50328" xr:uid="{7C3C0F39-B648-4869-AA1E-204134BCE851}"/>
    <cellStyle name="Currency 5 5 10 2 3" xfId="31732" xr:uid="{CB03C3E6-5056-408F-935E-A67CFDA56624}"/>
    <cellStyle name="Currency 5 5 10 3" xfId="41031" xr:uid="{1AC7A090-B8DC-454C-BE45-933BDCF531F1}"/>
    <cellStyle name="Currency 5 5 10 4" xfId="22433" xr:uid="{6BBD775D-8AF3-458F-BFF2-6A878FB6DEB3}"/>
    <cellStyle name="Currency 5 5 11" xfId="8850" xr:uid="{8F129173-F323-478F-8B06-1E2599EB26C1}"/>
    <cellStyle name="Currency 5 5 11 2" xfId="35920" xr:uid="{06A1D5D1-369C-4529-B31F-6A90184C4B61}"/>
    <cellStyle name="Currency 5 5 11 2 2" xfId="54515" xr:uid="{A7B07D7A-D314-4D84-8708-1BD82E0DC86A}"/>
    <cellStyle name="Currency 5 5 11 3" xfId="45218" xr:uid="{05BDF783-6FF8-4BF8-89C6-5CC19939F88F}"/>
    <cellStyle name="Currency 5 5 11 4" xfId="26621" xr:uid="{C1FAF108-683C-43A2-8B5C-CD4704409793}"/>
    <cellStyle name="Currency 5 5 12" xfId="9769" xr:uid="{22733CA3-256E-4517-8CD9-CF10184859D7}"/>
    <cellStyle name="Currency 5 5 12 2" xfId="46111" xr:uid="{ABF736F8-7993-46DB-A3BB-9BAAAD2BD6E9}"/>
    <cellStyle name="Currency 5 5 12 3" xfId="27515" xr:uid="{8853DAD1-661B-420C-8C09-8F20B04C4833}"/>
    <cellStyle name="Currency 5 5 13" xfId="36814" xr:uid="{3B7AB24E-6A76-4772-9B28-CF3C2767F88B}"/>
    <cellStyle name="Currency 5 5 14" xfId="18216" xr:uid="{CBDCDEAF-6721-4501-80FC-C68CECDD101E}"/>
    <cellStyle name="Currency 5 5 2" xfId="220" xr:uid="{00000000-0005-0000-0000-00003D0D0000}"/>
    <cellStyle name="Currency 5 5 2 10" xfId="9057" xr:uid="{90E61E49-0971-4EC1-90D8-E015846E4FB2}"/>
    <cellStyle name="Currency 5 5 2 10 2" xfId="36127" xr:uid="{632AB4FB-B373-4AAF-8332-EDF109C98FB7}"/>
    <cellStyle name="Currency 5 5 2 10 2 2" xfId="54722" xr:uid="{E43097C0-767D-4C6E-8AEF-BC570BD99FC2}"/>
    <cellStyle name="Currency 5 5 2 10 3" xfId="45425" xr:uid="{849F88FA-DA08-4808-B05E-2FC26517BA5B}"/>
    <cellStyle name="Currency 5 5 2 10 4" xfId="26828" xr:uid="{CF62915D-D47A-455A-A5A4-13E0B20983B6}"/>
    <cellStyle name="Currency 5 5 2 11" xfId="9770" xr:uid="{638C71AD-861B-49ED-84DD-A337C373A572}"/>
    <cellStyle name="Currency 5 5 2 11 2" xfId="46112" xr:uid="{50A188E8-5FCE-4A30-96A2-0F14714DD949}"/>
    <cellStyle name="Currency 5 5 2 11 3" xfId="27516" xr:uid="{4B75C135-8527-4F2B-B46B-F206EDECB5EA}"/>
    <cellStyle name="Currency 5 5 2 12" xfId="36815" xr:uid="{9C00193C-58E3-4550-85A2-471A22E91CB1}"/>
    <cellStyle name="Currency 5 5 2 13" xfId="18217" xr:uid="{4636D53C-DCD3-4780-8337-B03067459899}"/>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16546" xr:uid="{51243BE3-2F6E-4E65-8264-235E6C0BB72C}"/>
    <cellStyle name="Currency 5 5 2 2 2 2 2 2" xfId="52888" xr:uid="{856242F7-8BF7-4912-ACC1-BA327468B755}"/>
    <cellStyle name="Currency 5 5 2 2 2 2 2 3" xfId="34292" xr:uid="{690E68AF-63FA-427E-AA10-42A61807BCEC}"/>
    <cellStyle name="Currency 5 5 2 2 2 2 3" xfId="43591" xr:uid="{6E21754B-C043-4837-9AB3-22CD3FC20722}"/>
    <cellStyle name="Currency 5 5 2 2 2 2 4" xfId="24993" xr:uid="{D73D044A-6F8A-456E-ACB8-C624D2A5CE3B}"/>
    <cellStyle name="Currency 5 5 2 2 2 3" xfId="12329" xr:uid="{CE0F638F-D773-4C3F-B0B4-05E0C675352E}"/>
    <cellStyle name="Currency 5 5 2 2 2 3 2" xfId="48671" xr:uid="{E00E4510-FBD8-4D12-BADC-C7928ACDF2F5}"/>
    <cellStyle name="Currency 5 5 2 2 2 3 3" xfId="30075" xr:uid="{A3DC719C-6BC3-4A17-809F-0B5BFCF27A0D}"/>
    <cellStyle name="Currency 5 5 2 2 2 4" xfId="39374" xr:uid="{E4BC508E-7422-4AB2-BEF3-FBC58CD3A484}"/>
    <cellStyle name="Currency 5 5 2 2 2 5" xfId="20776" xr:uid="{F88F1059-1789-4E4D-BCC5-981E625E3BE1}"/>
    <cellStyle name="Currency 5 5 2 2 3" xfId="5075" xr:uid="{00000000-0005-0000-0000-0000410D0000}"/>
    <cellStyle name="Currency 5 5 2 2 3 2" xfId="14401" xr:uid="{66503C7E-C2BD-4A57-9EA3-3D93DF47F652}"/>
    <cellStyle name="Currency 5 5 2 2 3 2 2" xfId="50743" xr:uid="{24D2B978-9A75-4D72-8E89-4DB54B93546F}"/>
    <cellStyle name="Currency 5 5 2 2 3 2 3" xfId="32147" xr:uid="{849FA2E8-094E-4269-A986-6639D3309FA2}"/>
    <cellStyle name="Currency 5 5 2 2 3 3" xfId="41446" xr:uid="{606EFB3B-A3DB-45D2-B0DA-3B234924F3FD}"/>
    <cellStyle name="Currency 5 5 2 2 3 4" xfId="22848" xr:uid="{FE69BE02-B2D5-403F-8D5A-CB83E894E7E7}"/>
    <cellStyle name="Currency 5 5 2 2 4" xfId="9482" xr:uid="{ECEE3E7C-42CD-4A2D-A90F-D54FFBA7E41F}"/>
    <cellStyle name="Currency 5 5 2 2 4 2" xfId="36543" xr:uid="{CE4FF97C-DF8A-46E0-B183-9231AC788177}"/>
    <cellStyle name="Currency 5 5 2 2 4 2 2" xfId="55137" xr:uid="{7BD3A4C3-FFEF-47C1-8418-44DFABBF5456}"/>
    <cellStyle name="Currency 5 5 2 2 4 3" xfId="45840" xr:uid="{E0F9FB18-AFF5-471F-8AEB-4881C8B1D45F}"/>
    <cellStyle name="Currency 5 5 2 2 4 4" xfId="27244" xr:uid="{A18D6CD6-65D3-442F-ABEC-7D45133942A1}"/>
    <cellStyle name="Currency 5 5 2 2 5" xfId="10184" xr:uid="{2E586949-B8C5-4753-A091-59F2F70C3945}"/>
    <cellStyle name="Currency 5 5 2 2 5 2" xfId="46526" xr:uid="{A1B17B5D-E0CD-42C8-814D-806C7DFA257B}"/>
    <cellStyle name="Currency 5 5 2 2 5 3" xfId="27930" xr:uid="{49414776-C5FA-428D-BC72-BD06ECDB330C}"/>
    <cellStyle name="Currency 5 5 2 2 6" xfId="37229" xr:uid="{E69A20BF-B148-41D4-93C8-48C36A58D76B}"/>
    <cellStyle name="Currency 5 5 2 2 7" xfId="18631" xr:uid="{685E3EB9-EA31-492F-89FE-3B01F45229F5}"/>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16959" xr:uid="{52B46AAA-A41B-4202-A457-702F9E8CE780}"/>
    <cellStyle name="Currency 5 5 2 3 2 2 2 2" xfId="53301" xr:uid="{E86CC349-7CD7-4239-BE36-EF96738B30E9}"/>
    <cellStyle name="Currency 5 5 2 3 2 2 2 3" xfId="34705" xr:uid="{C8D22CCE-F6AA-45D1-B56D-25B92AECB582}"/>
    <cellStyle name="Currency 5 5 2 3 2 2 3" xfId="44004" xr:uid="{95C34576-3DF2-453C-B7C0-BFA0123B8514}"/>
    <cellStyle name="Currency 5 5 2 3 2 2 4" xfId="25406" xr:uid="{51261E56-88F0-42E0-8AD7-90F0858DE16A}"/>
    <cellStyle name="Currency 5 5 2 3 2 3" xfId="12742" xr:uid="{28D6D460-C0CD-42E4-BF80-D816E614B296}"/>
    <cellStyle name="Currency 5 5 2 3 2 3 2" xfId="49084" xr:uid="{D29A9944-00C3-4594-9C11-709E52001F92}"/>
    <cellStyle name="Currency 5 5 2 3 2 3 3" xfId="30488" xr:uid="{E016FD37-B400-4AA2-8252-CB067B083367}"/>
    <cellStyle name="Currency 5 5 2 3 2 4" xfId="39787" xr:uid="{BF98D027-3626-4A2A-AEBE-5FC2C1A4EAE2}"/>
    <cellStyle name="Currency 5 5 2 3 2 5" xfId="21189" xr:uid="{38542C0B-FF06-40B4-AE15-F7C4B1FEE134}"/>
    <cellStyle name="Currency 5 5 2 3 3" xfId="5488" xr:uid="{00000000-0005-0000-0000-0000450D0000}"/>
    <cellStyle name="Currency 5 5 2 3 3 2" xfId="14814" xr:uid="{8BFCCA67-91DC-4B5B-848F-2A706D8BB91D}"/>
    <cellStyle name="Currency 5 5 2 3 3 2 2" xfId="51156" xr:uid="{AFC8AEA5-925C-40B3-952F-90D97DF8BD90}"/>
    <cellStyle name="Currency 5 5 2 3 3 2 3" xfId="32560" xr:uid="{FA552CB4-6F11-426D-90FB-204CEB64F118}"/>
    <cellStyle name="Currency 5 5 2 3 3 3" xfId="41859" xr:uid="{4441DBD7-342C-465D-A69E-BB0C75F07E5B}"/>
    <cellStyle name="Currency 5 5 2 3 3 4" xfId="23261" xr:uid="{62E9FDCF-60CC-43A6-8EF4-33F3C11C26D2}"/>
    <cellStyle name="Currency 5 5 2 3 4" xfId="10597" xr:uid="{58620E06-6953-4FF7-AFB0-A8424131932C}"/>
    <cellStyle name="Currency 5 5 2 3 4 2" xfId="46939" xr:uid="{6A9EB851-A35B-4644-9C0C-A660FB9977C9}"/>
    <cellStyle name="Currency 5 5 2 3 4 3" xfId="28343" xr:uid="{92383E67-E141-4B1A-97AA-559978DCB3E1}"/>
    <cellStyle name="Currency 5 5 2 3 5" xfId="37642" xr:uid="{D60C2964-3FC0-4DBA-BB77-7B506E1F8876}"/>
    <cellStyle name="Currency 5 5 2 3 6" xfId="19044" xr:uid="{77A31CBD-3C16-4B6E-8EE8-7C3B4748B3B0}"/>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17372" xr:uid="{AE15EBD0-4E7F-402A-B199-A6DBAAEBCA31}"/>
    <cellStyle name="Currency 5 5 2 4 2 2 2 2" xfId="53714" xr:uid="{85BFBBF9-F68E-422A-AC0A-A40AF6D4947C}"/>
    <cellStyle name="Currency 5 5 2 4 2 2 2 3" xfId="35118" xr:uid="{7905B3A8-417B-4363-8B17-2EDD84752A31}"/>
    <cellStyle name="Currency 5 5 2 4 2 2 3" xfId="44417" xr:uid="{72213E3D-5ECF-4EAA-A4E2-37069D65EC96}"/>
    <cellStyle name="Currency 5 5 2 4 2 2 4" xfId="25819" xr:uid="{7FCF5A34-6DFC-4644-8B1D-F40EF546E808}"/>
    <cellStyle name="Currency 5 5 2 4 2 3" xfId="13155" xr:uid="{8E761716-A1AE-4CB3-8BBD-6E64A4B85664}"/>
    <cellStyle name="Currency 5 5 2 4 2 3 2" xfId="49497" xr:uid="{D3BC455B-E63A-4D71-8DEA-922296FEAADD}"/>
    <cellStyle name="Currency 5 5 2 4 2 3 3" xfId="30901" xr:uid="{C4C52D33-9240-471F-A9BB-EF85792DD30D}"/>
    <cellStyle name="Currency 5 5 2 4 2 4" xfId="40200" xr:uid="{F8CD39D6-DE9D-4E24-A59D-0105DF86724A}"/>
    <cellStyle name="Currency 5 5 2 4 2 5" xfId="21602" xr:uid="{980D98BB-5411-4C53-B680-1A0747F21C33}"/>
    <cellStyle name="Currency 5 5 2 4 3" xfId="5901" xr:uid="{00000000-0005-0000-0000-0000490D0000}"/>
    <cellStyle name="Currency 5 5 2 4 3 2" xfId="15227" xr:uid="{1A5B5F6C-D96B-4C5F-9CDA-276994F3E39D}"/>
    <cellStyle name="Currency 5 5 2 4 3 2 2" xfId="51569" xr:uid="{B8F0F48B-9C70-4B10-858E-58F4C299FE22}"/>
    <cellStyle name="Currency 5 5 2 4 3 2 3" xfId="32973" xr:uid="{FBB0FB57-87BB-4D58-B171-46E92EE78EA5}"/>
    <cellStyle name="Currency 5 5 2 4 3 3" xfId="42272" xr:uid="{5A197A26-9068-4553-B6D2-483D24988F5F}"/>
    <cellStyle name="Currency 5 5 2 4 3 4" xfId="23674" xr:uid="{99642AA7-96A3-42E2-9DC7-762A63D1A3F8}"/>
    <cellStyle name="Currency 5 5 2 4 4" xfId="11010" xr:uid="{9AC175D5-2955-45C8-8285-268107095910}"/>
    <cellStyle name="Currency 5 5 2 4 4 2" xfId="47352" xr:uid="{FEF448ED-132E-41CD-9F44-1A9BC12F89B8}"/>
    <cellStyle name="Currency 5 5 2 4 4 3" xfId="28756" xr:uid="{9BE151B5-7417-4F1E-B6E0-D83380E4DE0C}"/>
    <cellStyle name="Currency 5 5 2 4 5" xfId="38055" xr:uid="{103B209D-9D78-4679-B257-12273611E241}"/>
    <cellStyle name="Currency 5 5 2 4 6" xfId="19457" xr:uid="{BD20C7AF-AF17-4487-AFE0-75FA7AC3CB95}"/>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17785" xr:uid="{4B601226-9574-4752-87B4-EC77F435AA6E}"/>
    <cellStyle name="Currency 5 5 2 5 2 2 2 2" xfId="54127" xr:uid="{803BD0A5-3102-4FAB-91CE-BFD0A1EC31C5}"/>
    <cellStyle name="Currency 5 5 2 5 2 2 2 3" xfId="35531" xr:uid="{9323E9BB-27DC-4A37-93A7-E6D8EF628067}"/>
    <cellStyle name="Currency 5 5 2 5 2 2 3" xfId="44830" xr:uid="{007A76E1-BB0E-4A7B-9A69-A3DF63BE4F4B}"/>
    <cellStyle name="Currency 5 5 2 5 2 2 4" xfId="26232" xr:uid="{1314748A-6BDE-4952-8FB4-EAE9D7F07C1D}"/>
    <cellStyle name="Currency 5 5 2 5 2 3" xfId="13568" xr:uid="{EB465FEB-C628-4648-99B9-BCA4F2769A19}"/>
    <cellStyle name="Currency 5 5 2 5 2 3 2" xfId="49910" xr:uid="{A2D9D2BF-7802-4A80-841C-AC038F4A764B}"/>
    <cellStyle name="Currency 5 5 2 5 2 3 3" xfId="31314" xr:uid="{2CC30101-D343-4515-AA74-580F59F2517B}"/>
    <cellStyle name="Currency 5 5 2 5 2 4" xfId="40613" xr:uid="{E6E505E6-AC09-4402-9DA6-6BA60850CF0B}"/>
    <cellStyle name="Currency 5 5 2 5 2 5" xfId="22015" xr:uid="{6D7714F4-9D3D-4E08-8347-0DAFCD0C0F05}"/>
    <cellStyle name="Currency 5 5 2 5 3" xfId="6314" xr:uid="{00000000-0005-0000-0000-00004D0D0000}"/>
    <cellStyle name="Currency 5 5 2 5 3 2" xfId="15640" xr:uid="{325270E1-F998-4525-AE6C-678F2BC785D7}"/>
    <cellStyle name="Currency 5 5 2 5 3 2 2" xfId="51982" xr:uid="{0EC00145-80ED-482E-9B97-86AA1A49B5B8}"/>
    <cellStyle name="Currency 5 5 2 5 3 2 3" xfId="33386" xr:uid="{B1B5F301-FE75-44F3-8540-88BF445FF30F}"/>
    <cellStyle name="Currency 5 5 2 5 3 3" xfId="42685" xr:uid="{19451302-122C-44B4-B116-115A9F4EE5DF}"/>
    <cellStyle name="Currency 5 5 2 5 3 4" xfId="24087" xr:uid="{68878240-E6C8-4FC5-8C93-5D41F7B3935F}"/>
    <cellStyle name="Currency 5 5 2 5 4" xfId="11423" xr:uid="{99647E2A-9D04-4DF5-A6F4-1A23ABB5C3F2}"/>
    <cellStyle name="Currency 5 5 2 5 4 2" xfId="47765" xr:uid="{8EF0F1EF-C8A2-4EE9-9C62-F52430BF7983}"/>
    <cellStyle name="Currency 5 5 2 5 4 3" xfId="29169" xr:uid="{394422B2-E20B-4DAF-AFE8-5B10B04FD1B5}"/>
    <cellStyle name="Currency 5 5 2 5 5" xfId="38468" xr:uid="{FF6889E9-A997-44B5-8E85-450B19696282}"/>
    <cellStyle name="Currency 5 5 2 5 6" xfId="19870" xr:uid="{EDF48086-70D8-46C0-8D82-C5065930DCB3}"/>
    <cellStyle name="Currency 5 5 2 6" xfId="2443" xr:uid="{00000000-0005-0000-0000-00004E0D0000}"/>
    <cellStyle name="Currency 5 5 2 6 2" xfId="6727" xr:uid="{00000000-0005-0000-0000-00004F0D0000}"/>
    <cellStyle name="Currency 5 5 2 6 2 2" xfId="16053" xr:uid="{21D87700-AF7D-44D3-8425-56440D173BE5}"/>
    <cellStyle name="Currency 5 5 2 6 2 2 2" xfId="52395" xr:uid="{276D987A-0403-43A9-A37C-22EF0877BC47}"/>
    <cellStyle name="Currency 5 5 2 6 2 2 3" xfId="33799" xr:uid="{86BD922F-02CD-48BA-A751-28F1050C195F}"/>
    <cellStyle name="Currency 5 5 2 6 2 3" xfId="43098" xr:uid="{4D06AABA-0BE0-43C5-80DF-007E32CA1FA3}"/>
    <cellStyle name="Currency 5 5 2 6 2 4" xfId="24500" xr:uid="{32777526-D937-4288-8A26-DE07FD205A60}"/>
    <cellStyle name="Currency 5 5 2 6 3" xfId="11836" xr:uid="{93E3C889-98AF-4DFE-9FDD-1DB26C90017A}"/>
    <cellStyle name="Currency 5 5 2 6 3 2" xfId="48178" xr:uid="{28BBC5A4-721B-4DA7-B97B-E18981242ED8}"/>
    <cellStyle name="Currency 5 5 2 6 3 3" xfId="29582" xr:uid="{FFBAF768-9DA6-4F2F-BEB0-46BF889E8B7A}"/>
    <cellStyle name="Currency 5 5 2 6 4" xfId="38881" xr:uid="{B421AB15-834F-4148-8197-928D9BD6868F}"/>
    <cellStyle name="Currency 5 5 2 6 5" xfId="20283" xr:uid="{C3031850-03DF-49A8-8D5A-0D16D81871DF}"/>
    <cellStyle name="Currency 5 5 2 7" xfId="2740" xr:uid="{00000000-0005-0000-0000-0000500D0000}"/>
    <cellStyle name="Currency 5 5 2 8" xfId="2821" xr:uid="{00000000-0005-0000-0000-0000510D0000}"/>
    <cellStyle name="Currency 5 5 2 8 2" xfId="7044" xr:uid="{00000000-0005-0000-0000-0000520D0000}"/>
    <cellStyle name="Currency 5 5 2 8 2 2" xfId="16370" xr:uid="{EB6755D3-1F93-4447-8CC6-6966108C78E1}"/>
    <cellStyle name="Currency 5 5 2 8 2 2 2" xfId="52712" xr:uid="{9DF05AA6-E0FF-4961-8C55-FA17C9908692}"/>
    <cellStyle name="Currency 5 5 2 8 2 2 3" xfId="34116" xr:uid="{DB8FB063-FB0D-4E2E-8FB0-3AB80F0BF796}"/>
    <cellStyle name="Currency 5 5 2 8 2 3" xfId="43415" xr:uid="{9230D94A-2380-422D-A780-F8C548536E1F}"/>
    <cellStyle name="Currency 5 5 2 8 2 4" xfId="24817" xr:uid="{B4DC3151-5518-4573-9C93-9D24C7693600}"/>
    <cellStyle name="Currency 5 5 2 8 3" xfId="12153" xr:uid="{1325A62C-1921-4230-B61B-5C2744307300}"/>
    <cellStyle name="Currency 5 5 2 8 3 2" xfId="48495" xr:uid="{87956C56-884F-4733-B312-0707C184CE3C}"/>
    <cellStyle name="Currency 5 5 2 8 3 3" xfId="29899" xr:uid="{3C348787-1BEA-46D8-8B0E-D6F18181E7A5}"/>
    <cellStyle name="Currency 5 5 2 8 4" xfId="39198" xr:uid="{A356854D-A831-49DA-81A0-C9EC498C6ADC}"/>
    <cellStyle name="Currency 5 5 2 8 5" xfId="20600" xr:uid="{587339CD-9668-4C85-94B2-B1A01824AD6C}"/>
    <cellStyle name="Currency 5 5 2 9" xfId="4661" xr:uid="{00000000-0005-0000-0000-0000530D0000}"/>
    <cellStyle name="Currency 5 5 2 9 2" xfId="13987" xr:uid="{9553DE1B-887D-4007-BEA0-05EE28894DAD}"/>
    <cellStyle name="Currency 5 5 2 9 2 2" xfId="50329" xr:uid="{0D0F0188-C5D4-4156-8461-F4468482A02D}"/>
    <cellStyle name="Currency 5 5 2 9 2 3" xfId="31733" xr:uid="{9A0E47C1-DE82-479F-9EA4-74BE5F1138A5}"/>
    <cellStyle name="Currency 5 5 2 9 3" xfId="41032" xr:uid="{FA7A551F-8B7D-47E9-976D-C05D1437F196}"/>
    <cellStyle name="Currency 5 5 2 9 4" xfId="22434" xr:uid="{A0186F60-2E31-4C20-830C-417C56E9A1A8}"/>
    <cellStyle name="Currency 5 5 3" xfId="745" xr:uid="{00000000-0005-0000-0000-0000540D0000}"/>
    <cellStyle name="Currency 5 5 3 2" xfId="2997" xr:uid="{00000000-0005-0000-0000-0000550D0000}"/>
    <cellStyle name="Currency 5 5 3 2 2" xfId="7219" xr:uid="{00000000-0005-0000-0000-0000560D0000}"/>
    <cellStyle name="Currency 5 5 3 2 2 2" xfId="16545" xr:uid="{E99D684B-A418-4755-B8FD-C47DBD435EE5}"/>
    <cellStyle name="Currency 5 5 3 2 2 2 2" xfId="52887" xr:uid="{8773AAE4-394B-4537-AAB7-DE10753464DC}"/>
    <cellStyle name="Currency 5 5 3 2 2 2 3" xfId="34291" xr:uid="{F320A718-57C1-4F6D-82A6-44DB35738CF5}"/>
    <cellStyle name="Currency 5 5 3 2 2 3" xfId="43590" xr:uid="{A70D2E27-0078-4C78-ABAE-DB6B79739A2B}"/>
    <cellStyle name="Currency 5 5 3 2 2 4" xfId="24992" xr:uid="{7A6A0829-D90E-4F95-8B4C-B54A073519F6}"/>
    <cellStyle name="Currency 5 5 3 2 3" xfId="12328" xr:uid="{7AD8E848-F19B-4058-B400-89B819051B9A}"/>
    <cellStyle name="Currency 5 5 3 2 3 2" xfId="48670" xr:uid="{8E8CC267-FE79-49B7-A76C-8AF69A01058B}"/>
    <cellStyle name="Currency 5 5 3 2 3 3" xfId="30074" xr:uid="{B343DCBD-917A-4F83-83A3-E8ED6DF35CB0}"/>
    <cellStyle name="Currency 5 5 3 2 4" xfId="39373" xr:uid="{9110C86B-D49C-40D8-A3FC-03D589B3861A}"/>
    <cellStyle name="Currency 5 5 3 2 5" xfId="20775" xr:uid="{9E547058-E6C3-479B-AC13-22F5AAB5CD6F}"/>
    <cellStyle name="Currency 5 5 3 3" xfId="5074" xr:uid="{00000000-0005-0000-0000-0000570D0000}"/>
    <cellStyle name="Currency 5 5 3 3 2" xfId="14400" xr:uid="{5B36D7B4-616E-4E18-87C0-6443CDA5BA0F}"/>
    <cellStyle name="Currency 5 5 3 3 2 2" xfId="50742" xr:uid="{FCD9AC27-B91E-4E8A-ACA1-F11ED082D3E2}"/>
    <cellStyle name="Currency 5 5 3 3 2 3" xfId="32146" xr:uid="{F5A428B4-C780-42D2-BDB6-BB12B444D47E}"/>
    <cellStyle name="Currency 5 5 3 3 3" xfId="41445" xr:uid="{35448987-064C-4C0E-8899-371A6C823723}"/>
    <cellStyle name="Currency 5 5 3 3 4" xfId="22847" xr:uid="{19DCFAB4-8136-4F19-8651-B2D2C420B59F}"/>
    <cellStyle name="Currency 5 5 3 4" xfId="9275" xr:uid="{54783F20-34E5-4A58-80AE-EC7CC69A89C9}"/>
    <cellStyle name="Currency 5 5 3 4 2" xfId="36336" xr:uid="{66A8EA78-51CC-4EC8-B022-1A32B2C6872F}"/>
    <cellStyle name="Currency 5 5 3 4 2 2" xfId="54930" xr:uid="{42E9E27F-9066-4F9C-B8F9-0E89ADAD7A9F}"/>
    <cellStyle name="Currency 5 5 3 4 3" xfId="45633" xr:uid="{F28D5C96-1E57-41FC-A175-650D7F70AC39}"/>
    <cellStyle name="Currency 5 5 3 4 4" xfId="27037" xr:uid="{C07C7C42-479A-445D-B92E-22121C86D22D}"/>
    <cellStyle name="Currency 5 5 3 5" xfId="10183" xr:uid="{2E39F70C-E4F1-4AC1-B4F8-85891864A761}"/>
    <cellStyle name="Currency 5 5 3 5 2" xfId="46525" xr:uid="{FA7EF4C1-56EF-4DA8-960D-8F75EA1CBBD8}"/>
    <cellStyle name="Currency 5 5 3 5 3" xfId="27929" xr:uid="{6E613CCA-3753-4A8F-86F7-88BA55703867}"/>
    <cellStyle name="Currency 5 5 3 6" xfId="37228" xr:uid="{B7F796E3-D789-4A0D-BB9F-497E07BD8AEA}"/>
    <cellStyle name="Currency 5 5 3 7" xfId="18630" xr:uid="{57CEBD8A-6332-46B2-92A0-C00603DF14C8}"/>
    <cellStyle name="Currency 5 5 4" xfId="1179" xr:uid="{00000000-0005-0000-0000-0000580D0000}"/>
    <cellStyle name="Currency 5 5 4 2" xfId="3410" xr:uid="{00000000-0005-0000-0000-0000590D0000}"/>
    <cellStyle name="Currency 5 5 4 2 2" xfId="7632" xr:uid="{00000000-0005-0000-0000-00005A0D0000}"/>
    <cellStyle name="Currency 5 5 4 2 2 2" xfId="16958" xr:uid="{B9FAB2DB-9868-45C4-A41E-1F8408EB96BE}"/>
    <cellStyle name="Currency 5 5 4 2 2 2 2" xfId="53300" xr:uid="{566E9F5A-6B61-4A10-A18E-CAE4422A73DB}"/>
    <cellStyle name="Currency 5 5 4 2 2 2 3" xfId="34704" xr:uid="{EAF53026-67D6-436B-99B6-78890E377CAE}"/>
    <cellStyle name="Currency 5 5 4 2 2 3" xfId="44003" xr:uid="{88CC8A6A-87EB-4AF6-9BBF-F2BDF1210A9D}"/>
    <cellStyle name="Currency 5 5 4 2 2 4" xfId="25405" xr:uid="{5A09E003-555E-4D4C-B2D3-D18915F4A30B}"/>
    <cellStyle name="Currency 5 5 4 2 3" xfId="12741" xr:uid="{59B386CD-926A-4EE6-9FE2-07636686012D}"/>
    <cellStyle name="Currency 5 5 4 2 3 2" xfId="49083" xr:uid="{C6B8B03B-EE08-46C2-890B-567C024D5AC1}"/>
    <cellStyle name="Currency 5 5 4 2 3 3" xfId="30487" xr:uid="{3E08EE45-2D4A-4C37-8B29-A519BA930D0C}"/>
    <cellStyle name="Currency 5 5 4 2 4" xfId="39786" xr:uid="{9C837EC6-2DB7-45C5-BA1A-0CD1BA19D5B3}"/>
    <cellStyle name="Currency 5 5 4 2 5" xfId="21188" xr:uid="{F0A6D0B7-3C2E-4A1C-8622-F226B9E47D1A}"/>
    <cellStyle name="Currency 5 5 4 3" xfId="5487" xr:uid="{00000000-0005-0000-0000-00005B0D0000}"/>
    <cellStyle name="Currency 5 5 4 3 2" xfId="14813" xr:uid="{A3BA3DCC-C84F-42AE-861F-498628EE7902}"/>
    <cellStyle name="Currency 5 5 4 3 2 2" xfId="51155" xr:uid="{F7320B6D-1296-4273-8E48-3707635C0C61}"/>
    <cellStyle name="Currency 5 5 4 3 2 3" xfId="32559" xr:uid="{1C35615A-6381-4A88-95AE-CD79B1E1A6B3}"/>
    <cellStyle name="Currency 5 5 4 3 3" xfId="41858" xr:uid="{D72A3AE8-3949-4A3C-B1AF-E157B7C29504}"/>
    <cellStyle name="Currency 5 5 4 3 4" xfId="23260" xr:uid="{BDEC2839-51E7-424E-B4AA-FF10821B655C}"/>
    <cellStyle name="Currency 5 5 4 4" xfId="10596" xr:uid="{91B2B7BA-22A7-4D78-A65B-A780E46FF31D}"/>
    <cellStyle name="Currency 5 5 4 4 2" xfId="46938" xr:uid="{FFDB7831-C480-44BE-BF16-56D7DE287E9B}"/>
    <cellStyle name="Currency 5 5 4 4 3" xfId="28342" xr:uid="{2D67A635-A1B8-46AD-93C1-81E37FE44C4E}"/>
    <cellStyle name="Currency 5 5 4 5" xfId="37641" xr:uid="{03D0FA21-0EFA-4449-92F3-10DB1BBBDEF8}"/>
    <cellStyle name="Currency 5 5 4 6" xfId="19043" xr:uid="{30A86657-4E66-492C-80C9-9543B6FBAFBB}"/>
    <cellStyle name="Currency 5 5 5" xfId="1593" xr:uid="{00000000-0005-0000-0000-00005C0D0000}"/>
    <cellStyle name="Currency 5 5 5 2" xfId="3823" xr:uid="{00000000-0005-0000-0000-00005D0D0000}"/>
    <cellStyle name="Currency 5 5 5 2 2" xfId="8045" xr:uid="{00000000-0005-0000-0000-00005E0D0000}"/>
    <cellStyle name="Currency 5 5 5 2 2 2" xfId="17371" xr:uid="{52C37142-A0D4-4DE8-B041-37FB0346F6D9}"/>
    <cellStyle name="Currency 5 5 5 2 2 2 2" xfId="53713" xr:uid="{96E53F7D-91DE-4A00-A0D4-95DBFD467C2B}"/>
    <cellStyle name="Currency 5 5 5 2 2 2 3" xfId="35117" xr:uid="{42282442-9C29-4F7D-B147-7819FED5EC61}"/>
    <cellStyle name="Currency 5 5 5 2 2 3" xfId="44416" xr:uid="{7679E540-4C89-48DA-B0AD-8304CA5C5050}"/>
    <cellStyle name="Currency 5 5 5 2 2 4" xfId="25818" xr:uid="{2D85415E-DB01-46E5-BC58-5687F4DA6B5B}"/>
    <cellStyle name="Currency 5 5 5 2 3" xfId="13154" xr:uid="{38F5C504-8C8C-451A-AF35-85491E7C0267}"/>
    <cellStyle name="Currency 5 5 5 2 3 2" xfId="49496" xr:uid="{3221F825-DC49-4162-BCF1-6B590592B18C}"/>
    <cellStyle name="Currency 5 5 5 2 3 3" xfId="30900" xr:uid="{5C7F9880-BF5A-4444-AC5B-A036D5E9AA22}"/>
    <cellStyle name="Currency 5 5 5 2 4" xfId="40199" xr:uid="{09511E90-EF18-4AF0-8BD6-D1CB07415E1A}"/>
    <cellStyle name="Currency 5 5 5 2 5" xfId="21601" xr:uid="{A669E8BD-471C-4C81-9101-B990673C1CFB}"/>
    <cellStyle name="Currency 5 5 5 3" xfId="5900" xr:uid="{00000000-0005-0000-0000-00005F0D0000}"/>
    <cellStyle name="Currency 5 5 5 3 2" xfId="15226" xr:uid="{D5F6C4D9-E2E1-454C-A950-2038DDD31338}"/>
    <cellStyle name="Currency 5 5 5 3 2 2" xfId="51568" xr:uid="{27204675-BD7C-40DF-942E-9C4EA2FE6F18}"/>
    <cellStyle name="Currency 5 5 5 3 2 3" xfId="32972" xr:uid="{3C6E6DF7-5AD0-4E56-B8E9-39E93F01C83D}"/>
    <cellStyle name="Currency 5 5 5 3 3" xfId="42271" xr:uid="{F07C0919-E85C-4067-B76C-8F57109E6BC9}"/>
    <cellStyle name="Currency 5 5 5 3 4" xfId="23673" xr:uid="{8E6FDB73-B219-45F2-AEB3-A61438862A9E}"/>
    <cellStyle name="Currency 5 5 5 4" xfId="11009" xr:uid="{79B40BF6-217A-4A49-8A0A-739C5259900D}"/>
    <cellStyle name="Currency 5 5 5 4 2" xfId="47351" xr:uid="{B9E00B04-6047-43F6-B22E-84E587011557}"/>
    <cellStyle name="Currency 5 5 5 4 3" xfId="28755" xr:uid="{724E018D-98F1-4986-A7A3-7E1C7E79ABA5}"/>
    <cellStyle name="Currency 5 5 5 5" xfId="38054" xr:uid="{CEC674DA-6D64-45B8-8195-E65D6B6DAF69}"/>
    <cellStyle name="Currency 5 5 5 6" xfId="19456" xr:uid="{39049788-F5C7-47D0-841A-6D8391090C0B}"/>
    <cellStyle name="Currency 5 5 6" xfId="2007" xr:uid="{00000000-0005-0000-0000-0000600D0000}"/>
    <cellStyle name="Currency 5 5 6 2" xfId="4236" xr:uid="{00000000-0005-0000-0000-0000610D0000}"/>
    <cellStyle name="Currency 5 5 6 2 2" xfId="8458" xr:uid="{00000000-0005-0000-0000-0000620D0000}"/>
    <cellStyle name="Currency 5 5 6 2 2 2" xfId="17784" xr:uid="{C62D31C6-85B9-4124-A4FB-4BCEAE781659}"/>
    <cellStyle name="Currency 5 5 6 2 2 2 2" xfId="54126" xr:uid="{FAF74819-57F5-4873-95D4-A17FFF5D92F7}"/>
    <cellStyle name="Currency 5 5 6 2 2 2 3" xfId="35530" xr:uid="{3AFB46B1-E101-4C4C-B7C6-9107EDA4DCBA}"/>
    <cellStyle name="Currency 5 5 6 2 2 3" xfId="44829" xr:uid="{9A18102E-F9A7-42F5-94CF-FFB8239718F2}"/>
    <cellStyle name="Currency 5 5 6 2 2 4" xfId="26231" xr:uid="{AFAB0EA2-044B-4BF6-A6B2-746CE8691179}"/>
    <cellStyle name="Currency 5 5 6 2 3" xfId="13567" xr:uid="{15E00EBF-EC5C-4B22-847A-2B3B0600C82D}"/>
    <cellStyle name="Currency 5 5 6 2 3 2" xfId="49909" xr:uid="{87AD3252-C696-42AD-A98E-505F1CE35958}"/>
    <cellStyle name="Currency 5 5 6 2 3 3" xfId="31313" xr:uid="{53636F77-0B28-4127-82F8-DFE012233D4F}"/>
    <cellStyle name="Currency 5 5 6 2 4" xfId="40612" xr:uid="{34A57BF8-3EFB-4A62-B144-0F0DD6E4EE01}"/>
    <cellStyle name="Currency 5 5 6 2 5" xfId="22014" xr:uid="{5E483BEE-7850-4A75-9230-005D57999A3D}"/>
    <cellStyle name="Currency 5 5 6 3" xfId="6313" xr:uid="{00000000-0005-0000-0000-0000630D0000}"/>
    <cellStyle name="Currency 5 5 6 3 2" xfId="15639" xr:uid="{7C3EB449-57D0-47B8-B056-EF0CD028C293}"/>
    <cellStyle name="Currency 5 5 6 3 2 2" xfId="51981" xr:uid="{DE38710E-3A01-4285-B332-9739A9E99AF6}"/>
    <cellStyle name="Currency 5 5 6 3 2 3" xfId="33385" xr:uid="{E075C6D4-EBB9-4150-A3E1-176E3B4B9597}"/>
    <cellStyle name="Currency 5 5 6 3 3" xfId="42684" xr:uid="{58DF6288-01ED-4A24-A06F-BB88E956E036}"/>
    <cellStyle name="Currency 5 5 6 3 4" xfId="24086" xr:uid="{55DBFE34-CF8A-44BB-868B-3637B0FBECF6}"/>
    <cellStyle name="Currency 5 5 6 4" xfId="11422" xr:uid="{DB16FCE6-7F1B-4673-A9E7-B036CF5F96D5}"/>
    <cellStyle name="Currency 5 5 6 4 2" xfId="47764" xr:uid="{BB2F23D6-AE14-4B5D-8201-4FA1D78BFE53}"/>
    <cellStyle name="Currency 5 5 6 4 3" xfId="29168" xr:uid="{FFBBA874-33C5-45B5-80B3-CA45F567FE4C}"/>
    <cellStyle name="Currency 5 5 6 5" xfId="38467" xr:uid="{A8C01EA2-1122-4970-AD84-3E190CC532FA}"/>
    <cellStyle name="Currency 5 5 6 6" xfId="19869" xr:uid="{B695E648-2719-4904-BC74-47002832A8D2}"/>
    <cellStyle name="Currency 5 5 7" xfId="2442" xr:uid="{00000000-0005-0000-0000-0000640D0000}"/>
    <cellStyle name="Currency 5 5 7 2" xfId="6726" xr:uid="{00000000-0005-0000-0000-0000650D0000}"/>
    <cellStyle name="Currency 5 5 7 2 2" xfId="16052" xr:uid="{B41B0324-302E-4592-9195-19EA329F8CA8}"/>
    <cellStyle name="Currency 5 5 7 2 2 2" xfId="52394" xr:uid="{1FF911AB-D38D-437C-8AED-2240454F250B}"/>
    <cellStyle name="Currency 5 5 7 2 2 3" xfId="33798" xr:uid="{77886B0F-174E-435F-BC6D-7F940B7D16FC}"/>
    <cellStyle name="Currency 5 5 7 2 3" xfId="43097" xr:uid="{48B628E0-E057-44B4-9F76-66E5F5AB25B0}"/>
    <cellStyle name="Currency 5 5 7 2 4" xfId="24499" xr:uid="{FC0B9CEB-4CAB-4D0C-B6A3-D48F35D15F3A}"/>
    <cellStyle name="Currency 5 5 7 3" xfId="11835" xr:uid="{CDEB5F62-2F38-4734-8237-F9895DB9DC9C}"/>
    <cellStyle name="Currency 5 5 7 3 2" xfId="48177" xr:uid="{B20BDD10-1C19-473A-9D41-384ADE52D584}"/>
    <cellStyle name="Currency 5 5 7 3 3" xfId="29581" xr:uid="{BE6F67D1-F716-4358-83D5-6CFB8E1D304A}"/>
    <cellStyle name="Currency 5 5 7 4" xfId="38880" xr:uid="{5BEC73EA-8FE1-4AE2-9F95-A9C7CE1A0756}"/>
    <cellStyle name="Currency 5 5 7 5" xfId="20282" xr:uid="{551C685F-E2B1-4854-9FFF-F070E4BBFCC4}"/>
    <cellStyle name="Currency 5 5 8" xfId="2739" xr:uid="{00000000-0005-0000-0000-0000660D0000}"/>
    <cellStyle name="Currency 5 5 9" xfId="2820" xr:uid="{00000000-0005-0000-0000-0000670D0000}"/>
    <cellStyle name="Currency 5 5 9 2" xfId="7043" xr:uid="{00000000-0005-0000-0000-0000680D0000}"/>
    <cellStyle name="Currency 5 5 9 2 2" xfId="16369" xr:uid="{420F346B-AB19-4788-948D-2B7C99B12AB7}"/>
    <cellStyle name="Currency 5 5 9 2 2 2" xfId="52711" xr:uid="{80031C7B-845C-41D3-9588-C11ABE899F9C}"/>
    <cellStyle name="Currency 5 5 9 2 2 3" xfId="34115" xr:uid="{B8AB6AB6-F6EF-4162-AF10-936CD182C0B8}"/>
    <cellStyle name="Currency 5 5 9 2 3" xfId="43414" xr:uid="{2DD13585-37B1-4AA4-B7DF-6D7143B5352C}"/>
    <cellStyle name="Currency 5 5 9 2 4" xfId="24816" xr:uid="{4CB42943-2CF0-4F5E-850E-DA1090689202}"/>
    <cellStyle name="Currency 5 5 9 3" xfId="12152" xr:uid="{00A2A733-B2F4-4CEE-AEA5-2BF39CAA2B53}"/>
    <cellStyle name="Currency 5 5 9 3 2" xfId="48494" xr:uid="{B1094C87-58CB-4582-B157-801B540BC11A}"/>
    <cellStyle name="Currency 5 5 9 3 3" xfId="29898" xr:uid="{8427D2BE-8979-41BB-881C-E75A3F47FABD}"/>
    <cellStyle name="Currency 5 5 9 4" xfId="39197" xr:uid="{61EB51B1-F0B8-4877-B7F7-B716FAAE9CA4}"/>
    <cellStyle name="Currency 5 5 9 5" xfId="20599" xr:uid="{D5EB41EB-81B4-441A-9FC1-965102D9F7ED}"/>
    <cellStyle name="Currency 5 6" xfId="221" xr:uid="{00000000-0005-0000-0000-0000690D0000}"/>
    <cellStyle name="Currency 5 6 10" xfId="8966" xr:uid="{EC95BD1E-EAA8-4043-BDA7-06F3BBDBC3D5}"/>
    <cellStyle name="Currency 5 6 10 2" xfId="36036" xr:uid="{5BBABA43-B4B6-4A65-B662-0E494CB8B014}"/>
    <cellStyle name="Currency 5 6 10 2 2" xfId="54631" xr:uid="{DC23E16E-A221-4248-9FA4-5D88955FD6C8}"/>
    <cellStyle name="Currency 5 6 10 3" xfId="45334" xr:uid="{4091F0F9-8DC5-4390-86FF-D5C9067755BA}"/>
    <cellStyle name="Currency 5 6 10 4" xfId="26737" xr:uid="{219F54E1-D3F0-4ACB-BE8F-0306BFC29806}"/>
    <cellStyle name="Currency 5 6 11" xfId="9771" xr:uid="{96340CF2-2AAC-4987-BFBF-F9129094796D}"/>
    <cellStyle name="Currency 5 6 11 2" xfId="46113" xr:uid="{25239FC1-A835-4936-9071-76DF494A2ABC}"/>
    <cellStyle name="Currency 5 6 11 3" xfId="27517" xr:uid="{E63D329C-0C11-48F9-A6E0-E423A91376CE}"/>
    <cellStyle name="Currency 5 6 12" xfId="36816" xr:uid="{4ADB3657-3158-4212-AF71-342F10E035FC}"/>
    <cellStyle name="Currency 5 6 13" xfId="18218" xr:uid="{FEFC0875-93FE-45F3-8AF8-00396100DD0B}"/>
    <cellStyle name="Currency 5 6 2" xfId="747" xr:uid="{00000000-0005-0000-0000-00006A0D0000}"/>
    <cellStyle name="Currency 5 6 2 2" xfId="2999" xr:uid="{00000000-0005-0000-0000-00006B0D0000}"/>
    <cellStyle name="Currency 5 6 2 2 2" xfId="7221" xr:uid="{00000000-0005-0000-0000-00006C0D0000}"/>
    <cellStyle name="Currency 5 6 2 2 2 2" xfId="16547" xr:uid="{FD052306-761D-456A-BD2F-ABF7D8D89733}"/>
    <cellStyle name="Currency 5 6 2 2 2 2 2" xfId="52889" xr:uid="{85CE5D4B-6E59-41AD-AD3F-9D1420FF6632}"/>
    <cellStyle name="Currency 5 6 2 2 2 2 3" xfId="34293" xr:uid="{6F54215B-9345-4377-A893-D59A6F2DF2AA}"/>
    <cellStyle name="Currency 5 6 2 2 2 3" xfId="43592" xr:uid="{02E5C00A-2BBD-4E7C-B9BA-AF909EC5148B}"/>
    <cellStyle name="Currency 5 6 2 2 2 4" xfId="24994" xr:uid="{01028EB8-7D56-4F94-8FD5-EF0DED8C9B5F}"/>
    <cellStyle name="Currency 5 6 2 2 3" xfId="12330" xr:uid="{C0EB2481-800B-438C-94A0-95A2357356D6}"/>
    <cellStyle name="Currency 5 6 2 2 3 2" xfId="48672" xr:uid="{80F641ED-FEE0-463B-A1B1-69B8A9138747}"/>
    <cellStyle name="Currency 5 6 2 2 3 3" xfId="30076" xr:uid="{FBB4FB24-D121-4EF0-B168-2275B24D328F}"/>
    <cellStyle name="Currency 5 6 2 2 4" xfId="39375" xr:uid="{B1DCE1B7-B86C-4D40-A70E-62158ABCCC45}"/>
    <cellStyle name="Currency 5 6 2 2 5" xfId="20777" xr:uid="{BE508215-8562-4FBA-B333-42CB00D8D04C}"/>
    <cellStyle name="Currency 5 6 2 3" xfId="5076" xr:uid="{00000000-0005-0000-0000-00006D0D0000}"/>
    <cellStyle name="Currency 5 6 2 3 2" xfId="14402" xr:uid="{28F813D9-22E9-44D3-9BEE-FAB37F89488F}"/>
    <cellStyle name="Currency 5 6 2 3 2 2" xfId="50744" xr:uid="{0737C2A2-2B65-4555-A4D0-26F1C10A74FF}"/>
    <cellStyle name="Currency 5 6 2 3 2 3" xfId="32148" xr:uid="{432A31C8-2AA8-4B13-9149-78E40F36E9B9}"/>
    <cellStyle name="Currency 5 6 2 3 3" xfId="41447" xr:uid="{42DF64A8-9D41-4076-B051-7D99159EF723}"/>
    <cellStyle name="Currency 5 6 2 3 4" xfId="22849" xr:uid="{C9CD7E8F-E173-489B-8A33-8D28D80A3785}"/>
    <cellStyle name="Currency 5 6 2 4" xfId="9391" xr:uid="{8CBF3F74-51EC-4402-B96A-0759E6537FC7}"/>
    <cellStyle name="Currency 5 6 2 4 2" xfId="36452" xr:uid="{5239F89E-348D-4036-BE0B-0B6CFCF71732}"/>
    <cellStyle name="Currency 5 6 2 4 2 2" xfId="55046" xr:uid="{B8B46916-9F4A-49D2-9165-20A70237377D}"/>
    <cellStyle name="Currency 5 6 2 4 3" xfId="45749" xr:uid="{2C4FE603-9239-4EFB-8A64-8C2331F34822}"/>
    <cellStyle name="Currency 5 6 2 4 4" xfId="27153" xr:uid="{D731C189-02A6-4C4A-97C4-916A58C5DBCD}"/>
    <cellStyle name="Currency 5 6 2 5" xfId="10185" xr:uid="{866ADFF3-5F63-495D-BFD9-0990B7025445}"/>
    <cellStyle name="Currency 5 6 2 5 2" xfId="46527" xr:uid="{D56C0DC0-EAD3-497C-8D7E-6EFD55CC0DE1}"/>
    <cellStyle name="Currency 5 6 2 5 3" xfId="27931" xr:uid="{962B3D40-B10A-40A9-A4E8-ECF7F71EFD47}"/>
    <cellStyle name="Currency 5 6 2 6" xfId="37230" xr:uid="{89D7D6BE-D48E-4CD5-A9DE-005763E0072D}"/>
    <cellStyle name="Currency 5 6 2 7" xfId="18632" xr:uid="{0B47EB28-7460-4627-9CF5-1D0E5B4F6482}"/>
    <cellStyle name="Currency 5 6 3" xfId="1181" xr:uid="{00000000-0005-0000-0000-00006E0D0000}"/>
    <cellStyle name="Currency 5 6 3 2" xfId="3412" xr:uid="{00000000-0005-0000-0000-00006F0D0000}"/>
    <cellStyle name="Currency 5 6 3 2 2" xfId="7634" xr:uid="{00000000-0005-0000-0000-0000700D0000}"/>
    <cellStyle name="Currency 5 6 3 2 2 2" xfId="16960" xr:uid="{70460337-AEF9-42A1-ADB3-3E4328D2249A}"/>
    <cellStyle name="Currency 5 6 3 2 2 2 2" xfId="53302" xr:uid="{03B716F6-706C-4960-9E2C-EA6A139669FB}"/>
    <cellStyle name="Currency 5 6 3 2 2 2 3" xfId="34706" xr:uid="{BF572D59-F2A1-43AB-9729-103F31F2AF78}"/>
    <cellStyle name="Currency 5 6 3 2 2 3" xfId="44005" xr:uid="{76E29054-6C96-43A7-B8BB-E12687D8CB0E}"/>
    <cellStyle name="Currency 5 6 3 2 2 4" xfId="25407" xr:uid="{48BD770A-7CE7-4269-9BB7-5AF03BD721BE}"/>
    <cellStyle name="Currency 5 6 3 2 3" xfId="12743" xr:uid="{A9312D66-5178-46DC-9501-BD7403E93A96}"/>
    <cellStyle name="Currency 5 6 3 2 3 2" xfId="49085" xr:uid="{1314232F-DA55-4B84-AD9A-4B07D73B3FAA}"/>
    <cellStyle name="Currency 5 6 3 2 3 3" xfId="30489" xr:uid="{68695EE2-9F00-46E6-A27D-5A9D2878890A}"/>
    <cellStyle name="Currency 5 6 3 2 4" xfId="39788" xr:uid="{E52BF7DE-22BE-4308-8E64-3905E7D6748E}"/>
    <cellStyle name="Currency 5 6 3 2 5" xfId="21190" xr:uid="{45CB8949-D2C8-4223-9F6E-2B12A82778F5}"/>
    <cellStyle name="Currency 5 6 3 3" xfId="5489" xr:uid="{00000000-0005-0000-0000-0000710D0000}"/>
    <cellStyle name="Currency 5 6 3 3 2" xfId="14815" xr:uid="{8EDA9DB7-1584-4892-8B1B-EE25B5ABAF02}"/>
    <cellStyle name="Currency 5 6 3 3 2 2" xfId="51157" xr:uid="{6FC51BD0-4FFD-41C3-8596-FD15C2FA0D18}"/>
    <cellStyle name="Currency 5 6 3 3 2 3" xfId="32561" xr:uid="{F2E208DD-3B43-4817-BA55-A981ADEC846B}"/>
    <cellStyle name="Currency 5 6 3 3 3" xfId="41860" xr:uid="{0CD5CEDC-AF41-45A7-AAC8-0205AE74A1F1}"/>
    <cellStyle name="Currency 5 6 3 3 4" xfId="23262" xr:uid="{E5EEBF38-F51A-4230-ADC7-2FD2F1553CD0}"/>
    <cellStyle name="Currency 5 6 3 4" xfId="10598" xr:uid="{83EEE1BB-906A-40EC-A408-100185AFE19D}"/>
    <cellStyle name="Currency 5 6 3 4 2" xfId="46940" xr:uid="{E536F0D2-A152-4D79-9093-17B5084592D5}"/>
    <cellStyle name="Currency 5 6 3 4 3" xfId="28344" xr:uid="{E5278CA9-F263-4A6B-9594-5863C21EF8FA}"/>
    <cellStyle name="Currency 5 6 3 5" xfId="37643" xr:uid="{34DBB21C-DC3F-4110-B2E4-2224FDFBEA88}"/>
    <cellStyle name="Currency 5 6 3 6" xfId="19045" xr:uid="{140BABD7-A8B9-4196-AFED-9F37C4B2AC95}"/>
    <cellStyle name="Currency 5 6 4" xfId="1595" xr:uid="{00000000-0005-0000-0000-0000720D0000}"/>
    <cellStyle name="Currency 5 6 4 2" xfId="3825" xr:uid="{00000000-0005-0000-0000-0000730D0000}"/>
    <cellStyle name="Currency 5 6 4 2 2" xfId="8047" xr:uid="{00000000-0005-0000-0000-0000740D0000}"/>
    <cellStyle name="Currency 5 6 4 2 2 2" xfId="17373" xr:uid="{F243D785-DFA2-4835-9CA4-B353787DDC7D}"/>
    <cellStyle name="Currency 5 6 4 2 2 2 2" xfId="53715" xr:uid="{969159F9-47B2-409B-A7EE-80A08CBC75B3}"/>
    <cellStyle name="Currency 5 6 4 2 2 2 3" xfId="35119" xr:uid="{A8459B3F-B1EB-4A7A-B668-FD3817E700EE}"/>
    <cellStyle name="Currency 5 6 4 2 2 3" xfId="44418" xr:uid="{7BFD9252-75FE-4A84-8CD2-148C502683B5}"/>
    <cellStyle name="Currency 5 6 4 2 2 4" xfId="25820" xr:uid="{46A46AAE-72DD-43E0-8D5F-5876D41A2C5F}"/>
    <cellStyle name="Currency 5 6 4 2 3" xfId="13156" xr:uid="{762E0C88-6B62-406B-9EAC-3590FBB7CE41}"/>
    <cellStyle name="Currency 5 6 4 2 3 2" xfId="49498" xr:uid="{9C1940A6-7466-41D9-99E9-09F173268FD2}"/>
    <cellStyle name="Currency 5 6 4 2 3 3" xfId="30902" xr:uid="{82B51D4B-F258-48AE-8ABC-C069D5C327DE}"/>
    <cellStyle name="Currency 5 6 4 2 4" xfId="40201" xr:uid="{FAA671C7-C1F4-4E5D-A587-8B5764BB2F3D}"/>
    <cellStyle name="Currency 5 6 4 2 5" xfId="21603" xr:uid="{F1DDE44C-E630-43C1-8870-C6F4B615834F}"/>
    <cellStyle name="Currency 5 6 4 3" xfId="5902" xr:uid="{00000000-0005-0000-0000-0000750D0000}"/>
    <cellStyle name="Currency 5 6 4 3 2" xfId="15228" xr:uid="{4081145D-7880-4169-86D4-8271E4C4880D}"/>
    <cellStyle name="Currency 5 6 4 3 2 2" xfId="51570" xr:uid="{99985548-710F-4570-8D0E-81298DA2389E}"/>
    <cellStyle name="Currency 5 6 4 3 2 3" xfId="32974" xr:uid="{127C8F14-8B7E-41E0-8929-D642143066E3}"/>
    <cellStyle name="Currency 5 6 4 3 3" xfId="42273" xr:uid="{01432016-11F9-40DE-B50D-F05593D2E4C7}"/>
    <cellStyle name="Currency 5 6 4 3 4" xfId="23675" xr:uid="{02C249F1-067E-4255-B70C-ED615FC49DBB}"/>
    <cellStyle name="Currency 5 6 4 4" xfId="11011" xr:uid="{8DC52968-AFAB-4508-935C-77B68927AD3E}"/>
    <cellStyle name="Currency 5 6 4 4 2" xfId="47353" xr:uid="{BCE94798-75A6-41D8-A2A6-7AB1F8887339}"/>
    <cellStyle name="Currency 5 6 4 4 3" xfId="28757" xr:uid="{F93B9DB3-C99E-4D35-A890-A1107E3D4357}"/>
    <cellStyle name="Currency 5 6 4 5" xfId="38056" xr:uid="{8E80A88A-B86F-4D73-9EAB-F62AA0B23062}"/>
    <cellStyle name="Currency 5 6 4 6" xfId="19458" xr:uid="{0A35EF60-4042-430F-B5B0-4090E6CA497A}"/>
    <cellStyle name="Currency 5 6 5" xfId="2009" xr:uid="{00000000-0005-0000-0000-0000760D0000}"/>
    <cellStyle name="Currency 5 6 5 2" xfId="4238" xr:uid="{00000000-0005-0000-0000-0000770D0000}"/>
    <cellStyle name="Currency 5 6 5 2 2" xfId="8460" xr:uid="{00000000-0005-0000-0000-0000780D0000}"/>
    <cellStyle name="Currency 5 6 5 2 2 2" xfId="17786" xr:uid="{B93504B9-049A-434A-8389-E79346D7BB98}"/>
    <cellStyle name="Currency 5 6 5 2 2 2 2" xfId="54128" xr:uid="{12F40288-E88B-4C9A-88A4-B97582D621DD}"/>
    <cellStyle name="Currency 5 6 5 2 2 2 3" xfId="35532" xr:uid="{2529F215-C8D5-4B89-9A9D-03E579F3FF79}"/>
    <cellStyle name="Currency 5 6 5 2 2 3" xfId="44831" xr:uid="{88744D5C-BC1B-48C2-A484-2B29A9A7AB64}"/>
    <cellStyle name="Currency 5 6 5 2 2 4" xfId="26233" xr:uid="{D516427D-9922-4ECC-AFD4-338C130B5941}"/>
    <cellStyle name="Currency 5 6 5 2 3" xfId="13569" xr:uid="{63BE622E-FFB4-49AC-917D-931D4766F78E}"/>
    <cellStyle name="Currency 5 6 5 2 3 2" xfId="49911" xr:uid="{221E28E6-0A4C-483E-B876-B3773A929456}"/>
    <cellStyle name="Currency 5 6 5 2 3 3" xfId="31315" xr:uid="{6B475AEA-10B4-46F9-A6DC-E3D4B53309FF}"/>
    <cellStyle name="Currency 5 6 5 2 4" xfId="40614" xr:uid="{4A0A3285-960B-4B56-B661-3ADCBB1B654B}"/>
    <cellStyle name="Currency 5 6 5 2 5" xfId="22016" xr:uid="{A7DE3303-3BA0-4729-9F7C-000B43C7C004}"/>
    <cellStyle name="Currency 5 6 5 3" xfId="6315" xr:uid="{00000000-0005-0000-0000-0000790D0000}"/>
    <cellStyle name="Currency 5 6 5 3 2" xfId="15641" xr:uid="{827D38ED-3A69-4317-97B3-3A3EF5CB5B22}"/>
    <cellStyle name="Currency 5 6 5 3 2 2" xfId="51983" xr:uid="{5BE70084-C0FE-4B9C-ACE2-6044A71B2363}"/>
    <cellStyle name="Currency 5 6 5 3 2 3" xfId="33387" xr:uid="{72482641-FBA4-4CC0-BAE0-1283C16C3401}"/>
    <cellStyle name="Currency 5 6 5 3 3" xfId="42686" xr:uid="{93633BBC-FE3D-49D1-97E7-077AD103AC4F}"/>
    <cellStyle name="Currency 5 6 5 3 4" xfId="24088" xr:uid="{20FF3178-5610-4A9C-B26B-567D8F199E54}"/>
    <cellStyle name="Currency 5 6 5 4" xfId="11424" xr:uid="{6B410938-12C3-45EE-808E-9C4AF5F80D7C}"/>
    <cellStyle name="Currency 5 6 5 4 2" xfId="47766" xr:uid="{54D5E2E6-7E9A-41A3-B9DF-AC9E38D535AC}"/>
    <cellStyle name="Currency 5 6 5 4 3" xfId="29170" xr:uid="{36C1B6BF-F0CF-450F-9A4D-1CE20E599BD9}"/>
    <cellStyle name="Currency 5 6 5 5" xfId="38469" xr:uid="{93856964-C20B-4EC1-BB40-7BB7FA9B4E54}"/>
    <cellStyle name="Currency 5 6 5 6" xfId="19871" xr:uid="{A623EE4A-8CC2-4E64-AF4A-892DA92D5C45}"/>
    <cellStyle name="Currency 5 6 6" xfId="2444" xr:uid="{00000000-0005-0000-0000-00007A0D0000}"/>
    <cellStyle name="Currency 5 6 6 2" xfId="6728" xr:uid="{00000000-0005-0000-0000-00007B0D0000}"/>
    <cellStyle name="Currency 5 6 6 2 2" xfId="16054" xr:uid="{D478EC3B-9A83-4B85-A872-8A3B5774835C}"/>
    <cellStyle name="Currency 5 6 6 2 2 2" xfId="52396" xr:uid="{1299A9AF-4B65-41F9-96D1-068C023C7D08}"/>
    <cellStyle name="Currency 5 6 6 2 2 3" xfId="33800" xr:uid="{A79EBA38-460D-4962-9CCF-BE5E4875854C}"/>
    <cellStyle name="Currency 5 6 6 2 3" xfId="43099" xr:uid="{DF9038FB-8481-45BE-9277-EE6A93EEBB3A}"/>
    <cellStyle name="Currency 5 6 6 2 4" xfId="24501" xr:uid="{5E691749-2788-4DD7-8908-17834B3E5DC7}"/>
    <cellStyle name="Currency 5 6 6 3" xfId="11837" xr:uid="{D4709BA4-4C1D-4ED3-A769-08963ABECC16}"/>
    <cellStyle name="Currency 5 6 6 3 2" xfId="48179" xr:uid="{E321D6B8-CB97-4279-9AE0-D5C1EEBCE61E}"/>
    <cellStyle name="Currency 5 6 6 3 3" xfId="29583" xr:uid="{AB5C65C4-650F-4717-AA03-EB1D1D319308}"/>
    <cellStyle name="Currency 5 6 6 4" xfId="38882" xr:uid="{1300AFC0-7974-4B7C-8C21-24AB61703673}"/>
    <cellStyle name="Currency 5 6 6 5" xfId="20284" xr:uid="{ACC36EF9-698D-4EC8-A123-F3A9A21D6CF0}"/>
    <cellStyle name="Currency 5 6 7" xfId="2741" xr:uid="{00000000-0005-0000-0000-00007C0D0000}"/>
    <cellStyle name="Currency 5 6 8" xfId="2822" xr:uid="{00000000-0005-0000-0000-00007D0D0000}"/>
    <cellStyle name="Currency 5 6 8 2" xfId="7045" xr:uid="{00000000-0005-0000-0000-00007E0D0000}"/>
    <cellStyle name="Currency 5 6 8 2 2" xfId="16371" xr:uid="{BE04AC00-CBDB-4214-A2EE-BFFD9885A187}"/>
    <cellStyle name="Currency 5 6 8 2 2 2" xfId="52713" xr:uid="{6BADCD75-8ECD-4305-9FD7-0686D399AAC4}"/>
    <cellStyle name="Currency 5 6 8 2 2 3" xfId="34117" xr:uid="{F89F446C-985C-438C-8B7E-B5381CC8AF39}"/>
    <cellStyle name="Currency 5 6 8 2 3" xfId="43416" xr:uid="{826608A1-4ADB-4961-985F-A063919EFE86}"/>
    <cellStyle name="Currency 5 6 8 2 4" xfId="24818" xr:uid="{B9BE2DD4-B6C0-4611-AE77-06E458D0C93D}"/>
    <cellStyle name="Currency 5 6 8 3" xfId="12154" xr:uid="{25CD8CCE-0FF0-42A9-A223-8D5874103150}"/>
    <cellStyle name="Currency 5 6 8 3 2" xfId="48496" xr:uid="{DDCC5745-353B-4FC6-B8D2-D183D29BE4F4}"/>
    <cellStyle name="Currency 5 6 8 3 3" xfId="29900" xr:uid="{0DF925AF-6C40-43CB-B712-D55EA9154525}"/>
    <cellStyle name="Currency 5 6 8 4" xfId="39199" xr:uid="{776A570F-414B-48DD-BD6D-30CBC85D41CF}"/>
    <cellStyle name="Currency 5 6 8 5" xfId="20601" xr:uid="{08C8568E-2B11-4E03-85EE-688924076609}"/>
    <cellStyle name="Currency 5 6 9" xfId="4662" xr:uid="{00000000-0005-0000-0000-00007F0D0000}"/>
    <cellStyle name="Currency 5 6 9 2" xfId="13988" xr:uid="{2E3760F4-7ABA-479E-A66D-6D76B260B685}"/>
    <cellStyle name="Currency 5 6 9 2 2" xfId="50330" xr:uid="{30AA546B-B374-4945-8B97-07E27D93A138}"/>
    <cellStyle name="Currency 5 6 9 2 3" xfId="31734" xr:uid="{8CDA6FC3-990F-46CC-9EE5-01C37B6E5831}"/>
    <cellStyle name="Currency 5 6 9 3" xfId="41033" xr:uid="{93515D3A-0178-4868-8A46-DC717BD25D99}"/>
    <cellStyle name="Currency 5 6 9 4" xfId="22435" xr:uid="{6B34A00D-4B8D-4262-A590-9F1BB3305DC7}"/>
    <cellStyle name="Currency 5 7" xfId="222" xr:uid="{00000000-0005-0000-0000-0000800D0000}"/>
    <cellStyle name="Currency 5 7 10" xfId="9169" xr:uid="{7A886DE7-136A-429E-90E2-A7C712D111D8}"/>
    <cellStyle name="Currency 5 7 10 2" xfId="36233" xr:uid="{69816149-A883-4E51-8A67-FCFE2A2C7058}"/>
    <cellStyle name="Currency 5 7 10 2 2" xfId="54827" xr:uid="{96FF8DBF-9274-4A78-825E-6142B9D6C3C3}"/>
    <cellStyle name="Currency 5 7 10 3" xfId="45530" xr:uid="{735FD3D2-A20D-4958-90C6-10703B19814D}"/>
    <cellStyle name="Currency 5 7 10 4" xfId="26934" xr:uid="{379FB6ED-533D-4FCA-88BC-4D681C7DBC90}"/>
    <cellStyle name="Currency 5 7 11" xfId="9772" xr:uid="{E37B0F77-210F-49FE-BD5E-366EB7446413}"/>
    <cellStyle name="Currency 5 7 11 2" xfId="46114" xr:uid="{1C922E50-A1E4-4700-A41A-6F1F2242FF06}"/>
    <cellStyle name="Currency 5 7 11 3" xfId="27518" xr:uid="{CA1D0683-452C-431C-B641-7E1996E5D973}"/>
    <cellStyle name="Currency 5 7 12" xfId="36817" xr:uid="{AF9520FA-EBE3-427B-9E36-378F58DB55AF}"/>
    <cellStyle name="Currency 5 7 13" xfId="18219" xr:uid="{33385A21-59BD-47A4-8A58-6694C35A6225}"/>
    <cellStyle name="Currency 5 7 2" xfId="748" xr:uid="{00000000-0005-0000-0000-0000810D0000}"/>
    <cellStyle name="Currency 5 7 2 2" xfId="3000" xr:uid="{00000000-0005-0000-0000-0000820D0000}"/>
    <cellStyle name="Currency 5 7 2 2 2" xfId="7222" xr:uid="{00000000-0005-0000-0000-0000830D0000}"/>
    <cellStyle name="Currency 5 7 2 2 2 2" xfId="16548" xr:uid="{DEE36195-A627-487A-B988-2503FF306F23}"/>
    <cellStyle name="Currency 5 7 2 2 2 2 2" xfId="52890" xr:uid="{57C911A1-7C2B-4887-A655-CE6DF53FA204}"/>
    <cellStyle name="Currency 5 7 2 2 2 2 3" xfId="34294" xr:uid="{75B1D435-F617-4416-8DDF-7FFC52EE3C57}"/>
    <cellStyle name="Currency 5 7 2 2 2 3" xfId="43593" xr:uid="{D559FE5F-DD29-4CF1-A2AD-DCA1217B6C5B}"/>
    <cellStyle name="Currency 5 7 2 2 2 4" xfId="24995" xr:uid="{FBE6B8E8-DFFA-460B-95D9-49808D9467E8}"/>
    <cellStyle name="Currency 5 7 2 2 3" xfId="12331" xr:uid="{CE247C54-3215-418C-B217-B7CF3E96DA9B}"/>
    <cellStyle name="Currency 5 7 2 2 3 2" xfId="48673" xr:uid="{237C6358-2845-49DD-9D7F-FDF15B81D2E4}"/>
    <cellStyle name="Currency 5 7 2 2 3 3" xfId="30077" xr:uid="{C4C9868C-63F3-4C88-AFB3-2D4A990F9825}"/>
    <cellStyle name="Currency 5 7 2 2 4" xfId="39376" xr:uid="{0F58CA26-AB80-426E-A95B-2B99E98AA2EC}"/>
    <cellStyle name="Currency 5 7 2 2 5" xfId="20778" xr:uid="{97DFC7EA-7DEF-4A15-9EDC-FD2F7C176CB1}"/>
    <cellStyle name="Currency 5 7 2 3" xfId="5077" xr:uid="{00000000-0005-0000-0000-0000840D0000}"/>
    <cellStyle name="Currency 5 7 2 3 2" xfId="14403" xr:uid="{7D048A78-3AC3-45F9-8460-932D87ED83B3}"/>
    <cellStyle name="Currency 5 7 2 3 2 2" xfId="50745" xr:uid="{A3A01DB0-56D3-42D2-9F10-26EDA0BE6691}"/>
    <cellStyle name="Currency 5 7 2 3 2 3" xfId="32149" xr:uid="{9545A376-3CA4-483E-A03A-FC9AA2566660}"/>
    <cellStyle name="Currency 5 7 2 3 3" xfId="41448" xr:uid="{9AD440B8-06DB-4CC4-9416-E540BD256DC5}"/>
    <cellStyle name="Currency 5 7 2 3 4" xfId="22850" xr:uid="{3CAB32E5-F158-4AF6-9F1F-C7E085C9636B}"/>
    <cellStyle name="Currency 5 7 2 4" xfId="9601" xr:uid="{DC93A830-0AF1-4EC4-B764-C728922F3FEF}"/>
    <cellStyle name="Currency 5 7 2 4 2" xfId="36651" xr:uid="{81CDFCFF-F2FB-45C3-8E38-5FC5E223C1B0}"/>
    <cellStyle name="Currency 5 7 2 4 2 2" xfId="55245" xr:uid="{ECB520A5-2320-4944-BA25-16166E3A3360}"/>
    <cellStyle name="Currency 5 7 2 4 3" xfId="45948" xr:uid="{17FA6C26-A433-4399-881E-57F964491098}"/>
    <cellStyle name="Currency 5 7 2 4 4" xfId="27352" xr:uid="{57BDD58C-C436-4B1D-A0AA-ECEED895649A}"/>
    <cellStyle name="Currency 5 7 2 5" xfId="10186" xr:uid="{0A1880CD-5D97-4B20-9AAD-D0CCA1DA3552}"/>
    <cellStyle name="Currency 5 7 2 5 2" xfId="46528" xr:uid="{A3B98E6A-BBDA-4AC8-9B04-F1DD6B06F566}"/>
    <cellStyle name="Currency 5 7 2 5 3" xfId="27932" xr:uid="{1E5864CF-3E86-4C39-B391-75128FAEE6D9}"/>
    <cellStyle name="Currency 5 7 2 6" xfId="37231" xr:uid="{83D9BC7D-3711-430A-8478-3A3E4802E481}"/>
    <cellStyle name="Currency 5 7 2 7" xfId="18633" xr:uid="{6358406C-E232-411A-9C7E-B9088931E599}"/>
    <cellStyle name="Currency 5 7 3" xfId="1182" xr:uid="{00000000-0005-0000-0000-0000850D0000}"/>
    <cellStyle name="Currency 5 7 3 2" xfId="3413" xr:uid="{00000000-0005-0000-0000-0000860D0000}"/>
    <cellStyle name="Currency 5 7 3 2 2" xfId="7635" xr:uid="{00000000-0005-0000-0000-0000870D0000}"/>
    <cellStyle name="Currency 5 7 3 2 2 2" xfId="16961" xr:uid="{0CD5C206-ADD9-4F95-93DF-37207E675637}"/>
    <cellStyle name="Currency 5 7 3 2 2 2 2" xfId="53303" xr:uid="{EC616BE2-2BF7-4637-B992-A15B3649E6D5}"/>
    <cellStyle name="Currency 5 7 3 2 2 2 3" xfId="34707" xr:uid="{512CFB34-C4EE-43C6-964C-4B3953A27BAE}"/>
    <cellStyle name="Currency 5 7 3 2 2 3" xfId="44006" xr:uid="{8F0AF3A9-3A4A-4DE7-A7F5-22F06616FE25}"/>
    <cellStyle name="Currency 5 7 3 2 2 4" xfId="25408" xr:uid="{19BA4B18-2782-438B-AC81-478B3FB0FD41}"/>
    <cellStyle name="Currency 5 7 3 2 3" xfId="12744" xr:uid="{EBAC6781-1EDD-4575-9576-4C9B8846A814}"/>
    <cellStyle name="Currency 5 7 3 2 3 2" xfId="49086" xr:uid="{8EC88C2F-5B32-47B7-BB06-740691EE3642}"/>
    <cellStyle name="Currency 5 7 3 2 3 3" xfId="30490" xr:uid="{29BA2093-A819-4DD3-964B-5F3DF40406FE}"/>
    <cellStyle name="Currency 5 7 3 2 4" xfId="39789" xr:uid="{7C32BA65-6403-4F8A-97D1-EB0CD5F64D80}"/>
    <cellStyle name="Currency 5 7 3 2 5" xfId="21191" xr:uid="{3D85240D-0DE0-40A5-B451-9B3730422C9C}"/>
    <cellStyle name="Currency 5 7 3 3" xfId="5490" xr:uid="{00000000-0005-0000-0000-0000880D0000}"/>
    <cellStyle name="Currency 5 7 3 3 2" xfId="14816" xr:uid="{21A6D85B-A889-426F-83D3-A03BCCA6D6E8}"/>
    <cellStyle name="Currency 5 7 3 3 2 2" xfId="51158" xr:uid="{0886309A-D4C9-40EC-9A69-6804F1A99B78}"/>
    <cellStyle name="Currency 5 7 3 3 2 3" xfId="32562" xr:uid="{3A6A22F7-1B35-4D7D-BCD8-769BDB9D30E7}"/>
    <cellStyle name="Currency 5 7 3 3 3" xfId="41861" xr:uid="{8821EB0F-2B3A-4C01-A45B-6BBE011666D8}"/>
    <cellStyle name="Currency 5 7 3 3 4" xfId="23263" xr:uid="{9BEEF238-01A4-4DCD-9C76-AC234850E4A8}"/>
    <cellStyle name="Currency 5 7 3 4" xfId="10599" xr:uid="{A7F54F0A-F863-4E61-91C6-404765A8E4E2}"/>
    <cellStyle name="Currency 5 7 3 4 2" xfId="46941" xr:uid="{751E75D3-4F29-480E-B071-CEAECE105F68}"/>
    <cellStyle name="Currency 5 7 3 4 3" xfId="28345" xr:uid="{A8C69E29-D86C-4E0B-8F3B-DDB57DD20D35}"/>
    <cellStyle name="Currency 5 7 3 5" xfId="37644" xr:uid="{88792199-A785-4468-9BA9-1A7B60A6125A}"/>
    <cellStyle name="Currency 5 7 3 6" xfId="19046" xr:uid="{CDB2C0FE-127D-408A-99A8-961ACC276399}"/>
    <cellStyle name="Currency 5 7 4" xfId="1596" xr:uid="{00000000-0005-0000-0000-0000890D0000}"/>
    <cellStyle name="Currency 5 7 4 2" xfId="3826" xr:uid="{00000000-0005-0000-0000-00008A0D0000}"/>
    <cellStyle name="Currency 5 7 4 2 2" xfId="8048" xr:uid="{00000000-0005-0000-0000-00008B0D0000}"/>
    <cellStyle name="Currency 5 7 4 2 2 2" xfId="17374" xr:uid="{6548E283-7A57-4B86-BDDD-51A38D28FAD5}"/>
    <cellStyle name="Currency 5 7 4 2 2 2 2" xfId="53716" xr:uid="{E97AC4DD-9092-4850-85F2-5ACC7B89A2C8}"/>
    <cellStyle name="Currency 5 7 4 2 2 2 3" xfId="35120" xr:uid="{1FE11BED-8D9E-4B8C-B779-AC379D174F7D}"/>
    <cellStyle name="Currency 5 7 4 2 2 3" xfId="44419" xr:uid="{86743F2E-C132-4B8A-8514-FBB6ED51861F}"/>
    <cellStyle name="Currency 5 7 4 2 2 4" xfId="25821" xr:uid="{A8949D5B-DF6C-4487-985A-AE4657CEB3F6}"/>
    <cellStyle name="Currency 5 7 4 2 3" xfId="13157" xr:uid="{DEFE9217-E12E-4C82-9EC2-01824A61A052}"/>
    <cellStyle name="Currency 5 7 4 2 3 2" xfId="49499" xr:uid="{60ABA67E-E032-408F-98C5-B8076E703AF7}"/>
    <cellStyle name="Currency 5 7 4 2 3 3" xfId="30903" xr:uid="{7C01EDCB-D701-4CB7-B3B6-28891462AB1F}"/>
    <cellStyle name="Currency 5 7 4 2 4" xfId="40202" xr:uid="{74670368-C561-4E45-9056-FE027BA88887}"/>
    <cellStyle name="Currency 5 7 4 2 5" xfId="21604" xr:uid="{51016BA0-325B-4A96-B549-9A98E4DECBEF}"/>
    <cellStyle name="Currency 5 7 4 3" xfId="5903" xr:uid="{00000000-0005-0000-0000-00008C0D0000}"/>
    <cellStyle name="Currency 5 7 4 3 2" xfId="15229" xr:uid="{51AB1752-81D2-456A-B168-8BFEA5C428E9}"/>
    <cellStyle name="Currency 5 7 4 3 2 2" xfId="51571" xr:uid="{7A0570AD-F6DB-445B-B701-FC11BACCFE07}"/>
    <cellStyle name="Currency 5 7 4 3 2 3" xfId="32975" xr:uid="{220FADEE-2C04-4974-9445-E88B385F9600}"/>
    <cellStyle name="Currency 5 7 4 3 3" xfId="42274" xr:uid="{81E23BE9-C4EF-470A-ABC3-1A06CBBB9377}"/>
    <cellStyle name="Currency 5 7 4 3 4" xfId="23676" xr:uid="{73FD097F-F2DB-47EB-8E29-213F2F4EE47B}"/>
    <cellStyle name="Currency 5 7 4 4" xfId="11012" xr:uid="{A97E1E5C-6CAD-4D7F-9EE0-0275589BC442}"/>
    <cellStyle name="Currency 5 7 4 4 2" xfId="47354" xr:uid="{09D3D87F-1C40-473F-B291-65B614EBC47B}"/>
    <cellStyle name="Currency 5 7 4 4 3" xfId="28758" xr:uid="{C38CDCE7-3FB4-4AB6-A3AB-51948FE6DC6B}"/>
    <cellStyle name="Currency 5 7 4 5" xfId="38057" xr:uid="{872D87A0-86CA-48B0-82A3-826A6DFDDCD5}"/>
    <cellStyle name="Currency 5 7 4 6" xfId="19459" xr:uid="{1F0C6887-A235-4B19-94C3-F968E12782A7}"/>
    <cellStyle name="Currency 5 7 5" xfId="2010" xr:uid="{00000000-0005-0000-0000-00008D0D0000}"/>
    <cellStyle name="Currency 5 7 5 2" xfId="4239" xr:uid="{00000000-0005-0000-0000-00008E0D0000}"/>
    <cellStyle name="Currency 5 7 5 2 2" xfId="8461" xr:uid="{00000000-0005-0000-0000-00008F0D0000}"/>
    <cellStyle name="Currency 5 7 5 2 2 2" xfId="17787" xr:uid="{3372618E-3C7C-4DA6-A002-35970EF56FF9}"/>
    <cellStyle name="Currency 5 7 5 2 2 2 2" xfId="54129" xr:uid="{30B3FFD0-6EBE-40EA-BB04-F7FFC6951689}"/>
    <cellStyle name="Currency 5 7 5 2 2 2 3" xfId="35533" xr:uid="{BAEB9B21-42BD-4DB3-9543-E927F5B20073}"/>
    <cellStyle name="Currency 5 7 5 2 2 3" xfId="44832" xr:uid="{2E4EF176-59F4-4821-8E4C-49CF009E43A0}"/>
    <cellStyle name="Currency 5 7 5 2 2 4" xfId="26234" xr:uid="{B8B43671-1291-42C7-8F6A-3177DC3C4C72}"/>
    <cellStyle name="Currency 5 7 5 2 3" xfId="13570" xr:uid="{5AAB7C5B-CFE8-462E-82DD-022A4FB559B2}"/>
    <cellStyle name="Currency 5 7 5 2 3 2" xfId="49912" xr:uid="{97E3CFAA-172F-4A1E-978E-8903E408A0CE}"/>
    <cellStyle name="Currency 5 7 5 2 3 3" xfId="31316" xr:uid="{F8073CEA-800D-45DF-A1B4-E3DF13813EC6}"/>
    <cellStyle name="Currency 5 7 5 2 4" xfId="40615" xr:uid="{FF0E279C-5831-4715-A8AA-A54DDB482831}"/>
    <cellStyle name="Currency 5 7 5 2 5" xfId="22017" xr:uid="{CB6C5E7F-F23D-4244-AF69-68729B183BEC}"/>
    <cellStyle name="Currency 5 7 5 3" xfId="6316" xr:uid="{00000000-0005-0000-0000-0000900D0000}"/>
    <cellStyle name="Currency 5 7 5 3 2" xfId="15642" xr:uid="{40223A4E-9555-403B-8DC8-CC50B047BFB9}"/>
    <cellStyle name="Currency 5 7 5 3 2 2" xfId="51984" xr:uid="{F2F692FF-47F2-4521-BFF2-7E3860455460}"/>
    <cellStyle name="Currency 5 7 5 3 2 3" xfId="33388" xr:uid="{0E2B1CFE-7248-4CE6-880A-F3008B76665B}"/>
    <cellStyle name="Currency 5 7 5 3 3" xfId="42687" xr:uid="{C3210E39-E209-4292-B466-6B7FEA0BB324}"/>
    <cellStyle name="Currency 5 7 5 3 4" xfId="24089" xr:uid="{CA9A8484-1F05-4334-9A34-262BF7A6964F}"/>
    <cellStyle name="Currency 5 7 5 4" xfId="11425" xr:uid="{7CFF6EAB-FD3C-4479-B07B-EE2E8B185EF1}"/>
    <cellStyle name="Currency 5 7 5 4 2" xfId="47767" xr:uid="{158FD41B-0171-4927-A053-293EEA9B1BB9}"/>
    <cellStyle name="Currency 5 7 5 4 3" xfId="29171" xr:uid="{D9FF4016-1BCA-4B1A-8414-0B09282FEB0E}"/>
    <cellStyle name="Currency 5 7 5 5" xfId="38470" xr:uid="{51C03776-3F87-4AF4-9063-0A677B630CE2}"/>
    <cellStyle name="Currency 5 7 5 6" xfId="19872" xr:uid="{E9B354F5-4D64-4299-ADAC-F90E7D44F8C9}"/>
    <cellStyle name="Currency 5 7 6" xfId="2445" xr:uid="{00000000-0005-0000-0000-0000910D0000}"/>
    <cellStyle name="Currency 5 7 6 2" xfId="6729" xr:uid="{00000000-0005-0000-0000-0000920D0000}"/>
    <cellStyle name="Currency 5 7 6 2 2" xfId="16055" xr:uid="{A257A7C7-9C17-4C81-BF88-C36DF0AAC545}"/>
    <cellStyle name="Currency 5 7 6 2 2 2" xfId="52397" xr:uid="{8EC75E73-0D6C-4737-859A-3B480E1FC276}"/>
    <cellStyle name="Currency 5 7 6 2 2 3" xfId="33801" xr:uid="{EBC9A827-C2FF-405F-BBC8-E8D8D24C5100}"/>
    <cellStyle name="Currency 5 7 6 2 3" xfId="43100" xr:uid="{3ABC58EC-7069-4E9D-99D3-A4FF080D9826}"/>
    <cellStyle name="Currency 5 7 6 2 4" xfId="24502" xr:uid="{28E12414-0C2E-4D19-8AF3-BD6BC817E23D}"/>
    <cellStyle name="Currency 5 7 6 3" xfId="11838" xr:uid="{6F64A918-31F8-4D81-908E-73DA98876BD8}"/>
    <cellStyle name="Currency 5 7 6 3 2" xfId="48180" xr:uid="{E3D824A9-8448-4CED-8687-22D6D55EA0B0}"/>
    <cellStyle name="Currency 5 7 6 3 3" xfId="29584" xr:uid="{50AAAFDB-6B2D-4D04-A826-5505BC5069A1}"/>
    <cellStyle name="Currency 5 7 6 4" xfId="38883" xr:uid="{EB81DA1C-C0D4-444E-BE83-4D5A6C643B08}"/>
    <cellStyle name="Currency 5 7 6 5" xfId="20285" xr:uid="{E5E9545D-81B6-4B34-B190-621AEAEAB0A8}"/>
    <cellStyle name="Currency 5 7 7" xfId="2742" xr:uid="{00000000-0005-0000-0000-0000930D0000}"/>
    <cellStyle name="Currency 5 7 8" xfId="2823" xr:uid="{00000000-0005-0000-0000-0000940D0000}"/>
    <cellStyle name="Currency 5 7 8 2" xfId="7046" xr:uid="{00000000-0005-0000-0000-0000950D0000}"/>
    <cellStyle name="Currency 5 7 8 2 2" xfId="16372" xr:uid="{7EF8C1E0-35B9-473E-877D-E6BD3F018BAE}"/>
    <cellStyle name="Currency 5 7 8 2 2 2" xfId="52714" xr:uid="{884330A7-F764-4E7A-AE6D-C1D704E5876B}"/>
    <cellStyle name="Currency 5 7 8 2 2 3" xfId="34118" xr:uid="{6CFEDA55-AC95-4A51-8EEB-1DAB8A1F6781}"/>
    <cellStyle name="Currency 5 7 8 2 3" xfId="43417" xr:uid="{CEDCE461-187D-439E-B5BF-E31A42D1B81C}"/>
    <cellStyle name="Currency 5 7 8 2 4" xfId="24819" xr:uid="{1FAAEDDD-5871-4180-835A-5C8208A633AA}"/>
    <cellStyle name="Currency 5 7 8 3" xfId="12155" xr:uid="{A74A6B0D-D0E4-4D2D-8FD8-873E27E50B59}"/>
    <cellStyle name="Currency 5 7 8 3 2" xfId="48497" xr:uid="{20A28FB3-D6E8-4813-91CC-493F135A9DAD}"/>
    <cellStyle name="Currency 5 7 8 3 3" xfId="29901" xr:uid="{7F0E6F23-C4DF-4DB2-BF5C-C176610F4197}"/>
    <cellStyle name="Currency 5 7 8 4" xfId="39200" xr:uid="{8667F607-085F-400D-B675-87D905690351}"/>
    <cellStyle name="Currency 5 7 8 5" xfId="20602" xr:uid="{85512223-4A31-4790-BF7C-9DC75C9ED33B}"/>
    <cellStyle name="Currency 5 7 9" xfId="4663" xr:uid="{00000000-0005-0000-0000-0000960D0000}"/>
    <cellStyle name="Currency 5 7 9 2" xfId="13989" xr:uid="{E8AA5CFB-9346-4E97-84E0-DE8156DB121F}"/>
    <cellStyle name="Currency 5 7 9 2 2" xfId="50331" xr:uid="{B2D975B8-1519-4E50-9E80-998A7C422ADF}"/>
    <cellStyle name="Currency 5 7 9 2 3" xfId="31735" xr:uid="{6361E43C-EC51-48E0-A69B-2A719E7EDC8A}"/>
    <cellStyle name="Currency 5 7 9 3" xfId="41034" xr:uid="{0BEF03BD-578D-487E-A47F-83AABE503011}"/>
    <cellStyle name="Currency 5 7 9 4" xfId="22436" xr:uid="{B22ECD69-A3E2-4843-8B9C-59FDE67A7E3B}"/>
    <cellStyle name="Currency 5 8" xfId="721" xr:uid="{00000000-0005-0000-0000-0000970D0000}"/>
    <cellStyle name="Currency 5 9" xfId="8747" xr:uid="{CCFF1C6E-BA46-44B7-A8DD-B170160D04FF}"/>
    <cellStyle name="Currency 5 9 2" xfId="35817" xr:uid="{27A24073-87C0-4FD9-A238-9332CD008480}"/>
    <cellStyle name="Currency 5 9 2 2" xfId="54412" xr:uid="{7EECAB16-C003-4FFB-9710-598C23B47F11}"/>
    <cellStyle name="Currency 5 9 3" xfId="45115" xr:uid="{8CFCB54F-36A7-40FB-9A3B-2856BB831624}"/>
    <cellStyle name="Currency 5 9 4" xfId="26518" xr:uid="{D9AF9191-B898-4804-9A80-BF2C9486E044}"/>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16056" xr:uid="{49F63952-F315-4810-8DD2-443393C22FF6}"/>
    <cellStyle name="Normal 12 10 2 2 2" xfId="52398" xr:uid="{AA7EAD3F-0973-4A87-AFC1-C126529A9066}"/>
    <cellStyle name="Normal 12 10 2 2 3" xfId="33802" xr:uid="{0261F7DF-0AC4-42DF-91A8-717F96288F8A}"/>
    <cellStyle name="Normal 12 10 2 3" xfId="43101" xr:uid="{93DE69ED-672C-41BF-8EA0-9212E7514C9A}"/>
    <cellStyle name="Normal 12 10 2 4" xfId="24503" xr:uid="{C07F0AFB-BF45-44ED-8BDC-D612C5B082AE}"/>
    <cellStyle name="Normal 12 10 3" xfId="11839" xr:uid="{BB031D56-D9D7-4ED8-BF3F-160279787B88}"/>
    <cellStyle name="Normal 12 10 3 2" xfId="48181" xr:uid="{C502FC16-1D5A-4BC4-B3B5-5E78504DA0B2}"/>
    <cellStyle name="Normal 12 10 3 3" xfId="29585" xr:uid="{CBCC17F4-3FD1-479E-9B15-D87B188E2807}"/>
    <cellStyle name="Normal 12 10 4" xfId="38884" xr:uid="{822241C2-37AB-4F4E-AA7A-BAF2234E200C}"/>
    <cellStyle name="Normal 12 10 5" xfId="20286" xr:uid="{1164ABC6-234F-4F4E-919B-2CD0836DE2C9}"/>
    <cellStyle name="Normal 12 11" xfId="4664" xr:uid="{00000000-0005-0000-0000-0000CC0D0000}"/>
    <cellStyle name="Normal 12 11 2" xfId="13990" xr:uid="{541BF6EC-8ECF-41D5-A0B7-537FB2671469}"/>
    <cellStyle name="Normal 12 11 2 2" xfId="50332" xr:uid="{AE5C0267-2573-48C1-BA68-064F6AB25F30}"/>
    <cellStyle name="Normal 12 11 2 3" xfId="31736" xr:uid="{55CDE249-1DE1-4D6A-BE0F-1F626C7EB948}"/>
    <cellStyle name="Normal 12 11 3" xfId="41035" xr:uid="{4ED4F013-8A06-417D-A98F-FB887E01931C}"/>
    <cellStyle name="Normal 12 11 4" xfId="22437" xr:uid="{7266AEA2-68F8-4FB8-8CE8-8168FEC77202}"/>
    <cellStyle name="Normal 12 12" xfId="8770" xr:uid="{16E7F001-A88D-4413-825E-78352A31064A}"/>
    <cellStyle name="Normal 12 12 2" xfId="35840" xr:uid="{24C17B41-8896-4FE5-8C40-AD45FED95950}"/>
    <cellStyle name="Normal 12 12 2 2" xfId="54435" xr:uid="{CFE6EF39-0F69-4170-8476-6804505FCEC4}"/>
    <cellStyle name="Normal 12 12 3" xfId="45138" xr:uid="{7E3F933C-6C04-4DAE-9F31-3731F6A9CF84}"/>
    <cellStyle name="Normal 12 12 4" xfId="26541" xr:uid="{DEC678C2-4397-4801-87CE-9F17E8748DF0}"/>
    <cellStyle name="Normal 12 13" xfId="9773" xr:uid="{58ED29D1-5099-466D-B6A6-E6DECF74E15F}"/>
    <cellStyle name="Normal 12 13 2" xfId="46115" xr:uid="{B853D4EC-E926-4A9C-ADBB-8844FD946740}"/>
    <cellStyle name="Normal 12 13 3" xfId="27519" xr:uid="{E27D30AD-5D42-4CE8-898F-9DCE81A414B5}"/>
    <cellStyle name="Normal 12 14" xfId="36818" xr:uid="{1D53CCA0-D835-407C-87E1-78CBB60BDE7A}"/>
    <cellStyle name="Normal 12 15" xfId="18220" xr:uid="{166785FC-89DB-44AB-AA81-A1ECBD793D5E}"/>
    <cellStyle name="Normal 12 2" xfId="260" xr:uid="{00000000-0005-0000-0000-0000CD0D0000}"/>
    <cellStyle name="Normal 12 2 10" xfId="8811" xr:uid="{C610EFA7-DF28-475D-A7AA-61B6675A083B}"/>
    <cellStyle name="Normal 12 2 10 2" xfId="35881" xr:uid="{6C980BA9-29BF-4DE6-B0C6-BCAC15BBA851}"/>
    <cellStyle name="Normal 12 2 10 2 2" xfId="54476" xr:uid="{F8C90698-5111-4296-856D-0CABFB68F1EA}"/>
    <cellStyle name="Normal 12 2 10 3" xfId="45179" xr:uid="{60F67CA2-FE5F-420E-9872-3406D36396F5}"/>
    <cellStyle name="Normal 12 2 10 4" xfId="26582" xr:uid="{637EEDC4-A36A-4697-B390-27BB497D0CFB}"/>
    <cellStyle name="Normal 12 2 11" xfId="9774" xr:uid="{1A354AB5-723C-4D7D-825F-2F1B9E0EDCD4}"/>
    <cellStyle name="Normal 12 2 11 2" xfId="46116" xr:uid="{BE033473-F090-4EA7-8C51-7C22A801E06E}"/>
    <cellStyle name="Normal 12 2 11 3" xfId="27520" xr:uid="{E33EDAEF-CB25-4B6C-BDA2-FBE8FB1E76FF}"/>
    <cellStyle name="Normal 12 2 12" xfId="36819" xr:uid="{F557C50B-8A70-4999-8EDF-4157B2DC1CEC}"/>
    <cellStyle name="Normal 12 2 13" xfId="18221" xr:uid="{7300A1BA-3782-499C-9C44-19A54636F500}"/>
    <cellStyle name="Normal 12 2 2" xfId="261" xr:uid="{00000000-0005-0000-0000-0000CE0D0000}"/>
    <cellStyle name="Normal 12 2 2 10" xfId="9775" xr:uid="{1460D36F-7356-4E0A-BCE0-4D1196E0A42A}"/>
    <cellStyle name="Normal 12 2 2 10 2" xfId="46117" xr:uid="{6F49DA4D-0546-40B9-88C0-0C849A43EE00}"/>
    <cellStyle name="Normal 12 2 2 10 3" xfId="27521" xr:uid="{D7B63FF7-52D2-4E24-A668-1FA7C2E8D6EB}"/>
    <cellStyle name="Normal 12 2 2 11" xfId="36820" xr:uid="{3EB1BCF0-0F38-4908-94B9-0AF111AFDBD1}"/>
    <cellStyle name="Normal 12 2 2 12" xfId="18222" xr:uid="{E7507F32-7E1B-4E46-AE94-B99DD109BFAB}"/>
    <cellStyle name="Normal 12 2 2 2" xfId="262" xr:uid="{00000000-0005-0000-0000-0000CF0D0000}"/>
    <cellStyle name="Normal 12 2 2 2 10" xfId="36821" xr:uid="{054C1C4E-8495-4701-80B4-8CD91330AC9C}"/>
    <cellStyle name="Normal 12 2 2 2 11" xfId="18223" xr:uid="{813BF29E-B3D9-4FAD-B35A-C7AADF1A4AEF}"/>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16552" xr:uid="{92CC8B7C-25E7-4001-9D4C-44B72D1CF6DD}"/>
    <cellStyle name="Normal 12 2 2 2 2 2 2 2 2" xfId="52894" xr:uid="{708A7008-345F-4338-A48A-8162397247BB}"/>
    <cellStyle name="Normal 12 2 2 2 2 2 2 2 3" xfId="34298" xr:uid="{357ECC6E-AF62-429C-A266-349D091B2CEE}"/>
    <cellStyle name="Normal 12 2 2 2 2 2 2 3" xfId="43597" xr:uid="{DDD0E046-E9C9-4982-8430-CB2102DB9391}"/>
    <cellStyle name="Normal 12 2 2 2 2 2 2 4" xfId="24999" xr:uid="{C60D427E-E25B-43BC-9A5C-6D0539A938D1}"/>
    <cellStyle name="Normal 12 2 2 2 2 2 3" xfId="12335" xr:uid="{E8D18848-A10F-4300-8A34-7279062D732C}"/>
    <cellStyle name="Normal 12 2 2 2 2 2 3 2" xfId="48677" xr:uid="{CECB5940-5DA2-4103-821C-31A2F4E393DE}"/>
    <cellStyle name="Normal 12 2 2 2 2 2 3 3" xfId="30081" xr:uid="{D8CAE5E7-6644-4D33-B586-9AA3D99F7357}"/>
    <cellStyle name="Normal 12 2 2 2 2 2 4" xfId="39380" xr:uid="{22811590-A011-4624-857D-29DEA6F0AACC}"/>
    <cellStyle name="Normal 12 2 2 2 2 2 5" xfId="20782" xr:uid="{1DC87A29-90AD-43FB-9E8E-AC946774C598}"/>
    <cellStyle name="Normal 12 2 2 2 2 3" xfId="5081" xr:uid="{00000000-0005-0000-0000-0000D30D0000}"/>
    <cellStyle name="Normal 12 2 2 2 2 3 2" xfId="14407" xr:uid="{CF5D5A94-9D2A-4D93-827B-BBBCDD880E21}"/>
    <cellStyle name="Normal 12 2 2 2 2 3 2 2" xfId="50749" xr:uid="{11812877-DDE1-4BDE-A80B-7570FE2C9F69}"/>
    <cellStyle name="Normal 12 2 2 2 2 3 2 3" xfId="32153" xr:uid="{6169E966-2087-4377-889D-4C00BA889CD1}"/>
    <cellStyle name="Normal 12 2 2 2 2 3 3" xfId="41452" xr:uid="{95F42544-84C6-4412-9D38-676D827922C1}"/>
    <cellStyle name="Normal 12 2 2 2 2 3 4" xfId="22854" xr:uid="{5D0DB53C-14C5-4708-B0FF-39B99ED7B38B}"/>
    <cellStyle name="Normal 12 2 2 2 2 4" xfId="9546" xr:uid="{609DE280-4DA3-4355-9F1C-9E01708347EA}"/>
    <cellStyle name="Normal 12 2 2 2 2 4 2" xfId="36607" xr:uid="{B407E469-2AE3-4328-BE57-206C70C1EB60}"/>
    <cellStyle name="Normal 12 2 2 2 2 4 2 2" xfId="55201" xr:uid="{FE4FF3DF-FCFE-43D6-974D-F6935644AAAF}"/>
    <cellStyle name="Normal 12 2 2 2 2 4 3" xfId="45904" xr:uid="{07F273EC-E196-4E63-A1B7-9A59388898E6}"/>
    <cellStyle name="Normal 12 2 2 2 2 4 4" xfId="27308" xr:uid="{B8691E86-E744-4A2D-824A-9BCF1C6F5E36}"/>
    <cellStyle name="Normal 12 2 2 2 2 5" xfId="10190" xr:uid="{A39FC880-321C-4563-9FDA-5DA0331F64CB}"/>
    <cellStyle name="Normal 12 2 2 2 2 5 2" xfId="46532" xr:uid="{7B8C67ED-8D09-4A66-BBA5-E517C9A6C79B}"/>
    <cellStyle name="Normal 12 2 2 2 2 5 3" xfId="27936" xr:uid="{692303CF-9896-49E5-BF96-1F09CF80DABB}"/>
    <cellStyle name="Normal 12 2 2 2 2 6" xfId="37235" xr:uid="{204CBE2F-83DC-42BD-BAF0-B7A1127D1FF5}"/>
    <cellStyle name="Normal 12 2 2 2 2 7" xfId="18637" xr:uid="{F6AE731A-448C-4EDB-9D8C-5C0243F4A1F8}"/>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16965" xr:uid="{7F69120E-EDEC-4BF9-B5EB-1AAF94786BD5}"/>
    <cellStyle name="Normal 12 2 2 2 3 2 2 2 2" xfId="53307" xr:uid="{7BF6BC81-C648-496F-B682-7092C83317E5}"/>
    <cellStyle name="Normal 12 2 2 2 3 2 2 2 3" xfId="34711" xr:uid="{1AD54606-463C-4548-8485-9A33B55F65FB}"/>
    <cellStyle name="Normal 12 2 2 2 3 2 2 3" xfId="44010" xr:uid="{718CF4FA-0F6D-474E-8635-0EFD8D6C7812}"/>
    <cellStyle name="Normal 12 2 2 2 3 2 2 4" xfId="25412" xr:uid="{0BAB565E-28EE-4F45-AA2C-57AC78F48E87}"/>
    <cellStyle name="Normal 12 2 2 2 3 2 3" xfId="12748" xr:uid="{2930AAD6-54DA-405F-9F6D-C10E37536EE5}"/>
    <cellStyle name="Normal 12 2 2 2 3 2 3 2" xfId="49090" xr:uid="{1660118C-528D-4192-B808-CB448C10D4CB}"/>
    <cellStyle name="Normal 12 2 2 2 3 2 3 3" xfId="30494" xr:uid="{5B9DA6D2-89B8-41A1-88A3-D3E6D26A98F7}"/>
    <cellStyle name="Normal 12 2 2 2 3 2 4" xfId="39793" xr:uid="{6F94AA4D-D39B-404D-8E8B-06DB6E56CB1A}"/>
    <cellStyle name="Normal 12 2 2 2 3 2 5" xfId="21195" xr:uid="{8DD59A11-63C3-4328-B32C-75B107E1D7CA}"/>
    <cellStyle name="Normal 12 2 2 2 3 3" xfId="5494" xr:uid="{00000000-0005-0000-0000-0000D70D0000}"/>
    <cellStyle name="Normal 12 2 2 2 3 3 2" xfId="14820" xr:uid="{42DD85DA-D1A1-488C-87BD-022D10E9077D}"/>
    <cellStyle name="Normal 12 2 2 2 3 3 2 2" xfId="51162" xr:uid="{20B80049-D7CB-4301-A63C-07A96FBFFDA4}"/>
    <cellStyle name="Normal 12 2 2 2 3 3 2 3" xfId="32566" xr:uid="{CBDA2E28-DC4F-4A30-A251-ED05E9B2ACAD}"/>
    <cellStyle name="Normal 12 2 2 2 3 3 3" xfId="41865" xr:uid="{786818BD-7E8A-47AC-8761-CAFC952EB47B}"/>
    <cellStyle name="Normal 12 2 2 2 3 3 4" xfId="23267" xr:uid="{9EF6E4E0-CE4E-4552-B79E-162DFCA26A3B}"/>
    <cellStyle name="Normal 12 2 2 2 3 4" xfId="10603" xr:uid="{F9E1D856-88DF-418D-AAC0-A51AF11B3339}"/>
    <cellStyle name="Normal 12 2 2 2 3 4 2" xfId="46945" xr:uid="{3012B207-AAA7-42C7-8333-7ED539C2CF0A}"/>
    <cellStyle name="Normal 12 2 2 2 3 4 3" xfId="28349" xr:uid="{E4377781-91C8-4F78-A547-DFEA9BBDE73E}"/>
    <cellStyle name="Normal 12 2 2 2 3 5" xfId="37648" xr:uid="{B50FA720-BF0C-4114-97ED-B40A2FFE82D0}"/>
    <cellStyle name="Normal 12 2 2 2 3 6" xfId="19050" xr:uid="{3825CAB6-3CBC-4149-8D6D-1C21F66DBA20}"/>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17378" xr:uid="{6614A55C-E8A7-4DAB-9A7B-84D7FA43AB19}"/>
    <cellStyle name="Normal 12 2 2 2 4 2 2 2 2" xfId="53720" xr:uid="{08E9CC85-371E-4870-8399-448B3F49890F}"/>
    <cellStyle name="Normal 12 2 2 2 4 2 2 2 3" xfId="35124" xr:uid="{0D252853-CE2A-4646-A945-166751FCCD6B}"/>
    <cellStyle name="Normal 12 2 2 2 4 2 2 3" xfId="44423" xr:uid="{537448A7-432B-4A0F-B74C-2FAAC9B4D0C3}"/>
    <cellStyle name="Normal 12 2 2 2 4 2 2 4" xfId="25825" xr:uid="{1818B1E7-C2AD-4BAA-96B7-47FC2FB537AF}"/>
    <cellStyle name="Normal 12 2 2 2 4 2 3" xfId="13161" xr:uid="{EB824859-25D8-4B07-801C-345FD96FF773}"/>
    <cellStyle name="Normal 12 2 2 2 4 2 3 2" xfId="49503" xr:uid="{9704B755-5C45-4ADF-94DF-82B419D35545}"/>
    <cellStyle name="Normal 12 2 2 2 4 2 3 3" xfId="30907" xr:uid="{ABA5EC26-1392-46AC-8746-222275D8E47A}"/>
    <cellStyle name="Normal 12 2 2 2 4 2 4" xfId="40206" xr:uid="{338CADE8-17EF-4AA7-BB20-E416A8C6B466}"/>
    <cellStyle name="Normal 12 2 2 2 4 2 5" xfId="21608" xr:uid="{7DB35530-C997-4750-A1CE-61FAEDCCD9C3}"/>
    <cellStyle name="Normal 12 2 2 2 4 3" xfId="5907" xr:uid="{00000000-0005-0000-0000-0000DB0D0000}"/>
    <cellStyle name="Normal 12 2 2 2 4 3 2" xfId="15233" xr:uid="{283FE7C1-1D09-479B-A987-6E32C570C32C}"/>
    <cellStyle name="Normal 12 2 2 2 4 3 2 2" xfId="51575" xr:uid="{0B7AB620-F239-4B62-B118-0EA5AA30B1D7}"/>
    <cellStyle name="Normal 12 2 2 2 4 3 2 3" xfId="32979" xr:uid="{11D3D835-40CD-4B56-A3BF-9A3E1D44EE93}"/>
    <cellStyle name="Normal 12 2 2 2 4 3 3" xfId="42278" xr:uid="{67A69F4A-85C7-4A59-9DB8-6BECB57544D8}"/>
    <cellStyle name="Normal 12 2 2 2 4 3 4" xfId="23680" xr:uid="{4CBBF0E2-14F1-420E-A2D5-B0C463D604B0}"/>
    <cellStyle name="Normal 12 2 2 2 4 4" xfId="11016" xr:uid="{3D181640-84C0-47E9-869E-0400469C62CC}"/>
    <cellStyle name="Normal 12 2 2 2 4 4 2" xfId="47358" xr:uid="{9BD99B88-CE85-42D1-A29B-975A2A383FF5}"/>
    <cellStyle name="Normal 12 2 2 2 4 4 3" xfId="28762" xr:uid="{F929EB57-0A29-4C40-AA8B-DC7690FD91D8}"/>
    <cellStyle name="Normal 12 2 2 2 4 5" xfId="38061" xr:uid="{2D5BFBD4-4392-4371-B149-83CD5DEBCA30}"/>
    <cellStyle name="Normal 12 2 2 2 4 6" xfId="19463" xr:uid="{F8CA31FC-48DC-42CB-B491-0113E2764DD1}"/>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17791" xr:uid="{FA28EA13-ABBC-4E0E-9011-BFCD080C783E}"/>
    <cellStyle name="Normal 12 2 2 2 5 2 2 2 2" xfId="54133" xr:uid="{5FCBB017-3E41-42CE-8103-DDCFF6FC04C4}"/>
    <cellStyle name="Normal 12 2 2 2 5 2 2 2 3" xfId="35537" xr:uid="{9A148A6D-BFCD-4F4C-AE64-E36B206E3935}"/>
    <cellStyle name="Normal 12 2 2 2 5 2 2 3" xfId="44836" xr:uid="{BC5135EC-0C4E-4199-AC40-429D94832982}"/>
    <cellStyle name="Normal 12 2 2 2 5 2 2 4" xfId="26238" xr:uid="{1F976522-5DCA-4249-9F57-99B02482FEFC}"/>
    <cellStyle name="Normal 12 2 2 2 5 2 3" xfId="13574" xr:uid="{58BC7AD7-30BE-4799-879F-A5B34AB3B4EC}"/>
    <cellStyle name="Normal 12 2 2 2 5 2 3 2" xfId="49916" xr:uid="{3D8355BF-31BB-4217-AD58-A77D475FBDFE}"/>
    <cellStyle name="Normal 12 2 2 2 5 2 3 3" xfId="31320" xr:uid="{C5BFEB61-66BA-4976-B9C7-E82E00B5DD5C}"/>
    <cellStyle name="Normal 12 2 2 2 5 2 4" xfId="40619" xr:uid="{DFD3CDCC-C4FB-4705-A470-2930A3551633}"/>
    <cellStyle name="Normal 12 2 2 2 5 2 5" xfId="22021" xr:uid="{758052C9-4F00-4594-8C31-96BE68FFF429}"/>
    <cellStyle name="Normal 12 2 2 2 5 3" xfId="6320" xr:uid="{00000000-0005-0000-0000-0000DF0D0000}"/>
    <cellStyle name="Normal 12 2 2 2 5 3 2" xfId="15646" xr:uid="{76094CD5-5B32-4BD2-A887-1FB6619CB5C0}"/>
    <cellStyle name="Normal 12 2 2 2 5 3 2 2" xfId="51988" xr:uid="{0FC8A2C5-FAD2-4943-B4DB-DC5904A5287D}"/>
    <cellStyle name="Normal 12 2 2 2 5 3 2 3" xfId="33392" xr:uid="{1E052C39-E494-4340-8A7C-1F52BA58DE42}"/>
    <cellStyle name="Normal 12 2 2 2 5 3 3" xfId="42691" xr:uid="{57D6E3E5-5BA0-471B-A23E-58AA33206BF5}"/>
    <cellStyle name="Normal 12 2 2 2 5 3 4" xfId="24093" xr:uid="{C7D172BF-0687-4C58-907A-425D3F3A23CF}"/>
    <cellStyle name="Normal 12 2 2 2 5 4" xfId="11429" xr:uid="{D06B0E03-D865-4280-B35F-96FB37552A1B}"/>
    <cellStyle name="Normal 12 2 2 2 5 4 2" xfId="47771" xr:uid="{1B80DD9C-2E3A-4D01-9001-8D4F5005131C}"/>
    <cellStyle name="Normal 12 2 2 2 5 4 3" xfId="29175" xr:uid="{9C23EFF8-905C-4222-BAE4-CEF42EA7D056}"/>
    <cellStyle name="Normal 12 2 2 2 5 5" xfId="38474" xr:uid="{23475D07-C61B-4EEF-84B2-804D1231FA5A}"/>
    <cellStyle name="Normal 12 2 2 2 5 6" xfId="19876" xr:uid="{01013973-8680-4265-9E06-299DE4C3DC54}"/>
    <cellStyle name="Normal 12 2 2 2 6" xfId="2450" xr:uid="{00000000-0005-0000-0000-0000E00D0000}"/>
    <cellStyle name="Normal 12 2 2 2 6 2" xfId="6733" xr:uid="{00000000-0005-0000-0000-0000E10D0000}"/>
    <cellStyle name="Normal 12 2 2 2 6 2 2" xfId="16059" xr:uid="{9ED0EB74-4428-46AD-A51C-5D733D9CD10D}"/>
    <cellStyle name="Normal 12 2 2 2 6 2 2 2" xfId="52401" xr:uid="{F34AFA41-193A-4357-A907-F719755FBC0C}"/>
    <cellStyle name="Normal 12 2 2 2 6 2 2 3" xfId="33805" xr:uid="{3F96CA33-7CA5-4278-9F2F-A340FEC6B71B}"/>
    <cellStyle name="Normal 12 2 2 2 6 2 3" xfId="43104" xr:uid="{FBCAA26A-399B-42DE-9974-65E34D6C1FE2}"/>
    <cellStyle name="Normal 12 2 2 2 6 2 4" xfId="24506" xr:uid="{48DF6350-6447-4EF4-84C2-18CBE2911CBE}"/>
    <cellStyle name="Normal 12 2 2 2 6 3" xfId="11842" xr:uid="{2FD8CE74-BA02-4646-AE52-9A9760C0B370}"/>
    <cellStyle name="Normal 12 2 2 2 6 3 2" xfId="48184" xr:uid="{18477C52-A5CC-4872-A3A6-36E70E924BA0}"/>
    <cellStyle name="Normal 12 2 2 2 6 3 3" xfId="29588" xr:uid="{BF1FB47F-32D7-4B6F-8671-D1BE16DC70B4}"/>
    <cellStyle name="Normal 12 2 2 2 6 4" xfId="38887" xr:uid="{5FD28D3E-C7CC-4EA2-A0D0-DF09F9AFF1F7}"/>
    <cellStyle name="Normal 12 2 2 2 6 5" xfId="20289" xr:uid="{00C85DEF-539F-4AAE-A70D-C7B9C5FA7F30}"/>
    <cellStyle name="Normal 12 2 2 2 7" xfId="4667" xr:uid="{00000000-0005-0000-0000-0000E20D0000}"/>
    <cellStyle name="Normal 12 2 2 2 7 2" xfId="13993" xr:uid="{E9B95272-3CA0-422C-BCCC-21B6837145ED}"/>
    <cellStyle name="Normal 12 2 2 2 7 2 2" xfId="50335" xr:uid="{65CEF039-9D36-495B-8352-C957CB37993C}"/>
    <cellStyle name="Normal 12 2 2 2 7 2 3" xfId="31739" xr:uid="{19F635B3-1D0C-42B0-8C79-DFE6B3CECF32}"/>
    <cellStyle name="Normal 12 2 2 2 7 3" xfId="41038" xr:uid="{5111996B-DB54-427C-9043-6B66E0C18EED}"/>
    <cellStyle name="Normal 12 2 2 2 7 4" xfId="22440" xr:uid="{AED77BD3-03F8-43BC-B984-1C0439AC6F77}"/>
    <cellStyle name="Normal 12 2 2 2 8" xfId="9121" xr:uid="{527C15BB-BE4D-46AB-9317-CC8E6838C91D}"/>
    <cellStyle name="Normal 12 2 2 2 8 2" xfId="36191" xr:uid="{D566CAA6-EAAB-472F-8872-198412B9A318}"/>
    <cellStyle name="Normal 12 2 2 2 8 2 2" xfId="54786" xr:uid="{B4A9303B-E6BE-4122-8199-B37D6137A68A}"/>
    <cellStyle name="Normal 12 2 2 2 8 3" xfId="45489" xr:uid="{61E0A609-D84B-4FE3-A268-ACD80D63618D}"/>
    <cellStyle name="Normal 12 2 2 2 8 4" xfId="26892" xr:uid="{8D6BFF97-23B4-486F-8A08-6EFE6D86ABA4}"/>
    <cellStyle name="Normal 12 2 2 2 9" xfId="9776" xr:uid="{6B050418-F295-45D4-BCD1-42892D2A2740}"/>
    <cellStyle name="Normal 12 2 2 2 9 2" xfId="46118" xr:uid="{74A779EC-4D74-422F-BB0E-7DE65EAA57A2}"/>
    <cellStyle name="Normal 12 2 2 2 9 3" xfId="27522" xr:uid="{A11FB3E6-0701-42F8-BC9C-15EE12C34F99}"/>
    <cellStyle name="Normal 12 2 2 3" xfId="762" xr:uid="{00000000-0005-0000-0000-0000E30D0000}"/>
    <cellStyle name="Normal 12 2 2 3 2" xfId="3003" xr:uid="{00000000-0005-0000-0000-0000E40D0000}"/>
    <cellStyle name="Normal 12 2 2 3 2 2" xfId="7225" xr:uid="{00000000-0005-0000-0000-0000E50D0000}"/>
    <cellStyle name="Normal 12 2 2 3 2 2 2" xfId="16551" xr:uid="{EC2C1168-B30A-4D55-AF90-7E535B86D5E8}"/>
    <cellStyle name="Normal 12 2 2 3 2 2 2 2" xfId="52893" xr:uid="{7D83706B-66D5-40D1-98CC-BBF6BD6D4CE5}"/>
    <cellStyle name="Normal 12 2 2 3 2 2 2 3" xfId="34297" xr:uid="{9A49CBFC-2035-4953-ABE6-B86364715F90}"/>
    <cellStyle name="Normal 12 2 2 3 2 2 3" xfId="43596" xr:uid="{1200E857-8FE9-44EE-9B9B-99EFC1AC1052}"/>
    <cellStyle name="Normal 12 2 2 3 2 2 4" xfId="24998" xr:uid="{0EF9239C-51D3-46F5-9634-3B833B94C3BE}"/>
    <cellStyle name="Normal 12 2 2 3 2 3" xfId="12334" xr:uid="{2581D9B9-699A-4B2F-BEF9-5311616D0A54}"/>
    <cellStyle name="Normal 12 2 2 3 2 3 2" xfId="48676" xr:uid="{7E97CA4F-5659-42AF-946E-01891FA23530}"/>
    <cellStyle name="Normal 12 2 2 3 2 3 3" xfId="30080" xr:uid="{5A8407C6-1280-48D3-8561-EB73D0C89CB6}"/>
    <cellStyle name="Normal 12 2 2 3 2 4" xfId="39379" xr:uid="{A69F0ADA-1A5C-4091-BA05-78DCC558CA7B}"/>
    <cellStyle name="Normal 12 2 2 3 2 5" xfId="20781" xr:uid="{01166F5F-BFF2-45B4-BBAD-3692D147DD13}"/>
    <cellStyle name="Normal 12 2 2 3 3" xfId="5080" xr:uid="{00000000-0005-0000-0000-0000E60D0000}"/>
    <cellStyle name="Normal 12 2 2 3 3 2" xfId="14406" xr:uid="{FEF23049-BCA1-43FF-9CFA-1CF303A89F67}"/>
    <cellStyle name="Normal 12 2 2 3 3 2 2" xfId="50748" xr:uid="{94E554B0-748B-431B-AC38-DD8023A8826A}"/>
    <cellStyle name="Normal 12 2 2 3 3 2 3" xfId="32152" xr:uid="{823451B8-7905-4B62-A5C0-A40BA9E46CD9}"/>
    <cellStyle name="Normal 12 2 2 3 3 3" xfId="41451" xr:uid="{8A0B859F-E42A-4303-A85A-EE23BD9E432C}"/>
    <cellStyle name="Normal 12 2 2 3 3 4" xfId="22853" xr:uid="{E97B063B-64B1-4E85-9EEE-C4895984D880}"/>
    <cellStyle name="Normal 12 2 2 3 4" xfId="9339" xr:uid="{F3F800C1-92DF-4F1F-A561-C3F3C7F8BAD1}"/>
    <cellStyle name="Normal 12 2 2 3 4 2" xfId="36400" xr:uid="{B4D518A3-7A42-4864-8E87-D48184E6A824}"/>
    <cellStyle name="Normal 12 2 2 3 4 2 2" xfId="54994" xr:uid="{B2C7B9EC-6A4F-49B8-BC39-21DC38EA632A}"/>
    <cellStyle name="Normal 12 2 2 3 4 3" xfId="45697" xr:uid="{F1A12244-E658-4736-B77D-25D66542AA29}"/>
    <cellStyle name="Normal 12 2 2 3 4 4" xfId="27101" xr:uid="{47BE978D-6EB9-4EF4-B806-51DDDE392FB8}"/>
    <cellStyle name="Normal 12 2 2 3 5" xfId="10189" xr:uid="{78F79153-A0DF-4BF9-BD0E-4FF461ED1225}"/>
    <cellStyle name="Normal 12 2 2 3 5 2" xfId="46531" xr:uid="{CC9E966A-89DE-4377-BAD9-925C5227D956}"/>
    <cellStyle name="Normal 12 2 2 3 5 3" xfId="27935" xr:uid="{FBEF29B7-F211-49AC-B95C-EB114147B9DE}"/>
    <cellStyle name="Normal 12 2 2 3 6" xfId="37234" xr:uid="{DC02191A-B070-4E40-A65D-6EA811FB5497}"/>
    <cellStyle name="Normal 12 2 2 3 7" xfId="18636" xr:uid="{04F2334F-BE9D-400D-B9CD-C0B02DBBE0BF}"/>
    <cellStyle name="Normal 12 2 2 4" xfId="1185" xr:uid="{00000000-0005-0000-0000-0000E70D0000}"/>
    <cellStyle name="Normal 12 2 2 4 2" xfId="3416" xr:uid="{00000000-0005-0000-0000-0000E80D0000}"/>
    <cellStyle name="Normal 12 2 2 4 2 2" xfId="7638" xr:uid="{00000000-0005-0000-0000-0000E90D0000}"/>
    <cellStyle name="Normal 12 2 2 4 2 2 2" xfId="16964" xr:uid="{04CE0112-E93B-47BC-A9DE-BE123A8BA731}"/>
    <cellStyle name="Normal 12 2 2 4 2 2 2 2" xfId="53306" xr:uid="{0C7BFB41-616A-4A31-991E-5E60709B6257}"/>
    <cellStyle name="Normal 12 2 2 4 2 2 2 3" xfId="34710" xr:uid="{7CF3EE03-80F9-4F32-8385-EDC31ABB8337}"/>
    <cellStyle name="Normal 12 2 2 4 2 2 3" xfId="44009" xr:uid="{5EBFBFB8-F942-4C74-8360-7B3A894B891C}"/>
    <cellStyle name="Normal 12 2 2 4 2 2 4" xfId="25411" xr:uid="{CC2DA26F-DFBC-4258-A926-AF8F9461859D}"/>
    <cellStyle name="Normal 12 2 2 4 2 3" xfId="12747" xr:uid="{9402E6FE-59CA-4D34-B7C2-C36B564EE339}"/>
    <cellStyle name="Normal 12 2 2 4 2 3 2" xfId="49089" xr:uid="{57F29B15-BD37-4E96-B105-B91182F1519A}"/>
    <cellStyle name="Normal 12 2 2 4 2 3 3" xfId="30493" xr:uid="{F0B8BFB8-94DD-4E49-9E30-F18E8CB0BCB5}"/>
    <cellStyle name="Normal 12 2 2 4 2 4" xfId="39792" xr:uid="{62010EA9-656D-4CA6-909B-EFA94BABC131}"/>
    <cellStyle name="Normal 12 2 2 4 2 5" xfId="21194" xr:uid="{7A553C69-9648-42DB-9D3A-99EE33CD9165}"/>
    <cellStyle name="Normal 12 2 2 4 3" xfId="5493" xr:uid="{00000000-0005-0000-0000-0000EA0D0000}"/>
    <cellStyle name="Normal 12 2 2 4 3 2" xfId="14819" xr:uid="{8E6D1A70-81AD-49D1-96E5-7D232EC5786D}"/>
    <cellStyle name="Normal 12 2 2 4 3 2 2" xfId="51161" xr:uid="{0D0A610B-4278-4E82-A43F-83223F2651DF}"/>
    <cellStyle name="Normal 12 2 2 4 3 2 3" xfId="32565" xr:uid="{2DD5D55D-B0C1-4D93-8985-B4AADF7A7BC4}"/>
    <cellStyle name="Normal 12 2 2 4 3 3" xfId="41864" xr:uid="{F0DCA1A1-FF2E-41FC-8C02-AB1DDE851B22}"/>
    <cellStyle name="Normal 12 2 2 4 3 4" xfId="23266" xr:uid="{F138D909-9412-431B-A596-326159F9A9B2}"/>
    <cellStyle name="Normal 12 2 2 4 4" xfId="10602" xr:uid="{86D0792F-FCCD-4E09-B997-A81030DE2AB2}"/>
    <cellStyle name="Normal 12 2 2 4 4 2" xfId="46944" xr:uid="{5220F9D7-7638-4B12-8A10-0FEC651BC01F}"/>
    <cellStyle name="Normal 12 2 2 4 4 3" xfId="28348" xr:uid="{37B756F7-2C7D-4907-85E7-A549832867B1}"/>
    <cellStyle name="Normal 12 2 2 4 5" xfId="37647" xr:uid="{0F84DE3F-3363-407E-8B1F-57B746D34768}"/>
    <cellStyle name="Normal 12 2 2 4 6" xfId="19049" xr:uid="{7AE3BEB1-A5CC-4440-A583-A2F4170FAABF}"/>
    <cellStyle name="Normal 12 2 2 5" xfId="1599" xr:uid="{00000000-0005-0000-0000-0000EB0D0000}"/>
    <cellStyle name="Normal 12 2 2 5 2" xfId="3829" xr:uid="{00000000-0005-0000-0000-0000EC0D0000}"/>
    <cellStyle name="Normal 12 2 2 5 2 2" xfId="8051" xr:uid="{00000000-0005-0000-0000-0000ED0D0000}"/>
    <cellStyle name="Normal 12 2 2 5 2 2 2" xfId="17377" xr:uid="{CED9D902-173F-420A-BF84-084DD158ECE3}"/>
    <cellStyle name="Normal 12 2 2 5 2 2 2 2" xfId="53719" xr:uid="{E5A87C00-E155-4E16-A54D-807D069723BB}"/>
    <cellStyle name="Normal 12 2 2 5 2 2 2 3" xfId="35123" xr:uid="{265235DA-B4E4-467F-B253-B0AAEAD23458}"/>
    <cellStyle name="Normal 12 2 2 5 2 2 3" xfId="44422" xr:uid="{92F0F910-3751-4A78-A76D-FAF3588BC27A}"/>
    <cellStyle name="Normal 12 2 2 5 2 2 4" xfId="25824" xr:uid="{E5AB877B-0CD4-4C9E-826F-70DF6D8FABD1}"/>
    <cellStyle name="Normal 12 2 2 5 2 3" xfId="13160" xr:uid="{946C1FC9-4010-40DF-B75C-EFC125FB3D6B}"/>
    <cellStyle name="Normal 12 2 2 5 2 3 2" xfId="49502" xr:uid="{B314FD98-4570-4BAA-9190-D96CA992FD6B}"/>
    <cellStyle name="Normal 12 2 2 5 2 3 3" xfId="30906" xr:uid="{5D1DA991-ED08-4DE0-9CA2-8AA2AD1966DA}"/>
    <cellStyle name="Normal 12 2 2 5 2 4" xfId="40205" xr:uid="{AA5E7BE3-3861-44A3-B33C-8E0831500827}"/>
    <cellStyle name="Normal 12 2 2 5 2 5" xfId="21607" xr:uid="{4CD35CDA-FC23-4107-921D-7A8456F34FEC}"/>
    <cellStyle name="Normal 12 2 2 5 3" xfId="5906" xr:uid="{00000000-0005-0000-0000-0000EE0D0000}"/>
    <cellStyle name="Normal 12 2 2 5 3 2" xfId="15232" xr:uid="{12ED8C53-83CE-4CD1-8F48-6F13EC217C2D}"/>
    <cellStyle name="Normal 12 2 2 5 3 2 2" xfId="51574" xr:uid="{6CFDB056-10B7-4777-BBE7-18D374A47804}"/>
    <cellStyle name="Normal 12 2 2 5 3 2 3" xfId="32978" xr:uid="{CF596826-E9C9-4952-A459-1AF00AB2F604}"/>
    <cellStyle name="Normal 12 2 2 5 3 3" xfId="42277" xr:uid="{D1F56422-7A94-4464-9DD8-57F012E3D4BA}"/>
    <cellStyle name="Normal 12 2 2 5 3 4" xfId="23679" xr:uid="{8AD3907A-16D0-4557-87A9-A3ECC67B4B28}"/>
    <cellStyle name="Normal 12 2 2 5 4" xfId="11015" xr:uid="{58E1C70C-72AD-4D88-A4A6-0EC509FBF213}"/>
    <cellStyle name="Normal 12 2 2 5 4 2" xfId="47357" xr:uid="{6A2DAE1B-13A3-4072-86BF-8A274A73C45A}"/>
    <cellStyle name="Normal 12 2 2 5 4 3" xfId="28761" xr:uid="{1DCF72F0-F46E-4987-97C6-A24853DECDC3}"/>
    <cellStyle name="Normal 12 2 2 5 5" xfId="38060" xr:uid="{FA42D810-48CA-4826-9ACA-3925E7AAE3CD}"/>
    <cellStyle name="Normal 12 2 2 5 6" xfId="19462" xr:uid="{DECC8210-E7FA-49F0-9D0C-8AB2BE0D9E23}"/>
    <cellStyle name="Normal 12 2 2 6" xfId="2013" xr:uid="{00000000-0005-0000-0000-0000EF0D0000}"/>
    <cellStyle name="Normal 12 2 2 6 2" xfId="4242" xr:uid="{00000000-0005-0000-0000-0000F00D0000}"/>
    <cellStyle name="Normal 12 2 2 6 2 2" xfId="8464" xr:uid="{00000000-0005-0000-0000-0000F10D0000}"/>
    <cellStyle name="Normal 12 2 2 6 2 2 2" xfId="17790" xr:uid="{B42CA6D8-9B29-4F12-B09C-F529EBDAC007}"/>
    <cellStyle name="Normal 12 2 2 6 2 2 2 2" xfId="54132" xr:uid="{18CC52AD-E636-40C7-8280-F8156C05FD89}"/>
    <cellStyle name="Normal 12 2 2 6 2 2 2 3" xfId="35536" xr:uid="{3BB9A5D9-EECA-40CF-A258-0FFC297BBCAA}"/>
    <cellStyle name="Normal 12 2 2 6 2 2 3" xfId="44835" xr:uid="{BB93B305-F6B9-48D9-AC28-BBA93BB394A8}"/>
    <cellStyle name="Normal 12 2 2 6 2 2 4" xfId="26237" xr:uid="{46D595BD-8548-4814-8F76-181B727CC3C4}"/>
    <cellStyle name="Normal 12 2 2 6 2 3" xfId="13573" xr:uid="{F0DB0DCD-CD7A-42AE-8BB3-A452863EF8E8}"/>
    <cellStyle name="Normal 12 2 2 6 2 3 2" xfId="49915" xr:uid="{0DFBD745-2684-414B-94DF-D479230C29A6}"/>
    <cellStyle name="Normal 12 2 2 6 2 3 3" xfId="31319" xr:uid="{84FD0434-9BB6-4C14-B45B-9FB3C390A20B}"/>
    <cellStyle name="Normal 12 2 2 6 2 4" xfId="40618" xr:uid="{60532DEC-7124-49FB-B3C8-27E044C3DDED}"/>
    <cellStyle name="Normal 12 2 2 6 2 5" xfId="22020" xr:uid="{61F9ACA5-75F3-463E-916F-EF3E0F5EB106}"/>
    <cellStyle name="Normal 12 2 2 6 3" xfId="6319" xr:uid="{00000000-0005-0000-0000-0000F20D0000}"/>
    <cellStyle name="Normal 12 2 2 6 3 2" xfId="15645" xr:uid="{AD42F91A-E7CE-4229-B965-317963A007AF}"/>
    <cellStyle name="Normal 12 2 2 6 3 2 2" xfId="51987" xr:uid="{24781774-68A4-4537-B223-C4DFA05BC4CF}"/>
    <cellStyle name="Normal 12 2 2 6 3 2 3" xfId="33391" xr:uid="{6B493DC8-E95F-40D5-BA25-B1B7776BB99B}"/>
    <cellStyle name="Normal 12 2 2 6 3 3" xfId="42690" xr:uid="{51A00746-6D88-4DCC-AE35-1EB385E53E2E}"/>
    <cellStyle name="Normal 12 2 2 6 3 4" xfId="24092" xr:uid="{AE2B0D9F-1565-40FE-B163-50ACF6E6B117}"/>
    <cellStyle name="Normal 12 2 2 6 4" xfId="11428" xr:uid="{766C5BFD-96A2-4A05-8FCE-2FCBDDD36A10}"/>
    <cellStyle name="Normal 12 2 2 6 4 2" xfId="47770" xr:uid="{85EBF7F1-B6D0-440F-9E17-8393B232A86D}"/>
    <cellStyle name="Normal 12 2 2 6 4 3" xfId="29174" xr:uid="{D6BCE88B-84CC-49E7-9D70-331C9A9718B9}"/>
    <cellStyle name="Normal 12 2 2 6 5" xfId="38473" xr:uid="{98CAEAD1-3B95-472A-9F00-4B91EF2CCEE6}"/>
    <cellStyle name="Normal 12 2 2 6 6" xfId="19875" xr:uid="{081D326A-F1D6-47DC-9CD6-ADF1948AC4AD}"/>
    <cellStyle name="Normal 12 2 2 7" xfId="2449" xr:uid="{00000000-0005-0000-0000-0000F30D0000}"/>
    <cellStyle name="Normal 12 2 2 7 2" xfId="6732" xr:uid="{00000000-0005-0000-0000-0000F40D0000}"/>
    <cellStyle name="Normal 12 2 2 7 2 2" xfId="16058" xr:uid="{4665B802-341D-4F2A-8C0F-D821E3BF01E0}"/>
    <cellStyle name="Normal 12 2 2 7 2 2 2" xfId="52400" xr:uid="{AB08D464-AF9F-444F-B7CB-C0BFE3D2BEC1}"/>
    <cellStyle name="Normal 12 2 2 7 2 2 3" xfId="33804" xr:uid="{4BEF3C43-679C-4264-8CDC-B3A30459944D}"/>
    <cellStyle name="Normal 12 2 2 7 2 3" xfId="43103" xr:uid="{FC0CE945-87B8-4BA6-90E7-3E53C191904B}"/>
    <cellStyle name="Normal 12 2 2 7 2 4" xfId="24505" xr:uid="{82FA249C-A4E1-40C4-8F1E-D2115A730D0E}"/>
    <cellStyle name="Normal 12 2 2 7 3" xfId="11841" xr:uid="{1D4D2C8E-4260-4682-B920-4F5C856379BD}"/>
    <cellStyle name="Normal 12 2 2 7 3 2" xfId="48183" xr:uid="{3BC6F322-FF48-4E11-81B2-FE80DAE6BB19}"/>
    <cellStyle name="Normal 12 2 2 7 3 3" xfId="29587" xr:uid="{648C369F-ACA4-4CBE-9AA2-6CEC199F77AA}"/>
    <cellStyle name="Normal 12 2 2 7 4" xfId="38886" xr:uid="{2ABCF1B7-8D95-4634-87DE-5966959423DE}"/>
    <cellStyle name="Normal 12 2 2 7 5" xfId="20288" xr:uid="{7E3C0C52-440B-4E46-B266-0B01858BE9DC}"/>
    <cellStyle name="Normal 12 2 2 8" xfId="4666" xr:uid="{00000000-0005-0000-0000-0000F50D0000}"/>
    <cellStyle name="Normal 12 2 2 8 2" xfId="13992" xr:uid="{66E152BB-E9C9-4013-8A1B-797B88765832}"/>
    <cellStyle name="Normal 12 2 2 8 2 2" xfId="50334" xr:uid="{4C6305B6-9707-47EC-A089-BB690723EFDD}"/>
    <cellStyle name="Normal 12 2 2 8 2 3" xfId="31738" xr:uid="{3981F825-C52F-42F5-AE30-8E69F7B4D190}"/>
    <cellStyle name="Normal 12 2 2 8 3" xfId="41037" xr:uid="{2599381D-5789-4183-9C15-87521F63639C}"/>
    <cellStyle name="Normal 12 2 2 8 4" xfId="22439" xr:uid="{7847B023-C40D-4259-9310-4DDC04A624FF}"/>
    <cellStyle name="Normal 12 2 2 9" xfId="8914" xr:uid="{85903DBC-FA0A-4A9D-9FB4-BA36A4B6F510}"/>
    <cellStyle name="Normal 12 2 2 9 2" xfId="35984" xr:uid="{E29D2773-B01F-410C-BCD7-2E3FD1C051BF}"/>
    <cellStyle name="Normal 12 2 2 9 2 2" xfId="54579" xr:uid="{40CCC328-C0E4-4D4D-964E-5DDBC9DCC126}"/>
    <cellStyle name="Normal 12 2 2 9 3" xfId="45282" xr:uid="{23A213DC-F737-4B86-8B00-2EC9FFB6ABDE}"/>
    <cellStyle name="Normal 12 2 2 9 4" xfId="26685" xr:uid="{205C3DE0-6B56-4220-A21A-34D9E675DCC2}"/>
    <cellStyle name="Normal 12 2 3" xfId="263" xr:uid="{00000000-0005-0000-0000-0000F60D0000}"/>
    <cellStyle name="Normal 12 2 3 10" xfId="36822" xr:uid="{08DD917A-B016-423B-A694-2D5B94355AC5}"/>
    <cellStyle name="Normal 12 2 3 11" xfId="18224" xr:uid="{55012ADD-B982-4C7E-9503-A89A03CF4FE7}"/>
    <cellStyle name="Normal 12 2 3 2" xfId="764" xr:uid="{00000000-0005-0000-0000-0000F70D0000}"/>
    <cellStyle name="Normal 12 2 3 2 2" xfId="3005" xr:uid="{00000000-0005-0000-0000-0000F80D0000}"/>
    <cellStyle name="Normal 12 2 3 2 2 2" xfId="7227" xr:uid="{00000000-0005-0000-0000-0000F90D0000}"/>
    <cellStyle name="Normal 12 2 3 2 2 2 2" xfId="16553" xr:uid="{B56D9996-9F99-408A-A1B5-50FE064F2DBC}"/>
    <cellStyle name="Normal 12 2 3 2 2 2 2 2" xfId="52895" xr:uid="{73B4EB8F-EE7D-4108-87F1-C29C81ACD26D}"/>
    <cellStyle name="Normal 12 2 3 2 2 2 2 3" xfId="34299" xr:uid="{944535D0-909F-4393-A5AC-53C681798D36}"/>
    <cellStyle name="Normal 12 2 3 2 2 2 3" xfId="43598" xr:uid="{6A5847FC-5A5C-418F-9119-99560AA12772}"/>
    <cellStyle name="Normal 12 2 3 2 2 2 4" xfId="25000" xr:uid="{541B7610-AD84-4773-B9A3-C00AFB3E8F37}"/>
    <cellStyle name="Normal 12 2 3 2 2 3" xfId="12336" xr:uid="{77DC47CC-3343-4C84-B956-534D890CDF10}"/>
    <cellStyle name="Normal 12 2 3 2 2 3 2" xfId="48678" xr:uid="{CD92AAFB-1BC4-4B18-B6D4-A233061BED92}"/>
    <cellStyle name="Normal 12 2 3 2 2 3 3" xfId="30082" xr:uid="{0C57E517-ADCD-4A62-8D8D-D78E4AF75577}"/>
    <cellStyle name="Normal 12 2 3 2 2 4" xfId="39381" xr:uid="{932BC637-B0A7-4D72-99A3-80161503D80B}"/>
    <cellStyle name="Normal 12 2 3 2 2 5" xfId="20783" xr:uid="{80490CBA-B09E-454F-9BE2-D545329F15EC}"/>
    <cellStyle name="Normal 12 2 3 2 3" xfId="5082" xr:uid="{00000000-0005-0000-0000-0000FA0D0000}"/>
    <cellStyle name="Normal 12 2 3 2 3 2" xfId="14408" xr:uid="{4CE0F095-1E1B-4321-95CB-27E64AEE8097}"/>
    <cellStyle name="Normal 12 2 3 2 3 2 2" xfId="50750" xr:uid="{31F31B2C-C17F-460B-BB9F-8A4A4A3C51A8}"/>
    <cellStyle name="Normal 12 2 3 2 3 2 3" xfId="32154" xr:uid="{394A1315-234C-4D19-94BD-BA30612AC7C6}"/>
    <cellStyle name="Normal 12 2 3 2 3 3" xfId="41453" xr:uid="{D082350C-0177-4B15-80FA-C3B11E54FDAF}"/>
    <cellStyle name="Normal 12 2 3 2 3 4" xfId="22855" xr:uid="{8270D130-6F1C-4336-BB3E-EA1DEE4D54AC}"/>
    <cellStyle name="Normal 12 2 3 2 4" xfId="9443" xr:uid="{61F0A971-1285-4215-8170-49D07520551A}"/>
    <cellStyle name="Normal 12 2 3 2 4 2" xfId="36504" xr:uid="{7ADAA420-81F8-41E4-85CD-89A7DFA23AD4}"/>
    <cellStyle name="Normal 12 2 3 2 4 2 2" xfId="55098" xr:uid="{A605ABBF-38F7-425D-92A8-14A6B466356F}"/>
    <cellStyle name="Normal 12 2 3 2 4 3" xfId="45801" xr:uid="{12E8ACC3-2B14-4FB2-AC06-EDF3D1502F7C}"/>
    <cellStyle name="Normal 12 2 3 2 4 4" xfId="27205" xr:uid="{376E1EB5-F10B-4D7E-BA6F-F9A7253C9188}"/>
    <cellStyle name="Normal 12 2 3 2 5" xfId="10191" xr:uid="{AEDA321C-657D-428B-877D-42061103A8F1}"/>
    <cellStyle name="Normal 12 2 3 2 5 2" xfId="46533" xr:uid="{133623F4-AD2F-4E4F-A364-520AFC66158D}"/>
    <cellStyle name="Normal 12 2 3 2 5 3" xfId="27937" xr:uid="{2F83E7E3-C183-4113-AB85-EF4DCF2815FE}"/>
    <cellStyle name="Normal 12 2 3 2 6" xfId="37236" xr:uid="{E607022C-B2C5-490F-A3E4-FB24BE05D0C9}"/>
    <cellStyle name="Normal 12 2 3 2 7" xfId="18638" xr:uid="{904A0AEC-E012-470F-8ABF-1F93B6723AEC}"/>
    <cellStyle name="Normal 12 2 3 3" xfId="1187" xr:uid="{00000000-0005-0000-0000-0000FB0D0000}"/>
    <cellStyle name="Normal 12 2 3 3 2" xfId="3418" xr:uid="{00000000-0005-0000-0000-0000FC0D0000}"/>
    <cellStyle name="Normal 12 2 3 3 2 2" xfId="7640" xr:uid="{00000000-0005-0000-0000-0000FD0D0000}"/>
    <cellStyle name="Normal 12 2 3 3 2 2 2" xfId="16966" xr:uid="{DC1E0A27-084E-47A4-B04C-EFE6B101D13F}"/>
    <cellStyle name="Normal 12 2 3 3 2 2 2 2" xfId="53308" xr:uid="{C72548BC-A1E6-44AF-9287-F4D7CFAB17D7}"/>
    <cellStyle name="Normal 12 2 3 3 2 2 2 3" xfId="34712" xr:uid="{27B4B6EF-CBBF-4893-9C42-D9BE1A1C4AE3}"/>
    <cellStyle name="Normal 12 2 3 3 2 2 3" xfId="44011" xr:uid="{231046B8-ADB5-417A-BC6F-92051CB48DF2}"/>
    <cellStyle name="Normal 12 2 3 3 2 2 4" xfId="25413" xr:uid="{20C8C2C5-E320-4E97-8CFE-49FCE6F20A51}"/>
    <cellStyle name="Normal 12 2 3 3 2 3" xfId="12749" xr:uid="{FEEFDAE6-5E6E-42DB-81A6-F5FAA6CE1AD3}"/>
    <cellStyle name="Normal 12 2 3 3 2 3 2" xfId="49091" xr:uid="{02752A38-324E-49ED-BF9F-36049B95E5AB}"/>
    <cellStyle name="Normal 12 2 3 3 2 3 3" xfId="30495" xr:uid="{370F74F4-529B-48DF-B76D-B92E829BF1C3}"/>
    <cellStyle name="Normal 12 2 3 3 2 4" xfId="39794" xr:uid="{76BF967A-7234-45B2-9B60-8B9A9F77168A}"/>
    <cellStyle name="Normal 12 2 3 3 2 5" xfId="21196" xr:uid="{8225E21A-D3F2-4998-81D1-C2D64D98FC59}"/>
    <cellStyle name="Normal 12 2 3 3 3" xfId="5495" xr:uid="{00000000-0005-0000-0000-0000FE0D0000}"/>
    <cellStyle name="Normal 12 2 3 3 3 2" xfId="14821" xr:uid="{D014F629-E740-4313-8301-30549B835D03}"/>
    <cellStyle name="Normal 12 2 3 3 3 2 2" xfId="51163" xr:uid="{AEA95A92-CBBA-4732-82FC-3B174C2E663F}"/>
    <cellStyle name="Normal 12 2 3 3 3 2 3" xfId="32567" xr:uid="{4ADA6A9C-C0AC-4417-9981-C6AED63AFD02}"/>
    <cellStyle name="Normal 12 2 3 3 3 3" xfId="41866" xr:uid="{8E266F10-6910-4D6F-92CF-E0EA9A5CA656}"/>
    <cellStyle name="Normal 12 2 3 3 3 4" xfId="23268" xr:uid="{A5CC78B4-CA99-4235-A255-0DE59500F2F8}"/>
    <cellStyle name="Normal 12 2 3 3 4" xfId="10604" xr:uid="{B44E0A87-977B-4982-8A3C-7F895C7F9584}"/>
    <cellStyle name="Normal 12 2 3 3 4 2" xfId="46946" xr:uid="{0A80464B-5B22-4817-BA8E-C96DBCA66A29}"/>
    <cellStyle name="Normal 12 2 3 3 4 3" xfId="28350" xr:uid="{DCEC28DB-AE94-4D8A-8930-0A57E76B84F3}"/>
    <cellStyle name="Normal 12 2 3 3 5" xfId="37649" xr:uid="{FD67C983-C963-4C0B-A8A4-F32F13F2E96C}"/>
    <cellStyle name="Normal 12 2 3 3 6" xfId="19051" xr:uid="{C51DEB1C-B9A5-475A-BCA8-8345EA8ADBA8}"/>
    <cellStyle name="Normal 12 2 3 4" xfId="1601" xr:uid="{00000000-0005-0000-0000-0000FF0D0000}"/>
    <cellStyle name="Normal 12 2 3 4 2" xfId="3831" xr:uid="{00000000-0005-0000-0000-0000000E0000}"/>
    <cellStyle name="Normal 12 2 3 4 2 2" xfId="8053" xr:uid="{00000000-0005-0000-0000-0000010E0000}"/>
    <cellStyle name="Normal 12 2 3 4 2 2 2" xfId="17379" xr:uid="{9E0EB297-200C-407B-B48E-8153B58C076C}"/>
    <cellStyle name="Normal 12 2 3 4 2 2 2 2" xfId="53721" xr:uid="{EE50695B-9197-4481-88CB-A460E1F36D75}"/>
    <cellStyle name="Normal 12 2 3 4 2 2 2 3" xfId="35125" xr:uid="{223BAD2D-7738-4447-81CA-8D611582DE7D}"/>
    <cellStyle name="Normal 12 2 3 4 2 2 3" xfId="44424" xr:uid="{A4A937A6-A07B-4870-BAF4-0D2DDE4864C8}"/>
    <cellStyle name="Normal 12 2 3 4 2 2 4" xfId="25826" xr:uid="{269BE0A6-D0B8-4038-B8F8-7D661BCBF70A}"/>
    <cellStyle name="Normal 12 2 3 4 2 3" xfId="13162" xr:uid="{F0285CA8-9E2F-4932-A58F-9B4872E4F07A}"/>
    <cellStyle name="Normal 12 2 3 4 2 3 2" xfId="49504" xr:uid="{32B0DB09-424C-4750-9E83-4A3AF03200A2}"/>
    <cellStyle name="Normal 12 2 3 4 2 3 3" xfId="30908" xr:uid="{F4E5046F-D10E-4191-957D-17A79F5077A6}"/>
    <cellStyle name="Normal 12 2 3 4 2 4" xfId="40207" xr:uid="{7CA7DA54-D8D1-4020-B756-A18E02173B19}"/>
    <cellStyle name="Normal 12 2 3 4 2 5" xfId="21609" xr:uid="{DB0BA405-4BCA-4FDA-A91B-1996C90C82A5}"/>
    <cellStyle name="Normal 12 2 3 4 3" xfId="5908" xr:uid="{00000000-0005-0000-0000-0000020E0000}"/>
    <cellStyle name="Normal 12 2 3 4 3 2" xfId="15234" xr:uid="{D887AB98-283A-47C3-90D9-BE41757F2617}"/>
    <cellStyle name="Normal 12 2 3 4 3 2 2" xfId="51576" xr:uid="{7469C594-EE94-40AF-BBB8-436BA682B98A}"/>
    <cellStyle name="Normal 12 2 3 4 3 2 3" xfId="32980" xr:uid="{A73D087D-330E-46DB-8C04-247085CD8734}"/>
    <cellStyle name="Normal 12 2 3 4 3 3" xfId="42279" xr:uid="{5DE8FC05-074B-4F24-8C65-CAD566E646CC}"/>
    <cellStyle name="Normal 12 2 3 4 3 4" xfId="23681" xr:uid="{11CF7C71-86DC-4ED6-B0CE-78B79D940A21}"/>
    <cellStyle name="Normal 12 2 3 4 4" xfId="11017" xr:uid="{45AA7DE7-454E-4F80-AF6B-B814E165258D}"/>
    <cellStyle name="Normal 12 2 3 4 4 2" xfId="47359" xr:uid="{51C4C6D3-1809-4366-ADD9-3A5449C03086}"/>
    <cellStyle name="Normal 12 2 3 4 4 3" xfId="28763" xr:uid="{F27EC785-D950-4731-BD8D-CDD6F6B39289}"/>
    <cellStyle name="Normal 12 2 3 4 5" xfId="38062" xr:uid="{C13599E2-133E-4DA1-9680-B5F6CE076BB1}"/>
    <cellStyle name="Normal 12 2 3 4 6" xfId="19464" xr:uid="{F6368DDB-646B-4C78-9CF6-87ED25B87CBC}"/>
    <cellStyle name="Normal 12 2 3 5" xfId="2015" xr:uid="{00000000-0005-0000-0000-0000030E0000}"/>
    <cellStyle name="Normal 12 2 3 5 2" xfId="4244" xr:uid="{00000000-0005-0000-0000-0000040E0000}"/>
    <cellStyle name="Normal 12 2 3 5 2 2" xfId="8466" xr:uid="{00000000-0005-0000-0000-0000050E0000}"/>
    <cellStyle name="Normal 12 2 3 5 2 2 2" xfId="17792" xr:uid="{9DF2BC7C-76EB-426C-BAD6-B98C42BA74F0}"/>
    <cellStyle name="Normal 12 2 3 5 2 2 2 2" xfId="54134" xr:uid="{6229C2D6-41A4-466C-A472-1364D27EFEC0}"/>
    <cellStyle name="Normal 12 2 3 5 2 2 2 3" xfId="35538" xr:uid="{1C06F9ED-0D86-4F54-ACE4-2A48D795BF49}"/>
    <cellStyle name="Normal 12 2 3 5 2 2 3" xfId="44837" xr:uid="{23448043-0E22-435E-80D4-F40DB9F728FD}"/>
    <cellStyle name="Normal 12 2 3 5 2 2 4" xfId="26239" xr:uid="{133E5EB9-70A6-4817-A70E-78F90B3A09D7}"/>
    <cellStyle name="Normal 12 2 3 5 2 3" xfId="13575" xr:uid="{E845B60E-F297-43B9-A7B7-5769A4893A66}"/>
    <cellStyle name="Normal 12 2 3 5 2 3 2" xfId="49917" xr:uid="{8036C61A-2043-46F2-9063-E429EC161BDF}"/>
    <cellStyle name="Normal 12 2 3 5 2 3 3" xfId="31321" xr:uid="{4FDC6A46-B879-4D8C-84F5-813388CDBEAB}"/>
    <cellStyle name="Normal 12 2 3 5 2 4" xfId="40620" xr:uid="{5C8E6423-0DA8-4E2C-A391-895EB9699FFB}"/>
    <cellStyle name="Normal 12 2 3 5 2 5" xfId="22022" xr:uid="{D546D32E-FB74-46C2-9145-17D4A5C877AD}"/>
    <cellStyle name="Normal 12 2 3 5 3" xfId="6321" xr:uid="{00000000-0005-0000-0000-0000060E0000}"/>
    <cellStyle name="Normal 12 2 3 5 3 2" xfId="15647" xr:uid="{1CB455F6-116E-4CAF-A8A3-1905E1C7BA18}"/>
    <cellStyle name="Normal 12 2 3 5 3 2 2" xfId="51989" xr:uid="{FC041A65-DCD3-4A46-81EA-147E912FE11A}"/>
    <cellStyle name="Normal 12 2 3 5 3 2 3" xfId="33393" xr:uid="{5B74917D-C9AF-4E21-AF91-60F998680C69}"/>
    <cellStyle name="Normal 12 2 3 5 3 3" xfId="42692" xr:uid="{6D99ACA1-BB1F-4E95-AFC2-C9BF572FE421}"/>
    <cellStyle name="Normal 12 2 3 5 3 4" xfId="24094" xr:uid="{704EDE34-D396-4036-AF97-9938FA9B6D8E}"/>
    <cellStyle name="Normal 12 2 3 5 4" xfId="11430" xr:uid="{FFD580FE-D5BC-4EA3-8595-B5E88F4CEAD4}"/>
    <cellStyle name="Normal 12 2 3 5 4 2" xfId="47772" xr:uid="{8CB211D0-F1C7-4C9B-8F1A-21AFC87AD8A0}"/>
    <cellStyle name="Normal 12 2 3 5 4 3" xfId="29176" xr:uid="{01CB350C-108E-4E13-9AE1-4441A3DC6E5A}"/>
    <cellStyle name="Normal 12 2 3 5 5" xfId="38475" xr:uid="{C8620C5B-B2B4-4E33-A421-66C005CC9660}"/>
    <cellStyle name="Normal 12 2 3 5 6" xfId="19877" xr:uid="{FCFEC68E-8718-4168-B08F-1D13DD94C24A}"/>
    <cellStyle name="Normal 12 2 3 6" xfId="2451" xr:uid="{00000000-0005-0000-0000-0000070E0000}"/>
    <cellStyle name="Normal 12 2 3 6 2" xfId="6734" xr:uid="{00000000-0005-0000-0000-0000080E0000}"/>
    <cellStyle name="Normal 12 2 3 6 2 2" xfId="16060" xr:uid="{3D66A0B5-AEBB-4CE1-B219-B3556A5A59B0}"/>
    <cellStyle name="Normal 12 2 3 6 2 2 2" xfId="52402" xr:uid="{FED8555B-BAC0-4E30-803D-1616615EF71A}"/>
    <cellStyle name="Normal 12 2 3 6 2 2 3" xfId="33806" xr:uid="{F757704D-6FBB-462C-B801-04FBC66EACC9}"/>
    <cellStyle name="Normal 12 2 3 6 2 3" xfId="43105" xr:uid="{0B690915-0784-4E86-89AE-50F0E42582F2}"/>
    <cellStyle name="Normal 12 2 3 6 2 4" xfId="24507" xr:uid="{44E27442-24A1-4FB8-B09C-BD39E4235B48}"/>
    <cellStyle name="Normal 12 2 3 6 3" xfId="11843" xr:uid="{A51D67CB-BAEC-4C15-BDF1-8C1EE666FAD5}"/>
    <cellStyle name="Normal 12 2 3 6 3 2" xfId="48185" xr:uid="{FCD69145-A306-4EA4-A0A9-FCA55471B031}"/>
    <cellStyle name="Normal 12 2 3 6 3 3" xfId="29589" xr:uid="{B01D64A4-E8BC-4517-A4A0-FFDEEBAFEAB7}"/>
    <cellStyle name="Normal 12 2 3 6 4" xfId="38888" xr:uid="{2597645B-5C06-4C60-B243-932BEBA87150}"/>
    <cellStyle name="Normal 12 2 3 6 5" xfId="20290" xr:uid="{84BC98CA-D753-4B0E-BA39-71A58B8D4AE2}"/>
    <cellStyle name="Normal 12 2 3 7" xfId="4668" xr:uid="{00000000-0005-0000-0000-0000090E0000}"/>
    <cellStyle name="Normal 12 2 3 7 2" xfId="13994" xr:uid="{B8A09586-8D3F-4554-853F-D3DDCBEA0E0F}"/>
    <cellStyle name="Normal 12 2 3 7 2 2" xfId="50336" xr:uid="{D5A3549E-BA64-476C-9237-87353E8FC3BD}"/>
    <cellStyle name="Normal 12 2 3 7 2 3" xfId="31740" xr:uid="{7F1BC97C-84BD-4077-9F45-30BBF5C1B644}"/>
    <cellStyle name="Normal 12 2 3 7 3" xfId="41039" xr:uid="{5F092FE5-D6FD-463E-8B9E-865322A14E81}"/>
    <cellStyle name="Normal 12 2 3 7 4" xfId="22441" xr:uid="{9C4544D4-2BCD-4D9F-B161-C40F0F025988}"/>
    <cellStyle name="Normal 12 2 3 8" xfId="9018" xr:uid="{C3F41DC6-3A80-4145-A68D-169ABB54B6D0}"/>
    <cellStyle name="Normal 12 2 3 8 2" xfId="36088" xr:uid="{DE3ECB80-74AB-40B8-8443-267E9D2D3D9B}"/>
    <cellStyle name="Normal 12 2 3 8 2 2" xfId="54683" xr:uid="{ACA376E2-F1B9-43F2-91A7-5CA0113BE65F}"/>
    <cellStyle name="Normal 12 2 3 8 3" xfId="45386" xr:uid="{D97BB480-8B4C-4CDE-8201-FAB2EB28F978}"/>
    <cellStyle name="Normal 12 2 3 8 4" xfId="26789" xr:uid="{5F72457B-B999-46FA-931E-C41E4966A9AE}"/>
    <cellStyle name="Normal 12 2 3 9" xfId="9777" xr:uid="{FA3F90E0-DBB6-4E27-9B2B-0D526FD6B944}"/>
    <cellStyle name="Normal 12 2 3 9 2" xfId="46119" xr:uid="{6497E82A-85C9-498F-954F-4FEE7D451C78}"/>
    <cellStyle name="Normal 12 2 3 9 3" xfId="27523" xr:uid="{587D8AA6-CCE8-4490-BD18-96777ED6BE25}"/>
    <cellStyle name="Normal 12 2 4" xfId="761" xr:uid="{00000000-0005-0000-0000-00000A0E0000}"/>
    <cellStyle name="Normal 12 2 4 2" xfId="3002" xr:uid="{00000000-0005-0000-0000-00000B0E0000}"/>
    <cellStyle name="Normal 12 2 4 2 2" xfId="7224" xr:uid="{00000000-0005-0000-0000-00000C0E0000}"/>
    <cellStyle name="Normal 12 2 4 2 2 2" xfId="16550" xr:uid="{446A2B63-D19C-47FA-8A29-1FE7CB05114E}"/>
    <cellStyle name="Normal 12 2 4 2 2 2 2" xfId="52892" xr:uid="{7C67D65B-1B31-4340-98A1-8B448C862036}"/>
    <cellStyle name="Normal 12 2 4 2 2 2 3" xfId="34296" xr:uid="{19B06EC0-36F9-4291-93F3-AC3A8FF7E9F9}"/>
    <cellStyle name="Normal 12 2 4 2 2 3" xfId="43595" xr:uid="{01FC319A-AB9B-4086-80AA-A01E2560DBD2}"/>
    <cellStyle name="Normal 12 2 4 2 2 4" xfId="24997" xr:uid="{23CDBC15-3E36-4AA7-93C8-FA7D1F87A9B8}"/>
    <cellStyle name="Normal 12 2 4 2 3" xfId="12333" xr:uid="{2AD420A7-6C5F-4085-AFDA-E67E2AB0DFDF}"/>
    <cellStyle name="Normal 12 2 4 2 3 2" xfId="48675" xr:uid="{58B9E630-8A56-4BEA-BCCA-7692AFC67AD9}"/>
    <cellStyle name="Normal 12 2 4 2 3 3" xfId="30079" xr:uid="{7B417E87-7CF5-4AAA-8E77-4D658C3999EF}"/>
    <cellStyle name="Normal 12 2 4 2 4" xfId="39378" xr:uid="{6C27C262-F913-4EE1-9822-F41C887AF8D0}"/>
    <cellStyle name="Normal 12 2 4 2 5" xfId="20780" xr:uid="{7C407D6E-48E9-424B-8869-BA355E85CFB2}"/>
    <cellStyle name="Normal 12 2 4 3" xfId="5079" xr:uid="{00000000-0005-0000-0000-00000D0E0000}"/>
    <cellStyle name="Normal 12 2 4 3 2" xfId="14405" xr:uid="{CD138630-F955-4FA6-8255-0E662BFEB66E}"/>
    <cellStyle name="Normal 12 2 4 3 2 2" xfId="50747" xr:uid="{AB8BD4F0-605B-458D-A8E1-208E030DF86F}"/>
    <cellStyle name="Normal 12 2 4 3 2 3" xfId="32151" xr:uid="{1EB8A80E-B580-45D6-9C4B-3949FCDF806C}"/>
    <cellStyle name="Normal 12 2 4 3 3" xfId="41450" xr:uid="{91EFEDF3-3109-4D76-A17F-15033B860A5E}"/>
    <cellStyle name="Normal 12 2 4 3 4" xfId="22852" xr:uid="{6EAAE868-485A-4758-92CC-66E169F765BE}"/>
    <cellStyle name="Normal 12 2 4 4" xfId="9236" xr:uid="{C3D0196D-4BB3-4870-9762-A3CF40E5B45B}"/>
    <cellStyle name="Normal 12 2 4 4 2" xfId="36297" xr:uid="{8E13ED2C-BF19-4FE6-BDCD-6E23FE69DB4D}"/>
    <cellStyle name="Normal 12 2 4 4 2 2" xfId="54891" xr:uid="{FC495661-0437-4729-BC7B-4DC2C7DD1BC1}"/>
    <cellStyle name="Normal 12 2 4 4 3" xfId="45594" xr:uid="{8A463177-669E-4CD2-9B30-44D4B77DC4F3}"/>
    <cellStyle name="Normal 12 2 4 4 4" xfId="26998" xr:uid="{098B68D9-7164-468D-A675-C0FA68E7BFDF}"/>
    <cellStyle name="Normal 12 2 4 5" xfId="10188" xr:uid="{4316C5A6-BEE6-4682-91AE-B1F80EAEDB3D}"/>
    <cellStyle name="Normal 12 2 4 5 2" xfId="46530" xr:uid="{FE2EC802-D211-4210-A82A-D89122B4822A}"/>
    <cellStyle name="Normal 12 2 4 5 3" xfId="27934" xr:uid="{39376B9A-2E62-4A21-A454-652EC2340D1D}"/>
    <cellStyle name="Normal 12 2 4 6" xfId="37233" xr:uid="{D2CC9EB9-BF4A-401F-95BB-54FA8B46F12E}"/>
    <cellStyle name="Normal 12 2 4 7" xfId="18635" xr:uid="{6D810218-E232-4D81-9A1B-2474E30F3455}"/>
    <cellStyle name="Normal 12 2 5" xfId="1184" xr:uid="{00000000-0005-0000-0000-00000E0E0000}"/>
    <cellStyle name="Normal 12 2 5 2" xfId="3415" xr:uid="{00000000-0005-0000-0000-00000F0E0000}"/>
    <cellStyle name="Normal 12 2 5 2 2" xfId="7637" xr:uid="{00000000-0005-0000-0000-0000100E0000}"/>
    <cellStyle name="Normal 12 2 5 2 2 2" xfId="16963" xr:uid="{DE971EB4-2244-46ED-AD16-04AE31104680}"/>
    <cellStyle name="Normal 12 2 5 2 2 2 2" xfId="53305" xr:uid="{7D4990C9-4BF9-430E-90C1-3108D1F62258}"/>
    <cellStyle name="Normal 12 2 5 2 2 2 3" xfId="34709" xr:uid="{48DE017B-855E-4ED7-B57F-660B3272D98B}"/>
    <cellStyle name="Normal 12 2 5 2 2 3" xfId="44008" xr:uid="{EFA88E7D-BE42-4098-A65C-1E8C5F22A906}"/>
    <cellStyle name="Normal 12 2 5 2 2 4" xfId="25410" xr:uid="{BCA8B625-4531-439A-901B-827A7B86EB3F}"/>
    <cellStyle name="Normal 12 2 5 2 3" xfId="12746" xr:uid="{3BE4F7F7-28EA-4B8E-979D-359182257FAB}"/>
    <cellStyle name="Normal 12 2 5 2 3 2" xfId="49088" xr:uid="{FDD2A6C9-FC94-4B27-8E32-3451963A1520}"/>
    <cellStyle name="Normal 12 2 5 2 3 3" xfId="30492" xr:uid="{B5EF7BD6-3F8C-4955-84DD-4E138E05DEA8}"/>
    <cellStyle name="Normal 12 2 5 2 4" xfId="39791" xr:uid="{0780CA57-AA14-44AF-8072-65A5A8F37E71}"/>
    <cellStyle name="Normal 12 2 5 2 5" xfId="21193" xr:uid="{01891307-B35A-4AA1-B39E-FAEF6A16278F}"/>
    <cellStyle name="Normal 12 2 5 3" xfId="5492" xr:uid="{00000000-0005-0000-0000-0000110E0000}"/>
    <cellStyle name="Normal 12 2 5 3 2" xfId="14818" xr:uid="{9561ECD0-5A40-4B10-9CA9-8F2757C29E11}"/>
    <cellStyle name="Normal 12 2 5 3 2 2" xfId="51160" xr:uid="{20455FB8-450D-4DF2-B48A-72A5CC9B54C2}"/>
    <cellStyle name="Normal 12 2 5 3 2 3" xfId="32564" xr:uid="{E68C2192-DCEA-4484-AD5B-A0E999CBB4DF}"/>
    <cellStyle name="Normal 12 2 5 3 3" xfId="41863" xr:uid="{D13502E2-EF63-45F7-B5DD-0E2EF67FEE1C}"/>
    <cellStyle name="Normal 12 2 5 3 4" xfId="23265" xr:uid="{1598F322-463B-49CB-91A8-FF546D347164}"/>
    <cellStyle name="Normal 12 2 5 4" xfId="10601" xr:uid="{CC71892D-A796-4A30-9DA8-C0738A9A4365}"/>
    <cellStyle name="Normal 12 2 5 4 2" xfId="46943" xr:uid="{952B6A6B-BC95-466E-BBFD-8D489C339D8B}"/>
    <cellStyle name="Normal 12 2 5 4 3" xfId="28347" xr:uid="{CBC0432D-2F20-429E-AB4C-AE17C64CD0B8}"/>
    <cellStyle name="Normal 12 2 5 5" xfId="37646" xr:uid="{DC1AE365-3507-4C38-8E5E-7C6881B5D1B7}"/>
    <cellStyle name="Normal 12 2 5 6" xfId="19048" xr:uid="{CD416A0B-1780-483F-B243-4872C80EC680}"/>
    <cellStyle name="Normal 12 2 6" xfId="1598" xr:uid="{00000000-0005-0000-0000-0000120E0000}"/>
    <cellStyle name="Normal 12 2 6 2" xfId="3828" xr:uid="{00000000-0005-0000-0000-0000130E0000}"/>
    <cellStyle name="Normal 12 2 6 2 2" xfId="8050" xr:uid="{00000000-0005-0000-0000-0000140E0000}"/>
    <cellStyle name="Normal 12 2 6 2 2 2" xfId="17376" xr:uid="{6D3812C0-4601-4427-A837-69C3408F4329}"/>
    <cellStyle name="Normal 12 2 6 2 2 2 2" xfId="53718" xr:uid="{87A2F7E9-C127-4328-83EE-E69CB92D13D0}"/>
    <cellStyle name="Normal 12 2 6 2 2 2 3" xfId="35122" xr:uid="{A6A0CF9C-0FFE-458B-86D9-3997000AA1DE}"/>
    <cellStyle name="Normal 12 2 6 2 2 3" xfId="44421" xr:uid="{EC3B7C26-B6E2-442C-8DCB-D01962DE0F05}"/>
    <cellStyle name="Normal 12 2 6 2 2 4" xfId="25823" xr:uid="{EDB9AE46-FF90-4E27-AE92-F1834E7CD3B4}"/>
    <cellStyle name="Normal 12 2 6 2 3" xfId="13159" xr:uid="{91F0646F-3C31-4C89-8584-5473D37D4AB0}"/>
    <cellStyle name="Normal 12 2 6 2 3 2" xfId="49501" xr:uid="{2F6B179C-82E7-4C0F-8A0E-B35C7A1B0589}"/>
    <cellStyle name="Normal 12 2 6 2 3 3" xfId="30905" xr:uid="{68C38F79-AB6C-4DD3-9BEE-7B88B392D111}"/>
    <cellStyle name="Normal 12 2 6 2 4" xfId="40204" xr:uid="{144210CF-92B2-473F-AFAF-DAC10D5F89F5}"/>
    <cellStyle name="Normal 12 2 6 2 5" xfId="21606" xr:uid="{42224ADA-6E7F-49F6-BCE8-D29C725724D0}"/>
    <cellStyle name="Normal 12 2 6 3" xfId="5905" xr:uid="{00000000-0005-0000-0000-0000150E0000}"/>
    <cellStyle name="Normal 12 2 6 3 2" xfId="15231" xr:uid="{43B13391-349B-41A0-800E-9690AFC95B69}"/>
    <cellStyle name="Normal 12 2 6 3 2 2" xfId="51573" xr:uid="{B2A8DAB3-D15E-4676-B792-DD8B24CD3A15}"/>
    <cellStyle name="Normal 12 2 6 3 2 3" xfId="32977" xr:uid="{71C182E8-7330-4BB3-8DCD-331E2DCD8B48}"/>
    <cellStyle name="Normal 12 2 6 3 3" xfId="42276" xr:uid="{EC7A9CF6-B4CB-4E7D-98DD-90084C7E8573}"/>
    <cellStyle name="Normal 12 2 6 3 4" xfId="23678" xr:uid="{25E75158-A2A6-4B62-8D5D-DE312D4164D0}"/>
    <cellStyle name="Normal 12 2 6 4" xfId="11014" xr:uid="{17C1DC93-1F31-4CC7-8D02-49C699BA8F13}"/>
    <cellStyle name="Normal 12 2 6 4 2" xfId="47356" xr:uid="{20D780DD-052D-4E0E-A5D5-B1219798BA2C}"/>
    <cellStyle name="Normal 12 2 6 4 3" xfId="28760" xr:uid="{45450834-B819-43EA-9A23-0D66E5AB3D0E}"/>
    <cellStyle name="Normal 12 2 6 5" xfId="38059" xr:uid="{A1155818-8247-4847-8416-BF3AE3038212}"/>
    <cellStyle name="Normal 12 2 6 6" xfId="19461" xr:uid="{B513AFB6-503C-4D85-B1E9-A649B20CF171}"/>
    <cellStyle name="Normal 12 2 7" xfId="2012" xr:uid="{00000000-0005-0000-0000-0000160E0000}"/>
    <cellStyle name="Normal 12 2 7 2" xfId="4241" xr:uid="{00000000-0005-0000-0000-0000170E0000}"/>
    <cellStyle name="Normal 12 2 7 2 2" xfId="8463" xr:uid="{00000000-0005-0000-0000-0000180E0000}"/>
    <cellStyle name="Normal 12 2 7 2 2 2" xfId="17789" xr:uid="{F44EC1B7-27DB-4435-812C-8845340C2094}"/>
    <cellStyle name="Normal 12 2 7 2 2 2 2" xfId="54131" xr:uid="{E7C5ACF2-384B-400C-89E5-2C6AB52FFE74}"/>
    <cellStyle name="Normal 12 2 7 2 2 2 3" xfId="35535" xr:uid="{1D1F2ECD-41D0-44B2-B678-5E63834F7043}"/>
    <cellStyle name="Normal 12 2 7 2 2 3" xfId="44834" xr:uid="{EA997783-2FF4-4A2B-9235-9771DAF4EA11}"/>
    <cellStyle name="Normal 12 2 7 2 2 4" xfId="26236" xr:uid="{2B8E76C9-CE15-4674-B2B9-715A11328D19}"/>
    <cellStyle name="Normal 12 2 7 2 3" xfId="13572" xr:uid="{2FA36BC7-C6BF-4547-9FB2-27BE047D7731}"/>
    <cellStyle name="Normal 12 2 7 2 3 2" xfId="49914" xr:uid="{DBE16109-7B03-4E2B-A83D-1AEF1FE6372A}"/>
    <cellStyle name="Normal 12 2 7 2 3 3" xfId="31318" xr:uid="{9CBF0129-A183-4151-B7D1-DCC6B1993336}"/>
    <cellStyle name="Normal 12 2 7 2 4" xfId="40617" xr:uid="{DF129D0B-9459-4E78-BF98-FC71A21483B5}"/>
    <cellStyle name="Normal 12 2 7 2 5" xfId="22019" xr:uid="{090F1446-7256-4512-83A4-E12C9E2F730B}"/>
    <cellStyle name="Normal 12 2 7 3" xfId="6318" xr:uid="{00000000-0005-0000-0000-0000190E0000}"/>
    <cellStyle name="Normal 12 2 7 3 2" xfId="15644" xr:uid="{52AF0909-AA48-4692-A4B4-8309BDB51F09}"/>
    <cellStyle name="Normal 12 2 7 3 2 2" xfId="51986" xr:uid="{ABADE27B-5E85-42D3-B4C4-31697738C319}"/>
    <cellStyle name="Normal 12 2 7 3 2 3" xfId="33390" xr:uid="{C736D2FE-A8C5-4D3B-B95E-749C1C410929}"/>
    <cellStyle name="Normal 12 2 7 3 3" xfId="42689" xr:uid="{5A11D390-F100-4996-94E1-8A1B3575E880}"/>
    <cellStyle name="Normal 12 2 7 3 4" xfId="24091" xr:uid="{0E43916C-55FA-4F08-B6E6-8C11A07F96B7}"/>
    <cellStyle name="Normal 12 2 7 4" xfId="11427" xr:uid="{32AD4330-C713-4E91-BEEB-88F387AED1C0}"/>
    <cellStyle name="Normal 12 2 7 4 2" xfId="47769" xr:uid="{1A4453A6-991C-4D83-A40B-F305B90957B4}"/>
    <cellStyle name="Normal 12 2 7 4 3" xfId="29173" xr:uid="{81A50897-EE61-434A-A604-57C3B10AD42D}"/>
    <cellStyle name="Normal 12 2 7 5" xfId="38472" xr:uid="{6263C30E-95DD-4097-91E0-EA445F73AACE}"/>
    <cellStyle name="Normal 12 2 7 6" xfId="19874" xr:uid="{2DB6D6F4-34EB-4F60-BE05-AE1849CFBB5A}"/>
    <cellStyle name="Normal 12 2 8" xfId="2448" xr:uid="{00000000-0005-0000-0000-00001A0E0000}"/>
    <cellStyle name="Normal 12 2 8 2" xfId="6731" xr:uid="{00000000-0005-0000-0000-00001B0E0000}"/>
    <cellStyle name="Normal 12 2 8 2 2" xfId="16057" xr:uid="{6A897E1C-D31A-482A-BBCF-AE537783F9CB}"/>
    <cellStyle name="Normal 12 2 8 2 2 2" xfId="52399" xr:uid="{124CD4A9-8EC4-44A9-8334-DCDEB923A8E0}"/>
    <cellStyle name="Normal 12 2 8 2 2 3" xfId="33803" xr:uid="{D3E89781-AE98-4ED5-AAEE-2FBB1C3E76DF}"/>
    <cellStyle name="Normal 12 2 8 2 3" xfId="43102" xr:uid="{00C4EE4A-57F9-4347-A63A-1930E394D676}"/>
    <cellStyle name="Normal 12 2 8 2 4" xfId="24504" xr:uid="{E9D545EB-7139-4703-9F7B-51D05B7D4007}"/>
    <cellStyle name="Normal 12 2 8 3" xfId="11840" xr:uid="{538E3D74-EC0D-48B3-9124-0D242500B891}"/>
    <cellStyle name="Normal 12 2 8 3 2" xfId="48182" xr:uid="{16246006-6B90-4936-A59B-FE1E7591D3B4}"/>
    <cellStyle name="Normal 12 2 8 3 3" xfId="29586" xr:uid="{DC5DE7B5-2CE7-4BA7-A7FD-9BE2EA6591F4}"/>
    <cellStyle name="Normal 12 2 8 4" xfId="38885" xr:uid="{BF4CFFF6-383E-4607-AFA1-011F4C2F752A}"/>
    <cellStyle name="Normal 12 2 8 5" xfId="20287" xr:uid="{5312938B-5645-448A-A311-0F7D1420FE3B}"/>
    <cellStyle name="Normal 12 2 9" xfId="4665" xr:uid="{00000000-0005-0000-0000-00001C0E0000}"/>
    <cellStyle name="Normal 12 2 9 2" xfId="13991" xr:uid="{FAA79294-4010-4CAA-930C-CB53CE9C2DAF}"/>
    <cellStyle name="Normal 12 2 9 2 2" xfId="50333" xr:uid="{70B95CA3-3BF9-4341-9575-B4EA8671F5A2}"/>
    <cellStyle name="Normal 12 2 9 2 3" xfId="31737" xr:uid="{C7EC27D8-397D-4F29-AACB-C945394AE09A}"/>
    <cellStyle name="Normal 12 2 9 3" xfId="41036" xr:uid="{49451B43-C92A-4C38-85D9-FF7FAC00C1B7}"/>
    <cellStyle name="Normal 12 2 9 4" xfId="22438" xr:uid="{1B10379A-52CC-4B21-A776-94E96DA56E1E}"/>
    <cellStyle name="Normal 12 3" xfId="264" xr:uid="{00000000-0005-0000-0000-00001D0E0000}"/>
    <cellStyle name="Normal 12 3 10" xfId="9778" xr:uid="{BA0B03F7-92A8-4F88-B766-07C606DA9933}"/>
    <cellStyle name="Normal 12 3 10 2" xfId="46120" xr:uid="{3B63F7CC-CB87-4545-A946-F8292DE2313D}"/>
    <cellStyle name="Normal 12 3 10 3" xfId="27524" xr:uid="{EC51BAA3-7F0E-457E-9FC4-41B0E891E835}"/>
    <cellStyle name="Normal 12 3 11" xfId="36823" xr:uid="{60979B4B-4449-418D-BC61-E753086CCFEC}"/>
    <cellStyle name="Normal 12 3 12" xfId="18225" xr:uid="{A03EF99A-8A5A-410C-B27F-BBF6026BEB9B}"/>
    <cellStyle name="Normal 12 3 2" xfId="265" xr:uid="{00000000-0005-0000-0000-00001E0E0000}"/>
    <cellStyle name="Normal 12 3 2 10" xfId="36824" xr:uid="{273D2C72-0E2F-4D22-B2BD-6720434E3128}"/>
    <cellStyle name="Normal 12 3 2 11" xfId="18226" xr:uid="{6ACFA0AC-D933-4051-9500-7FCF3C11A8D9}"/>
    <cellStyle name="Normal 12 3 2 2" xfId="766" xr:uid="{00000000-0005-0000-0000-00001F0E0000}"/>
    <cellStyle name="Normal 12 3 2 2 2" xfId="3007" xr:uid="{00000000-0005-0000-0000-0000200E0000}"/>
    <cellStyle name="Normal 12 3 2 2 2 2" xfId="7229" xr:uid="{00000000-0005-0000-0000-0000210E0000}"/>
    <cellStyle name="Normal 12 3 2 2 2 2 2" xfId="16555" xr:uid="{3BFEFF6D-822C-424C-9F6A-43AA2E73FCE1}"/>
    <cellStyle name="Normal 12 3 2 2 2 2 2 2" xfId="52897" xr:uid="{7877DFB1-F3D8-4455-89D6-B842A466EC28}"/>
    <cellStyle name="Normal 12 3 2 2 2 2 2 3" xfId="34301" xr:uid="{0E737230-6F06-43A0-8CA2-C793CF553016}"/>
    <cellStyle name="Normal 12 3 2 2 2 2 3" xfId="43600" xr:uid="{45BBFBC3-5390-46A3-A8CF-4ABC4979DF0C}"/>
    <cellStyle name="Normal 12 3 2 2 2 2 4" xfId="25002" xr:uid="{847F3CBD-F0F7-49A1-901B-8B9CAE69B352}"/>
    <cellStyle name="Normal 12 3 2 2 2 3" xfId="12338" xr:uid="{0D9EDC2B-26C7-4DA8-9910-608207904DF0}"/>
    <cellStyle name="Normal 12 3 2 2 2 3 2" xfId="48680" xr:uid="{890EDA95-3041-47A4-9394-03D7CDF578F0}"/>
    <cellStyle name="Normal 12 3 2 2 2 3 3" xfId="30084" xr:uid="{87117B65-B020-4493-B184-55871562897E}"/>
    <cellStyle name="Normal 12 3 2 2 2 4" xfId="39383" xr:uid="{7DC5A336-3193-42CB-A9B6-E0D00AC06B81}"/>
    <cellStyle name="Normal 12 3 2 2 2 5" xfId="20785" xr:uid="{1FFD444A-2B26-4F2E-B421-4CC714EA4D1E}"/>
    <cellStyle name="Normal 12 3 2 2 3" xfId="5084" xr:uid="{00000000-0005-0000-0000-0000220E0000}"/>
    <cellStyle name="Normal 12 3 2 2 3 2" xfId="14410" xr:uid="{302DB8E6-8788-4732-9189-C861B5F22220}"/>
    <cellStyle name="Normal 12 3 2 2 3 2 2" xfId="50752" xr:uid="{58D8640B-0250-469A-966B-80F38E79E946}"/>
    <cellStyle name="Normal 12 3 2 2 3 2 3" xfId="32156" xr:uid="{9BF9A2A9-6D4E-472F-A152-5A575DB3D496}"/>
    <cellStyle name="Normal 12 3 2 2 3 3" xfId="41455" xr:uid="{9DED68EB-21C2-42EB-8C05-A88A38266E7F}"/>
    <cellStyle name="Normal 12 3 2 2 3 4" xfId="22857" xr:uid="{452DA214-6046-4931-A932-5EF74E7FB0CE}"/>
    <cellStyle name="Normal 12 3 2 2 4" xfId="9505" xr:uid="{B127619B-367D-40AD-851E-01DDBB2DCD13}"/>
    <cellStyle name="Normal 12 3 2 2 4 2" xfId="36566" xr:uid="{85816918-0134-42AD-BC98-E2CB43777559}"/>
    <cellStyle name="Normal 12 3 2 2 4 2 2" xfId="55160" xr:uid="{25A1F730-B21C-46C0-83FE-B89705863EBA}"/>
    <cellStyle name="Normal 12 3 2 2 4 3" xfId="45863" xr:uid="{1259A087-7EAA-41E2-AC30-5F69885562E5}"/>
    <cellStyle name="Normal 12 3 2 2 4 4" xfId="27267" xr:uid="{53ABE0ED-A55D-4BE1-BE54-ECD63AD20B19}"/>
    <cellStyle name="Normal 12 3 2 2 5" xfId="10193" xr:uid="{BAC827F5-40C5-4FDD-A688-CD1F02BB754A}"/>
    <cellStyle name="Normal 12 3 2 2 5 2" xfId="46535" xr:uid="{7D4B276D-CCEC-4120-8B45-2A0F3E3C011C}"/>
    <cellStyle name="Normal 12 3 2 2 5 3" xfId="27939" xr:uid="{1F045531-E9E1-47AB-9995-1721A46E9654}"/>
    <cellStyle name="Normal 12 3 2 2 6" xfId="37238" xr:uid="{230C1B29-CC2A-4512-8774-8BE498E615A9}"/>
    <cellStyle name="Normal 12 3 2 2 7" xfId="18640" xr:uid="{1B1F5EFB-4A6B-4BF4-91DC-E78E35C53336}"/>
    <cellStyle name="Normal 12 3 2 3" xfId="1189" xr:uid="{00000000-0005-0000-0000-0000230E0000}"/>
    <cellStyle name="Normal 12 3 2 3 2" xfId="3420" xr:uid="{00000000-0005-0000-0000-0000240E0000}"/>
    <cellStyle name="Normal 12 3 2 3 2 2" xfId="7642" xr:uid="{00000000-0005-0000-0000-0000250E0000}"/>
    <cellStyle name="Normal 12 3 2 3 2 2 2" xfId="16968" xr:uid="{FAAF06EC-5365-445C-806D-51CC3FBD0B06}"/>
    <cellStyle name="Normal 12 3 2 3 2 2 2 2" xfId="53310" xr:uid="{8076F98A-22A4-415F-B660-89D5CEEC1F78}"/>
    <cellStyle name="Normal 12 3 2 3 2 2 2 3" xfId="34714" xr:uid="{E7898D18-3998-4FBE-A5A8-4E86565E3420}"/>
    <cellStyle name="Normal 12 3 2 3 2 2 3" xfId="44013" xr:uid="{2FD967BC-B2EF-4408-A8E7-7330F74E3C15}"/>
    <cellStyle name="Normal 12 3 2 3 2 2 4" xfId="25415" xr:uid="{35642C51-8009-491F-B2EF-EFDB1896E89B}"/>
    <cellStyle name="Normal 12 3 2 3 2 3" xfId="12751" xr:uid="{D6830036-3F3D-4E6C-8ACC-30A5EA18C8FF}"/>
    <cellStyle name="Normal 12 3 2 3 2 3 2" xfId="49093" xr:uid="{A2A32C39-69CC-453E-A86D-1F20596739AA}"/>
    <cellStyle name="Normal 12 3 2 3 2 3 3" xfId="30497" xr:uid="{E57B454F-8BC1-4ABC-A27A-15E6E7FF5B7B}"/>
    <cellStyle name="Normal 12 3 2 3 2 4" xfId="39796" xr:uid="{99D93735-857F-4A2F-A5AA-BE5F85E42E5F}"/>
    <cellStyle name="Normal 12 3 2 3 2 5" xfId="21198" xr:uid="{28A14A1F-97D3-4D4A-AC29-184EDD9E6673}"/>
    <cellStyle name="Normal 12 3 2 3 3" xfId="5497" xr:uid="{00000000-0005-0000-0000-0000260E0000}"/>
    <cellStyle name="Normal 12 3 2 3 3 2" xfId="14823" xr:uid="{A1514993-1FA1-4D53-8BB2-F6E610A59BBE}"/>
    <cellStyle name="Normal 12 3 2 3 3 2 2" xfId="51165" xr:uid="{5C67DD74-C2DE-479B-BF23-97EF62B875FE}"/>
    <cellStyle name="Normal 12 3 2 3 3 2 3" xfId="32569" xr:uid="{33661788-CAB3-4A8B-9FEE-E9065D806432}"/>
    <cellStyle name="Normal 12 3 2 3 3 3" xfId="41868" xr:uid="{77F3E1CC-F314-4383-9405-E776BB1E3A71}"/>
    <cellStyle name="Normal 12 3 2 3 3 4" xfId="23270" xr:uid="{F2926135-8E2B-48D5-A62B-0FD23037D422}"/>
    <cellStyle name="Normal 12 3 2 3 4" xfId="10606" xr:uid="{9827D360-6B8E-4A0F-8F8E-CE1F7F8EE029}"/>
    <cellStyle name="Normal 12 3 2 3 4 2" xfId="46948" xr:uid="{545EBE3F-572F-44CA-B652-86F12A9379AA}"/>
    <cellStyle name="Normal 12 3 2 3 4 3" xfId="28352" xr:uid="{D4D1CBF1-E990-4F93-8247-D9655F54FDD3}"/>
    <cellStyle name="Normal 12 3 2 3 5" xfId="37651" xr:uid="{AFE12450-9968-4DA0-84F0-94F92367841E}"/>
    <cellStyle name="Normal 12 3 2 3 6" xfId="19053" xr:uid="{CB471D95-6FF3-4655-9F31-F3F800F18043}"/>
    <cellStyle name="Normal 12 3 2 4" xfId="1603" xr:uid="{00000000-0005-0000-0000-0000270E0000}"/>
    <cellStyle name="Normal 12 3 2 4 2" xfId="3833" xr:uid="{00000000-0005-0000-0000-0000280E0000}"/>
    <cellStyle name="Normal 12 3 2 4 2 2" xfId="8055" xr:uid="{00000000-0005-0000-0000-0000290E0000}"/>
    <cellStyle name="Normal 12 3 2 4 2 2 2" xfId="17381" xr:uid="{B81D4A2B-638D-453E-8BD8-7A04CA60A307}"/>
    <cellStyle name="Normal 12 3 2 4 2 2 2 2" xfId="53723" xr:uid="{002BD620-FE0D-41F3-8410-36F55DFEB33F}"/>
    <cellStyle name="Normal 12 3 2 4 2 2 2 3" xfId="35127" xr:uid="{2343EFEC-4B45-4339-83AA-EE9B358EBAB7}"/>
    <cellStyle name="Normal 12 3 2 4 2 2 3" xfId="44426" xr:uid="{41FFD1DE-8803-4F7C-ACFF-957CBE079752}"/>
    <cellStyle name="Normal 12 3 2 4 2 2 4" xfId="25828" xr:uid="{CA1C4FB5-64FE-4E50-A83C-619D01A35AFC}"/>
    <cellStyle name="Normal 12 3 2 4 2 3" xfId="13164" xr:uid="{7A228A30-74BB-4E6E-97A3-ACA44698A6A3}"/>
    <cellStyle name="Normal 12 3 2 4 2 3 2" xfId="49506" xr:uid="{095EE4E8-88D7-4AAD-828C-432D9ABF4431}"/>
    <cellStyle name="Normal 12 3 2 4 2 3 3" xfId="30910" xr:uid="{DC66430C-9E66-400B-B9DA-2A352A0E480C}"/>
    <cellStyle name="Normal 12 3 2 4 2 4" xfId="40209" xr:uid="{0D11AB4D-9963-4A73-A82D-6B8108670618}"/>
    <cellStyle name="Normal 12 3 2 4 2 5" xfId="21611" xr:uid="{DF22F4C8-40C0-4B91-AC2A-5A4A7196D9FF}"/>
    <cellStyle name="Normal 12 3 2 4 3" xfId="5910" xr:uid="{00000000-0005-0000-0000-00002A0E0000}"/>
    <cellStyle name="Normal 12 3 2 4 3 2" xfId="15236" xr:uid="{4A05E142-918F-4C5A-948E-AA50A80A9298}"/>
    <cellStyle name="Normal 12 3 2 4 3 2 2" xfId="51578" xr:uid="{F13A87E3-91C9-49D7-A855-88440C6AA725}"/>
    <cellStyle name="Normal 12 3 2 4 3 2 3" xfId="32982" xr:uid="{47EC9FF0-3660-479A-83CA-E00EB07D9C00}"/>
    <cellStyle name="Normal 12 3 2 4 3 3" xfId="42281" xr:uid="{33E5A70E-4AEA-44EF-AEE4-8C830FF81D62}"/>
    <cellStyle name="Normal 12 3 2 4 3 4" xfId="23683" xr:uid="{82475B73-1C2E-4761-8215-34FC354B9624}"/>
    <cellStyle name="Normal 12 3 2 4 4" xfId="11019" xr:uid="{8379970B-F190-46FB-8C8D-47EE55B81355}"/>
    <cellStyle name="Normal 12 3 2 4 4 2" xfId="47361" xr:uid="{B029544F-0333-49A8-A6BB-7092E5C52E39}"/>
    <cellStyle name="Normal 12 3 2 4 4 3" xfId="28765" xr:uid="{DC25FE70-C517-4301-BC8E-0A75385BAD94}"/>
    <cellStyle name="Normal 12 3 2 4 5" xfId="38064" xr:uid="{E950E25E-2E72-4211-A15B-DB9EA064F280}"/>
    <cellStyle name="Normal 12 3 2 4 6" xfId="19466" xr:uid="{87E51C87-38A6-4A50-B171-4841423D2BA9}"/>
    <cellStyle name="Normal 12 3 2 5" xfId="2017" xr:uid="{00000000-0005-0000-0000-00002B0E0000}"/>
    <cellStyle name="Normal 12 3 2 5 2" xfId="4246" xr:uid="{00000000-0005-0000-0000-00002C0E0000}"/>
    <cellStyle name="Normal 12 3 2 5 2 2" xfId="8468" xr:uid="{00000000-0005-0000-0000-00002D0E0000}"/>
    <cellStyle name="Normal 12 3 2 5 2 2 2" xfId="17794" xr:uid="{6ABF5E50-48BB-4A3F-9441-009664057903}"/>
    <cellStyle name="Normal 12 3 2 5 2 2 2 2" xfId="54136" xr:uid="{FCD8CC4D-1598-4DA8-8E0B-007091CE96A6}"/>
    <cellStyle name="Normal 12 3 2 5 2 2 2 3" xfId="35540" xr:uid="{F25F0D5C-50A0-4B50-9AEC-287E54666C68}"/>
    <cellStyle name="Normal 12 3 2 5 2 2 3" xfId="44839" xr:uid="{676F025E-84DB-4369-A430-B2816DB44DA5}"/>
    <cellStyle name="Normal 12 3 2 5 2 2 4" xfId="26241" xr:uid="{C3EC0FD9-56FC-45A0-891B-AD4D01204390}"/>
    <cellStyle name="Normal 12 3 2 5 2 3" xfId="13577" xr:uid="{A7DCB4AF-94B5-492B-87D1-9F3A784EB277}"/>
    <cellStyle name="Normal 12 3 2 5 2 3 2" xfId="49919" xr:uid="{16A86220-92F4-4348-B77B-B7D466E37BFD}"/>
    <cellStyle name="Normal 12 3 2 5 2 3 3" xfId="31323" xr:uid="{C31A33E3-E1D5-49B4-AB8D-CDDDC6558E4E}"/>
    <cellStyle name="Normal 12 3 2 5 2 4" xfId="40622" xr:uid="{AE4A6A24-1621-45E9-BE5C-0CA6F443EECF}"/>
    <cellStyle name="Normal 12 3 2 5 2 5" xfId="22024" xr:uid="{4E35C4D2-70FD-4F92-B625-F5D193C8466E}"/>
    <cellStyle name="Normal 12 3 2 5 3" xfId="6323" xr:uid="{00000000-0005-0000-0000-00002E0E0000}"/>
    <cellStyle name="Normal 12 3 2 5 3 2" xfId="15649" xr:uid="{D02A34A2-07BC-4D8F-8647-3FB6F59618C3}"/>
    <cellStyle name="Normal 12 3 2 5 3 2 2" xfId="51991" xr:uid="{1DFE5023-8111-4D6B-81CF-9F4C6DCF9314}"/>
    <cellStyle name="Normal 12 3 2 5 3 2 3" xfId="33395" xr:uid="{65EA031B-7047-4664-A315-869AB1FF2B82}"/>
    <cellStyle name="Normal 12 3 2 5 3 3" xfId="42694" xr:uid="{3015C847-3173-4582-9B36-1D63557EA8D0}"/>
    <cellStyle name="Normal 12 3 2 5 3 4" xfId="24096" xr:uid="{033DAC9F-4845-4568-939E-0C87F4975A6C}"/>
    <cellStyle name="Normal 12 3 2 5 4" xfId="11432" xr:uid="{297AD8D8-8289-4977-823A-DF79E65C1280}"/>
    <cellStyle name="Normal 12 3 2 5 4 2" xfId="47774" xr:uid="{E39245F9-822D-453B-BF22-4994CAF9B4F2}"/>
    <cellStyle name="Normal 12 3 2 5 4 3" xfId="29178" xr:uid="{B0AC5C95-D7ED-4CCC-8727-0C4E53E5D8C5}"/>
    <cellStyle name="Normal 12 3 2 5 5" xfId="38477" xr:uid="{827F81C5-CBE1-4C26-838E-13D803DD6762}"/>
    <cellStyle name="Normal 12 3 2 5 6" xfId="19879" xr:uid="{DA15E1DB-5231-4BAE-9B94-B0BF416CDA95}"/>
    <cellStyle name="Normal 12 3 2 6" xfId="2453" xr:uid="{00000000-0005-0000-0000-00002F0E0000}"/>
    <cellStyle name="Normal 12 3 2 6 2" xfId="6736" xr:uid="{00000000-0005-0000-0000-0000300E0000}"/>
    <cellStyle name="Normal 12 3 2 6 2 2" xfId="16062" xr:uid="{3D4AE52C-5E2E-4920-8D4C-F62CBF14F7E9}"/>
    <cellStyle name="Normal 12 3 2 6 2 2 2" xfId="52404" xr:uid="{FADE50D3-F3CA-4D0A-8206-B1D522D88712}"/>
    <cellStyle name="Normal 12 3 2 6 2 2 3" xfId="33808" xr:uid="{D94A1519-D1E6-4CDE-B63D-6AD5254222DB}"/>
    <cellStyle name="Normal 12 3 2 6 2 3" xfId="43107" xr:uid="{BD8CB17D-2CCC-4895-B66F-733646243A50}"/>
    <cellStyle name="Normal 12 3 2 6 2 4" xfId="24509" xr:uid="{955C7D72-605C-4DC4-A826-53204E46EF0D}"/>
    <cellStyle name="Normal 12 3 2 6 3" xfId="11845" xr:uid="{87E5A5BE-DFA8-4823-9A2A-3E4EC80D9F80}"/>
    <cellStyle name="Normal 12 3 2 6 3 2" xfId="48187" xr:uid="{C376A413-1522-4066-B67E-D555D5E99A67}"/>
    <cellStyle name="Normal 12 3 2 6 3 3" xfId="29591" xr:uid="{3FCFC09A-D66A-44CB-8B2E-50227C124837}"/>
    <cellStyle name="Normal 12 3 2 6 4" xfId="38890" xr:uid="{07C7F55E-4B73-42C2-9E4D-6487DBA9FF9C}"/>
    <cellStyle name="Normal 12 3 2 6 5" xfId="20292" xr:uid="{CA3FBEA3-A725-4D52-8C57-AD408D21E356}"/>
    <cellStyle name="Normal 12 3 2 7" xfId="4670" xr:uid="{00000000-0005-0000-0000-0000310E0000}"/>
    <cellStyle name="Normal 12 3 2 7 2" xfId="13996" xr:uid="{9ECDC390-7CED-4D64-A4AF-1E76BF37009C}"/>
    <cellStyle name="Normal 12 3 2 7 2 2" xfId="50338" xr:uid="{46C8E89D-B3C2-44D1-99B9-9A97CF246CEC}"/>
    <cellStyle name="Normal 12 3 2 7 2 3" xfId="31742" xr:uid="{BFCD8B42-18DF-4FE9-9DC8-855EA5636A7B}"/>
    <cellStyle name="Normal 12 3 2 7 3" xfId="41041" xr:uid="{5ECE74C5-62AE-40A7-9DAC-8ECCFCF648C7}"/>
    <cellStyle name="Normal 12 3 2 7 4" xfId="22443" xr:uid="{FE6092E7-E9A8-4CD7-9876-6E8DE6434753}"/>
    <cellStyle name="Normal 12 3 2 8" xfId="9080" xr:uid="{403F3083-4A9F-4295-B676-C31241B8936E}"/>
    <cellStyle name="Normal 12 3 2 8 2" xfId="36150" xr:uid="{2C08DC06-3F4E-43BD-B3F8-457C99276126}"/>
    <cellStyle name="Normal 12 3 2 8 2 2" xfId="54745" xr:uid="{80980879-FA0C-431C-934C-5F344678346F}"/>
    <cellStyle name="Normal 12 3 2 8 3" xfId="45448" xr:uid="{7DB7EB9B-24FC-489E-83A0-71D379C6CE50}"/>
    <cellStyle name="Normal 12 3 2 8 4" xfId="26851" xr:uid="{911D0E0C-874D-40CC-8887-F6CEEF0D266D}"/>
    <cellStyle name="Normal 12 3 2 9" xfId="9779" xr:uid="{252DF856-8A09-451D-946E-3A28070A1A25}"/>
    <cellStyle name="Normal 12 3 2 9 2" xfId="46121" xr:uid="{3A931E89-6836-4BBE-8150-2B85535A7DAA}"/>
    <cellStyle name="Normal 12 3 2 9 3" xfId="27525" xr:uid="{E982F0D0-3570-44BB-8572-F29B0A211C2A}"/>
    <cellStyle name="Normal 12 3 3" xfId="765" xr:uid="{00000000-0005-0000-0000-0000320E0000}"/>
    <cellStyle name="Normal 12 3 3 2" xfId="3006" xr:uid="{00000000-0005-0000-0000-0000330E0000}"/>
    <cellStyle name="Normal 12 3 3 2 2" xfId="7228" xr:uid="{00000000-0005-0000-0000-0000340E0000}"/>
    <cellStyle name="Normal 12 3 3 2 2 2" xfId="16554" xr:uid="{D695BA2D-21B4-4FDC-AD78-5A6C3C3697F7}"/>
    <cellStyle name="Normal 12 3 3 2 2 2 2" xfId="52896" xr:uid="{85392416-FAEE-471E-9765-748FEA3C3EF3}"/>
    <cellStyle name="Normal 12 3 3 2 2 2 3" xfId="34300" xr:uid="{67E12BC8-FB27-44B4-9049-0A4B00A4DD1D}"/>
    <cellStyle name="Normal 12 3 3 2 2 3" xfId="43599" xr:uid="{00C90FCA-83B6-4AE1-9725-1DA7892CC98F}"/>
    <cellStyle name="Normal 12 3 3 2 2 4" xfId="25001" xr:uid="{0E60987A-2358-44FD-A1F9-DBBF87B417DA}"/>
    <cellStyle name="Normal 12 3 3 2 3" xfId="12337" xr:uid="{AE201440-BD93-402B-9B81-4E6578C9A25D}"/>
    <cellStyle name="Normal 12 3 3 2 3 2" xfId="48679" xr:uid="{422C1C3C-B571-40A2-AA5C-C86A021174CE}"/>
    <cellStyle name="Normal 12 3 3 2 3 3" xfId="30083" xr:uid="{48A255E9-B854-4300-9AA6-63D1CFE97C20}"/>
    <cellStyle name="Normal 12 3 3 2 4" xfId="39382" xr:uid="{FC994C10-B426-4797-A9F6-87D4AAAEAD41}"/>
    <cellStyle name="Normal 12 3 3 2 5" xfId="20784" xr:uid="{F23DC05F-BED4-47BD-BD07-E1FAA5B907B4}"/>
    <cellStyle name="Normal 12 3 3 3" xfId="5083" xr:uid="{00000000-0005-0000-0000-0000350E0000}"/>
    <cellStyle name="Normal 12 3 3 3 2" xfId="14409" xr:uid="{CE0CAA3A-14CD-44EC-A087-EF5ED2FB8A5D}"/>
    <cellStyle name="Normal 12 3 3 3 2 2" xfId="50751" xr:uid="{8D7FAAD6-855C-4DDA-B924-5FC6CD853E9D}"/>
    <cellStyle name="Normal 12 3 3 3 2 3" xfId="32155" xr:uid="{F193488D-9C8E-4250-A59E-E29AC8EDB589}"/>
    <cellStyle name="Normal 12 3 3 3 3" xfId="41454" xr:uid="{DC125265-B08B-49D5-933C-E5693DDD1F4D}"/>
    <cellStyle name="Normal 12 3 3 3 4" xfId="22856" xr:uid="{1CA6435B-756E-4B95-8288-AAB78D72A09C}"/>
    <cellStyle name="Normal 12 3 3 4" xfId="9298" xr:uid="{A6F9D711-F86A-406D-B160-91678C261745}"/>
    <cellStyle name="Normal 12 3 3 4 2" xfId="36359" xr:uid="{001A76A5-9EDC-43A9-900E-CC8FFE6001B4}"/>
    <cellStyle name="Normal 12 3 3 4 2 2" xfId="54953" xr:uid="{99273168-8D56-4883-89BB-D59C54A43387}"/>
    <cellStyle name="Normal 12 3 3 4 3" xfId="45656" xr:uid="{C8DA9FE5-3923-465B-B886-0D17053444B7}"/>
    <cellStyle name="Normal 12 3 3 4 4" xfId="27060" xr:uid="{64591EE9-B42D-4E13-8958-BB57FEA8DA80}"/>
    <cellStyle name="Normal 12 3 3 5" xfId="10192" xr:uid="{8CE89206-D3AA-4011-A0E1-8EF9393B9F8E}"/>
    <cellStyle name="Normal 12 3 3 5 2" xfId="46534" xr:uid="{4BCB8424-5D4F-45D3-9AA4-A1FA7225CDDF}"/>
    <cellStyle name="Normal 12 3 3 5 3" xfId="27938" xr:uid="{9AFE880C-DE64-4D64-98A0-0A03286EB1D1}"/>
    <cellStyle name="Normal 12 3 3 6" xfId="37237" xr:uid="{5FE93B40-9734-430C-91F4-4B3AE709ABDF}"/>
    <cellStyle name="Normal 12 3 3 7" xfId="18639" xr:uid="{C492C958-50A6-4593-8E3E-7932B8FD2898}"/>
    <cellStyle name="Normal 12 3 4" xfId="1188" xr:uid="{00000000-0005-0000-0000-0000360E0000}"/>
    <cellStyle name="Normal 12 3 4 2" xfId="3419" xr:uid="{00000000-0005-0000-0000-0000370E0000}"/>
    <cellStyle name="Normal 12 3 4 2 2" xfId="7641" xr:uid="{00000000-0005-0000-0000-0000380E0000}"/>
    <cellStyle name="Normal 12 3 4 2 2 2" xfId="16967" xr:uid="{12FAB15F-F9AD-431F-8B3C-8019D1F15379}"/>
    <cellStyle name="Normal 12 3 4 2 2 2 2" xfId="53309" xr:uid="{1B08DFF3-241A-4BBF-8AD9-1569B328EEB5}"/>
    <cellStyle name="Normal 12 3 4 2 2 2 3" xfId="34713" xr:uid="{70DC7358-42F0-4E96-B6F6-9DF340C84933}"/>
    <cellStyle name="Normal 12 3 4 2 2 3" xfId="44012" xr:uid="{83641F3E-F388-4A99-9BEF-3A2DFFD7638C}"/>
    <cellStyle name="Normal 12 3 4 2 2 4" xfId="25414" xr:uid="{D3037012-9737-4DBD-8B0B-4527DEC30B5F}"/>
    <cellStyle name="Normal 12 3 4 2 3" xfId="12750" xr:uid="{E4594B78-9935-4304-97FF-03AB832F5C43}"/>
    <cellStyle name="Normal 12 3 4 2 3 2" xfId="49092" xr:uid="{90BC84EE-ABB1-4BAD-BAD5-967D5167EE0B}"/>
    <cellStyle name="Normal 12 3 4 2 3 3" xfId="30496" xr:uid="{5072418F-3F4F-4A3E-94D8-F5B6A4A64EE0}"/>
    <cellStyle name="Normal 12 3 4 2 4" xfId="39795" xr:uid="{33B754DA-3A2F-4D94-B260-A11BAD13FCF0}"/>
    <cellStyle name="Normal 12 3 4 2 5" xfId="21197" xr:uid="{73ACCFD8-5F25-416D-BA0C-5E007EB5900D}"/>
    <cellStyle name="Normal 12 3 4 3" xfId="5496" xr:uid="{00000000-0005-0000-0000-0000390E0000}"/>
    <cellStyle name="Normal 12 3 4 3 2" xfId="14822" xr:uid="{43E213FB-D058-47F8-986A-2E83E041C32A}"/>
    <cellStyle name="Normal 12 3 4 3 2 2" xfId="51164" xr:uid="{6DFBE98A-F89A-47C3-B060-C51C5570CB0D}"/>
    <cellStyle name="Normal 12 3 4 3 2 3" xfId="32568" xr:uid="{1165B63F-4D5C-4F41-8D08-5EA586C2D175}"/>
    <cellStyle name="Normal 12 3 4 3 3" xfId="41867" xr:uid="{355A6C07-7AE8-46A6-ABC7-C71CFC1172AF}"/>
    <cellStyle name="Normal 12 3 4 3 4" xfId="23269" xr:uid="{50DEE31C-1AA4-491E-851F-719A3EDB7110}"/>
    <cellStyle name="Normal 12 3 4 4" xfId="10605" xr:uid="{5DE3A6C0-D9E6-4D19-93FB-E8EDB2A15FA6}"/>
    <cellStyle name="Normal 12 3 4 4 2" xfId="46947" xr:uid="{E55DF55E-3EC7-41B0-B662-0253CBFBBB00}"/>
    <cellStyle name="Normal 12 3 4 4 3" xfId="28351" xr:uid="{E3DBBE2E-415F-434C-B569-BDCB33A291E4}"/>
    <cellStyle name="Normal 12 3 4 5" xfId="37650" xr:uid="{F26296FF-3B99-44E8-90A6-BDF31AC83860}"/>
    <cellStyle name="Normal 12 3 4 6" xfId="19052" xr:uid="{BC51F795-D1CD-448D-848A-2A69169DC317}"/>
    <cellStyle name="Normal 12 3 5" xfId="1602" xr:uid="{00000000-0005-0000-0000-00003A0E0000}"/>
    <cellStyle name="Normal 12 3 5 2" xfId="3832" xr:uid="{00000000-0005-0000-0000-00003B0E0000}"/>
    <cellStyle name="Normal 12 3 5 2 2" xfId="8054" xr:uid="{00000000-0005-0000-0000-00003C0E0000}"/>
    <cellStyle name="Normal 12 3 5 2 2 2" xfId="17380" xr:uid="{73A8F7CA-02D7-46B4-B63C-C3C356CF2487}"/>
    <cellStyle name="Normal 12 3 5 2 2 2 2" xfId="53722" xr:uid="{C5BA9C42-3431-44ED-A492-3794D7AD947D}"/>
    <cellStyle name="Normal 12 3 5 2 2 2 3" xfId="35126" xr:uid="{F7FD2CAC-ACB7-4374-9BAD-C2B5D2F85CD3}"/>
    <cellStyle name="Normal 12 3 5 2 2 3" xfId="44425" xr:uid="{79091AF6-356C-472E-82A0-7E335E3EC855}"/>
    <cellStyle name="Normal 12 3 5 2 2 4" xfId="25827" xr:uid="{3293C31C-4992-4C85-B1D2-6490F820E214}"/>
    <cellStyle name="Normal 12 3 5 2 3" xfId="13163" xr:uid="{F00D9332-F927-4B44-B8C3-BC8232E5D7DF}"/>
    <cellStyle name="Normal 12 3 5 2 3 2" xfId="49505" xr:uid="{C4F0390D-E81D-4FD4-8D43-D496C48BA800}"/>
    <cellStyle name="Normal 12 3 5 2 3 3" xfId="30909" xr:uid="{83F8CEAD-2E3A-4DCC-8706-0E6A4B424F97}"/>
    <cellStyle name="Normal 12 3 5 2 4" xfId="40208" xr:uid="{C39A9E66-FB75-4B8D-9288-603B64B6A7F8}"/>
    <cellStyle name="Normal 12 3 5 2 5" xfId="21610" xr:uid="{03B5E724-5ED3-4D60-865D-5C2D2017E5A7}"/>
    <cellStyle name="Normal 12 3 5 3" xfId="5909" xr:uid="{00000000-0005-0000-0000-00003D0E0000}"/>
    <cellStyle name="Normal 12 3 5 3 2" xfId="15235" xr:uid="{1C4B3FDC-3107-48E7-9675-9385C18835F6}"/>
    <cellStyle name="Normal 12 3 5 3 2 2" xfId="51577" xr:uid="{BE314C08-CFBE-466C-8EB9-41FDEB24A6DB}"/>
    <cellStyle name="Normal 12 3 5 3 2 3" xfId="32981" xr:uid="{AB920188-6819-4437-BA0F-30D6084F3DB1}"/>
    <cellStyle name="Normal 12 3 5 3 3" xfId="42280" xr:uid="{21AB7C29-B3D6-4943-AA80-730E2D6F6D70}"/>
    <cellStyle name="Normal 12 3 5 3 4" xfId="23682" xr:uid="{30B4AC1E-415B-4AF7-B34C-1A0FDA7DBDB8}"/>
    <cellStyle name="Normal 12 3 5 4" xfId="11018" xr:uid="{BBE57130-4061-481C-AC96-6EDAB548AF7A}"/>
    <cellStyle name="Normal 12 3 5 4 2" xfId="47360" xr:uid="{D3887B70-B174-47FE-8D8B-6B8785A00137}"/>
    <cellStyle name="Normal 12 3 5 4 3" xfId="28764" xr:uid="{E4DDF276-C931-4238-8D7C-61A710FF6950}"/>
    <cellStyle name="Normal 12 3 5 5" xfId="38063" xr:uid="{9AB70530-E461-4B3D-967B-4FA573F1EAD7}"/>
    <cellStyle name="Normal 12 3 5 6" xfId="19465" xr:uid="{00C0AC69-F428-4227-8C76-AE7D3AFA2D78}"/>
    <cellStyle name="Normal 12 3 6" xfId="2016" xr:uid="{00000000-0005-0000-0000-00003E0E0000}"/>
    <cellStyle name="Normal 12 3 6 2" xfId="4245" xr:uid="{00000000-0005-0000-0000-00003F0E0000}"/>
    <cellStyle name="Normal 12 3 6 2 2" xfId="8467" xr:uid="{00000000-0005-0000-0000-0000400E0000}"/>
    <cellStyle name="Normal 12 3 6 2 2 2" xfId="17793" xr:uid="{010783B2-5752-4137-B9D3-CED847A2894A}"/>
    <cellStyle name="Normal 12 3 6 2 2 2 2" xfId="54135" xr:uid="{3DEC2A79-D2F4-4829-B2F8-4A5978DAD3FF}"/>
    <cellStyle name="Normal 12 3 6 2 2 2 3" xfId="35539" xr:uid="{03F92BAF-12FD-4AE2-8D06-81D8B9FDA6A4}"/>
    <cellStyle name="Normal 12 3 6 2 2 3" xfId="44838" xr:uid="{112C4CC5-269A-4526-A52E-5E259737C0E8}"/>
    <cellStyle name="Normal 12 3 6 2 2 4" xfId="26240" xr:uid="{1B8D7467-7AAF-44BD-96AB-EF67A4BD4056}"/>
    <cellStyle name="Normal 12 3 6 2 3" xfId="13576" xr:uid="{05267821-8296-480E-88B8-A8F6B1298F56}"/>
    <cellStyle name="Normal 12 3 6 2 3 2" xfId="49918" xr:uid="{10F7E7FF-3152-400F-815E-14D86701725A}"/>
    <cellStyle name="Normal 12 3 6 2 3 3" xfId="31322" xr:uid="{6562DF94-DEED-48E2-9799-8C8C34AB7D5C}"/>
    <cellStyle name="Normal 12 3 6 2 4" xfId="40621" xr:uid="{91764BA7-866D-467E-93A0-0BA43EAF4356}"/>
    <cellStyle name="Normal 12 3 6 2 5" xfId="22023" xr:uid="{34368B50-30C9-4C14-AE2A-6151299CBB06}"/>
    <cellStyle name="Normal 12 3 6 3" xfId="6322" xr:uid="{00000000-0005-0000-0000-0000410E0000}"/>
    <cellStyle name="Normal 12 3 6 3 2" xfId="15648" xr:uid="{427D79D8-BCB9-4714-AAB2-B771D5E24485}"/>
    <cellStyle name="Normal 12 3 6 3 2 2" xfId="51990" xr:uid="{DE11D4A2-7997-44DA-88C2-5E06A1CEDC42}"/>
    <cellStyle name="Normal 12 3 6 3 2 3" xfId="33394" xr:uid="{ACE159A6-34ED-41EC-8237-5021B7A3986F}"/>
    <cellStyle name="Normal 12 3 6 3 3" xfId="42693" xr:uid="{C9D5FB00-2AD7-483A-A564-49BE4A3F261C}"/>
    <cellStyle name="Normal 12 3 6 3 4" xfId="24095" xr:uid="{7C9C19B6-B6D7-407B-ACAE-1D7C655992FF}"/>
    <cellStyle name="Normal 12 3 6 4" xfId="11431" xr:uid="{8A0626E9-36A2-4D3D-A185-F9F551EBE194}"/>
    <cellStyle name="Normal 12 3 6 4 2" xfId="47773" xr:uid="{3B991B47-B7A5-47D6-AF6B-A16250A8D8EC}"/>
    <cellStyle name="Normal 12 3 6 4 3" xfId="29177" xr:uid="{84045AC0-D4A6-47F8-955E-D8126C669D98}"/>
    <cellStyle name="Normal 12 3 6 5" xfId="38476" xr:uid="{E77C6A73-D4A0-476D-A84B-D298AE737B6C}"/>
    <cellStyle name="Normal 12 3 6 6" xfId="19878" xr:uid="{BC24C55C-D113-4C8F-9791-7F4205761B75}"/>
    <cellStyle name="Normal 12 3 7" xfId="2452" xr:uid="{00000000-0005-0000-0000-0000420E0000}"/>
    <cellStyle name="Normal 12 3 7 2" xfId="6735" xr:uid="{00000000-0005-0000-0000-0000430E0000}"/>
    <cellStyle name="Normal 12 3 7 2 2" xfId="16061" xr:uid="{B99DD5A5-4E72-4312-A758-3FAC6E43AEAA}"/>
    <cellStyle name="Normal 12 3 7 2 2 2" xfId="52403" xr:uid="{58B5E146-F2F1-42C6-B812-4FC2D72FCC6A}"/>
    <cellStyle name="Normal 12 3 7 2 2 3" xfId="33807" xr:uid="{92F80DE5-B373-47DE-B0E7-100FDC500E33}"/>
    <cellStyle name="Normal 12 3 7 2 3" xfId="43106" xr:uid="{5242BA45-3A0B-46B5-8158-90907D411DB2}"/>
    <cellStyle name="Normal 12 3 7 2 4" xfId="24508" xr:uid="{5EE7030D-1D97-4110-B476-6013572DFA8F}"/>
    <cellStyle name="Normal 12 3 7 3" xfId="11844" xr:uid="{3FC329D4-E9B1-4277-AC28-E729819D7190}"/>
    <cellStyle name="Normal 12 3 7 3 2" xfId="48186" xr:uid="{2D171142-38FB-4742-82C8-F3C46B2CE41D}"/>
    <cellStyle name="Normal 12 3 7 3 3" xfId="29590" xr:uid="{F11C8C30-BEF9-40BB-9F55-9042AD730806}"/>
    <cellStyle name="Normal 12 3 7 4" xfId="38889" xr:uid="{0F7977FA-5725-4892-A4D1-A0BB3FB873EA}"/>
    <cellStyle name="Normal 12 3 7 5" xfId="20291" xr:uid="{ABC6A97A-6F7F-47E0-883C-BB3864EC65C7}"/>
    <cellStyle name="Normal 12 3 8" xfId="4669" xr:uid="{00000000-0005-0000-0000-0000440E0000}"/>
    <cellStyle name="Normal 12 3 8 2" xfId="13995" xr:uid="{B2F3F041-B4D3-42A4-BC96-965EF281E982}"/>
    <cellStyle name="Normal 12 3 8 2 2" xfId="50337" xr:uid="{24BB8EB4-0240-4BDB-A32C-98A04835D654}"/>
    <cellStyle name="Normal 12 3 8 2 3" xfId="31741" xr:uid="{4D34A058-CDF0-4B71-B1CE-77799CBEF8E8}"/>
    <cellStyle name="Normal 12 3 8 3" xfId="41040" xr:uid="{DD78193F-C333-4C86-BB6D-CECDE62F33BF}"/>
    <cellStyle name="Normal 12 3 8 4" xfId="22442" xr:uid="{2EFA4655-4FE9-48AE-B1EC-41F1C07D057E}"/>
    <cellStyle name="Normal 12 3 9" xfId="8873" xr:uid="{72AE7E6C-F254-4BFC-80A7-F73848FA4F21}"/>
    <cellStyle name="Normal 12 3 9 2" xfId="35943" xr:uid="{4AA5D88D-D655-4824-A0C5-C9610B2BAF96}"/>
    <cellStyle name="Normal 12 3 9 2 2" xfId="54538" xr:uid="{221246ED-D6C3-4402-933F-4394884FD76C}"/>
    <cellStyle name="Normal 12 3 9 3" xfId="45241" xr:uid="{2366DF26-7B22-4D6A-9780-CA3161A1F3AB}"/>
    <cellStyle name="Normal 12 3 9 4" xfId="26644" xr:uid="{3A84BA49-697C-45B8-98B7-8C7948E576AA}"/>
    <cellStyle name="Normal 12 4" xfId="266" xr:uid="{00000000-0005-0000-0000-0000450E0000}"/>
    <cellStyle name="Normal 12 4 10" xfId="36825" xr:uid="{13CC1AD3-2567-4FD4-868B-7198E839B3CA}"/>
    <cellStyle name="Normal 12 4 11" xfId="18227" xr:uid="{C1AAB6FD-7F42-48B4-9310-D7F3BBB00810}"/>
    <cellStyle name="Normal 12 4 2" xfId="767" xr:uid="{00000000-0005-0000-0000-0000460E0000}"/>
    <cellStyle name="Normal 12 4 2 2" xfId="3008" xr:uid="{00000000-0005-0000-0000-0000470E0000}"/>
    <cellStyle name="Normal 12 4 2 2 2" xfId="7230" xr:uid="{00000000-0005-0000-0000-0000480E0000}"/>
    <cellStyle name="Normal 12 4 2 2 2 2" xfId="16556" xr:uid="{74384938-2388-4C25-95E7-FF21E49571EC}"/>
    <cellStyle name="Normal 12 4 2 2 2 2 2" xfId="52898" xr:uid="{2CDC0EE2-EF15-4119-8A19-5F7CE271DFBC}"/>
    <cellStyle name="Normal 12 4 2 2 2 2 3" xfId="34302" xr:uid="{4A319B76-C793-4888-BBE0-2632B37759EC}"/>
    <cellStyle name="Normal 12 4 2 2 2 3" xfId="43601" xr:uid="{1105800D-F909-40E9-857C-B863BBBBE272}"/>
    <cellStyle name="Normal 12 4 2 2 2 4" xfId="25003" xr:uid="{18517B9A-135F-4241-8F3E-99DD7DD8CE01}"/>
    <cellStyle name="Normal 12 4 2 2 3" xfId="12339" xr:uid="{43F6A9C9-34F7-46D5-A32E-0EE15B26CF0E}"/>
    <cellStyle name="Normal 12 4 2 2 3 2" xfId="48681" xr:uid="{93C686F5-E53A-46A6-A3D0-A42F658D67AB}"/>
    <cellStyle name="Normal 12 4 2 2 3 3" xfId="30085" xr:uid="{A04059E6-3002-49C2-9BDE-407F2619410D}"/>
    <cellStyle name="Normal 12 4 2 2 4" xfId="39384" xr:uid="{238B6928-FB58-4589-85F2-4EF43F385996}"/>
    <cellStyle name="Normal 12 4 2 2 5" xfId="20786" xr:uid="{17A0D82C-CD5E-4495-A81B-DA799ACA477B}"/>
    <cellStyle name="Normal 12 4 2 3" xfId="5085" xr:uid="{00000000-0005-0000-0000-0000490E0000}"/>
    <cellStyle name="Normal 12 4 2 3 2" xfId="14411" xr:uid="{466925B9-6218-4F20-98BE-76491544739F}"/>
    <cellStyle name="Normal 12 4 2 3 2 2" xfId="50753" xr:uid="{7DB184F4-3579-478F-B9ED-4FF92286F3BC}"/>
    <cellStyle name="Normal 12 4 2 3 2 3" xfId="32157" xr:uid="{1FC8912E-D801-4E73-8771-67F681D09B87}"/>
    <cellStyle name="Normal 12 4 2 3 3" xfId="41456" xr:uid="{ED84399D-C1A1-406B-A2EA-05E1CE0D8594}"/>
    <cellStyle name="Normal 12 4 2 3 4" xfId="22858" xr:uid="{0C112285-B9AF-4139-A149-F59724AFAABA}"/>
    <cellStyle name="Normal 12 4 2 4" xfId="9402" xr:uid="{F40C9AB7-F4D0-4A65-BBAA-FF5409160FE5}"/>
    <cellStyle name="Normal 12 4 2 4 2" xfId="36463" xr:uid="{39F9A304-48CF-4983-930A-C866898D314D}"/>
    <cellStyle name="Normal 12 4 2 4 2 2" xfId="55057" xr:uid="{1A83849F-7A21-4751-9869-3FCA57CCF837}"/>
    <cellStyle name="Normal 12 4 2 4 3" xfId="45760" xr:uid="{86B8D385-6E55-4400-92C5-EC93361F8473}"/>
    <cellStyle name="Normal 12 4 2 4 4" xfId="27164" xr:uid="{60E09C08-79A8-4DFD-8B27-9FA314FE271B}"/>
    <cellStyle name="Normal 12 4 2 5" xfId="10194" xr:uid="{1DF037A4-D383-439A-B496-BB1B915CF6A2}"/>
    <cellStyle name="Normal 12 4 2 5 2" xfId="46536" xr:uid="{A10B5390-1AAB-49A5-B156-28E99BEC522E}"/>
    <cellStyle name="Normal 12 4 2 5 3" xfId="27940" xr:uid="{58C49878-903A-4986-8EC2-944FD1792643}"/>
    <cellStyle name="Normal 12 4 2 6" xfId="37239" xr:uid="{07C09342-A03B-44F5-AB8B-C52AE1A085F4}"/>
    <cellStyle name="Normal 12 4 2 7" xfId="18641" xr:uid="{928E4C1B-2653-4D61-A916-03006A5AED95}"/>
    <cellStyle name="Normal 12 4 3" xfId="1190" xr:uid="{00000000-0005-0000-0000-00004A0E0000}"/>
    <cellStyle name="Normal 12 4 3 2" xfId="3421" xr:uid="{00000000-0005-0000-0000-00004B0E0000}"/>
    <cellStyle name="Normal 12 4 3 2 2" xfId="7643" xr:uid="{00000000-0005-0000-0000-00004C0E0000}"/>
    <cellStyle name="Normal 12 4 3 2 2 2" xfId="16969" xr:uid="{22276AD0-A869-4AE9-A4D7-E2849F4EA77D}"/>
    <cellStyle name="Normal 12 4 3 2 2 2 2" xfId="53311" xr:uid="{3F30715C-4EC7-4220-96AA-25F957448A3C}"/>
    <cellStyle name="Normal 12 4 3 2 2 2 3" xfId="34715" xr:uid="{C63D8E6C-159C-4271-93A4-1D73AA8C6792}"/>
    <cellStyle name="Normal 12 4 3 2 2 3" xfId="44014" xr:uid="{421F4155-A689-4CC2-9071-5675468FAC83}"/>
    <cellStyle name="Normal 12 4 3 2 2 4" xfId="25416" xr:uid="{6B6B6468-CC52-4670-B099-6D1B014A3F04}"/>
    <cellStyle name="Normal 12 4 3 2 3" xfId="12752" xr:uid="{29FE3280-C72B-4680-B565-753418E51091}"/>
    <cellStyle name="Normal 12 4 3 2 3 2" xfId="49094" xr:uid="{99FEFF0F-F3E0-4312-A78E-94A59B95EF5D}"/>
    <cellStyle name="Normal 12 4 3 2 3 3" xfId="30498" xr:uid="{C2D37D94-5FB0-4CC9-9B0D-D2DB2311446E}"/>
    <cellStyle name="Normal 12 4 3 2 4" xfId="39797" xr:uid="{FEF5F61D-E148-4897-9072-76061855B1B5}"/>
    <cellStyle name="Normal 12 4 3 2 5" xfId="21199" xr:uid="{B0AB132C-465F-442F-9BE5-81ADCF836218}"/>
    <cellStyle name="Normal 12 4 3 3" xfId="5498" xr:uid="{00000000-0005-0000-0000-00004D0E0000}"/>
    <cellStyle name="Normal 12 4 3 3 2" xfId="14824" xr:uid="{C42BA4E7-F68A-4105-A4C1-311AF802C3E9}"/>
    <cellStyle name="Normal 12 4 3 3 2 2" xfId="51166" xr:uid="{54137A72-6164-4E86-9BA9-73D972B3750E}"/>
    <cellStyle name="Normal 12 4 3 3 2 3" xfId="32570" xr:uid="{A2CAF7E1-33DC-4F0D-A555-0AAEB04714C8}"/>
    <cellStyle name="Normal 12 4 3 3 3" xfId="41869" xr:uid="{32BD14B4-AAA6-4D6B-A71B-3941E510B85E}"/>
    <cellStyle name="Normal 12 4 3 3 4" xfId="23271" xr:uid="{82433134-0F1F-4594-B3EA-DBDCCA8F55DA}"/>
    <cellStyle name="Normal 12 4 3 4" xfId="10607" xr:uid="{7D139E00-7435-4D7A-B609-1D7B709B52A1}"/>
    <cellStyle name="Normal 12 4 3 4 2" xfId="46949" xr:uid="{1859F9E6-A5AA-408D-A31D-FB3FE4596D4F}"/>
    <cellStyle name="Normal 12 4 3 4 3" xfId="28353" xr:uid="{EA0BC4AD-DE54-4F9D-8A1F-33A53DED9FF8}"/>
    <cellStyle name="Normal 12 4 3 5" xfId="37652" xr:uid="{F0FA34F1-C185-462C-82EE-E1185808B3B2}"/>
    <cellStyle name="Normal 12 4 3 6" xfId="19054" xr:uid="{B0BE0BB4-174C-4CA5-B1AC-7656F33C3D7E}"/>
    <cellStyle name="Normal 12 4 4" xfId="1604" xr:uid="{00000000-0005-0000-0000-00004E0E0000}"/>
    <cellStyle name="Normal 12 4 4 2" xfId="3834" xr:uid="{00000000-0005-0000-0000-00004F0E0000}"/>
    <cellStyle name="Normal 12 4 4 2 2" xfId="8056" xr:uid="{00000000-0005-0000-0000-0000500E0000}"/>
    <cellStyle name="Normal 12 4 4 2 2 2" xfId="17382" xr:uid="{3FE02B15-877F-4254-957E-96AEE3A2004F}"/>
    <cellStyle name="Normal 12 4 4 2 2 2 2" xfId="53724" xr:uid="{53574E56-A7AB-4EC0-B47C-697A41B33001}"/>
    <cellStyle name="Normal 12 4 4 2 2 2 3" xfId="35128" xr:uid="{B3905F51-9BFF-41D0-8AF8-6663336B0AA3}"/>
    <cellStyle name="Normal 12 4 4 2 2 3" xfId="44427" xr:uid="{4445BABE-B12A-4D46-8204-2AEE8648A250}"/>
    <cellStyle name="Normal 12 4 4 2 2 4" xfId="25829" xr:uid="{F4BED597-215D-4CFF-A272-6AF187B65813}"/>
    <cellStyle name="Normal 12 4 4 2 3" xfId="13165" xr:uid="{7FBA70E6-7928-4B9C-97F8-A16F0F91CDDC}"/>
    <cellStyle name="Normal 12 4 4 2 3 2" xfId="49507" xr:uid="{1467E007-2CAF-4DE2-8752-E26BA11CC43F}"/>
    <cellStyle name="Normal 12 4 4 2 3 3" xfId="30911" xr:uid="{10455B34-F16B-4A9C-8619-3DD8450D774F}"/>
    <cellStyle name="Normal 12 4 4 2 4" xfId="40210" xr:uid="{75850EEC-84D6-4A91-BAEA-FA0551694074}"/>
    <cellStyle name="Normal 12 4 4 2 5" xfId="21612" xr:uid="{B4F59E44-E9BF-4D35-83C4-1D14BDEA7FFA}"/>
    <cellStyle name="Normal 12 4 4 3" xfId="5911" xr:uid="{00000000-0005-0000-0000-0000510E0000}"/>
    <cellStyle name="Normal 12 4 4 3 2" xfId="15237" xr:uid="{C15A4E51-A2B3-45E8-968F-CAE8C32848E2}"/>
    <cellStyle name="Normal 12 4 4 3 2 2" xfId="51579" xr:uid="{EEF679FB-0571-4B3A-BF3B-38F6D7F2A646}"/>
    <cellStyle name="Normal 12 4 4 3 2 3" xfId="32983" xr:uid="{10EBDC8D-7EAF-409B-BC7A-078C0F95DF4D}"/>
    <cellStyle name="Normal 12 4 4 3 3" xfId="42282" xr:uid="{32F10054-8DF6-449D-972C-27D52C8811E2}"/>
    <cellStyle name="Normal 12 4 4 3 4" xfId="23684" xr:uid="{0BBBB1FA-48FE-494A-BE48-45BF37325B12}"/>
    <cellStyle name="Normal 12 4 4 4" xfId="11020" xr:uid="{17F0BA44-20CD-41DD-A8BE-C46D92383D72}"/>
    <cellStyle name="Normal 12 4 4 4 2" xfId="47362" xr:uid="{F672F08E-A102-4B0A-AD08-E99B0E9F44CA}"/>
    <cellStyle name="Normal 12 4 4 4 3" xfId="28766" xr:uid="{52B1DF29-226D-4446-953D-78BEC5A29E1C}"/>
    <cellStyle name="Normal 12 4 4 5" xfId="38065" xr:uid="{052162E2-DA9D-4CD4-92DB-6CB0C26CAD09}"/>
    <cellStyle name="Normal 12 4 4 6" xfId="19467" xr:uid="{74A18F71-F527-415F-AFC0-2A36C67C19B4}"/>
    <cellStyle name="Normal 12 4 5" xfId="2018" xr:uid="{00000000-0005-0000-0000-0000520E0000}"/>
    <cellStyle name="Normal 12 4 5 2" xfId="4247" xr:uid="{00000000-0005-0000-0000-0000530E0000}"/>
    <cellStyle name="Normal 12 4 5 2 2" xfId="8469" xr:uid="{00000000-0005-0000-0000-0000540E0000}"/>
    <cellStyle name="Normal 12 4 5 2 2 2" xfId="17795" xr:uid="{F0268206-C03A-438A-88EF-7B010158615B}"/>
    <cellStyle name="Normal 12 4 5 2 2 2 2" xfId="54137" xr:uid="{7C1A7FC4-C4E0-416F-AE13-2290B531FE18}"/>
    <cellStyle name="Normal 12 4 5 2 2 2 3" xfId="35541" xr:uid="{09505247-DCFE-4B85-A71A-285B997747DA}"/>
    <cellStyle name="Normal 12 4 5 2 2 3" xfId="44840" xr:uid="{B84E195F-7B33-4EA3-970A-6A83CDD47B70}"/>
    <cellStyle name="Normal 12 4 5 2 2 4" xfId="26242" xr:uid="{C872D5DA-3D62-46DD-B5D1-E0E143A6A621}"/>
    <cellStyle name="Normal 12 4 5 2 3" xfId="13578" xr:uid="{3010C7AC-6A2C-4101-83A2-36F2518E2283}"/>
    <cellStyle name="Normal 12 4 5 2 3 2" xfId="49920" xr:uid="{1A39139A-37EB-48A8-84A7-AB05E47FEF4A}"/>
    <cellStyle name="Normal 12 4 5 2 3 3" xfId="31324" xr:uid="{51DF6FF3-00A4-453B-8BDE-B72A0FB8B95C}"/>
    <cellStyle name="Normal 12 4 5 2 4" xfId="40623" xr:uid="{0E84E29D-B239-4A23-9FB2-75A7B575271C}"/>
    <cellStyle name="Normal 12 4 5 2 5" xfId="22025" xr:uid="{066BDC07-7E24-4E5F-9155-035A007E0C5B}"/>
    <cellStyle name="Normal 12 4 5 3" xfId="6324" xr:uid="{00000000-0005-0000-0000-0000550E0000}"/>
    <cellStyle name="Normal 12 4 5 3 2" xfId="15650" xr:uid="{D205252C-BACE-4A36-96AC-EA5CA19C9BC1}"/>
    <cellStyle name="Normal 12 4 5 3 2 2" xfId="51992" xr:uid="{D7496974-9F18-4268-B3AB-C7764643E554}"/>
    <cellStyle name="Normal 12 4 5 3 2 3" xfId="33396" xr:uid="{5BCC8B46-B679-4CB1-B177-0FB981BB81EE}"/>
    <cellStyle name="Normal 12 4 5 3 3" xfId="42695" xr:uid="{B1A9221D-A3BA-4685-97B5-5937B66FC8B8}"/>
    <cellStyle name="Normal 12 4 5 3 4" xfId="24097" xr:uid="{FCF85329-201B-4E73-B106-CAD0A422E92B}"/>
    <cellStyle name="Normal 12 4 5 4" xfId="11433" xr:uid="{CB8AF780-309D-4541-BA10-4BAC1A95FA3A}"/>
    <cellStyle name="Normal 12 4 5 4 2" xfId="47775" xr:uid="{F7B22EFA-B7E9-4144-8BB8-B82D7F8C319A}"/>
    <cellStyle name="Normal 12 4 5 4 3" xfId="29179" xr:uid="{2C41B1CF-1031-4DDB-A5FC-041D6768BA4E}"/>
    <cellStyle name="Normal 12 4 5 5" xfId="38478" xr:uid="{0A84E50B-35A1-4B37-8327-D55DC31AC686}"/>
    <cellStyle name="Normal 12 4 5 6" xfId="19880" xr:uid="{0E55B1D7-FBB9-4089-B0E7-0A5B72338E0D}"/>
    <cellStyle name="Normal 12 4 6" xfId="2454" xr:uid="{00000000-0005-0000-0000-0000560E0000}"/>
    <cellStyle name="Normal 12 4 6 2" xfId="6737" xr:uid="{00000000-0005-0000-0000-0000570E0000}"/>
    <cellStyle name="Normal 12 4 6 2 2" xfId="16063" xr:uid="{D25E88DA-BB21-4AC0-B855-BD4EA3D354DB}"/>
    <cellStyle name="Normal 12 4 6 2 2 2" xfId="52405" xr:uid="{A63B5D00-564B-43F3-A8CB-DB25F8F17D61}"/>
    <cellStyle name="Normal 12 4 6 2 2 3" xfId="33809" xr:uid="{2530DBA8-774D-4771-B4DF-F01801296C28}"/>
    <cellStyle name="Normal 12 4 6 2 3" xfId="43108" xr:uid="{04B38929-BF52-4024-BE3B-DBE10877656B}"/>
    <cellStyle name="Normal 12 4 6 2 4" xfId="24510" xr:uid="{462A47C9-3C0D-46CF-848D-C6CFDAFCA39A}"/>
    <cellStyle name="Normal 12 4 6 3" xfId="11846" xr:uid="{E4AB9CD3-F1D2-4E6A-99CF-396627FBFADE}"/>
    <cellStyle name="Normal 12 4 6 3 2" xfId="48188" xr:uid="{914E953B-3605-4666-B12E-D665461384CA}"/>
    <cellStyle name="Normal 12 4 6 3 3" xfId="29592" xr:uid="{AAEB5288-0DD2-4D84-8746-B3FCF0D5873D}"/>
    <cellStyle name="Normal 12 4 6 4" xfId="38891" xr:uid="{0D5FC82E-444E-4129-BC81-82B768847347}"/>
    <cellStyle name="Normal 12 4 6 5" xfId="20293" xr:uid="{91FD70FB-24B1-48B2-9BB9-F873E2158EB8}"/>
    <cellStyle name="Normal 12 4 7" xfId="4671" xr:uid="{00000000-0005-0000-0000-0000580E0000}"/>
    <cellStyle name="Normal 12 4 7 2" xfId="13997" xr:uid="{C254B8F0-A231-454E-9F45-FA6B1135E1DC}"/>
    <cellStyle name="Normal 12 4 7 2 2" xfId="50339" xr:uid="{BE40FA69-BAE4-42AC-BD17-55E2FCE86DD5}"/>
    <cellStyle name="Normal 12 4 7 2 3" xfId="31743" xr:uid="{FB830D3C-03D5-4221-9641-538A8CE7E223}"/>
    <cellStyle name="Normal 12 4 7 3" xfId="41042" xr:uid="{2F4AB533-6C9C-4260-B08E-FB4AFE1F57B6}"/>
    <cellStyle name="Normal 12 4 7 4" xfId="22444" xr:uid="{FF6CF39E-3585-40E5-B4F2-DB43B01BE2E9}"/>
    <cellStyle name="Normal 12 4 8" xfId="8977" xr:uid="{5BFFE5F3-99F6-4DA1-A3EF-BF749B3B7ACB}"/>
    <cellStyle name="Normal 12 4 8 2" xfId="36047" xr:uid="{5260EB96-884B-4B7B-8F90-620C5813259D}"/>
    <cellStyle name="Normal 12 4 8 2 2" xfId="54642" xr:uid="{346C6489-5864-4E1C-8005-4398F30254E5}"/>
    <cellStyle name="Normal 12 4 8 3" xfId="45345" xr:uid="{527E15DB-7EB4-4A20-BAA7-7EBF774E814A}"/>
    <cellStyle name="Normal 12 4 8 4" xfId="26748" xr:uid="{38651106-EAEC-48BA-AB0F-668B21A770C6}"/>
    <cellStyle name="Normal 12 4 9" xfId="9780" xr:uid="{1CBEF42E-5D1E-4D4D-B8D9-FC8B528F1574}"/>
    <cellStyle name="Normal 12 4 9 2" xfId="46122" xr:uid="{113E1837-6539-4F59-BED7-AD99F44010C9}"/>
    <cellStyle name="Normal 12 4 9 3" xfId="27526" xr:uid="{6AEFC822-EEE3-4B7D-9A90-9979D6E06490}"/>
    <cellStyle name="Normal 12 5" xfId="267" xr:uid="{00000000-0005-0000-0000-0000590E0000}"/>
    <cellStyle name="Normal 12 5 2" xfId="9579" xr:uid="{43940F87-8803-4E34-B3E0-736FAF89CA32}"/>
    <cellStyle name="Normal 12 5 2 2" xfId="36640" xr:uid="{5EC646F8-9985-432A-85FB-6107559B2D95}"/>
    <cellStyle name="Normal 12 5 2 2 2" xfId="55234" xr:uid="{CAD4C4B7-F134-4121-84B5-5274FFBC4E73}"/>
    <cellStyle name="Normal 12 5 2 3" xfId="45937" xr:uid="{91D6E635-3026-44BA-A9CD-154E39C2047C}"/>
    <cellStyle name="Normal 12 5 2 4" xfId="27341" xr:uid="{7A1009B6-2D8A-407D-BCEB-617E89698D51}"/>
    <cellStyle name="Normal 12 5 3" xfId="9586" xr:uid="{72B01073-C2DA-4DF8-9E0D-6932F6AF67FF}"/>
    <cellStyle name="Normal 12 5 4" xfId="9156" xr:uid="{4BCB05AE-5738-4A10-9D4D-B3A4CD16FD2C}"/>
    <cellStyle name="Normal 12 5 4 2" xfId="36224" xr:uid="{6EAC5324-9B51-4B33-9997-1B5DFA81F99B}"/>
    <cellStyle name="Normal 12 5 4 2 2" xfId="54819" xr:uid="{F7C23C7C-4C90-4885-BB52-0984D854C2F1}"/>
    <cellStyle name="Normal 12 5 4 3" xfId="45522" xr:uid="{BB25F4C3-96A9-4B38-974D-E91A156D064A}"/>
    <cellStyle name="Normal 12 5 4 4" xfId="26925" xr:uid="{82115796-033C-4E09-86D8-F4765DF8B2F7}"/>
    <cellStyle name="Normal 12 6" xfId="760" xr:uid="{00000000-0005-0000-0000-00005A0E0000}"/>
    <cellStyle name="Normal 12 6 2" xfId="3001" xr:uid="{00000000-0005-0000-0000-00005B0E0000}"/>
    <cellStyle name="Normal 12 6 2 2" xfId="7223" xr:uid="{00000000-0005-0000-0000-00005C0E0000}"/>
    <cellStyle name="Normal 12 6 2 2 2" xfId="16549" xr:uid="{CF93A828-E7D9-4ED8-A1F2-491AB6DF5B4A}"/>
    <cellStyle name="Normal 12 6 2 2 2 2" xfId="52891" xr:uid="{5AE00D54-FCDB-455F-B326-828CFF46ECDC}"/>
    <cellStyle name="Normal 12 6 2 2 2 3" xfId="34295" xr:uid="{A3E9B779-5E26-456A-99C3-28ABA5748BE2}"/>
    <cellStyle name="Normal 12 6 2 2 3" xfId="43594" xr:uid="{5F3B99B5-FD2C-4045-9CAD-EC4AE34E1971}"/>
    <cellStyle name="Normal 12 6 2 2 4" xfId="24996" xr:uid="{CDF535EB-098E-40F0-BF54-8878C355B718}"/>
    <cellStyle name="Normal 12 6 2 3" xfId="12332" xr:uid="{035207E7-533D-4F50-A6B0-BCDEC5EED1F6}"/>
    <cellStyle name="Normal 12 6 2 3 2" xfId="48674" xr:uid="{6900CEA2-75FF-4A38-A379-E42C1AE292E6}"/>
    <cellStyle name="Normal 12 6 2 3 3" xfId="30078" xr:uid="{345EECDC-641B-453A-8A42-3E102086EBE9}"/>
    <cellStyle name="Normal 12 6 2 4" xfId="39377" xr:uid="{F76A3415-BFE2-4EA9-9D64-C102C074D922}"/>
    <cellStyle name="Normal 12 6 2 5" xfId="20779" xr:uid="{F18040D7-3D99-49CC-B0CF-044C306884A4}"/>
    <cellStyle name="Normal 12 6 3" xfId="5078" xr:uid="{00000000-0005-0000-0000-00005D0E0000}"/>
    <cellStyle name="Normal 12 6 3 2" xfId="14404" xr:uid="{D22B2ACF-543A-40D2-B97D-860C18396FBE}"/>
    <cellStyle name="Normal 12 6 3 2 2" xfId="50746" xr:uid="{59F0B142-E3DD-40B8-82B6-F09FDDDA3AFA}"/>
    <cellStyle name="Normal 12 6 3 2 3" xfId="32150" xr:uid="{A5E7989E-DABF-4407-93F4-377B0400EE53}"/>
    <cellStyle name="Normal 12 6 3 3" xfId="41449" xr:uid="{04DB8680-7479-4C34-9A8D-F56961C9F460}"/>
    <cellStyle name="Normal 12 6 3 4" xfId="22851" xr:uid="{3E96D49E-FC72-489F-A5EB-89778A6616B4}"/>
    <cellStyle name="Normal 12 6 4" xfId="9194" xr:uid="{92D32932-3865-4F6F-A551-9A99EC116A43}"/>
    <cellStyle name="Normal 12 6 4 2" xfId="36256" xr:uid="{3E6B04D9-5E96-4C2F-A169-DDBC4C73DA87}"/>
    <cellStyle name="Normal 12 6 4 2 2" xfId="54850" xr:uid="{18C6B3B9-D7AF-47F7-ACBA-122468A0D9DC}"/>
    <cellStyle name="Normal 12 6 4 3" xfId="45553" xr:uid="{2B1B847F-3D5C-4413-BD48-F720FF12875E}"/>
    <cellStyle name="Normal 12 6 4 4" xfId="26957" xr:uid="{081E3DD5-EE79-484E-B89A-FA7BAE581369}"/>
    <cellStyle name="Normal 12 6 5" xfId="10187" xr:uid="{6CA2C28D-2D19-4904-922B-A706E3FF5AE5}"/>
    <cellStyle name="Normal 12 6 5 2" xfId="46529" xr:uid="{CC67477A-74DA-4B79-AA65-D183893BF57F}"/>
    <cellStyle name="Normal 12 6 5 3" xfId="27933" xr:uid="{352242D6-1F8C-4332-9AE2-F65BC63BDDF9}"/>
    <cellStyle name="Normal 12 6 6" xfId="37232" xr:uid="{DC4E9366-9373-4233-8F46-53B50AC69216}"/>
    <cellStyle name="Normal 12 6 7" xfId="18634" xr:uid="{47D78D71-956B-4E67-9062-EFB603E41FB7}"/>
    <cellStyle name="Normal 12 7" xfId="1183" xr:uid="{00000000-0005-0000-0000-00005E0E0000}"/>
    <cellStyle name="Normal 12 7 2" xfId="3414" xr:uid="{00000000-0005-0000-0000-00005F0E0000}"/>
    <cellStyle name="Normal 12 7 2 2" xfId="7636" xr:uid="{00000000-0005-0000-0000-0000600E0000}"/>
    <cellStyle name="Normal 12 7 2 2 2" xfId="16962" xr:uid="{6F78C4CA-003E-44B3-AA44-B1D057D984A6}"/>
    <cellStyle name="Normal 12 7 2 2 2 2" xfId="53304" xr:uid="{599691CC-8CF8-4FFA-BD9A-85C5398471A7}"/>
    <cellStyle name="Normal 12 7 2 2 2 3" xfId="34708" xr:uid="{C94661BF-A2ED-4F59-A2EB-12813B3A19B3}"/>
    <cellStyle name="Normal 12 7 2 2 3" xfId="44007" xr:uid="{640BD1E6-B95D-484C-A347-3D5CF6E8860A}"/>
    <cellStyle name="Normal 12 7 2 2 4" xfId="25409" xr:uid="{347B7817-B5F8-4282-BFD0-A25C5AC24FF4}"/>
    <cellStyle name="Normal 12 7 2 3" xfId="12745" xr:uid="{3B5A2FBF-42B3-4259-9C92-DD44EFE62E23}"/>
    <cellStyle name="Normal 12 7 2 3 2" xfId="49087" xr:uid="{39A813FC-74B0-4A73-B980-C9A25417345B}"/>
    <cellStyle name="Normal 12 7 2 3 3" xfId="30491" xr:uid="{32A92709-F6D3-4E57-B596-241FCE073331}"/>
    <cellStyle name="Normal 12 7 2 4" xfId="39790" xr:uid="{979DE52B-16C5-42E1-956A-87AB9D7503D3}"/>
    <cellStyle name="Normal 12 7 2 5" xfId="21192" xr:uid="{A879C22E-F608-4D2B-AC54-AA026740FFED}"/>
    <cellStyle name="Normal 12 7 3" xfId="5491" xr:uid="{00000000-0005-0000-0000-0000610E0000}"/>
    <cellStyle name="Normal 12 7 3 2" xfId="14817" xr:uid="{66F68F74-C323-4BE3-B920-9BD9F705ECAD}"/>
    <cellStyle name="Normal 12 7 3 2 2" xfId="51159" xr:uid="{0426E31A-B6B8-4DAD-ADAE-FCACA4990958}"/>
    <cellStyle name="Normal 12 7 3 2 3" xfId="32563" xr:uid="{756FCE17-0EAE-424B-AAAA-C8B6A8BD6258}"/>
    <cellStyle name="Normal 12 7 3 3" xfId="41862" xr:uid="{E5858FFC-93A1-45B3-B9AA-EEB2ABE7359E}"/>
    <cellStyle name="Normal 12 7 3 4" xfId="23264" xr:uid="{5B7D6CFA-4EDC-4C17-8537-FB2C268E5A91}"/>
    <cellStyle name="Normal 12 7 4" xfId="10600" xr:uid="{57531B6E-E608-459F-8841-7257918CE280}"/>
    <cellStyle name="Normal 12 7 4 2" xfId="46942" xr:uid="{C032CEF0-2AF8-48FD-88B0-7E0BBCBA7D90}"/>
    <cellStyle name="Normal 12 7 4 3" xfId="28346" xr:uid="{563B0A57-6B5D-47C5-B8E0-342123C8CC1E}"/>
    <cellStyle name="Normal 12 7 5" xfId="37645" xr:uid="{1FFD7F75-B2CB-42F6-98AD-2D8CE7B4623F}"/>
    <cellStyle name="Normal 12 7 6" xfId="19047" xr:uid="{7221A2A6-7427-4B5F-994C-5F1AD9C7731F}"/>
    <cellStyle name="Normal 12 8" xfId="1597" xr:uid="{00000000-0005-0000-0000-0000620E0000}"/>
    <cellStyle name="Normal 12 8 2" xfId="3827" xr:uid="{00000000-0005-0000-0000-0000630E0000}"/>
    <cellStyle name="Normal 12 8 2 2" xfId="8049" xr:uid="{00000000-0005-0000-0000-0000640E0000}"/>
    <cellStyle name="Normal 12 8 2 2 2" xfId="17375" xr:uid="{0F1ECCC0-204B-46FC-B5EF-10C7C57853DF}"/>
    <cellStyle name="Normal 12 8 2 2 2 2" xfId="53717" xr:uid="{4EB9D823-BDB0-4D15-95DF-1140B5921C6D}"/>
    <cellStyle name="Normal 12 8 2 2 2 3" xfId="35121" xr:uid="{818D2F41-8498-4E8E-AB90-7C1AED97B19D}"/>
    <cellStyle name="Normal 12 8 2 2 3" xfId="44420" xr:uid="{ACEB7E1F-2EAB-4892-A7CC-5E1DC308D759}"/>
    <cellStyle name="Normal 12 8 2 2 4" xfId="25822" xr:uid="{D961F3B0-04B5-4450-B97C-9FC336EC2A8A}"/>
    <cellStyle name="Normal 12 8 2 3" xfId="13158" xr:uid="{8EDEE450-8168-4BAB-9519-F8F7E1939C97}"/>
    <cellStyle name="Normal 12 8 2 3 2" xfId="49500" xr:uid="{E232B031-8791-424C-9A1C-E71E0F888CB2}"/>
    <cellStyle name="Normal 12 8 2 3 3" xfId="30904" xr:uid="{999BC3CD-ED11-45D2-BC69-3F7F7824063E}"/>
    <cellStyle name="Normal 12 8 2 4" xfId="40203" xr:uid="{FF6C2688-EAC8-486C-A1F3-C5F6EA46C3F4}"/>
    <cellStyle name="Normal 12 8 2 5" xfId="21605" xr:uid="{673601A5-B397-4A54-8C77-EFF97EE6C690}"/>
    <cellStyle name="Normal 12 8 3" xfId="5904" xr:uid="{00000000-0005-0000-0000-0000650E0000}"/>
    <cellStyle name="Normal 12 8 3 2" xfId="15230" xr:uid="{7C7F0249-EB2D-4705-96B1-B553DB140871}"/>
    <cellStyle name="Normal 12 8 3 2 2" xfId="51572" xr:uid="{FE1A2A40-BF92-41E8-8B21-7EF3E61C17A6}"/>
    <cellStyle name="Normal 12 8 3 2 3" xfId="32976" xr:uid="{9BBD8E71-6A04-4F15-B3CF-FA1F08338485}"/>
    <cellStyle name="Normal 12 8 3 3" xfId="42275" xr:uid="{EAD16DB9-CD2F-4D4F-B94E-2E4F2D04FB41}"/>
    <cellStyle name="Normal 12 8 3 4" xfId="23677" xr:uid="{4334CE15-E6E0-45D2-885C-9BCCFEC46381}"/>
    <cellStyle name="Normal 12 8 4" xfId="11013" xr:uid="{EBE5E902-CCAA-481F-BDE6-7E0D01B524B7}"/>
    <cellStyle name="Normal 12 8 4 2" xfId="47355" xr:uid="{4CFFB5F8-0687-4FF2-91BC-CD403DB08292}"/>
    <cellStyle name="Normal 12 8 4 3" xfId="28759" xr:uid="{D798AF10-0027-49DB-B47B-C52DA679EFCB}"/>
    <cellStyle name="Normal 12 8 5" xfId="38058" xr:uid="{582ECFD0-5AAA-4C0C-AC09-D443F1727535}"/>
    <cellStyle name="Normal 12 8 6" xfId="19460" xr:uid="{9E4DCB00-2A6F-476B-9227-108407B5E6E8}"/>
    <cellStyle name="Normal 12 9" xfId="2011" xr:uid="{00000000-0005-0000-0000-0000660E0000}"/>
    <cellStyle name="Normal 12 9 2" xfId="4240" xr:uid="{00000000-0005-0000-0000-0000670E0000}"/>
    <cellStyle name="Normal 12 9 2 2" xfId="8462" xr:uid="{00000000-0005-0000-0000-0000680E0000}"/>
    <cellStyle name="Normal 12 9 2 2 2" xfId="17788" xr:uid="{86454897-17A7-4ADA-AB14-2A3E4E80A3FA}"/>
    <cellStyle name="Normal 12 9 2 2 2 2" xfId="54130" xr:uid="{C32A4A81-95BD-43F8-BC57-CCE9BB6A9101}"/>
    <cellStyle name="Normal 12 9 2 2 2 3" xfId="35534" xr:uid="{957DD1C2-F667-4A5F-8445-8A7CB4DE87F5}"/>
    <cellStyle name="Normal 12 9 2 2 3" xfId="44833" xr:uid="{7B9AC2BB-6279-4FC4-8448-C5374A0B9E86}"/>
    <cellStyle name="Normal 12 9 2 2 4" xfId="26235" xr:uid="{BEF9708C-D2E9-4813-B533-AA025BD6941B}"/>
    <cellStyle name="Normal 12 9 2 3" xfId="13571" xr:uid="{C075145A-51A9-4807-9E50-645FA7C81D8A}"/>
    <cellStyle name="Normal 12 9 2 3 2" xfId="49913" xr:uid="{16C35ACD-902B-4EDA-B513-B789E72B27E3}"/>
    <cellStyle name="Normal 12 9 2 3 3" xfId="31317" xr:uid="{2507CC8C-184D-478C-A363-C8E5FD49E9B6}"/>
    <cellStyle name="Normal 12 9 2 4" xfId="40616" xr:uid="{FBCD1022-F21A-4CFB-9450-1981E0D8541C}"/>
    <cellStyle name="Normal 12 9 2 5" xfId="22018" xr:uid="{A846BE7E-0942-4617-A918-69096F4FB483}"/>
    <cellStyle name="Normal 12 9 3" xfId="6317" xr:uid="{00000000-0005-0000-0000-0000690E0000}"/>
    <cellStyle name="Normal 12 9 3 2" xfId="15643" xr:uid="{C2A44D0F-DF61-42F8-9B4F-787C261028AB}"/>
    <cellStyle name="Normal 12 9 3 2 2" xfId="51985" xr:uid="{4517C0D8-C9ED-43E5-AF22-7B770D37F209}"/>
    <cellStyle name="Normal 12 9 3 2 3" xfId="33389" xr:uid="{B0994284-2408-4BDF-8E31-7CDD375289E6}"/>
    <cellStyle name="Normal 12 9 3 3" xfId="42688" xr:uid="{B5EA2EE2-A7C2-49D6-807D-962A7CE6B4F4}"/>
    <cellStyle name="Normal 12 9 3 4" xfId="24090" xr:uid="{5B69480E-836A-4EFB-8C8A-2E09D80F3831}"/>
    <cellStyle name="Normal 12 9 4" xfId="11426" xr:uid="{D73A631E-DCC0-43D6-B367-B263BB6ED9EE}"/>
    <cellStyle name="Normal 12 9 4 2" xfId="47768" xr:uid="{E1DDA1D4-B9B8-4AE7-887C-F51AF4B54ED5}"/>
    <cellStyle name="Normal 12 9 4 3" xfId="29172" xr:uid="{10647BDF-F253-4303-8D25-2A32619F79B6}"/>
    <cellStyle name="Normal 12 9 5" xfId="38471" xr:uid="{C77770C1-F326-4322-A13C-C6F6E41C6074}"/>
    <cellStyle name="Normal 12 9 6" xfId="19873" xr:uid="{8C810690-5F41-4E3D-A408-5CFA28EE3DB4}"/>
    <cellStyle name="Normal 13" xfId="268" xr:uid="{00000000-0005-0000-0000-00006A0E0000}"/>
    <cellStyle name="Normal 13 2" xfId="269" xr:uid="{00000000-0005-0000-0000-00006B0E0000}"/>
    <cellStyle name="Normal 14" xfId="270" xr:uid="{00000000-0005-0000-0000-00006C0E0000}"/>
    <cellStyle name="Normal 14 10" xfId="36826" xr:uid="{272150DC-DB82-4768-8E08-CAA21165DDBE}"/>
    <cellStyle name="Normal 14 11" xfId="18228" xr:uid="{CE06FA17-ABE2-4F4B-B10F-BDF972D9692F}"/>
    <cellStyle name="Normal 14 2" xfId="768" xr:uid="{00000000-0005-0000-0000-00006D0E0000}"/>
    <cellStyle name="Normal 14 2 2" xfId="3009" xr:uid="{00000000-0005-0000-0000-00006E0E0000}"/>
    <cellStyle name="Normal 14 2 2 2" xfId="7231" xr:uid="{00000000-0005-0000-0000-00006F0E0000}"/>
    <cellStyle name="Normal 14 2 2 2 2" xfId="16557" xr:uid="{44FBEF67-AC77-4CC0-B6BE-28E805037736}"/>
    <cellStyle name="Normal 14 2 2 2 2 2" xfId="52899" xr:uid="{5DA18A00-1AC2-4121-9DF1-8B4258AA7058}"/>
    <cellStyle name="Normal 14 2 2 2 2 3" xfId="34303" xr:uid="{A1B4E5E1-7973-4BC7-9995-83B2EA91AB6E}"/>
    <cellStyle name="Normal 14 2 2 2 3" xfId="43602" xr:uid="{E607310E-2659-49F1-87F1-1DCDACFA1CDD}"/>
    <cellStyle name="Normal 14 2 2 2 4" xfId="25004" xr:uid="{A96257B9-5735-4668-8C2B-94908081931E}"/>
    <cellStyle name="Normal 14 2 2 3" xfId="12340" xr:uid="{556FB847-EAAC-420B-ABDC-351E43477397}"/>
    <cellStyle name="Normal 14 2 2 3 2" xfId="48682" xr:uid="{71BB6950-69D6-4F1C-9E24-1BF20384C6F1}"/>
    <cellStyle name="Normal 14 2 2 3 3" xfId="30086" xr:uid="{D1AF6906-C442-4EF0-AB08-4B4ED29D84B3}"/>
    <cellStyle name="Normal 14 2 2 4" xfId="39385" xr:uid="{D1F7E9BC-2306-4E15-80FF-4ABAC1063A57}"/>
    <cellStyle name="Normal 14 2 2 5" xfId="20787" xr:uid="{9650E9D9-B021-43BA-8B74-C570E3F292AF}"/>
    <cellStyle name="Normal 14 2 3" xfId="5086" xr:uid="{00000000-0005-0000-0000-0000700E0000}"/>
    <cellStyle name="Normal 14 2 3 2" xfId="14412" xr:uid="{94AE562F-159A-4574-8E45-D5BB402FAD46}"/>
    <cellStyle name="Normal 14 2 3 2 2" xfId="50754" xr:uid="{FBCF494D-E07E-494D-A7A2-0DA18DFCE3E0}"/>
    <cellStyle name="Normal 14 2 3 2 3" xfId="32158" xr:uid="{31CC18B8-0D5C-42D9-BABC-26F43527FF90}"/>
    <cellStyle name="Normal 14 2 3 3" xfId="41457" xr:uid="{B01F9494-DF5A-4C3B-A2F7-68B04D793FFA}"/>
    <cellStyle name="Normal 14 2 3 4" xfId="22859" xr:uid="{F416ACA9-2064-4928-BEA7-81B09D2ED8D0}"/>
    <cellStyle name="Normal 14 2 4" xfId="9371" xr:uid="{E1AFB5B4-F468-480A-B09F-3374B2F03BDA}"/>
    <cellStyle name="Normal 14 2 4 2" xfId="36432" xr:uid="{498B4E8E-7B58-46E9-8F1E-4D98B9F4283A}"/>
    <cellStyle name="Normal 14 2 4 2 2" xfId="55026" xr:uid="{D177AE91-F8D2-40CA-941C-65A03A232C94}"/>
    <cellStyle name="Normal 14 2 4 3" xfId="45729" xr:uid="{C52DE5DA-5AAF-49EF-A249-64F102B47F8F}"/>
    <cellStyle name="Normal 14 2 4 4" xfId="27133" xr:uid="{6E9B5207-2BE4-445A-8DFC-88F9C145112E}"/>
    <cellStyle name="Normal 14 2 5" xfId="10195" xr:uid="{723A18FB-2F79-4FB0-B3ED-937E89D88D5C}"/>
    <cellStyle name="Normal 14 2 5 2" xfId="46537" xr:uid="{5F7CAC39-483E-400F-BE3A-60BE27254F56}"/>
    <cellStyle name="Normal 14 2 5 3" xfId="27941" xr:uid="{F5F142E1-F001-4656-8D0F-BFBB27BC73B3}"/>
    <cellStyle name="Normal 14 2 6" xfId="37240" xr:uid="{5DCD9DE1-64E9-4437-BF8E-6F33E73CC263}"/>
    <cellStyle name="Normal 14 2 7" xfId="18642" xr:uid="{F7AF780D-0E27-4FBC-AD45-B97F24471063}"/>
    <cellStyle name="Normal 14 3" xfId="1191" xr:uid="{00000000-0005-0000-0000-0000710E0000}"/>
    <cellStyle name="Normal 14 3 2" xfId="3422" xr:uid="{00000000-0005-0000-0000-0000720E0000}"/>
    <cellStyle name="Normal 14 3 2 2" xfId="7644" xr:uid="{00000000-0005-0000-0000-0000730E0000}"/>
    <cellStyle name="Normal 14 3 2 2 2" xfId="16970" xr:uid="{BD0F81F2-2D20-4568-B936-68CD700F67E4}"/>
    <cellStyle name="Normal 14 3 2 2 2 2" xfId="53312" xr:uid="{1016460C-E4C2-4ED2-AB4B-E13A783272CC}"/>
    <cellStyle name="Normal 14 3 2 2 2 3" xfId="34716" xr:uid="{318D9516-A627-4DA6-BD51-817EAA8525A8}"/>
    <cellStyle name="Normal 14 3 2 2 3" xfId="44015" xr:uid="{5E4B3C1F-D151-42B3-AA2E-88599BDC1CED}"/>
    <cellStyle name="Normal 14 3 2 2 4" xfId="25417" xr:uid="{DAF899FA-8246-43FE-AFA9-D0CA4E974A39}"/>
    <cellStyle name="Normal 14 3 2 3" xfId="12753" xr:uid="{7272B928-08BE-4147-96AF-903AA869EEFF}"/>
    <cellStyle name="Normal 14 3 2 3 2" xfId="49095" xr:uid="{672B7CC2-8246-4F56-8F01-F74066BDCF02}"/>
    <cellStyle name="Normal 14 3 2 3 3" xfId="30499" xr:uid="{CAD45DF2-72E8-496D-823A-847E86715688}"/>
    <cellStyle name="Normal 14 3 2 4" xfId="39798" xr:uid="{13F828F2-A099-49A3-92A5-D1EF995CBB7D}"/>
    <cellStyle name="Normal 14 3 2 5" xfId="21200" xr:uid="{38766903-D229-485D-93E6-551A1141D24B}"/>
    <cellStyle name="Normal 14 3 3" xfId="5499" xr:uid="{00000000-0005-0000-0000-0000740E0000}"/>
    <cellStyle name="Normal 14 3 3 2" xfId="14825" xr:uid="{C5C4AABA-E032-42B8-B952-490183694D11}"/>
    <cellStyle name="Normal 14 3 3 2 2" xfId="51167" xr:uid="{BF1C865B-6C04-46CC-8853-65E78EA599F5}"/>
    <cellStyle name="Normal 14 3 3 2 3" xfId="32571" xr:uid="{C61C81D1-7422-423A-AAC4-5F9264510618}"/>
    <cellStyle name="Normal 14 3 3 3" xfId="41870" xr:uid="{5D5AB325-E694-4E34-8AE9-E1657D596643}"/>
    <cellStyle name="Normal 14 3 3 4" xfId="23272" xr:uid="{17E4016E-B0FC-4415-9296-A8D8DE4045FE}"/>
    <cellStyle name="Normal 14 3 4" xfId="10608" xr:uid="{220C81B8-9664-4F68-8A3B-BC790B37444E}"/>
    <cellStyle name="Normal 14 3 4 2" xfId="46950" xr:uid="{17EF56C3-7884-4EBF-8966-2CFD7B827BC6}"/>
    <cellStyle name="Normal 14 3 4 3" xfId="28354" xr:uid="{A48FA16E-8899-481C-8715-C9FCA586EF21}"/>
    <cellStyle name="Normal 14 3 5" xfId="37653" xr:uid="{DB176251-522E-4D91-96DC-BF60754D2698}"/>
    <cellStyle name="Normal 14 3 6" xfId="19055" xr:uid="{6CC6AD18-A257-4889-9AED-176A86E7F262}"/>
    <cellStyle name="Normal 14 4" xfId="1605" xr:uid="{00000000-0005-0000-0000-0000750E0000}"/>
    <cellStyle name="Normal 14 4 2" xfId="3835" xr:uid="{00000000-0005-0000-0000-0000760E0000}"/>
    <cellStyle name="Normal 14 4 2 2" xfId="8057" xr:uid="{00000000-0005-0000-0000-0000770E0000}"/>
    <cellStyle name="Normal 14 4 2 2 2" xfId="17383" xr:uid="{FCA5B188-2AA9-44C3-BA1D-7F4B14AD27D9}"/>
    <cellStyle name="Normal 14 4 2 2 2 2" xfId="53725" xr:uid="{11760C9E-84DA-4DC9-8277-1305D2AC706E}"/>
    <cellStyle name="Normal 14 4 2 2 2 3" xfId="35129" xr:uid="{903FF984-BAAB-45B5-8200-E566FDD27FD8}"/>
    <cellStyle name="Normal 14 4 2 2 3" xfId="44428" xr:uid="{A7C61FA9-58F9-4D37-9121-320D641323D7}"/>
    <cellStyle name="Normal 14 4 2 2 4" xfId="25830" xr:uid="{3D7060C9-D512-403B-9A7A-78F6918EB166}"/>
    <cellStyle name="Normal 14 4 2 3" xfId="13166" xr:uid="{DA30A41E-59B3-4A36-B14F-5C2D88E78CD7}"/>
    <cellStyle name="Normal 14 4 2 3 2" xfId="49508" xr:uid="{3030C146-43DB-4335-9C0B-FCA5DF2F43DD}"/>
    <cellStyle name="Normal 14 4 2 3 3" xfId="30912" xr:uid="{4C86A14F-83A0-4C2A-9BE8-C31F49EBAD00}"/>
    <cellStyle name="Normal 14 4 2 4" xfId="40211" xr:uid="{08D566DB-9F52-4333-9249-5E9EF80700A5}"/>
    <cellStyle name="Normal 14 4 2 5" xfId="21613" xr:uid="{B9AB0C1C-F8B9-431F-8E2D-5A1D364C8E5B}"/>
    <cellStyle name="Normal 14 4 3" xfId="5912" xr:uid="{00000000-0005-0000-0000-0000780E0000}"/>
    <cellStyle name="Normal 14 4 3 2" xfId="15238" xr:uid="{DDDE4426-3BB1-4E4D-BF8A-987168513FC1}"/>
    <cellStyle name="Normal 14 4 3 2 2" xfId="51580" xr:uid="{C4943A78-31F8-4296-9E9E-A673C69B8153}"/>
    <cellStyle name="Normal 14 4 3 2 3" xfId="32984" xr:uid="{EDC40C6F-4890-43CE-B623-57FA75ED24F3}"/>
    <cellStyle name="Normal 14 4 3 3" xfId="42283" xr:uid="{FADFFFD6-8572-48C2-BA96-73EC3655792B}"/>
    <cellStyle name="Normal 14 4 3 4" xfId="23685" xr:uid="{81D10919-AC8B-470B-92F2-36CF3BCCCDAA}"/>
    <cellStyle name="Normal 14 4 4" xfId="11021" xr:uid="{D36D6B64-C527-4A3A-A2F1-303B853F96B1}"/>
    <cellStyle name="Normal 14 4 4 2" xfId="47363" xr:uid="{3F89394D-BF49-4898-A299-0C387F857A88}"/>
    <cellStyle name="Normal 14 4 4 3" xfId="28767" xr:uid="{9E6E7A57-9829-4ADF-8CC7-26E0DFB16E73}"/>
    <cellStyle name="Normal 14 4 5" xfId="38066" xr:uid="{7FA9F42C-8484-4672-A4CC-FF14315C12D2}"/>
    <cellStyle name="Normal 14 4 6" xfId="19468" xr:uid="{05E31D5D-2A5A-4481-9FF3-1B58B8904A75}"/>
    <cellStyle name="Normal 14 5" xfId="2019" xr:uid="{00000000-0005-0000-0000-0000790E0000}"/>
    <cellStyle name="Normal 14 5 2" xfId="4248" xr:uid="{00000000-0005-0000-0000-00007A0E0000}"/>
    <cellStyle name="Normal 14 5 2 2" xfId="8470" xr:uid="{00000000-0005-0000-0000-00007B0E0000}"/>
    <cellStyle name="Normal 14 5 2 2 2" xfId="17796" xr:uid="{056988E3-3962-4143-857C-270B2A7E0B15}"/>
    <cellStyle name="Normal 14 5 2 2 2 2" xfId="54138" xr:uid="{4F5A5A13-055D-4A16-AB59-429EC4C9E01D}"/>
    <cellStyle name="Normal 14 5 2 2 2 3" xfId="35542" xr:uid="{6B1E8C50-2DB6-4566-9A1D-F12EEEDAA0EF}"/>
    <cellStyle name="Normal 14 5 2 2 3" xfId="44841" xr:uid="{867E1A03-42D3-4C24-A36C-4087292F2DA0}"/>
    <cellStyle name="Normal 14 5 2 2 4" xfId="26243" xr:uid="{BFCA093A-A0CF-4360-B0B5-5B8AD6449DAA}"/>
    <cellStyle name="Normal 14 5 2 3" xfId="13579" xr:uid="{B40AF14B-C97C-4420-9426-2EADB505C9D5}"/>
    <cellStyle name="Normal 14 5 2 3 2" xfId="49921" xr:uid="{71022547-41BE-4FF0-B139-F1E776BD1382}"/>
    <cellStyle name="Normal 14 5 2 3 3" xfId="31325" xr:uid="{37A7BBA7-6994-4903-9A84-4FF0F1CAC733}"/>
    <cellStyle name="Normal 14 5 2 4" xfId="40624" xr:uid="{2D8D9B0D-96FA-4B25-BC16-498303BBAE0B}"/>
    <cellStyle name="Normal 14 5 2 5" xfId="22026" xr:uid="{9E484294-F107-480F-B645-467118B26207}"/>
    <cellStyle name="Normal 14 5 3" xfId="6325" xr:uid="{00000000-0005-0000-0000-00007C0E0000}"/>
    <cellStyle name="Normal 14 5 3 2" xfId="15651" xr:uid="{96A170C0-122B-4360-9BF6-A8AC9E8EB260}"/>
    <cellStyle name="Normal 14 5 3 2 2" xfId="51993" xr:uid="{D0C0DE93-7471-4EC2-BD05-8743907B69DD}"/>
    <cellStyle name="Normal 14 5 3 2 3" xfId="33397" xr:uid="{C4A0D5FE-D07E-4775-9D26-AAE0EE42F91A}"/>
    <cellStyle name="Normal 14 5 3 3" xfId="42696" xr:uid="{A01027DF-E609-421D-9639-727B56D9F311}"/>
    <cellStyle name="Normal 14 5 3 4" xfId="24098" xr:uid="{DA0DFAD5-EBD8-4B94-900A-E9159EC23377}"/>
    <cellStyle name="Normal 14 5 4" xfId="11434" xr:uid="{0D458E43-73FB-47EA-965A-A808C2E480BB}"/>
    <cellStyle name="Normal 14 5 4 2" xfId="47776" xr:uid="{64978786-DA80-436E-968B-3800BE2DEE26}"/>
    <cellStyle name="Normal 14 5 4 3" xfId="29180" xr:uid="{1C3737EB-9056-4140-AAE7-31BB7848E4EA}"/>
    <cellStyle name="Normal 14 5 5" xfId="38479" xr:uid="{F00B64BF-844D-4C84-BC08-BFBC9A2514E3}"/>
    <cellStyle name="Normal 14 5 6" xfId="19881" xr:uid="{31E627FB-0786-4214-9778-151FBD734050}"/>
    <cellStyle name="Normal 14 6" xfId="2455" xr:uid="{00000000-0005-0000-0000-00007D0E0000}"/>
    <cellStyle name="Normal 14 6 2" xfId="6738" xr:uid="{00000000-0005-0000-0000-00007E0E0000}"/>
    <cellStyle name="Normal 14 6 2 2" xfId="16064" xr:uid="{74B4ADAD-1AA0-43EB-A11B-7F6D977D70D2}"/>
    <cellStyle name="Normal 14 6 2 2 2" xfId="52406" xr:uid="{27503958-28C0-4D1D-A00E-63483AF83317}"/>
    <cellStyle name="Normal 14 6 2 2 3" xfId="33810" xr:uid="{AC850345-6417-42D9-A370-67A562F918AD}"/>
    <cellStyle name="Normal 14 6 2 3" xfId="43109" xr:uid="{064D838A-69BD-4C47-AEC8-37EBE49FF11D}"/>
    <cellStyle name="Normal 14 6 2 4" xfId="24511" xr:uid="{EF8A6323-F51D-494D-874A-D41E98971ACB}"/>
    <cellStyle name="Normal 14 6 3" xfId="11847" xr:uid="{4266CF87-D5FC-4897-8E1B-35F5F32C229E}"/>
    <cellStyle name="Normal 14 6 3 2" xfId="48189" xr:uid="{AFEA8D04-E3B0-4692-9674-75F30008017D}"/>
    <cellStyle name="Normal 14 6 3 3" xfId="29593" xr:uid="{3A7C2E5C-5046-4BDE-AFD7-DCF0A031C188}"/>
    <cellStyle name="Normal 14 6 4" xfId="38892" xr:uid="{6651714B-B29F-410A-8754-D0CCA20698C2}"/>
    <cellStyle name="Normal 14 6 5" xfId="20294" xr:uid="{7EF3BE44-C103-45FB-833A-A2D4C96687BA}"/>
    <cellStyle name="Normal 14 7" xfId="4672" xr:uid="{00000000-0005-0000-0000-00007F0E0000}"/>
    <cellStyle name="Normal 14 7 2" xfId="13998" xr:uid="{FCE9BBC5-E167-4873-9F00-F7BEFB8E955F}"/>
    <cellStyle name="Normal 14 7 2 2" xfId="50340" xr:uid="{AD4D7876-A6E8-4BBB-8608-87B7C7A6EFD8}"/>
    <cellStyle name="Normal 14 7 2 3" xfId="31744" xr:uid="{241FC3BD-9005-4B1E-820B-270EB615C555}"/>
    <cellStyle name="Normal 14 7 3" xfId="41043" xr:uid="{C5FAA427-0176-4C32-A1B4-9816A7764EA5}"/>
    <cellStyle name="Normal 14 7 4" xfId="22445" xr:uid="{22880339-B1D9-448D-B0ED-9C06831E94A3}"/>
    <cellStyle name="Normal 14 8" xfId="8946" xr:uid="{DD997A1C-6669-41AA-8AC1-78121AFC796C}"/>
    <cellStyle name="Normal 14 8 2" xfId="36016" xr:uid="{E23CF360-18DE-45A2-8DC3-D3CE5ECCE94D}"/>
    <cellStyle name="Normal 14 8 2 2" xfId="54611" xr:uid="{C77E8EAE-F324-467D-BD78-64E2F30916E1}"/>
    <cellStyle name="Normal 14 8 3" xfId="45314" xr:uid="{72C96973-194F-4470-8C2E-B8C44A39180D}"/>
    <cellStyle name="Normal 14 8 4" xfId="26717" xr:uid="{70C21395-BB4B-44F0-A4E1-163C307AEC2E}"/>
    <cellStyle name="Normal 14 9" xfId="9781" xr:uid="{84621F7B-C3FC-4205-ADF6-2DB08CD25691}"/>
    <cellStyle name="Normal 14 9 2" xfId="46123" xr:uid="{B15FC998-BE11-4B02-A127-E95A4A20C839}"/>
    <cellStyle name="Normal 14 9 3" xfId="27527" xr:uid="{393BEB2E-8B9A-4A74-BA8A-EB520400873A}"/>
    <cellStyle name="Normal 15" xfId="4496" xr:uid="{00000000-0005-0000-0000-0000800E0000}"/>
    <cellStyle name="Normal 15 2" xfId="9578" xr:uid="{99513E76-E7E2-49D8-ADC5-F882C61FFC79}"/>
    <cellStyle name="Normal 15 2 2" xfId="36639" xr:uid="{53FE02A7-370E-4051-A8CD-1EBAA6FBCAED}"/>
    <cellStyle name="Normal 15 2 2 2" xfId="55233" xr:uid="{61B00A3F-4490-47C5-8389-05CC22AB70AD}"/>
    <cellStyle name="Normal 15 2 3" xfId="45936" xr:uid="{BDD1D751-BC80-4E69-9DF6-41265F4BE3A6}"/>
    <cellStyle name="Normal 15 2 4" xfId="27340" xr:uid="{A6A3AB8E-1F1C-4D4A-8323-8ED9618097C1}"/>
    <cellStyle name="Normal 15 3" xfId="9155" xr:uid="{47700DD8-A88A-4CB4-BFAD-BA75A2D4FC8E}"/>
    <cellStyle name="Normal 15 3 2" xfId="36223" xr:uid="{50A903E6-5C1E-4F9E-9121-438A3F391B62}"/>
    <cellStyle name="Normal 15 3 2 2" xfId="54818" xr:uid="{EAC7F80D-80A4-46CB-B2C3-3E33BD109726}"/>
    <cellStyle name="Normal 15 3 3" xfId="45521" xr:uid="{6B79402E-3D62-4F15-A06D-D805A38DD15C}"/>
    <cellStyle name="Normal 15 3 4" xfId="26924" xr:uid="{0E4C1287-89C1-4C13-B392-2FE79E48FD59}"/>
    <cellStyle name="Normal 15 4" xfId="13824" xr:uid="{1B9D3715-A789-44BF-AF5A-A421AB38E873}"/>
    <cellStyle name="Normal 15 4 2" xfId="50166" xr:uid="{EDA9576C-1423-4A73-9FC9-E36E9AFFAFF2}"/>
    <cellStyle name="Normal 15 4 3" xfId="31570" xr:uid="{4E58502C-3500-4803-AED2-00A09672C935}"/>
    <cellStyle name="Normal 15 5" xfId="40869" xr:uid="{C7AB65F2-277B-4A91-B92C-C30DE1E93163}"/>
    <cellStyle name="Normal 15 6" xfId="22271" xr:uid="{A2F13F43-A108-4453-8E4A-4250E644DAA0}"/>
    <cellStyle name="Normal 16" xfId="4500" xr:uid="{00000000-0005-0000-0000-0000810E0000}"/>
    <cellStyle name="Normal 16 2" xfId="8715" xr:uid="{00000000-0005-0000-0000-0000820E0000}"/>
    <cellStyle name="Normal 16 2 2" xfId="18041" xr:uid="{2B5DE118-1D2D-443D-B430-F64BF58E1D0A}"/>
    <cellStyle name="Normal 16 2 2 2" xfId="54383" xr:uid="{12840335-73D1-424D-B029-328B41A463EC}"/>
    <cellStyle name="Normal 16 2 2 3" xfId="35787" xr:uid="{26138A58-61D5-466B-8279-94211291D5D2}"/>
    <cellStyle name="Normal 16 2 3" xfId="45086" xr:uid="{7D05CE1E-624B-4577-9029-989219744F0C}"/>
    <cellStyle name="Normal 16 2 4" xfId="26488" xr:uid="{CA361ABC-A15C-401B-ADC2-F8BC2AB2FF2D}"/>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3 2 2 2 2 2 2" xfId="35806" xr:uid="{972D3CBC-57F1-41D2-ACAF-1DC8E0032DC3}"/>
    <cellStyle name="Normal 16 3 2 2 2 2 2 2 2" xfId="54402" xr:uid="{0F228695-39C5-40C2-B83C-FD4755116D1C}"/>
    <cellStyle name="Normal 16 3 2 2 2 2 2 3" xfId="45105" xr:uid="{D088ABC6-9C8B-4A19-9367-F0D879AA1ABF}"/>
    <cellStyle name="Normal 16 3 2 2 2 2 2 4" xfId="26507" xr:uid="{E8A6680A-CD97-4269-936E-964D8E959CB6}"/>
    <cellStyle name="Normal 16 3 2 2 2 2 3" xfId="18057" xr:uid="{61B162C0-4DF8-411F-8201-A2C4DF2EFA52}"/>
    <cellStyle name="Normal 16 3 2 2 2 2 3 2" xfId="54399" xr:uid="{C118477B-9C0E-49BD-81E8-8DCFD8C3B9E2}"/>
    <cellStyle name="Normal 16 3 2 2 2 2 3 3" xfId="35803" xr:uid="{33085B8F-78AC-4ADA-BFC5-1BB08BFBBD74}"/>
    <cellStyle name="Normal 16 3 2 2 2 2 4" xfId="45102" xr:uid="{3D1D9CC5-01E6-4E6D-AABB-0FA310C53093}"/>
    <cellStyle name="Normal 16 3 2 2 2 2 5" xfId="26504" xr:uid="{02BB5072-EE60-4CFA-9D12-BC5682F2157F}"/>
    <cellStyle name="Normal 16 3 2 2 2 3" xfId="18054" xr:uid="{641F669D-F430-42FB-ACAE-DEF240BAD99F}"/>
    <cellStyle name="Normal 16 3 2 2 2 3 2" xfId="54396" xr:uid="{0B052C6C-3018-41B0-827C-BA0F74B3BF66}"/>
    <cellStyle name="Normal 16 3 2 2 2 3 3" xfId="35800" xr:uid="{CAEDFD12-55CD-456F-8C27-38C9C3074E3C}"/>
    <cellStyle name="Normal 16 3 2 2 2 4" xfId="45099" xr:uid="{AB7446D4-0C3E-4066-8F79-38DB52F17936}"/>
    <cellStyle name="Normal 16 3 2 2 2 5" xfId="26501" xr:uid="{1E092431-80CA-42A9-86F2-8F255D5520CD}"/>
    <cellStyle name="Normal 16 3 2 2 3" xfId="18050" xr:uid="{B72CC4AE-2FC1-473E-99BB-7A60F9E333EF}"/>
    <cellStyle name="Normal 16 3 2 2 3 2" xfId="54392" xr:uid="{DC65368F-FF9C-4112-869C-4674844F9C8B}"/>
    <cellStyle name="Normal 16 3 2 2 3 3" xfId="35796" xr:uid="{276D5E5E-D5F0-4A27-87BF-40B89C0F93C4}"/>
    <cellStyle name="Normal 16 3 2 2 4" xfId="45095" xr:uid="{AAF89F60-4BF0-4E3E-A825-5F9710F2C4B1}"/>
    <cellStyle name="Normal 16 3 2 2 5" xfId="26497" xr:uid="{7F39E115-BC79-4B70-B3EB-C76A42A3271E}"/>
    <cellStyle name="Normal 16 3 2 3" xfId="18047" xr:uid="{7FACB634-B753-4F62-9D1C-7D96485C50B2}"/>
    <cellStyle name="Normal 16 3 2 3 2" xfId="54389" xr:uid="{79EADF31-3F0D-4C47-AF35-1C743EBD6767}"/>
    <cellStyle name="Normal 16 3 2 3 3" xfId="35793" xr:uid="{0E2CE374-0942-4686-9335-A45CDB66C570}"/>
    <cellStyle name="Normal 16 3 2 4" xfId="45092" xr:uid="{0743E152-F1F9-42D8-9F7D-FAEFE128F4A8}"/>
    <cellStyle name="Normal 16 3 2 5" xfId="26494" xr:uid="{19959704-BA5D-4F34-B789-F728CA71E2DC}"/>
    <cellStyle name="Normal 16 3 3" xfId="18044" xr:uid="{121CA753-2C99-462E-8191-70EC6765B12B}"/>
    <cellStyle name="Normal 16 3 3 2" xfId="54386" xr:uid="{BC391F43-8270-43DA-866D-9D9904F8A733}"/>
    <cellStyle name="Normal 16 3 3 3" xfId="35790" xr:uid="{32D203FB-D27F-4009-BFD8-B34E94DB6B61}"/>
    <cellStyle name="Normal 16 3 4" xfId="45089" xr:uid="{14CC7EA0-FBE8-4BFA-B71B-B5DE4551B3CB}"/>
    <cellStyle name="Normal 16 3 5" xfId="26491" xr:uid="{D8F313B2-7542-4144-B59D-1B1BEEEE320B}"/>
    <cellStyle name="Normal 16 4" xfId="9612" xr:uid="{8729F6E8-3534-4DAE-B0B2-B2AF3CDCD313}"/>
    <cellStyle name="Normal 16 5" xfId="13827" xr:uid="{D79B7C4C-CE98-4A40-8154-ED5833043406}"/>
    <cellStyle name="Normal 16 5 2" xfId="50169" xr:uid="{5769B7C4-1E0B-4707-AD60-FD8C4E5DC314}"/>
    <cellStyle name="Normal 16 5 3" xfId="31573" xr:uid="{F635403D-4039-4FB0-BFDE-454BA1242D0A}"/>
    <cellStyle name="Normal 16 6" xfId="40872" xr:uid="{5CC597F5-F26A-45D8-A6C3-F997427BB5D3}"/>
    <cellStyle name="Normal 16 7" xfId="22274" xr:uid="{125C5CF3-E33B-4FCA-88BD-90C306E1851D}"/>
    <cellStyle name="Normal 17" xfId="8728" xr:uid="{3FF0972C-833B-4475-99D8-1A6907499E71}"/>
    <cellStyle name="Normal 17 2" xfId="9157" xr:uid="{6C872296-5E17-4821-9139-E52AD113B06C}"/>
    <cellStyle name="Normal 17 3" xfId="9154" xr:uid="{DC3FF210-EC1F-47CE-8CCE-F8F5460671B1}"/>
    <cellStyle name="Normal 17 4" xfId="18053" xr:uid="{D870CB95-73A3-4BCF-8B9A-0983006E96CD}"/>
    <cellStyle name="Normal 17 4 2" xfId="54395" xr:uid="{6754AC9E-BF90-4AC5-8158-946532BCAD91}"/>
    <cellStyle name="Normal 17 4 3" xfId="35799" xr:uid="{A27385E6-9832-400B-92E5-FAE088B92208}"/>
    <cellStyle name="Normal 17 5" xfId="45098" xr:uid="{DFC78040-A487-44C7-973C-74D0530582C4}"/>
    <cellStyle name="Normal 17 6" xfId="26500" xr:uid="{2F82A88C-4C85-43F4-9ECE-9236F07E9DEA}"/>
    <cellStyle name="Normal 18" xfId="9153" xr:uid="{EF04732C-9519-4C21-BD73-A108E18EA17F}"/>
    <cellStyle name="Normal 19" xfId="8739" xr:uid="{D907EBA7-1F94-4726-9ABB-7E7835FFF57E}"/>
    <cellStyle name="Normal 19 2" xfId="35809" xr:uid="{5758AB26-0234-4C1C-BDE8-2ED5B15CA2AD}"/>
    <cellStyle name="Normal 19 3" xfId="26510" xr:uid="{C9C6100D-C6C8-4E30-B0AD-4425E35D93C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10 2" xfId="35818" xr:uid="{49EEFF7B-FA4C-4E76-8FE7-23964CE1E6C3}"/>
    <cellStyle name="Normal 2 4 10 2 2" xfId="54413" xr:uid="{D63BE126-3276-4BD0-A0D6-C67EA0D5362E}"/>
    <cellStyle name="Normal 2 4 10 3" xfId="45116" xr:uid="{801ACB23-2C69-47C2-BF31-9E4F0A86A5BB}"/>
    <cellStyle name="Normal 2 4 10 4" xfId="26519" xr:uid="{F0C7FAA2-24D3-4F86-8B70-9A2F7FDA1903}"/>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17797" xr:uid="{5E4F0A40-B2B3-401D-8689-F2FD275C6AE8}"/>
    <cellStyle name="Normal 2 4 2 10 2 2 2 2" xfId="54139" xr:uid="{CCF3BDBE-181F-4993-8059-BAF32575896F}"/>
    <cellStyle name="Normal 2 4 2 10 2 2 2 3" xfId="35543" xr:uid="{CD0FA8F9-463F-49BB-AFDE-F73A4E4F5141}"/>
    <cellStyle name="Normal 2 4 2 10 2 2 3" xfId="44842" xr:uid="{EE108FB9-649F-41D0-BD58-A8BD6189AAF1}"/>
    <cellStyle name="Normal 2 4 2 10 2 2 4" xfId="26244" xr:uid="{EB2706A9-A4E7-4971-BE2A-036DDDD8FB90}"/>
    <cellStyle name="Normal 2 4 2 10 2 3" xfId="13580" xr:uid="{9B6ECB8D-9607-48F0-A472-557B94207A8F}"/>
    <cellStyle name="Normal 2 4 2 10 2 3 2" xfId="49922" xr:uid="{F5A09BFC-773C-429A-9DCE-907FBC44DABC}"/>
    <cellStyle name="Normal 2 4 2 10 2 3 3" xfId="31326" xr:uid="{D2F7E141-3881-4A76-A59B-AE3906004E77}"/>
    <cellStyle name="Normal 2 4 2 10 2 4" xfId="40625" xr:uid="{E83AB626-A014-4BA2-8C3A-AFCA75C4CA10}"/>
    <cellStyle name="Normal 2 4 2 10 2 5" xfId="22027" xr:uid="{7C6A57D1-290F-402E-B255-400C242EA897}"/>
    <cellStyle name="Normal 2 4 2 10 3" xfId="6326" xr:uid="{00000000-0005-0000-0000-0000910E0000}"/>
    <cellStyle name="Normal 2 4 2 10 3 2" xfId="15652" xr:uid="{B99B7BBA-C1B4-4086-BD78-9071552205AC}"/>
    <cellStyle name="Normal 2 4 2 10 3 2 2" xfId="51994" xr:uid="{C798EF57-B14A-4C3E-85D6-6D2B439D279D}"/>
    <cellStyle name="Normal 2 4 2 10 3 2 3" xfId="33398" xr:uid="{E0486B3D-574B-4257-A21D-1CC5F0166382}"/>
    <cellStyle name="Normal 2 4 2 10 3 3" xfId="42697" xr:uid="{C067DB14-5907-430B-9E84-D82E92688988}"/>
    <cellStyle name="Normal 2 4 2 10 3 4" xfId="24099" xr:uid="{B2BAB32D-E75C-41B2-9D5B-B18B42B23230}"/>
    <cellStyle name="Normal 2 4 2 10 4" xfId="11435" xr:uid="{04EA6F7E-945D-4D46-8630-24B9A3D1DA09}"/>
    <cellStyle name="Normal 2 4 2 10 4 2" xfId="47777" xr:uid="{DBB95ADE-D782-4605-8DDE-21BEAC7D2981}"/>
    <cellStyle name="Normal 2 4 2 10 4 3" xfId="29181" xr:uid="{079E22B2-D1C3-4BA3-A2F3-99A789CFAF1E}"/>
    <cellStyle name="Normal 2 4 2 10 5" xfId="38480" xr:uid="{7C72D801-E559-4578-8267-AF55D18806F2}"/>
    <cellStyle name="Normal 2 4 2 10 6" xfId="19882" xr:uid="{278503D0-C57E-4071-93EA-D9F642974523}"/>
    <cellStyle name="Normal 2 4 2 11" xfId="2456" xr:uid="{00000000-0005-0000-0000-0000920E0000}"/>
    <cellStyle name="Normal 2 4 2 11 2" xfId="6739" xr:uid="{00000000-0005-0000-0000-0000930E0000}"/>
    <cellStyle name="Normal 2 4 2 11 2 2" xfId="16065" xr:uid="{E0616D09-8A0E-4722-B229-7549124B5952}"/>
    <cellStyle name="Normal 2 4 2 11 2 2 2" xfId="52407" xr:uid="{37CF0602-85CC-4802-AEA1-7E251D5D047F}"/>
    <cellStyle name="Normal 2 4 2 11 2 2 3" xfId="33811" xr:uid="{6C398DFC-76FB-4B87-B3A9-F0B4D83A297A}"/>
    <cellStyle name="Normal 2 4 2 11 2 3" xfId="43110" xr:uid="{29AF7E5D-35E5-4F10-A040-A86AA33B36C2}"/>
    <cellStyle name="Normal 2 4 2 11 2 4" xfId="24512" xr:uid="{CF1C6935-6860-45F8-9570-EEFC2F69FC8D}"/>
    <cellStyle name="Normal 2 4 2 11 3" xfId="11848" xr:uid="{BD624BDD-0235-4493-A5A1-715E552D61A3}"/>
    <cellStyle name="Normal 2 4 2 11 3 2" xfId="48190" xr:uid="{690ACA71-61A6-4544-9966-651793AA0FB9}"/>
    <cellStyle name="Normal 2 4 2 11 3 3" xfId="29594" xr:uid="{563E3412-C1D9-4DDB-8EF1-5150E561933C}"/>
    <cellStyle name="Normal 2 4 2 11 4" xfId="38893" xr:uid="{8C9BF1FE-97C1-4301-BAC2-A5F0E308DDA9}"/>
    <cellStyle name="Normal 2 4 2 11 5" xfId="20295" xr:uid="{33F8DDF8-13C1-4A20-992D-97A3FB6AA712}"/>
    <cellStyle name="Normal 2 4 2 12" xfId="4673" xr:uid="{00000000-0005-0000-0000-0000940E0000}"/>
    <cellStyle name="Normal 2 4 2 12 2" xfId="13999" xr:uid="{C9C0B624-C657-499D-8BEF-A60A52598923}"/>
    <cellStyle name="Normal 2 4 2 12 2 2" xfId="50341" xr:uid="{CF72D8C5-07F3-4A4E-B1E4-FA8D6CD7C1F2}"/>
    <cellStyle name="Normal 2 4 2 12 2 3" xfId="31745" xr:uid="{44F61ACF-F6F6-4F3B-9EC9-0717214D3E0D}"/>
    <cellStyle name="Normal 2 4 2 12 3" xfId="41044" xr:uid="{92EB87C3-DC26-4BA8-B755-8B93A0CD6809}"/>
    <cellStyle name="Normal 2 4 2 12 4" xfId="22446" xr:uid="{A3D13496-431E-4E7E-8348-DA30782295A3}"/>
    <cellStyle name="Normal 2 4 2 13" xfId="8757" xr:uid="{563A76DD-F7DD-49F0-A61E-0419F4C31301}"/>
    <cellStyle name="Normal 2 4 2 13 2" xfId="35827" xr:uid="{5408D53B-7028-4A24-816E-A67E5FC78BBD}"/>
    <cellStyle name="Normal 2 4 2 13 2 2" xfId="54422" xr:uid="{275C63C4-6B08-4AEC-87C7-B4500D655602}"/>
    <cellStyle name="Normal 2 4 2 13 3" xfId="45125" xr:uid="{6F6EF7AA-9295-43E3-B549-AA8DAFF47614}"/>
    <cellStyle name="Normal 2 4 2 13 4" xfId="26528" xr:uid="{9C28B347-9F90-4215-8EFB-02AA36225B6B}"/>
    <cellStyle name="Normal 2 4 2 14" xfId="9782" xr:uid="{D3543FD6-8149-4E78-83C7-0CE1B237D721}"/>
    <cellStyle name="Normal 2 4 2 14 2" xfId="46124" xr:uid="{CF66B0CD-E51E-436B-9363-7FAE1CC19521}"/>
    <cellStyle name="Normal 2 4 2 14 3" xfId="27528" xr:uid="{3F62313C-B159-4C2C-B436-B6A0651A0208}"/>
    <cellStyle name="Normal 2 4 2 15" xfId="36827" xr:uid="{1AD3B6BC-7EBC-4134-87A6-6E376FE62F30}"/>
    <cellStyle name="Normal 2 4 2 16" xfId="18229" xr:uid="{3954357C-FA3D-4796-91DF-1800F8257FBB}"/>
    <cellStyle name="Normal 2 4 2 2" xfId="280" xr:uid="{00000000-0005-0000-0000-0000950E0000}"/>
    <cellStyle name="Normal 2 4 2 3" xfId="281" xr:uid="{00000000-0005-0000-0000-0000960E0000}"/>
    <cellStyle name="Normal 2 4 2 3 10" xfId="4674" xr:uid="{00000000-0005-0000-0000-0000970E0000}"/>
    <cellStyle name="Normal 2 4 2 3 10 2" xfId="14000" xr:uid="{CB6D7591-B87B-4710-A92D-A166F76C96A3}"/>
    <cellStyle name="Normal 2 4 2 3 10 2 2" xfId="50342" xr:uid="{7E37A853-9606-4097-8202-272CD4115E5A}"/>
    <cellStyle name="Normal 2 4 2 3 10 2 3" xfId="31746" xr:uid="{84605BBA-ADBC-435E-9E81-C63A5C0BB523}"/>
    <cellStyle name="Normal 2 4 2 3 10 3" xfId="41045" xr:uid="{DA6A2323-F860-4D25-B7C4-F0817E75B6AC}"/>
    <cellStyle name="Normal 2 4 2 3 10 4" xfId="22447" xr:uid="{E7FB1CF7-E19F-4D3C-81CF-EC899D2C303B}"/>
    <cellStyle name="Normal 2 4 2 3 11" xfId="8788" xr:uid="{EAD3D227-C8EF-4F54-8D24-EE1EA1F017BB}"/>
    <cellStyle name="Normal 2 4 2 3 11 2" xfId="35858" xr:uid="{A1F69E90-15B6-4C60-9B04-0E4C97AE9793}"/>
    <cellStyle name="Normal 2 4 2 3 11 2 2" xfId="54453" xr:uid="{A4A2F838-3AE1-42DB-B94A-A61224C63E88}"/>
    <cellStyle name="Normal 2 4 2 3 11 3" xfId="45156" xr:uid="{9A426FAE-8C4A-4724-AC33-B56CAB1913FC}"/>
    <cellStyle name="Normal 2 4 2 3 11 4" xfId="26559" xr:uid="{F8E8B93C-263B-40E5-907F-C3383F83C4D3}"/>
    <cellStyle name="Normal 2 4 2 3 12" xfId="9783" xr:uid="{41792328-63A0-432F-B540-91EED772211D}"/>
    <cellStyle name="Normal 2 4 2 3 12 2" xfId="46125" xr:uid="{954269C9-329D-4D42-AD4D-520ED0EFD2ED}"/>
    <cellStyle name="Normal 2 4 2 3 12 3" xfId="27529" xr:uid="{DA87124A-CB4B-42AF-9364-3D58547B2001}"/>
    <cellStyle name="Normal 2 4 2 3 13" xfId="36828" xr:uid="{C6A0CD42-3314-499B-8CD1-B1CE906BA934}"/>
    <cellStyle name="Normal 2 4 2 3 14" xfId="18230" xr:uid="{A34A4CBE-4CDE-4DD9-984D-66A1797B3EA0}"/>
    <cellStyle name="Normal 2 4 2 3 2" xfId="282" xr:uid="{00000000-0005-0000-0000-0000980E0000}"/>
    <cellStyle name="Normal 2 4 2 3 2 10" xfId="8813" xr:uid="{C03AE35D-2438-4E07-AE9C-6D04EC6DA2B7}"/>
    <cellStyle name="Normal 2 4 2 3 2 10 2" xfId="35883" xr:uid="{09A5DF9D-FFBB-4779-B781-C4FC8A98539C}"/>
    <cellStyle name="Normal 2 4 2 3 2 10 2 2" xfId="54478" xr:uid="{6BA7D8B3-F426-4E99-A08E-885E6FC6A413}"/>
    <cellStyle name="Normal 2 4 2 3 2 10 3" xfId="45181" xr:uid="{B9868DD5-37E4-4B49-8E64-E3C9E3B9514D}"/>
    <cellStyle name="Normal 2 4 2 3 2 10 4" xfId="26584" xr:uid="{A43318B5-218D-4E66-8EEB-8DA2C768712F}"/>
    <cellStyle name="Normal 2 4 2 3 2 11" xfId="9784" xr:uid="{0C0DDD7A-2DD0-4C6E-90ED-2B28D2D4DFE2}"/>
    <cellStyle name="Normal 2 4 2 3 2 11 2" xfId="46126" xr:uid="{41C4D30E-ED1D-4674-B6CE-3813B1494D5A}"/>
    <cellStyle name="Normal 2 4 2 3 2 11 3" xfId="27530" xr:uid="{F61C61DE-20A0-4AAD-8A41-8DECF8A05E23}"/>
    <cellStyle name="Normal 2 4 2 3 2 12" xfId="36829" xr:uid="{BC8699AD-3DC0-4151-840B-0CC4E1FC3A0B}"/>
    <cellStyle name="Normal 2 4 2 3 2 13" xfId="18231" xr:uid="{1A8436EE-5CA8-45F3-8054-2BC0970C9575}"/>
    <cellStyle name="Normal 2 4 2 3 2 2" xfId="283" xr:uid="{00000000-0005-0000-0000-0000990E0000}"/>
    <cellStyle name="Normal 2 4 2 3 2 2 10" xfId="9785" xr:uid="{0955B786-588B-48F5-98BA-512BE6876F74}"/>
    <cellStyle name="Normal 2 4 2 3 2 2 10 2" xfId="46127" xr:uid="{FF055A0F-42C6-43A7-9251-BE07595A0C8D}"/>
    <cellStyle name="Normal 2 4 2 3 2 2 10 3" xfId="27531" xr:uid="{EC71C501-5F33-4412-A338-2C85AF0DF3F1}"/>
    <cellStyle name="Normal 2 4 2 3 2 2 11" xfId="36830" xr:uid="{6F0F6F04-92D3-4FAB-BA86-1EC9A4764B5A}"/>
    <cellStyle name="Normal 2 4 2 3 2 2 12" xfId="18232" xr:uid="{240C5156-79A1-4A38-A97F-C222C26B5ACA}"/>
    <cellStyle name="Normal 2 4 2 3 2 2 2" xfId="284" xr:uid="{00000000-0005-0000-0000-00009A0E0000}"/>
    <cellStyle name="Normal 2 4 2 3 2 2 2 10" xfId="36831" xr:uid="{499BDF34-3A3A-4632-8726-A201E0DC2FAE}"/>
    <cellStyle name="Normal 2 4 2 3 2 2 2 11" xfId="18233" xr:uid="{C369AA3C-5A68-47AF-82B5-30128F1E16F7}"/>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16562" xr:uid="{D8B38E23-5D54-485F-87A8-E383181AAF49}"/>
    <cellStyle name="Normal 2 4 2 3 2 2 2 2 2 2 2 2" xfId="52904" xr:uid="{8726EFE9-7C5A-4200-80B2-EA41C9882146}"/>
    <cellStyle name="Normal 2 4 2 3 2 2 2 2 2 2 2 3" xfId="34308" xr:uid="{458A2D43-A084-47D6-8E25-191C302E0511}"/>
    <cellStyle name="Normal 2 4 2 3 2 2 2 2 2 2 3" xfId="43607" xr:uid="{F8C25818-A9FD-4708-B082-304A652A1AA3}"/>
    <cellStyle name="Normal 2 4 2 3 2 2 2 2 2 2 4" xfId="25009" xr:uid="{CF39DAA0-9606-445D-96EF-6111FE12BE84}"/>
    <cellStyle name="Normal 2 4 2 3 2 2 2 2 2 3" xfId="12345" xr:uid="{8E8C033E-311B-448D-9A7A-387E9ABD0F6E}"/>
    <cellStyle name="Normal 2 4 2 3 2 2 2 2 2 3 2" xfId="48687" xr:uid="{3F57C484-680B-4C1F-819D-7BC93FEBBD37}"/>
    <cellStyle name="Normal 2 4 2 3 2 2 2 2 2 3 3" xfId="30091" xr:uid="{F0096F68-DE73-410A-BF7A-8EC6A87D122B}"/>
    <cellStyle name="Normal 2 4 2 3 2 2 2 2 2 4" xfId="39390" xr:uid="{53608B76-9804-48F4-8622-A58FCD5D710A}"/>
    <cellStyle name="Normal 2 4 2 3 2 2 2 2 2 5" xfId="20792" xr:uid="{628122CF-92AB-4A33-A986-33FC6523D5AE}"/>
    <cellStyle name="Normal 2 4 2 3 2 2 2 2 3" xfId="5091" xr:uid="{00000000-0005-0000-0000-00009E0E0000}"/>
    <cellStyle name="Normal 2 4 2 3 2 2 2 2 3 2" xfId="14417" xr:uid="{571CBBAB-5A51-4635-BD8E-2DE7660222D2}"/>
    <cellStyle name="Normal 2 4 2 3 2 2 2 2 3 2 2" xfId="50759" xr:uid="{C430C30F-6519-4E54-885E-316D7521B59B}"/>
    <cellStyle name="Normal 2 4 2 3 2 2 2 2 3 2 3" xfId="32163" xr:uid="{C75286FA-7278-4BB9-9DA2-A557AC224A6F}"/>
    <cellStyle name="Normal 2 4 2 3 2 2 2 2 3 3" xfId="41462" xr:uid="{2DE34A39-4956-47B4-A0E5-EA2821EABA31}"/>
    <cellStyle name="Normal 2 4 2 3 2 2 2 2 3 4" xfId="22864" xr:uid="{39A5C519-EF2E-4287-81D2-BFA9A958172C}"/>
    <cellStyle name="Normal 2 4 2 3 2 2 2 2 4" xfId="9548" xr:uid="{29E7289E-B3F4-4F63-9B9C-B531B0E50CEB}"/>
    <cellStyle name="Normal 2 4 2 3 2 2 2 2 4 2" xfId="36609" xr:uid="{FE57A025-1316-40F9-886B-82E67955A280}"/>
    <cellStyle name="Normal 2 4 2 3 2 2 2 2 4 2 2" xfId="55203" xr:uid="{ADFA2562-9551-4583-A453-54CC0B1095D5}"/>
    <cellStyle name="Normal 2 4 2 3 2 2 2 2 4 3" xfId="45906" xr:uid="{AA86BBAF-4DCD-4600-A87E-0F2C84CACEFB}"/>
    <cellStyle name="Normal 2 4 2 3 2 2 2 2 4 4" xfId="27310" xr:uid="{D31545CD-D788-4686-B3B2-CD84D4DE5CD5}"/>
    <cellStyle name="Normal 2 4 2 3 2 2 2 2 5" xfId="10200" xr:uid="{6DA7253A-5AE6-4D22-AB30-C1871049E7E4}"/>
    <cellStyle name="Normal 2 4 2 3 2 2 2 2 5 2" xfId="46542" xr:uid="{1301692D-D93D-4412-868D-6EDE38BE08B8}"/>
    <cellStyle name="Normal 2 4 2 3 2 2 2 2 5 3" xfId="27946" xr:uid="{28C7810E-C45B-40C5-B47A-DE007DD25DE9}"/>
    <cellStyle name="Normal 2 4 2 3 2 2 2 2 6" xfId="37245" xr:uid="{C4892133-176B-40B1-80B3-8E51A24D48CF}"/>
    <cellStyle name="Normal 2 4 2 3 2 2 2 2 7" xfId="18647" xr:uid="{4133F46E-A411-4050-98C7-B8C7ADCD61A2}"/>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16975" xr:uid="{A0261844-E1F4-406E-A86C-F2D4134659B4}"/>
    <cellStyle name="Normal 2 4 2 3 2 2 2 3 2 2 2 2" xfId="53317" xr:uid="{FD4171F8-2B77-42C5-A872-4242E41AF55F}"/>
    <cellStyle name="Normal 2 4 2 3 2 2 2 3 2 2 2 3" xfId="34721" xr:uid="{EE682593-0EE1-47C5-88FC-07DE692AABD4}"/>
    <cellStyle name="Normal 2 4 2 3 2 2 2 3 2 2 3" xfId="44020" xr:uid="{15B6BF94-8668-4D70-99B4-C717368DA05B}"/>
    <cellStyle name="Normal 2 4 2 3 2 2 2 3 2 2 4" xfId="25422" xr:uid="{1BF57D02-BC30-4C2C-A18A-B1A2F1134DAC}"/>
    <cellStyle name="Normal 2 4 2 3 2 2 2 3 2 3" xfId="12758" xr:uid="{1C870C8A-653F-4638-8E62-94A4FCC41C03}"/>
    <cellStyle name="Normal 2 4 2 3 2 2 2 3 2 3 2" xfId="49100" xr:uid="{46A447BE-1EB3-4D91-9CC5-C3D14D10B05C}"/>
    <cellStyle name="Normal 2 4 2 3 2 2 2 3 2 3 3" xfId="30504" xr:uid="{DA068554-1B81-4F99-90BF-31E44D53559A}"/>
    <cellStyle name="Normal 2 4 2 3 2 2 2 3 2 4" xfId="39803" xr:uid="{953515B4-C719-444F-84FE-89AC7DB96BD4}"/>
    <cellStyle name="Normal 2 4 2 3 2 2 2 3 2 5" xfId="21205" xr:uid="{A1EA6D46-23BC-455E-8F06-807CCDB28589}"/>
    <cellStyle name="Normal 2 4 2 3 2 2 2 3 3" xfId="5504" xr:uid="{00000000-0005-0000-0000-0000A20E0000}"/>
    <cellStyle name="Normal 2 4 2 3 2 2 2 3 3 2" xfId="14830" xr:uid="{6B85D501-A1BC-4C1E-94E3-628D575FE373}"/>
    <cellStyle name="Normal 2 4 2 3 2 2 2 3 3 2 2" xfId="51172" xr:uid="{ECA8B7CC-AEEF-41CA-BB09-011794D8D582}"/>
    <cellStyle name="Normal 2 4 2 3 2 2 2 3 3 2 3" xfId="32576" xr:uid="{C4008651-FC95-4996-AC69-2DD0B1CB02C0}"/>
    <cellStyle name="Normal 2 4 2 3 2 2 2 3 3 3" xfId="41875" xr:uid="{747E6287-1E56-4341-8E05-3E2F1E02487B}"/>
    <cellStyle name="Normal 2 4 2 3 2 2 2 3 3 4" xfId="23277" xr:uid="{F05DD7DD-F362-46A3-A02A-75D1B2FBB4A8}"/>
    <cellStyle name="Normal 2 4 2 3 2 2 2 3 4" xfId="10613" xr:uid="{111C4A4D-7A19-497B-85B8-CA9E77282F2A}"/>
    <cellStyle name="Normal 2 4 2 3 2 2 2 3 4 2" xfId="46955" xr:uid="{A0433559-572D-45B6-82C3-55F309F50765}"/>
    <cellStyle name="Normal 2 4 2 3 2 2 2 3 4 3" xfId="28359" xr:uid="{E74835F3-54C2-4D99-8E0B-F80A9A9AF818}"/>
    <cellStyle name="Normal 2 4 2 3 2 2 2 3 5" xfId="37658" xr:uid="{E10114D5-9429-4BF8-940A-FE790830D363}"/>
    <cellStyle name="Normal 2 4 2 3 2 2 2 3 6" xfId="19060" xr:uid="{81DD105E-93A5-4714-B920-79D7249AEB3C}"/>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17388" xr:uid="{FCA1AB19-3405-4A75-B9CB-6829233BF24D}"/>
    <cellStyle name="Normal 2 4 2 3 2 2 2 4 2 2 2 2" xfId="53730" xr:uid="{D6E0D2FA-E346-4A3E-8572-E785F8D8152F}"/>
    <cellStyle name="Normal 2 4 2 3 2 2 2 4 2 2 2 3" xfId="35134" xr:uid="{458637F7-7E15-462B-80CD-3698679372F2}"/>
    <cellStyle name="Normal 2 4 2 3 2 2 2 4 2 2 3" xfId="44433" xr:uid="{1FF3F511-8672-4C4F-A85B-00E2F094DA86}"/>
    <cellStyle name="Normal 2 4 2 3 2 2 2 4 2 2 4" xfId="25835" xr:uid="{F28F83A2-1DB0-4B51-B4B5-2CC507916492}"/>
    <cellStyle name="Normal 2 4 2 3 2 2 2 4 2 3" xfId="13171" xr:uid="{345DEFC3-B975-4A36-8680-A75E2BF331C7}"/>
    <cellStyle name="Normal 2 4 2 3 2 2 2 4 2 3 2" xfId="49513" xr:uid="{D2E1D7FD-1C2D-4E2D-B384-928F3664EDD2}"/>
    <cellStyle name="Normal 2 4 2 3 2 2 2 4 2 3 3" xfId="30917" xr:uid="{44A32867-AF28-421F-9C0D-AFCF1FD40D44}"/>
    <cellStyle name="Normal 2 4 2 3 2 2 2 4 2 4" xfId="40216" xr:uid="{AC71472B-9ABE-401B-A8CF-3D63FB9F382B}"/>
    <cellStyle name="Normal 2 4 2 3 2 2 2 4 2 5" xfId="21618" xr:uid="{00AF84F8-BC30-4059-A75A-23A7C981EF04}"/>
    <cellStyle name="Normal 2 4 2 3 2 2 2 4 3" xfId="5917" xr:uid="{00000000-0005-0000-0000-0000A60E0000}"/>
    <cellStyle name="Normal 2 4 2 3 2 2 2 4 3 2" xfId="15243" xr:uid="{EDFF9952-F357-4630-AB06-1DA143B05666}"/>
    <cellStyle name="Normal 2 4 2 3 2 2 2 4 3 2 2" xfId="51585" xr:uid="{A3BF8EE8-568D-41E2-B8B4-018D01EB3BA5}"/>
    <cellStyle name="Normal 2 4 2 3 2 2 2 4 3 2 3" xfId="32989" xr:uid="{473A78F9-5D8A-4DA2-8D3B-97CFCEB0DF9E}"/>
    <cellStyle name="Normal 2 4 2 3 2 2 2 4 3 3" xfId="42288" xr:uid="{D6BA97E2-8DFD-413D-BA96-23B1A41D08E5}"/>
    <cellStyle name="Normal 2 4 2 3 2 2 2 4 3 4" xfId="23690" xr:uid="{491036F8-D1E5-44FC-B115-9D04EEA814A5}"/>
    <cellStyle name="Normal 2 4 2 3 2 2 2 4 4" xfId="11026" xr:uid="{714EF9ED-B4B6-4001-9DE6-121656EF1787}"/>
    <cellStyle name="Normal 2 4 2 3 2 2 2 4 4 2" xfId="47368" xr:uid="{0DFD3FBB-F892-4EB7-8CAB-2869ADD69FB8}"/>
    <cellStyle name="Normal 2 4 2 3 2 2 2 4 4 3" xfId="28772" xr:uid="{2B913071-AF21-401A-8175-7BD7322E9623}"/>
    <cellStyle name="Normal 2 4 2 3 2 2 2 4 5" xfId="38071" xr:uid="{748071CF-2B8A-4B62-AB96-820FCD5D41C4}"/>
    <cellStyle name="Normal 2 4 2 3 2 2 2 4 6" xfId="19473" xr:uid="{4B6B90B0-E361-4543-B3C8-2BE9F36A1BD3}"/>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17801" xr:uid="{2CF56B49-91C3-447A-BEA8-BB5A082093A0}"/>
    <cellStyle name="Normal 2 4 2 3 2 2 2 5 2 2 2 2" xfId="54143" xr:uid="{960F3703-74F9-49C4-931A-4ACB69A54FEE}"/>
    <cellStyle name="Normal 2 4 2 3 2 2 2 5 2 2 2 3" xfId="35547" xr:uid="{47393403-055A-46E6-B955-507AA5C426BC}"/>
    <cellStyle name="Normal 2 4 2 3 2 2 2 5 2 2 3" xfId="44846" xr:uid="{94C471EE-AFE3-4CCB-A73B-73BB7C32F653}"/>
    <cellStyle name="Normal 2 4 2 3 2 2 2 5 2 2 4" xfId="26248" xr:uid="{8973D0BC-AA6C-46AB-968C-ED74608BFB79}"/>
    <cellStyle name="Normal 2 4 2 3 2 2 2 5 2 3" xfId="13584" xr:uid="{BAC6519D-C1F8-4D6B-87D2-7D0284A379A3}"/>
    <cellStyle name="Normal 2 4 2 3 2 2 2 5 2 3 2" xfId="49926" xr:uid="{BD722984-8679-4759-931E-60553E04F7A6}"/>
    <cellStyle name="Normal 2 4 2 3 2 2 2 5 2 3 3" xfId="31330" xr:uid="{3B6FB060-2BB9-4DA4-A949-617659E6DB24}"/>
    <cellStyle name="Normal 2 4 2 3 2 2 2 5 2 4" xfId="40629" xr:uid="{11B647E7-F2F2-4AA1-87D8-D7E8076D3471}"/>
    <cellStyle name="Normal 2 4 2 3 2 2 2 5 2 5" xfId="22031" xr:uid="{94C0BACE-8B0E-4B4F-9CA0-5F6AAA0BA404}"/>
    <cellStyle name="Normal 2 4 2 3 2 2 2 5 3" xfId="6330" xr:uid="{00000000-0005-0000-0000-0000AA0E0000}"/>
    <cellStyle name="Normal 2 4 2 3 2 2 2 5 3 2" xfId="15656" xr:uid="{D6BD32D7-E427-48FA-8AF5-139344AA9795}"/>
    <cellStyle name="Normal 2 4 2 3 2 2 2 5 3 2 2" xfId="51998" xr:uid="{4CD18B39-E39F-4448-82B5-8442DF36C133}"/>
    <cellStyle name="Normal 2 4 2 3 2 2 2 5 3 2 3" xfId="33402" xr:uid="{D7A3880A-0710-4A22-8E18-3D450DF899A6}"/>
    <cellStyle name="Normal 2 4 2 3 2 2 2 5 3 3" xfId="42701" xr:uid="{A91C7495-1022-42AA-B081-5945958539AE}"/>
    <cellStyle name="Normal 2 4 2 3 2 2 2 5 3 4" xfId="24103" xr:uid="{C0AF5FBD-BF0E-4329-A430-8CB9BEFBF874}"/>
    <cellStyle name="Normal 2 4 2 3 2 2 2 5 4" xfId="11439" xr:uid="{F26937A3-F58E-4BF3-8750-ABCC5293D6B6}"/>
    <cellStyle name="Normal 2 4 2 3 2 2 2 5 4 2" xfId="47781" xr:uid="{2FAC2ECF-4572-469D-A205-43B709D1D288}"/>
    <cellStyle name="Normal 2 4 2 3 2 2 2 5 4 3" xfId="29185" xr:uid="{261EAED6-548E-447D-B0E0-853B63D63EF8}"/>
    <cellStyle name="Normal 2 4 2 3 2 2 2 5 5" xfId="38484" xr:uid="{15E53140-4634-4006-B690-7581A0175113}"/>
    <cellStyle name="Normal 2 4 2 3 2 2 2 5 6" xfId="19886" xr:uid="{AF357631-3FA8-4F41-B4AE-D9BA5948F998}"/>
    <cellStyle name="Normal 2 4 2 3 2 2 2 6" xfId="2460" xr:uid="{00000000-0005-0000-0000-0000AB0E0000}"/>
    <cellStyle name="Normal 2 4 2 3 2 2 2 6 2" xfId="6743" xr:uid="{00000000-0005-0000-0000-0000AC0E0000}"/>
    <cellStyle name="Normal 2 4 2 3 2 2 2 6 2 2" xfId="16069" xr:uid="{80672399-61D2-4343-AFB0-90AD38E6AEBD}"/>
    <cellStyle name="Normal 2 4 2 3 2 2 2 6 2 2 2" xfId="52411" xr:uid="{17F9FAD0-6C3C-449E-A97E-B433ED28134A}"/>
    <cellStyle name="Normal 2 4 2 3 2 2 2 6 2 2 3" xfId="33815" xr:uid="{CE2C5A81-2AD9-42BA-858A-74397CD7FD94}"/>
    <cellStyle name="Normal 2 4 2 3 2 2 2 6 2 3" xfId="43114" xr:uid="{B0367018-5337-4A32-8FC0-A8AF33056B6C}"/>
    <cellStyle name="Normal 2 4 2 3 2 2 2 6 2 4" xfId="24516" xr:uid="{13DA81C0-FDCC-4194-99B2-487943139516}"/>
    <cellStyle name="Normal 2 4 2 3 2 2 2 6 3" xfId="11852" xr:uid="{B7DA1AA5-61DC-466F-A8B5-E893DD4C6DCF}"/>
    <cellStyle name="Normal 2 4 2 3 2 2 2 6 3 2" xfId="48194" xr:uid="{61C1FE11-A68C-4C9C-91B7-B23FDC51621E}"/>
    <cellStyle name="Normal 2 4 2 3 2 2 2 6 3 3" xfId="29598" xr:uid="{08536FE1-D90C-4F31-8417-C41077E20E1D}"/>
    <cellStyle name="Normal 2 4 2 3 2 2 2 6 4" xfId="38897" xr:uid="{08123471-E7B8-4A5B-A4A7-976B5E089F96}"/>
    <cellStyle name="Normal 2 4 2 3 2 2 2 6 5" xfId="20299" xr:uid="{7019C037-CA8B-4DAF-A15B-ADAB45E6FE0B}"/>
    <cellStyle name="Normal 2 4 2 3 2 2 2 7" xfId="4677" xr:uid="{00000000-0005-0000-0000-0000AD0E0000}"/>
    <cellStyle name="Normal 2 4 2 3 2 2 2 7 2" xfId="14003" xr:uid="{4F36F6F5-FF11-423F-8989-47D113E4DEF1}"/>
    <cellStyle name="Normal 2 4 2 3 2 2 2 7 2 2" xfId="50345" xr:uid="{A22C6715-A79B-4B2E-8CAD-A834CE8B875C}"/>
    <cellStyle name="Normal 2 4 2 3 2 2 2 7 2 3" xfId="31749" xr:uid="{AF0F8260-6BC3-46E2-801A-9E8AB700D549}"/>
    <cellStyle name="Normal 2 4 2 3 2 2 2 7 3" xfId="41048" xr:uid="{863BDFDB-3B05-4C0F-9D11-2D786DCC8778}"/>
    <cellStyle name="Normal 2 4 2 3 2 2 2 7 4" xfId="22450" xr:uid="{B139BDDD-F641-4D78-B011-76DECE9A08B2}"/>
    <cellStyle name="Normal 2 4 2 3 2 2 2 8" xfId="9123" xr:uid="{9F0183A9-880D-46D9-BB7D-5696E4723F5F}"/>
    <cellStyle name="Normal 2 4 2 3 2 2 2 8 2" xfId="36193" xr:uid="{10DEE381-776C-404C-81D6-2973603D1BB3}"/>
    <cellStyle name="Normal 2 4 2 3 2 2 2 8 2 2" xfId="54788" xr:uid="{6D453359-62B6-489B-8A4C-38A07AF5060D}"/>
    <cellStyle name="Normal 2 4 2 3 2 2 2 8 3" xfId="45491" xr:uid="{AB251724-B9E6-4FE2-8216-B08F0CCA9DD7}"/>
    <cellStyle name="Normal 2 4 2 3 2 2 2 8 4" xfId="26894" xr:uid="{A1B92DA7-9867-4CEA-A269-15E9EB5B2DFC}"/>
    <cellStyle name="Normal 2 4 2 3 2 2 2 9" xfId="9786" xr:uid="{4DD46FA8-5180-43AF-86AC-A4248F9B7DC2}"/>
    <cellStyle name="Normal 2 4 2 3 2 2 2 9 2" xfId="46128" xr:uid="{40E61579-D47C-40EC-A521-61D5F138F041}"/>
    <cellStyle name="Normal 2 4 2 3 2 2 2 9 3" xfId="27532" xr:uid="{29316E46-4632-493C-9220-BA34C455929A}"/>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16561" xr:uid="{AF8E3EB9-CFE5-4FB5-8578-23E12E349605}"/>
    <cellStyle name="Normal 2 4 2 3 2 2 3 2 2 2 2" xfId="52903" xr:uid="{9D2A257B-277B-43FF-8E2E-F8685EEE3012}"/>
    <cellStyle name="Normal 2 4 2 3 2 2 3 2 2 2 3" xfId="34307" xr:uid="{16EFF4D8-1319-4FAD-BE5F-CA96FC20B4B0}"/>
    <cellStyle name="Normal 2 4 2 3 2 2 3 2 2 3" xfId="43606" xr:uid="{B165BA60-990A-4283-8D98-91064D1D334A}"/>
    <cellStyle name="Normal 2 4 2 3 2 2 3 2 2 4" xfId="25008" xr:uid="{F94FE345-9B44-4972-913D-4C05271D7A92}"/>
    <cellStyle name="Normal 2 4 2 3 2 2 3 2 3" xfId="12344" xr:uid="{A02DB38E-BB3C-4E37-B481-93E6E7E651DB}"/>
    <cellStyle name="Normal 2 4 2 3 2 2 3 2 3 2" xfId="48686" xr:uid="{B704D18E-6F41-47C7-8EAD-E48E0D58926C}"/>
    <cellStyle name="Normal 2 4 2 3 2 2 3 2 3 3" xfId="30090" xr:uid="{04AE54DB-6344-4A40-BDC8-778DFDEADFE5}"/>
    <cellStyle name="Normal 2 4 2 3 2 2 3 2 4" xfId="39389" xr:uid="{C2002206-284B-499B-868C-844A6CFB4243}"/>
    <cellStyle name="Normal 2 4 2 3 2 2 3 2 5" xfId="20791" xr:uid="{D1B522E5-D399-4DB2-9FB6-B1C10E0DCDEB}"/>
    <cellStyle name="Normal 2 4 2 3 2 2 3 3" xfId="5090" xr:uid="{00000000-0005-0000-0000-0000B10E0000}"/>
    <cellStyle name="Normal 2 4 2 3 2 2 3 3 2" xfId="14416" xr:uid="{89EC8972-54DE-4115-8F81-802C2F352B00}"/>
    <cellStyle name="Normal 2 4 2 3 2 2 3 3 2 2" xfId="50758" xr:uid="{67BAE091-6438-4A06-BCD9-2BBC6D07C7EF}"/>
    <cellStyle name="Normal 2 4 2 3 2 2 3 3 2 3" xfId="32162" xr:uid="{9D05C117-D4A7-40A9-ABCE-A2B2A750171A}"/>
    <cellStyle name="Normal 2 4 2 3 2 2 3 3 3" xfId="41461" xr:uid="{DF555F89-111D-4EC4-84E0-4D0DE5EE88D8}"/>
    <cellStyle name="Normal 2 4 2 3 2 2 3 3 4" xfId="22863" xr:uid="{EF8B0367-AB66-4D86-A269-45D12BDF38CC}"/>
    <cellStyle name="Normal 2 4 2 3 2 2 3 4" xfId="9341" xr:uid="{4F113FF5-050D-47D1-A7D5-F829C93D993D}"/>
    <cellStyle name="Normal 2 4 2 3 2 2 3 4 2" xfId="36402" xr:uid="{97DA047F-8F5A-4813-B20E-34A0AD71E00E}"/>
    <cellStyle name="Normal 2 4 2 3 2 2 3 4 2 2" xfId="54996" xr:uid="{C13D3E32-E54A-43D3-A96F-231A0F9589A0}"/>
    <cellStyle name="Normal 2 4 2 3 2 2 3 4 3" xfId="45699" xr:uid="{8025968E-7316-4F35-911B-E23E6958CB25}"/>
    <cellStyle name="Normal 2 4 2 3 2 2 3 4 4" xfId="27103" xr:uid="{0497DD56-AC97-446B-AA95-4B9BD0EBBA9E}"/>
    <cellStyle name="Normal 2 4 2 3 2 2 3 5" xfId="10199" xr:uid="{32D0C286-5596-4158-A431-53F31561A96F}"/>
    <cellStyle name="Normal 2 4 2 3 2 2 3 5 2" xfId="46541" xr:uid="{B7618A84-4234-48E4-AB8B-66D8B4393280}"/>
    <cellStyle name="Normal 2 4 2 3 2 2 3 5 3" xfId="27945" xr:uid="{F07E70A1-8A60-466E-848C-F3F78AC72EBF}"/>
    <cellStyle name="Normal 2 4 2 3 2 2 3 6" xfId="37244" xr:uid="{ED6D8332-5E39-4384-A442-E0B3986B1764}"/>
    <cellStyle name="Normal 2 4 2 3 2 2 3 7" xfId="18646" xr:uid="{F663A1D2-EC4A-42D8-B162-E9433AC744CE}"/>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16974" xr:uid="{397C5A20-66CC-4A48-9716-FEB969D3296A}"/>
    <cellStyle name="Normal 2 4 2 3 2 2 4 2 2 2 2" xfId="53316" xr:uid="{9161E41C-818A-4A92-8D60-47124C1D098C}"/>
    <cellStyle name="Normal 2 4 2 3 2 2 4 2 2 2 3" xfId="34720" xr:uid="{CC04BBD4-7A10-474B-B8DA-B769E51941D8}"/>
    <cellStyle name="Normal 2 4 2 3 2 2 4 2 2 3" xfId="44019" xr:uid="{52428E07-8F19-4AFB-B0E3-D15C0C05F2AD}"/>
    <cellStyle name="Normal 2 4 2 3 2 2 4 2 2 4" xfId="25421" xr:uid="{75B81AFD-386E-4D26-8729-2D037AD67CFF}"/>
    <cellStyle name="Normal 2 4 2 3 2 2 4 2 3" xfId="12757" xr:uid="{D06B2E42-58F6-46D8-A0C8-477979D7F124}"/>
    <cellStyle name="Normal 2 4 2 3 2 2 4 2 3 2" xfId="49099" xr:uid="{23FBDE9A-1337-4668-BF39-7D42FB804AA3}"/>
    <cellStyle name="Normal 2 4 2 3 2 2 4 2 3 3" xfId="30503" xr:uid="{A867D663-8494-41CE-BFC7-9DAD43D1607B}"/>
    <cellStyle name="Normal 2 4 2 3 2 2 4 2 4" xfId="39802" xr:uid="{8489CBC2-C970-4633-89FC-860F21738ED0}"/>
    <cellStyle name="Normal 2 4 2 3 2 2 4 2 5" xfId="21204" xr:uid="{ADE0773C-75B6-4EAF-98D4-C1E88703BC20}"/>
    <cellStyle name="Normal 2 4 2 3 2 2 4 3" xfId="5503" xr:uid="{00000000-0005-0000-0000-0000B50E0000}"/>
    <cellStyle name="Normal 2 4 2 3 2 2 4 3 2" xfId="14829" xr:uid="{D4975DCD-8685-4120-B183-903FC11168DF}"/>
    <cellStyle name="Normal 2 4 2 3 2 2 4 3 2 2" xfId="51171" xr:uid="{659675CC-D1E7-4347-A81A-104BA6E784D9}"/>
    <cellStyle name="Normal 2 4 2 3 2 2 4 3 2 3" xfId="32575" xr:uid="{14F9A675-0B98-40FB-9CE0-208E8E8A6B30}"/>
    <cellStyle name="Normal 2 4 2 3 2 2 4 3 3" xfId="41874" xr:uid="{6B445B95-1EA0-4608-B780-7794C1E838A5}"/>
    <cellStyle name="Normal 2 4 2 3 2 2 4 3 4" xfId="23276" xr:uid="{F8854171-2054-4E36-BAA2-A6AE98E1D591}"/>
    <cellStyle name="Normal 2 4 2 3 2 2 4 4" xfId="10612" xr:uid="{1C88E7E5-1352-4451-9758-87973C60613B}"/>
    <cellStyle name="Normal 2 4 2 3 2 2 4 4 2" xfId="46954" xr:uid="{03F4D313-0B66-4FC3-9A26-4AAE48C40C30}"/>
    <cellStyle name="Normal 2 4 2 3 2 2 4 4 3" xfId="28358" xr:uid="{F54E35F7-4878-403A-9585-FE7CD3E0BDA4}"/>
    <cellStyle name="Normal 2 4 2 3 2 2 4 5" xfId="37657" xr:uid="{361871D0-50BE-46A7-9097-8BBD342C3830}"/>
    <cellStyle name="Normal 2 4 2 3 2 2 4 6" xfId="19059" xr:uid="{FAC8A7DF-B9EF-416A-993B-CAC6E89E8EB3}"/>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17387" xr:uid="{E27836BC-140B-4AC0-9E91-B449B20AA00D}"/>
    <cellStyle name="Normal 2 4 2 3 2 2 5 2 2 2 2" xfId="53729" xr:uid="{86281656-00AD-40C4-9CE0-2402CA1D4D1C}"/>
    <cellStyle name="Normal 2 4 2 3 2 2 5 2 2 2 3" xfId="35133" xr:uid="{EE10417D-BC30-42E9-A144-14A1398CD5D9}"/>
    <cellStyle name="Normal 2 4 2 3 2 2 5 2 2 3" xfId="44432" xr:uid="{CE55C868-44EF-40FB-A40F-05B4E1E6A72B}"/>
    <cellStyle name="Normal 2 4 2 3 2 2 5 2 2 4" xfId="25834" xr:uid="{1F2920BC-7775-4D1C-A71E-42F81DDEDE6B}"/>
    <cellStyle name="Normal 2 4 2 3 2 2 5 2 3" xfId="13170" xr:uid="{191901A4-DA76-46BB-8769-35F18B627833}"/>
    <cellStyle name="Normal 2 4 2 3 2 2 5 2 3 2" xfId="49512" xr:uid="{93499EAE-5FCB-441A-9983-879BD5F7B001}"/>
    <cellStyle name="Normal 2 4 2 3 2 2 5 2 3 3" xfId="30916" xr:uid="{4BFD2D53-68CA-4227-BB6C-57AE905CAD3E}"/>
    <cellStyle name="Normal 2 4 2 3 2 2 5 2 4" xfId="40215" xr:uid="{AE4D8375-2D2B-4B38-ACD3-FF9FACC49400}"/>
    <cellStyle name="Normal 2 4 2 3 2 2 5 2 5" xfId="21617" xr:uid="{56CB1BE2-FAA6-4ECF-BB68-5E63B39033A7}"/>
    <cellStyle name="Normal 2 4 2 3 2 2 5 3" xfId="5916" xr:uid="{00000000-0005-0000-0000-0000B90E0000}"/>
    <cellStyle name="Normal 2 4 2 3 2 2 5 3 2" xfId="15242" xr:uid="{6A78DAE6-9F3D-4B99-B5F0-34AE39EE84AC}"/>
    <cellStyle name="Normal 2 4 2 3 2 2 5 3 2 2" xfId="51584" xr:uid="{3228195E-4F8E-47F7-9FED-87CB61CFF108}"/>
    <cellStyle name="Normal 2 4 2 3 2 2 5 3 2 3" xfId="32988" xr:uid="{E62EF3AE-7FB8-4811-AA0C-68F95D41BDC8}"/>
    <cellStyle name="Normal 2 4 2 3 2 2 5 3 3" xfId="42287" xr:uid="{F312F41E-48C6-4678-AE1B-743AF99324A1}"/>
    <cellStyle name="Normal 2 4 2 3 2 2 5 3 4" xfId="23689" xr:uid="{07BEFA32-15AB-44CE-BBBC-DFC5B1ECE559}"/>
    <cellStyle name="Normal 2 4 2 3 2 2 5 4" xfId="11025" xr:uid="{E1CF835E-A9BD-41A4-A76D-EC23AADB55A0}"/>
    <cellStyle name="Normal 2 4 2 3 2 2 5 4 2" xfId="47367" xr:uid="{8989073D-B377-4BBB-A0A9-2DCB7617CB68}"/>
    <cellStyle name="Normal 2 4 2 3 2 2 5 4 3" xfId="28771" xr:uid="{4B045EAA-C4E7-4766-93B4-E36E0C4A26C5}"/>
    <cellStyle name="Normal 2 4 2 3 2 2 5 5" xfId="38070" xr:uid="{E7935516-DFE1-47F9-AE7A-3C84485B2288}"/>
    <cellStyle name="Normal 2 4 2 3 2 2 5 6" xfId="19472" xr:uid="{4D7ED1BA-AF25-4116-BE21-B82951739FE3}"/>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17800" xr:uid="{A186F37F-BCB4-405C-A63C-ED857A37DE78}"/>
    <cellStyle name="Normal 2 4 2 3 2 2 6 2 2 2 2" xfId="54142" xr:uid="{EA025B9E-71D5-4000-BAEC-2CB7BC685E47}"/>
    <cellStyle name="Normal 2 4 2 3 2 2 6 2 2 2 3" xfId="35546" xr:uid="{1F99C065-46AA-4001-950E-23EFF20FABC7}"/>
    <cellStyle name="Normal 2 4 2 3 2 2 6 2 2 3" xfId="44845" xr:uid="{C703D8CE-F3BF-4C07-9041-137DBCAE20A2}"/>
    <cellStyle name="Normal 2 4 2 3 2 2 6 2 2 4" xfId="26247" xr:uid="{CA0E31BE-4EF6-4E13-B94C-1A0EBC1463C6}"/>
    <cellStyle name="Normal 2 4 2 3 2 2 6 2 3" xfId="13583" xr:uid="{419ACDCA-2050-4D54-83E8-3A352673BBEE}"/>
    <cellStyle name="Normal 2 4 2 3 2 2 6 2 3 2" xfId="49925" xr:uid="{9E5EA7E7-397D-438D-8CAB-49DD80716025}"/>
    <cellStyle name="Normal 2 4 2 3 2 2 6 2 3 3" xfId="31329" xr:uid="{5E8A6E1D-0ADE-4CE5-B231-4976CF1C4921}"/>
    <cellStyle name="Normal 2 4 2 3 2 2 6 2 4" xfId="40628" xr:uid="{3136CB06-39E2-494A-94C8-424794F383AA}"/>
    <cellStyle name="Normal 2 4 2 3 2 2 6 2 5" xfId="22030" xr:uid="{30C32A10-C46B-482D-BF1D-B66B6BBDE61E}"/>
    <cellStyle name="Normal 2 4 2 3 2 2 6 3" xfId="6329" xr:uid="{00000000-0005-0000-0000-0000BD0E0000}"/>
    <cellStyle name="Normal 2 4 2 3 2 2 6 3 2" xfId="15655" xr:uid="{0893F809-6F7B-44AE-A4B7-79AB3229154C}"/>
    <cellStyle name="Normal 2 4 2 3 2 2 6 3 2 2" xfId="51997" xr:uid="{9AEC3295-07EF-425F-9310-3DAE52A9670D}"/>
    <cellStyle name="Normal 2 4 2 3 2 2 6 3 2 3" xfId="33401" xr:uid="{BAFA4E48-4D30-47A9-B53A-2DE393E8E9C0}"/>
    <cellStyle name="Normal 2 4 2 3 2 2 6 3 3" xfId="42700" xr:uid="{A914F7B1-EE69-4F73-84EC-21C91E3088BB}"/>
    <cellStyle name="Normal 2 4 2 3 2 2 6 3 4" xfId="24102" xr:uid="{7F83A072-FCC1-4B88-B083-C7AC4738E6D0}"/>
    <cellStyle name="Normal 2 4 2 3 2 2 6 4" xfId="11438" xr:uid="{4122AB6B-A2AC-4B53-A61F-A75D62C1B1E2}"/>
    <cellStyle name="Normal 2 4 2 3 2 2 6 4 2" xfId="47780" xr:uid="{A04B45F4-EAC9-47EB-9495-82B6CEA0B7B8}"/>
    <cellStyle name="Normal 2 4 2 3 2 2 6 4 3" xfId="29184" xr:uid="{5B02723D-E83A-4133-ADA4-68F0FBB720DF}"/>
    <cellStyle name="Normal 2 4 2 3 2 2 6 5" xfId="38483" xr:uid="{1DF04240-23C9-492C-A1DB-7234CAADF801}"/>
    <cellStyle name="Normal 2 4 2 3 2 2 6 6" xfId="19885" xr:uid="{4AF51CEA-2493-4692-9C58-E50D5E6BF5FB}"/>
    <cellStyle name="Normal 2 4 2 3 2 2 7" xfId="2459" xr:uid="{00000000-0005-0000-0000-0000BE0E0000}"/>
    <cellStyle name="Normal 2 4 2 3 2 2 7 2" xfId="6742" xr:uid="{00000000-0005-0000-0000-0000BF0E0000}"/>
    <cellStyle name="Normal 2 4 2 3 2 2 7 2 2" xfId="16068" xr:uid="{6F3EC0F1-3B68-4D34-B7F9-F9A01CFCBB9B}"/>
    <cellStyle name="Normal 2 4 2 3 2 2 7 2 2 2" xfId="52410" xr:uid="{C6F53FAB-DFC6-437E-93C7-A9C785A4A5C3}"/>
    <cellStyle name="Normal 2 4 2 3 2 2 7 2 2 3" xfId="33814" xr:uid="{74C9005A-F4DE-4EA6-90A0-13EE62853DCC}"/>
    <cellStyle name="Normal 2 4 2 3 2 2 7 2 3" xfId="43113" xr:uid="{07751843-E045-4CB2-82B0-F918DCCA4DC1}"/>
    <cellStyle name="Normal 2 4 2 3 2 2 7 2 4" xfId="24515" xr:uid="{CF31D490-5574-4090-BF5D-5A24345C4EDC}"/>
    <cellStyle name="Normal 2 4 2 3 2 2 7 3" xfId="11851" xr:uid="{6FF201BA-9F93-4CAE-B083-6FC21E6D5720}"/>
    <cellStyle name="Normal 2 4 2 3 2 2 7 3 2" xfId="48193" xr:uid="{AA40BE72-8784-44A4-BD1E-4971D580C0B7}"/>
    <cellStyle name="Normal 2 4 2 3 2 2 7 3 3" xfId="29597" xr:uid="{6C820734-0779-4BF9-B2B4-6AF39A6E376A}"/>
    <cellStyle name="Normal 2 4 2 3 2 2 7 4" xfId="38896" xr:uid="{15A62814-143B-4A54-BFE8-74770117747B}"/>
    <cellStyle name="Normal 2 4 2 3 2 2 7 5" xfId="20298" xr:uid="{91B24C51-B730-4E66-9D3D-93CDA4D3A042}"/>
    <cellStyle name="Normal 2 4 2 3 2 2 8" xfId="4676" xr:uid="{00000000-0005-0000-0000-0000C00E0000}"/>
    <cellStyle name="Normal 2 4 2 3 2 2 8 2" xfId="14002" xr:uid="{85009B90-069F-4F63-9070-FDA6C3F1E31E}"/>
    <cellStyle name="Normal 2 4 2 3 2 2 8 2 2" xfId="50344" xr:uid="{DAD9FCEA-1E51-4160-A93D-449E1D6B4382}"/>
    <cellStyle name="Normal 2 4 2 3 2 2 8 2 3" xfId="31748" xr:uid="{590289B6-02FC-431C-B615-A52A81495CA9}"/>
    <cellStyle name="Normal 2 4 2 3 2 2 8 3" xfId="41047" xr:uid="{689890CA-42FA-4DFE-A50F-F1C4EBC782A7}"/>
    <cellStyle name="Normal 2 4 2 3 2 2 8 4" xfId="22449" xr:uid="{E36743FA-9092-4FE2-A855-C895347B39B0}"/>
    <cellStyle name="Normal 2 4 2 3 2 2 9" xfId="8916" xr:uid="{1EF18CC7-44BB-43EB-8DB6-D193CEF128C1}"/>
    <cellStyle name="Normal 2 4 2 3 2 2 9 2" xfId="35986" xr:uid="{850545F6-862E-4A36-BA56-A3AAD46F31C3}"/>
    <cellStyle name="Normal 2 4 2 3 2 2 9 2 2" xfId="54581" xr:uid="{C0526EB5-AE36-45A7-9B3B-E6C8C3EEC0EB}"/>
    <cellStyle name="Normal 2 4 2 3 2 2 9 3" xfId="45284" xr:uid="{859169F2-29EE-4B2A-8349-5D711BF6255F}"/>
    <cellStyle name="Normal 2 4 2 3 2 2 9 4" xfId="26687" xr:uid="{6E91FCFD-6A4E-4D6F-8C23-353EB35E007B}"/>
    <cellStyle name="Normal 2 4 2 3 2 3" xfId="285" xr:uid="{00000000-0005-0000-0000-0000C10E0000}"/>
    <cellStyle name="Normal 2 4 2 3 2 3 10" xfId="36832" xr:uid="{2A50D7E7-2E49-43B2-B9E1-344DDB6CF227}"/>
    <cellStyle name="Normal 2 4 2 3 2 3 11" xfId="18234" xr:uid="{DAE648EE-9233-4484-B298-05DD470512B7}"/>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16563" xr:uid="{A7125DDC-7544-40AB-98AA-201A3C5C64D7}"/>
    <cellStyle name="Normal 2 4 2 3 2 3 2 2 2 2 2" xfId="52905" xr:uid="{486EE7EC-C057-4FB4-AAF5-2BF4588904EC}"/>
    <cellStyle name="Normal 2 4 2 3 2 3 2 2 2 2 3" xfId="34309" xr:uid="{CEA897B9-A811-4A31-BFFE-40E1873FA47A}"/>
    <cellStyle name="Normal 2 4 2 3 2 3 2 2 2 3" xfId="43608" xr:uid="{654AB815-9B46-409E-ABAA-467E454BBFC4}"/>
    <cellStyle name="Normal 2 4 2 3 2 3 2 2 2 4" xfId="25010" xr:uid="{BDCE77A3-9352-475C-9BAE-9AC81EC8027C}"/>
    <cellStyle name="Normal 2 4 2 3 2 3 2 2 3" xfId="12346" xr:uid="{4778A091-790A-4D20-BDF9-FBB995714D6B}"/>
    <cellStyle name="Normal 2 4 2 3 2 3 2 2 3 2" xfId="48688" xr:uid="{5FE2CD9E-FBB5-4CBB-B51A-60AA9D722F7B}"/>
    <cellStyle name="Normal 2 4 2 3 2 3 2 2 3 3" xfId="30092" xr:uid="{9932F9E5-46FA-4B96-830D-02CB99A4C6A9}"/>
    <cellStyle name="Normal 2 4 2 3 2 3 2 2 4" xfId="39391" xr:uid="{FA40CBE7-88E4-4436-8ACD-4B248F9ABC19}"/>
    <cellStyle name="Normal 2 4 2 3 2 3 2 2 5" xfId="20793" xr:uid="{CEDA44C8-4A57-46B7-B319-13232C11B2D1}"/>
    <cellStyle name="Normal 2 4 2 3 2 3 2 3" xfId="5092" xr:uid="{00000000-0005-0000-0000-0000C50E0000}"/>
    <cellStyle name="Normal 2 4 2 3 2 3 2 3 2" xfId="14418" xr:uid="{8F9E8C42-17BE-49CC-816F-853287D58542}"/>
    <cellStyle name="Normal 2 4 2 3 2 3 2 3 2 2" xfId="50760" xr:uid="{F940ADB0-D032-4EB4-A7A0-930DA97528A9}"/>
    <cellStyle name="Normal 2 4 2 3 2 3 2 3 2 3" xfId="32164" xr:uid="{8801B8E4-5870-4D5E-AD37-FDBE0B80B501}"/>
    <cellStyle name="Normal 2 4 2 3 2 3 2 3 3" xfId="41463" xr:uid="{3572327E-5A14-4C52-9DDA-F15032097ED7}"/>
    <cellStyle name="Normal 2 4 2 3 2 3 2 3 4" xfId="22865" xr:uid="{D0281748-B0C7-41F4-827A-F5FA7AF1EC0C}"/>
    <cellStyle name="Normal 2 4 2 3 2 3 2 4" xfId="9445" xr:uid="{67F9E33C-8554-469D-8D7A-1147F632F3B0}"/>
    <cellStyle name="Normal 2 4 2 3 2 3 2 4 2" xfId="36506" xr:uid="{E8BBB41A-F350-4789-8C19-5C4A36A0CBD3}"/>
    <cellStyle name="Normal 2 4 2 3 2 3 2 4 2 2" xfId="55100" xr:uid="{F3FF72D1-4089-4A97-9BCB-EFE61EAF7E2E}"/>
    <cellStyle name="Normal 2 4 2 3 2 3 2 4 3" xfId="45803" xr:uid="{ABAD99F2-CAF0-4122-A8DF-B4A4BED613A9}"/>
    <cellStyle name="Normal 2 4 2 3 2 3 2 4 4" xfId="27207" xr:uid="{FF61E048-9082-417E-9B7D-BF884F4D57FD}"/>
    <cellStyle name="Normal 2 4 2 3 2 3 2 5" xfId="10201" xr:uid="{8F9D6BFC-363A-46FA-8891-CECAFE12B96B}"/>
    <cellStyle name="Normal 2 4 2 3 2 3 2 5 2" xfId="46543" xr:uid="{8181D273-5BC4-4A36-AE50-2BD2167F6291}"/>
    <cellStyle name="Normal 2 4 2 3 2 3 2 5 3" xfId="27947" xr:uid="{76942D5E-D897-49DD-93A9-B6F4BF75A86F}"/>
    <cellStyle name="Normal 2 4 2 3 2 3 2 6" xfId="37246" xr:uid="{A3B73138-A3E0-44AA-9E42-B98EEE913689}"/>
    <cellStyle name="Normal 2 4 2 3 2 3 2 7" xfId="18648" xr:uid="{DD79A9D5-FDA8-421F-BDA9-C9C4A74F2F6F}"/>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16976" xr:uid="{3C45EAAF-9AF0-46A8-B1B4-50E25DA6B69F}"/>
    <cellStyle name="Normal 2 4 2 3 2 3 3 2 2 2 2" xfId="53318" xr:uid="{9A1D48F7-2DD3-4EF1-8DBD-24E7C3614B24}"/>
    <cellStyle name="Normal 2 4 2 3 2 3 3 2 2 2 3" xfId="34722" xr:uid="{0719E1D2-03D2-4C57-8A89-75EDA4CF7571}"/>
    <cellStyle name="Normal 2 4 2 3 2 3 3 2 2 3" xfId="44021" xr:uid="{ED2C8AAE-F423-4099-A227-94660DD00C3E}"/>
    <cellStyle name="Normal 2 4 2 3 2 3 3 2 2 4" xfId="25423" xr:uid="{52DBFD1C-F3EC-4CA9-A948-E13279E86E1C}"/>
    <cellStyle name="Normal 2 4 2 3 2 3 3 2 3" xfId="12759" xr:uid="{CABE9E9C-8E35-4B65-B709-FC3912F3BAC1}"/>
    <cellStyle name="Normal 2 4 2 3 2 3 3 2 3 2" xfId="49101" xr:uid="{2368C044-3BA4-4F8D-8BB4-7785EA43F1E4}"/>
    <cellStyle name="Normal 2 4 2 3 2 3 3 2 3 3" xfId="30505" xr:uid="{F2BAD6DE-E1EC-4F36-AAD1-3FD1B823BB85}"/>
    <cellStyle name="Normal 2 4 2 3 2 3 3 2 4" xfId="39804" xr:uid="{E4231538-D18F-4E4C-B174-BA52FB6E2C86}"/>
    <cellStyle name="Normal 2 4 2 3 2 3 3 2 5" xfId="21206" xr:uid="{E9B49D8F-B962-4720-A7C0-0AA0FED1FE02}"/>
    <cellStyle name="Normal 2 4 2 3 2 3 3 3" xfId="5505" xr:uid="{00000000-0005-0000-0000-0000C90E0000}"/>
    <cellStyle name="Normal 2 4 2 3 2 3 3 3 2" xfId="14831" xr:uid="{386D03B0-4C6F-4AA5-824A-6A39FC4E85EB}"/>
    <cellStyle name="Normal 2 4 2 3 2 3 3 3 2 2" xfId="51173" xr:uid="{CC24A9B1-0D48-4244-8CBA-E45025B908B5}"/>
    <cellStyle name="Normal 2 4 2 3 2 3 3 3 2 3" xfId="32577" xr:uid="{026EF079-FC91-40E7-8578-F2E58FF2419C}"/>
    <cellStyle name="Normal 2 4 2 3 2 3 3 3 3" xfId="41876" xr:uid="{C8D82A93-1F89-4605-8BF6-0E846CFCB61C}"/>
    <cellStyle name="Normal 2 4 2 3 2 3 3 3 4" xfId="23278" xr:uid="{9D2165C5-6041-4EFB-A880-B2F42E604781}"/>
    <cellStyle name="Normal 2 4 2 3 2 3 3 4" xfId="10614" xr:uid="{5BAD53E8-E1B8-4357-9878-8F7A1C437133}"/>
    <cellStyle name="Normal 2 4 2 3 2 3 3 4 2" xfId="46956" xr:uid="{111A8244-1ED5-4ED7-BFF1-2A832807A942}"/>
    <cellStyle name="Normal 2 4 2 3 2 3 3 4 3" xfId="28360" xr:uid="{9E0EB3EC-D0E6-43C8-B4B0-2CBE11DA75DD}"/>
    <cellStyle name="Normal 2 4 2 3 2 3 3 5" xfId="37659" xr:uid="{1B401C3C-259E-4E9A-924D-71887086FDF3}"/>
    <cellStyle name="Normal 2 4 2 3 2 3 3 6" xfId="19061" xr:uid="{606F9157-BA5A-49D9-BC34-60FC70C192D8}"/>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17389" xr:uid="{3186C082-F61C-4C60-B053-E91B0093FF72}"/>
    <cellStyle name="Normal 2 4 2 3 2 3 4 2 2 2 2" xfId="53731" xr:uid="{D9929FB5-6520-4107-8843-EFAAE4D7A088}"/>
    <cellStyle name="Normal 2 4 2 3 2 3 4 2 2 2 3" xfId="35135" xr:uid="{AF7C2E4E-4767-4299-844C-EEF44BB15AE6}"/>
    <cellStyle name="Normal 2 4 2 3 2 3 4 2 2 3" xfId="44434" xr:uid="{9578C6D6-2DA1-44D2-94CF-DD2EC9A81B8F}"/>
    <cellStyle name="Normal 2 4 2 3 2 3 4 2 2 4" xfId="25836" xr:uid="{D174BA3E-8E01-4547-A953-4BDB04A2945B}"/>
    <cellStyle name="Normal 2 4 2 3 2 3 4 2 3" xfId="13172" xr:uid="{7F4C6503-0A7D-4D6B-825D-A315E8EAC4AB}"/>
    <cellStyle name="Normal 2 4 2 3 2 3 4 2 3 2" xfId="49514" xr:uid="{0B663E3E-9C48-44F3-AF3B-9A66294AF415}"/>
    <cellStyle name="Normal 2 4 2 3 2 3 4 2 3 3" xfId="30918" xr:uid="{B9DB7FFD-2542-4CC7-AEF7-16D0C17634B0}"/>
    <cellStyle name="Normal 2 4 2 3 2 3 4 2 4" xfId="40217" xr:uid="{75C38947-F2BA-49AA-91F9-63053C847372}"/>
    <cellStyle name="Normal 2 4 2 3 2 3 4 2 5" xfId="21619" xr:uid="{76B58013-2614-43E0-85C7-45E10FA623C5}"/>
    <cellStyle name="Normal 2 4 2 3 2 3 4 3" xfId="5918" xr:uid="{00000000-0005-0000-0000-0000CD0E0000}"/>
    <cellStyle name="Normal 2 4 2 3 2 3 4 3 2" xfId="15244" xr:uid="{AA178748-6B86-4453-8159-A6EB32265546}"/>
    <cellStyle name="Normal 2 4 2 3 2 3 4 3 2 2" xfId="51586" xr:uid="{7CE36508-ADF2-468A-98D4-29FC189C75BC}"/>
    <cellStyle name="Normal 2 4 2 3 2 3 4 3 2 3" xfId="32990" xr:uid="{74C0E514-6379-4BA9-B578-AB8D8772A90C}"/>
    <cellStyle name="Normal 2 4 2 3 2 3 4 3 3" xfId="42289" xr:uid="{82BB1197-0178-4D87-9D75-0087EDEA330A}"/>
    <cellStyle name="Normal 2 4 2 3 2 3 4 3 4" xfId="23691" xr:uid="{740DBEA4-7720-4018-B7C7-118D450A5827}"/>
    <cellStyle name="Normal 2 4 2 3 2 3 4 4" xfId="11027" xr:uid="{63D2272E-3F31-4E65-8075-CDFC630AFEB2}"/>
    <cellStyle name="Normal 2 4 2 3 2 3 4 4 2" xfId="47369" xr:uid="{14A2471D-E921-4A95-8D4F-9FF52E69956E}"/>
    <cellStyle name="Normal 2 4 2 3 2 3 4 4 3" xfId="28773" xr:uid="{97052B7B-B71A-42BC-9F45-66367485BF03}"/>
    <cellStyle name="Normal 2 4 2 3 2 3 4 5" xfId="38072" xr:uid="{DAF0D12A-4593-48A2-9477-3F66E47195C0}"/>
    <cellStyle name="Normal 2 4 2 3 2 3 4 6" xfId="19474" xr:uid="{E1695EED-8EFF-4001-9954-52F71020C49C}"/>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17802" xr:uid="{907938F0-25F9-421B-A7BC-A9BC1A556A60}"/>
    <cellStyle name="Normal 2 4 2 3 2 3 5 2 2 2 2" xfId="54144" xr:uid="{59E8A6A4-1A5C-4071-A1A4-7332FB0E2BCE}"/>
    <cellStyle name="Normal 2 4 2 3 2 3 5 2 2 2 3" xfId="35548" xr:uid="{BB484052-6F66-4DA8-85C4-F6FFF75A504B}"/>
    <cellStyle name="Normal 2 4 2 3 2 3 5 2 2 3" xfId="44847" xr:uid="{725E4752-56B7-47C2-8B22-4884BDEBB692}"/>
    <cellStyle name="Normal 2 4 2 3 2 3 5 2 2 4" xfId="26249" xr:uid="{869C7901-F1A7-475C-8707-D4D69DD34041}"/>
    <cellStyle name="Normal 2 4 2 3 2 3 5 2 3" xfId="13585" xr:uid="{DF885DB2-FD0F-4C56-8784-4D0843B73962}"/>
    <cellStyle name="Normal 2 4 2 3 2 3 5 2 3 2" xfId="49927" xr:uid="{20F9BD88-0960-4405-88F5-1005A680C0C5}"/>
    <cellStyle name="Normal 2 4 2 3 2 3 5 2 3 3" xfId="31331" xr:uid="{36FDE4E8-4019-4CAA-A1BA-2E0B55F86CCC}"/>
    <cellStyle name="Normal 2 4 2 3 2 3 5 2 4" xfId="40630" xr:uid="{7EAA8A3B-7658-4508-BFDE-EAA316426F2C}"/>
    <cellStyle name="Normal 2 4 2 3 2 3 5 2 5" xfId="22032" xr:uid="{B0FCC4D2-D093-4D58-B754-107C06100163}"/>
    <cellStyle name="Normal 2 4 2 3 2 3 5 3" xfId="6331" xr:uid="{00000000-0005-0000-0000-0000D10E0000}"/>
    <cellStyle name="Normal 2 4 2 3 2 3 5 3 2" xfId="15657" xr:uid="{FAFDB7FE-ECEB-4E53-BB35-B16BB428C160}"/>
    <cellStyle name="Normal 2 4 2 3 2 3 5 3 2 2" xfId="51999" xr:uid="{2DDD8657-0F67-46F0-BDE2-7D2A796CF0A9}"/>
    <cellStyle name="Normal 2 4 2 3 2 3 5 3 2 3" xfId="33403" xr:uid="{E9C87571-3A57-4784-9699-07892F0248EB}"/>
    <cellStyle name="Normal 2 4 2 3 2 3 5 3 3" xfId="42702" xr:uid="{7BDF0EDC-C746-4956-9240-D12B8F2D0A39}"/>
    <cellStyle name="Normal 2 4 2 3 2 3 5 3 4" xfId="24104" xr:uid="{67D1D14E-C297-4B2E-9B41-3C6DA5791E78}"/>
    <cellStyle name="Normal 2 4 2 3 2 3 5 4" xfId="11440" xr:uid="{9FA07D4B-E329-4E37-8957-9B6921A1380F}"/>
    <cellStyle name="Normal 2 4 2 3 2 3 5 4 2" xfId="47782" xr:uid="{155F92DB-A496-4EC1-8C8D-5F385B826441}"/>
    <cellStyle name="Normal 2 4 2 3 2 3 5 4 3" xfId="29186" xr:uid="{EC9D9B41-E861-419C-8FA4-BE30A7FB4668}"/>
    <cellStyle name="Normal 2 4 2 3 2 3 5 5" xfId="38485" xr:uid="{17DA9B59-F4F4-4CD6-AEC4-5A9AADA0B541}"/>
    <cellStyle name="Normal 2 4 2 3 2 3 5 6" xfId="19887" xr:uid="{0F4514E5-87D0-4C1C-9E64-7876D53739CD}"/>
    <cellStyle name="Normal 2 4 2 3 2 3 6" xfId="2461" xr:uid="{00000000-0005-0000-0000-0000D20E0000}"/>
    <cellStyle name="Normal 2 4 2 3 2 3 6 2" xfId="6744" xr:uid="{00000000-0005-0000-0000-0000D30E0000}"/>
    <cellStyle name="Normal 2 4 2 3 2 3 6 2 2" xfId="16070" xr:uid="{3E7742DA-BA6A-4C7F-BF0D-D4D21E232AFF}"/>
    <cellStyle name="Normal 2 4 2 3 2 3 6 2 2 2" xfId="52412" xr:uid="{26301515-300A-4692-ABC2-68165D6C7B5A}"/>
    <cellStyle name="Normal 2 4 2 3 2 3 6 2 2 3" xfId="33816" xr:uid="{E26A03EA-28D0-4127-A242-CF20CF6D2B6B}"/>
    <cellStyle name="Normal 2 4 2 3 2 3 6 2 3" xfId="43115" xr:uid="{660B7103-822B-4A66-B87C-D0E3181B629E}"/>
    <cellStyle name="Normal 2 4 2 3 2 3 6 2 4" xfId="24517" xr:uid="{3F99EB54-71CE-4A77-BA56-D5E9C77E6413}"/>
    <cellStyle name="Normal 2 4 2 3 2 3 6 3" xfId="11853" xr:uid="{5F15242F-213E-4E21-AC38-F60040BCE87F}"/>
    <cellStyle name="Normal 2 4 2 3 2 3 6 3 2" xfId="48195" xr:uid="{3BFF839B-E1F6-41FC-961D-ED6A00E46BB2}"/>
    <cellStyle name="Normal 2 4 2 3 2 3 6 3 3" xfId="29599" xr:uid="{7F263E6E-F55A-4593-8D87-214423E6C66F}"/>
    <cellStyle name="Normal 2 4 2 3 2 3 6 4" xfId="38898" xr:uid="{3E1D3118-AA46-4F05-A779-4E300C9DB04F}"/>
    <cellStyle name="Normal 2 4 2 3 2 3 6 5" xfId="20300" xr:uid="{9EB6EA7F-963F-4FE7-94B2-7C070F792AB8}"/>
    <cellStyle name="Normal 2 4 2 3 2 3 7" xfId="4678" xr:uid="{00000000-0005-0000-0000-0000D40E0000}"/>
    <cellStyle name="Normal 2 4 2 3 2 3 7 2" xfId="14004" xr:uid="{31EF10EE-FBDB-4001-8975-0D9719E14295}"/>
    <cellStyle name="Normal 2 4 2 3 2 3 7 2 2" xfId="50346" xr:uid="{417AC1B7-2A9C-4830-B6B0-3DCC08B8495A}"/>
    <cellStyle name="Normal 2 4 2 3 2 3 7 2 3" xfId="31750" xr:uid="{475AC53F-FBDD-4845-911B-69DDA993CA09}"/>
    <cellStyle name="Normal 2 4 2 3 2 3 7 3" xfId="41049" xr:uid="{9C515426-BC2F-45C1-B4E7-51757B01F6C3}"/>
    <cellStyle name="Normal 2 4 2 3 2 3 7 4" xfId="22451" xr:uid="{28E87F72-1922-48B5-8A58-D00E9F91953F}"/>
    <cellStyle name="Normal 2 4 2 3 2 3 8" xfId="9020" xr:uid="{5718F785-8E2C-4B45-91D1-4597173D90A6}"/>
    <cellStyle name="Normal 2 4 2 3 2 3 8 2" xfId="36090" xr:uid="{70BD8CD0-D7F9-461C-89E8-091C9BDB6603}"/>
    <cellStyle name="Normal 2 4 2 3 2 3 8 2 2" xfId="54685" xr:uid="{081A091C-EF92-46A5-95BF-5ADCF4D8594E}"/>
    <cellStyle name="Normal 2 4 2 3 2 3 8 3" xfId="45388" xr:uid="{4EA559E2-2E38-4F26-BBD3-1553A0FD5F07}"/>
    <cellStyle name="Normal 2 4 2 3 2 3 8 4" xfId="26791" xr:uid="{E2FEA454-F79B-4607-B1B7-9CD2B64C62C9}"/>
    <cellStyle name="Normal 2 4 2 3 2 3 9" xfId="9787" xr:uid="{92455070-8FF3-4956-9724-F6E4596F613B}"/>
    <cellStyle name="Normal 2 4 2 3 2 3 9 2" xfId="46129" xr:uid="{0889AED2-4CD5-4817-8F27-8A1EE8CE14FA}"/>
    <cellStyle name="Normal 2 4 2 3 2 3 9 3" xfId="27533" xr:uid="{EB308586-41A3-42F5-ADEB-B9FB9076695C}"/>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16560" xr:uid="{E093C75D-B192-4A31-A1FE-F4527CD1E3AE}"/>
    <cellStyle name="Normal 2 4 2 3 2 4 2 2 2 2" xfId="52902" xr:uid="{6AC44467-44BC-480B-A2D4-019533390B3C}"/>
    <cellStyle name="Normal 2 4 2 3 2 4 2 2 2 3" xfId="34306" xr:uid="{95B839AD-0603-473B-A4FE-6407E18F8965}"/>
    <cellStyle name="Normal 2 4 2 3 2 4 2 2 3" xfId="43605" xr:uid="{CA7A25FB-6EC9-47E3-9DC5-0DB357A30D46}"/>
    <cellStyle name="Normal 2 4 2 3 2 4 2 2 4" xfId="25007" xr:uid="{07A5D3B9-7729-4A51-B2CD-C454A28D26D6}"/>
    <cellStyle name="Normal 2 4 2 3 2 4 2 3" xfId="12343" xr:uid="{4212EEF9-4906-45CA-B99B-A36F2EFDE5E4}"/>
    <cellStyle name="Normal 2 4 2 3 2 4 2 3 2" xfId="48685" xr:uid="{BE0F6E45-517B-4796-89EB-6ABAD8887C83}"/>
    <cellStyle name="Normal 2 4 2 3 2 4 2 3 3" xfId="30089" xr:uid="{6A98B4DA-1D09-4C66-8921-B11C3A9FEEB0}"/>
    <cellStyle name="Normal 2 4 2 3 2 4 2 4" xfId="39388" xr:uid="{5EA3F34F-63D4-42A2-A95F-23E439C8C4E5}"/>
    <cellStyle name="Normal 2 4 2 3 2 4 2 5" xfId="20790" xr:uid="{90A8103B-A454-4D6F-8D94-BD5A9B2ECA8D}"/>
    <cellStyle name="Normal 2 4 2 3 2 4 3" xfId="5089" xr:uid="{00000000-0005-0000-0000-0000D80E0000}"/>
    <cellStyle name="Normal 2 4 2 3 2 4 3 2" xfId="14415" xr:uid="{E9788F30-7922-4305-B93C-B7A280B2BE2D}"/>
    <cellStyle name="Normal 2 4 2 3 2 4 3 2 2" xfId="50757" xr:uid="{14C388CD-4AC6-4197-A448-DEC4A884534B}"/>
    <cellStyle name="Normal 2 4 2 3 2 4 3 2 3" xfId="32161" xr:uid="{96EE1BC0-DB7C-437A-A073-00276A5733BF}"/>
    <cellStyle name="Normal 2 4 2 3 2 4 3 3" xfId="41460" xr:uid="{B32FBE77-6741-4CAC-ABBF-4321D312E0BA}"/>
    <cellStyle name="Normal 2 4 2 3 2 4 3 4" xfId="22862" xr:uid="{315EA7B9-5B10-44C0-864A-D980728287B3}"/>
    <cellStyle name="Normal 2 4 2 3 2 4 4" xfId="9238" xr:uid="{BC6E5A3D-C256-46E9-A109-D643C24AA206}"/>
    <cellStyle name="Normal 2 4 2 3 2 4 4 2" xfId="36299" xr:uid="{E5B6CF8C-0949-447D-A62D-F194240C6530}"/>
    <cellStyle name="Normal 2 4 2 3 2 4 4 2 2" xfId="54893" xr:uid="{B58CD6A6-3B64-407D-8CAA-007D18FD9F05}"/>
    <cellStyle name="Normal 2 4 2 3 2 4 4 3" xfId="45596" xr:uid="{BC0103A2-B78B-48E7-A36D-1DD83F9A2432}"/>
    <cellStyle name="Normal 2 4 2 3 2 4 4 4" xfId="27000" xr:uid="{BBABA1CF-C1E5-49BE-8489-36A6DDB34C70}"/>
    <cellStyle name="Normal 2 4 2 3 2 4 5" xfId="10198" xr:uid="{3E9CD4E2-D2A5-4821-A132-5FA46378DBE9}"/>
    <cellStyle name="Normal 2 4 2 3 2 4 5 2" xfId="46540" xr:uid="{858A9BD5-7546-4355-924C-AB7F494C3D18}"/>
    <cellStyle name="Normal 2 4 2 3 2 4 5 3" xfId="27944" xr:uid="{AF9EAF0F-7310-48F3-A237-494BE64EFA33}"/>
    <cellStyle name="Normal 2 4 2 3 2 4 6" xfId="37243" xr:uid="{81B0E3F4-85AB-4A87-8894-807750623687}"/>
    <cellStyle name="Normal 2 4 2 3 2 4 7" xfId="18645" xr:uid="{86A43B0E-DA0A-4097-9C7F-ED64A5FF079E}"/>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16973" xr:uid="{1158B9F8-E7F9-47E5-B151-80E1BB1412ED}"/>
    <cellStyle name="Normal 2 4 2 3 2 5 2 2 2 2" xfId="53315" xr:uid="{7E83236F-8144-4407-8153-695F500609DA}"/>
    <cellStyle name="Normal 2 4 2 3 2 5 2 2 2 3" xfId="34719" xr:uid="{81509C1B-C2B5-458A-84B6-86E8C4F447F3}"/>
    <cellStyle name="Normal 2 4 2 3 2 5 2 2 3" xfId="44018" xr:uid="{E19B2357-9592-4148-A34C-0DEAA0DB19B2}"/>
    <cellStyle name="Normal 2 4 2 3 2 5 2 2 4" xfId="25420" xr:uid="{DEB71CB9-4271-4B1F-A602-4BC43ACA9CEC}"/>
    <cellStyle name="Normal 2 4 2 3 2 5 2 3" xfId="12756" xr:uid="{57927197-A2D5-430D-9BB4-AE0D4C70C72C}"/>
    <cellStyle name="Normal 2 4 2 3 2 5 2 3 2" xfId="49098" xr:uid="{F02D9A5C-E5CC-4F91-9E89-310A6758BAD2}"/>
    <cellStyle name="Normal 2 4 2 3 2 5 2 3 3" xfId="30502" xr:uid="{5A1B09C5-16B0-4FB7-9E6E-992E13815603}"/>
    <cellStyle name="Normal 2 4 2 3 2 5 2 4" xfId="39801" xr:uid="{ED5CF3C1-0774-45FF-948F-D2E90CC0B6B1}"/>
    <cellStyle name="Normal 2 4 2 3 2 5 2 5" xfId="21203" xr:uid="{58942DEC-AE9D-4F4D-B5CF-60E3EEF9097E}"/>
    <cellStyle name="Normal 2 4 2 3 2 5 3" xfId="5502" xr:uid="{00000000-0005-0000-0000-0000DC0E0000}"/>
    <cellStyle name="Normal 2 4 2 3 2 5 3 2" xfId="14828" xr:uid="{950DA7FE-A7BD-4362-A297-D5A482BB3653}"/>
    <cellStyle name="Normal 2 4 2 3 2 5 3 2 2" xfId="51170" xr:uid="{F43420EE-6690-4896-8AB0-778408386013}"/>
    <cellStyle name="Normal 2 4 2 3 2 5 3 2 3" xfId="32574" xr:uid="{A55DC71C-FC11-4618-B7A4-EBB28E5D94B0}"/>
    <cellStyle name="Normal 2 4 2 3 2 5 3 3" xfId="41873" xr:uid="{CFE87D00-F514-426F-8327-D92F1327CE42}"/>
    <cellStyle name="Normal 2 4 2 3 2 5 3 4" xfId="23275" xr:uid="{40E8DAD2-BC42-42FF-B44F-80D83D54AD1A}"/>
    <cellStyle name="Normal 2 4 2 3 2 5 4" xfId="10611" xr:uid="{AC97AE83-FAA6-4B02-B864-EAC6AF3DFDB5}"/>
    <cellStyle name="Normal 2 4 2 3 2 5 4 2" xfId="46953" xr:uid="{D2797023-C282-4EF6-A620-C34093098C51}"/>
    <cellStyle name="Normal 2 4 2 3 2 5 4 3" xfId="28357" xr:uid="{91DB2179-7FF2-41E5-B7CF-213DE7DA6B42}"/>
    <cellStyle name="Normal 2 4 2 3 2 5 5" xfId="37656" xr:uid="{1032DEA2-5584-47F3-B02F-18BC7C0EA843}"/>
    <cellStyle name="Normal 2 4 2 3 2 5 6" xfId="19058" xr:uid="{81ADE850-E711-46CA-8B44-5FAF57242C96}"/>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17386" xr:uid="{FADDC912-8E77-47D1-A934-4073D0360DA1}"/>
    <cellStyle name="Normal 2 4 2 3 2 6 2 2 2 2" xfId="53728" xr:uid="{282FDF45-0A83-44A9-8D8C-857AD1980A57}"/>
    <cellStyle name="Normal 2 4 2 3 2 6 2 2 2 3" xfId="35132" xr:uid="{FA7B7154-626B-489F-A404-A5EFE0B7A0F0}"/>
    <cellStyle name="Normal 2 4 2 3 2 6 2 2 3" xfId="44431" xr:uid="{F53E3D89-C7B5-463D-88EF-C8F872BF9773}"/>
    <cellStyle name="Normal 2 4 2 3 2 6 2 2 4" xfId="25833" xr:uid="{58157C60-E6FC-4AE2-9D6E-14B3F60630D3}"/>
    <cellStyle name="Normal 2 4 2 3 2 6 2 3" xfId="13169" xr:uid="{853D85A7-95A9-40C5-B176-127CAA2FE742}"/>
    <cellStyle name="Normal 2 4 2 3 2 6 2 3 2" xfId="49511" xr:uid="{DCBBBF0E-E96B-4FD3-AF7D-A12B15A6B7B0}"/>
    <cellStyle name="Normal 2 4 2 3 2 6 2 3 3" xfId="30915" xr:uid="{E6269E43-0DFD-4CE4-A4A1-6D4F21995871}"/>
    <cellStyle name="Normal 2 4 2 3 2 6 2 4" xfId="40214" xr:uid="{8CD5275B-AD8F-48B6-92DA-C4CBB2D3F71D}"/>
    <cellStyle name="Normal 2 4 2 3 2 6 2 5" xfId="21616" xr:uid="{DAEFFE30-6B46-4728-9C64-CB2AE0078A41}"/>
    <cellStyle name="Normal 2 4 2 3 2 6 3" xfId="5915" xr:uid="{00000000-0005-0000-0000-0000E00E0000}"/>
    <cellStyle name="Normal 2 4 2 3 2 6 3 2" xfId="15241" xr:uid="{F1922818-9636-454D-B142-5F677523B64A}"/>
    <cellStyle name="Normal 2 4 2 3 2 6 3 2 2" xfId="51583" xr:uid="{6E4B1DCD-0E38-4074-B19E-22F521EAE754}"/>
    <cellStyle name="Normal 2 4 2 3 2 6 3 2 3" xfId="32987" xr:uid="{B419087F-F3CD-459E-89E3-31A5CA7B1DD9}"/>
    <cellStyle name="Normal 2 4 2 3 2 6 3 3" xfId="42286" xr:uid="{728771A5-5883-4CA8-B59A-096B8675998D}"/>
    <cellStyle name="Normal 2 4 2 3 2 6 3 4" xfId="23688" xr:uid="{A7065587-666A-4CA9-87DF-29DB1C41D8CF}"/>
    <cellStyle name="Normal 2 4 2 3 2 6 4" xfId="11024" xr:uid="{364B9DD0-7FDD-4906-AB60-6D2687A8ABC6}"/>
    <cellStyle name="Normal 2 4 2 3 2 6 4 2" xfId="47366" xr:uid="{A2F9A9B6-99C8-4149-A594-5187A27D9A88}"/>
    <cellStyle name="Normal 2 4 2 3 2 6 4 3" xfId="28770" xr:uid="{D11964EF-7FFB-4D72-B39B-C65C9DAD05B5}"/>
    <cellStyle name="Normal 2 4 2 3 2 6 5" xfId="38069" xr:uid="{F6DBA4FB-D241-4411-A1CF-EA80DB1151A5}"/>
    <cellStyle name="Normal 2 4 2 3 2 6 6" xfId="19471" xr:uid="{D82DEBFD-B7F3-4318-A3D3-076455B8DD6A}"/>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17799" xr:uid="{1C22F28C-3ACE-47C9-B4C3-F0E7DD2DDF5F}"/>
    <cellStyle name="Normal 2 4 2 3 2 7 2 2 2 2" xfId="54141" xr:uid="{E0D32D7A-627D-41FF-9825-AF804FF50494}"/>
    <cellStyle name="Normal 2 4 2 3 2 7 2 2 2 3" xfId="35545" xr:uid="{98F58014-EB05-4D3F-B2B7-767EBA7E5AEC}"/>
    <cellStyle name="Normal 2 4 2 3 2 7 2 2 3" xfId="44844" xr:uid="{4611DA01-CF98-44F4-B980-6352BF034EBE}"/>
    <cellStyle name="Normal 2 4 2 3 2 7 2 2 4" xfId="26246" xr:uid="{8A1F275F-E4D9-4EC9-8593-C7280DA8B1C9}"/>
    <cellStyle name="Normal 2 4 2 3 2 7 2 3" xfId="13582" xr:uid="{FCFDEECA-57E3-4D83-B10C-4BBAB9C09982}"/>
    <cellStyle name="Normal 2 4 2 3 2 7 2 3 2" xfId="49924" xr:uid="{ECB087D0-BAB3-46F5-8C7B-9DC4BAAC18DB}"/>
    <cellStyle name="Normal 2 4 2 3 2 7 2 3 3" xfId="31328" xr:uid="{56BD43F0-A94F-4122-9D73-F32A9556A8E0}"/>
    <cellStyle name="Normal 2 4 2 3 2 7 2 4" xfId="40627" xr:uid="{98AFD4DE-E5A3-403D-B480-B0533B9E719E}"/>
    <cellStyle name="Normal 2 4 2 3 2 7 2 5" xfId="22029" xr:uid="{F90DC142-0B80-4B1E-9FB2-6032A7242E6F}"/>
    <cellStyle name="Normal 2 4 2 3 2 7 3" xfId="6328" xr:uid="{00000000-0005-0000-0000-0000E40E0000}"/>
    <cellStyle name="Normal 2 4 2 3 2 7 3 2" xfId="15654" xr:uid="{5A3DBFC3-19AB-4860-BE14-86919820442F}"/>
    <cellStyle name="Normal 2 4 2 3 2 7 3 2 2" xfId="51996" xr:uid="{1E722230-3682-48BA-AD38-808B88C36393}"/>
    <cellStyle name="Normal 2 4 2 3 2 7 3 2 3" xfId="33400" xr:uid="{F0576DAA-44AE-4946-A184-F8206D52B7CE}"/>
    <cellStyle name="Normal 2 4 2 3 2 7 3 3" xfId="42699" xr:uid="{83F28825-DA15-4BEC-98B5-F5A81008A6D8}"/>
    <cellStyle name="Normal 2 4 2 3 2 7 3 4" xfId="24101" xr:uid="{E29FA3AD-B085-420E-ADDC-B02F2BEB403E}"/>
    <cellStyle name="Normal 2 4 2 3 2 7 4" xfId="11437" xr:uid="{E0138A1D-AFB9-46E5-9F07-DCBC50AD4001}"/>
    <cellStyle name="Normal 2 4 2 3 2 7 4 2" xfId="47779" xr:uid="{9A6B2730-F26D-44D3-9177-D2528F5CABC5}"/>
    <cellStyle name="Normal 2 4 2 3 2 7 4 3" xfId="29183" xr:uid="{17EA5144-18C4-4D20-B00C-0174D94E417C}"/>
    <cellStyle name="Normal 2 4 2 3 2 7 5" xfId="38482" xr:uid="{FF7CC71F-2E7E-494F-BD92-FF5748D6D42F}"/>
    <cellStyle name="Normal 2 4 2 3 2 7 6" xfId="19884" xr:uid="{789D1116-25AC-4A4E-9503-0FE590C32A9E}"/>
    <cellStyle name="Normal 2 4 2 3 2 8" xfId="2458" xr:uid="{00000000-0005-0000-0000-0000E50E0000}"/>
    <cellStyle name="Normal 2 4 2 3 2 8 2" xfId="6741" xr:uid="{00000000-0005-0000-0000-0000E60E0000}"/>
    <cellStyle name="Normal 2 4 2 3 2 8 2 2" xfId="16067" xr:uid="{BEA922EC-2DF0-4A2F-9985-A0F45276B70B}"/>
    <cellStyle name="Normal 2 4 2 3 2 8 2 2 2" xfId="52409" xr:uid="{EBE4D3E5-EA1A-47B2-A101-65C5E8506EAE}"/>
    <cellStyle name="Normal 2 4 2 3 2 8 2 2 3" xfId="33813" xr:uid="{C9ECE5F1-CBEB-4AF3-AA2F-78B3A7663AEF}"/>
    <cellStyle name="Normal 2 4 2 3 2 8 2 3" xfId="43112" xr:uid="{CEED61D1-F015-4C3A-95B1-C0554725160F}"/>
    <cellStyle name="Normal 2 4 2 3 2 8 2 4" xfId="24514" xr:uid="{BBDDE508-3FE1-4A2C-939D-23838BA555CE}"/>
    <cellStyle name="Normal 2 4 2 3 2 8 3" xfId="11850" xr:uid="{D2A51F75-8646-4F45-BE98-DCDCB89053C7}"/>
    <cellStyle name="Normal 2 4 2 3 2 8 3 2" xfId="48192" xr:uid="{33A9A1D2-F424-434B-8808-6821884F93FA}"/>
    <cellStyle name="Normal 2 4 2 3 2 8 3 3" xfId="29596" xr:uid="{A4698B51-1505-4CA2-BDD6-51FAFF65527C}"/>
    <cellStyle name="Normal 2 4 2 3 2 8 4" xfId="38895" xr:uid="{E601B6EA-E539-47C2-9804-DBC221D429EA}"/>
    <cellStyle name="Normal 2 4 2 3 2 8 5" xfId="20297" xr:uid="{63742175-B73F-4C70-8EED-BCB09CF1063D}"/>
    <cellStyle name="Normal 2 4 2 3 2 9" xfId="4675" xr:uid="{00000000-0005-0000-0000-0000E70E0000}"/>
    <cellStyle name="Normal 2 4 2 3 2 9 2" xfId="14001" xr:uid="{5838484D-1936-46F4-B2D2-3976D707D417}"/>
    <cellStyle name="Normal 2 4 2 3 2 9 2 2" xfId="50343" xr:uid="{509C8585-D03D-4CF6-A798-C97C81F92C8D}"/>
    <cellStyle name="Normal 2 4 2 3 2 9 2 3" xfId="31747" xr:uid="{301307C6-314B-4300-A334-961D97D9D6CA}"/>
    <cellStyle name="Normal 2 4 2 3 2 9 3" xfId="41046" xr:uid="{3456DC6E-A6F1-4392-A867-5C7D5456F0AF}"/>
    <cellStyle name="Normal 2 4 2 3 2 9 4" xfId="22448" xr:uid="{C0C557B0-D7EE-4796-8AAB-43DE5FEE8E62}"/>
    <cellStyle name="Normal 2 4 2 3 3" xfId="286" xr:uid="{00000000-0005-0000-0000-0000E80E0000}"/>
    <cellStyle name="Normal 2 4 2 3 3 10" xfId="9788" xr:uid="{66EA49DE-3CA4-4E55-8754-C975A2B21581}"/>
    <cellStyle name="Normal 2 4 2 3 3 10 2" xfId="46130" xr:uid="{3E335ED4-E472-4745-A49B-B61F7C1658FB}"/>
    <cellStyle name="Normal 2 4 2 3 3 10 3" xfId="27534" xr:uid="{934E9326-9095-4374-9430-06536E598BFB}"/>
    <cellStyle name="Normal 2 4 2 3 3 11" xfId="36833" xr:uid="{A2DC7D33-2622-4092-94FF-04498E024167}"/>
    <cellStyle name="Normal 2 4 2 3 3 12" xfId="18235" xr:uid="{45C30C7C-7F88-4E20-B2F7-A698E98F67B3}"/>
    <cellStyle name="Normal 2 4 2 3 3 2" xfId="287" xr:uid="{00000000-0005-0000-0000-0000E90E0000}"/>
    <cellStyle name="Normal 2 4 2 3 3 2 10" xfId="36834" xr:uid="{5E67B905-5500-431D-8EEB-3EC1FAB70BBF}"/>
    <cellStyle name="Normal 2 4 2 3 3 2 11" xfId="18236" xr:uid="{5F2661DB-8050-446A-AC41-9B0A54FF3AF5}"/>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16565" xr:uid="{2CE09F34-D466-4CE7-8D8B-4F9571D07204}"/>
    <cellStyle name="Normal 2 4 2 3 3 2 2 2 2 2 2" xfId="52907" xr:uid="{2D027002-DA68-4E40-BECC-7AFAA7A63EA8}"/>
    <cellStyle name="Normal 2 4 2 3 3 2 2 2 2 2 3" xfId="34311" xr:uid="{2D989A82-28E9-4CCE-9DC8-F4AF7DA0012D}"/>
    <cellStyle name="Normal 2 4 2 3 3 2 2 2 2 3" xfId="43610" xr:uid="{B586355F-CAAF-497D-A1D3-B7CA62560618}"/>
    <cellStyle name="Normal 2 4 2 3 3 2 2 2 2 4" xfId="25012" xr:uid="{64F168AB-477B-4FCA-83FB-3861589CFD42}"/>
    <cellStyle name="Normal 2 4 2 3 3 2 2 2 3" xfId="12348" xr:uid="{80A6E5C8-8179-4670-9D9E-6DF8EB7A3C40}"/>
    <cellStyle name="Normal 2 4 2 3 3 2 2 2 3 2" xfId="48690" xr:uid="{FAB9F21B-739A-4239-AA8C-E992B3B03C8E}"/>
    <cellStyle name="Normal 2 4 2 3 3 2 2 2 3 3" xfId="30094" xr:uid="{68EAFAA3-3226-47CA-913F-8E40EE180A9B}"/>
    <cellStyle name="Normal 2 4 2 3 3 2 2 2 4" xfId="39393" xr:uid="{31F58486-2EB7-43A1-8E46-721DBECED518}"/>
    <cellStyle name="Normal 2 4 2 3 3 2 2 2 5" xfId="20795" xr:uid="{15FD2100-945B-46D6-8CD9-E235B438708F}"/>
    <cellStyle name="Normal 2 4 2 3 3 2 2 3" xfId="5094" xr:uid="{00000000-0005-0000-0000-0000ED0E0000}"/>
    <cellStyle name="Normal 2 4 2 3 3 2 2 3 2" xfId="14420" xr:uid="{CEC14375-76A5-462D-8D5C-2FBA5DA00EF9}"/>
    <cellStyle name="Normal 2 4 2 3 3 2 2 3 2 2" xfId="50762" xr:uid="{68B6BD06-D3DF-4BC1-9544-DEE5A53C730D}"/>
    <cellStyle name="Normal 2 4 2 3 3 2 2 3 2 3" xfId="32166" xr:uid="{18656BAD-5019-4878-806E-C3CED6BAEB3C}"/>
    <cellStyle name="Normal 2 4 2 3 3 2 2 3 3" xfId="41465" xr:uid="{6DBAF5F2-E0EE-410D-9F2D-D9D19C5E1417}"/>
    <cellStyle name="Normal 2 4 2 3 3 2 2 3 4" xfId="22867" xr:uid="{EB8DF1E6-3DA8-4E37-B23D-A67B92BA6E22}"/>
    <cellStyle name="Normal 2 4 2 3 3 2 2 4" xfId="9523" xr:uid="{49BCB42B-3FEB-4D87-8E20-52FE775F87DD}"/>
    <cellStyle name="Normal 2 4 2 3 3 2 2 4 2" xfId="36584" xr:uid="{42E7E3FA-0AE9-42A9-B92D-8D04F0114FAF}"/>
    <cellStyle name="Normal 2 4 2 3 3 2 2 4 2 2" xfId="55178" xr:uid="{888B5A5B-719A-49D9-8845-27B7388D4315}"/>
    <cellStyle name="Normal 2 4 2 3 3 2 2 4 3" xfId="45881" xr:uid="{B611FD88-0AA3-4DC4-BCFE-246FDB4454CE}"/>
    <cellStyle name="Normal 2 4 2 3 3 2 2 4 4" xfId="27285" xr:uid="{B3759E05-6A0F-4FC0-B1CC-C7D51298711A}"/>
    <cellStyle name="Normal 2 4 2 3 3 2 2 5" xfId="10203" xr:uid="{DA19BAB7-2A50-424E-BEF0-25E33CC44B0D}"/>
    <cellStyle name="Normal 2 4 2 3 3 2 2 5 2" xfId="46545" xr:uid="{AE74B7DA-A2A9-4B1D-9406-02DB9553482A}"/>
    <cellStyle name="Normal 2 4 2 3 3 2 2 5 3" xfId="27949" xr:uid="{041296C6-7E32-4B45-A144-A2F45802D99A}"/>
    <cellStyle name="Normal 2 4 2 3 3 2 2 6" xfId="37248" xr:uid="{065768A7-6000-445D-99A9-ADDDDB784072}"/>
    <cellStyle name="Normal 2 4 2 3 3 2 2 7" xfId="18650" xr:uid="{6DBBF86D-B95A-4297-92A7-AC9F8B3C4D23}"/>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16978" xr:uid="{267064C5-2DC0-42C9-BA2A-9EE9F251B747}"/>
    <cellStyle name="Normal 2 4 2 3 3 2 3 2 2 2 2" xfId="53320" xr:uid="{FCB41CB4-E421-4F24-AAF3-A5D2376C4C0E}"/>
    <cellStyle name="Normal 2 4 2 3 3 2 3 2 2 2 3" xfId="34724" xr:uid="{3F8B85F6-0255-4F48-8372-E836E6361743}"/>
    <cellStyle name="Normal 2 4 2 3 3 2 3 2 2 3" xfId="44023" xr:uid="{DF82D661-DF06-410D-A492-C90F387F9DD2}"/>
    <cellStyle name="Normal 2 4 2 3 3 2 3 2 2 4" xfId="25425" xr:uid="{BBCB58D7-CEC5-4814-AB05-261372A5430E}"/>
    <cellStyle name="Normal 2 4 2 3 3 2 3 2 3" xfId="12761" xr:uid="{32D0EF59-26C2-4025-B1EE-1389FA7CD716}"/>
    <cellStyle name="Normal 2 4 2 3 3 2 3 2 3 2" xfId="49103" xr:uid="{241F7AD8-6FFE-4AE3-BDAF-16969FA4DB72}"/>
    <cellStyle name="Normal 2 4 2 3 3 2 3 2 3 3" xfId="30507" xr:uid="{433BDD7A-DE15-456B-9181-80712DEC38DD}"/>
    <cellStyle name="Normal 2 4 2 3 3 2 3 2 4" xfId="39806" xr:uid="{1B4EB9C2-6B0F-45EB-9B4F-D1FBA056E246}"/>
    <cellStyle name="Normal 2 4 2 3 3 2 3 2 5" xfId="21208" xr:uid="{99AB1BB0-F927-4091-A26D-CF3884095EEA}"/>
    <cellStyle name="Normal 2 4 2 3 3 2 3 3" xfId="5507" xr:uid="{00000000-0005-0000-0000-0000F10E0000}"/>
    <cellStyle name="Normal 2 4 2 3 3 2 3 3 2" xfId="14833" xr:uid="{B9E1B416-4FC2-4F5C-B50E-FD7D882CD365}"/>
    <cellStyle name="Normal 2 4 2 3 3 2 3 3 2 2" xfId="51175" xr:uid="{946025CA-2031-4AC8-B44D-455AE8A7D6EE}"/>
    <cellStyle name="Normal 2 4 2 3 3 2 3 3 2 3" xfId="32579" xr:uid="{EFBC269A-D62E-413D-AE9D-027465840E54}"/>
    <cellStyle name="Normal 2 4 2 3 3 2 3 3 3" xfId="41878" xr:uid="{9E6BFD8A-3E8E-48FC-A9E1-ED92178B4C9B}"/>
    <cellStyle name="Normal 2 4 2 3 3 2 3 3 4" xfId="23280" xr:uid="{7D27B428-6139-44F6-92AC-3D192739BA56}"/>
    <cellStyle name="Normal 2 4 2 3 3 2 3 4" xfId="10616" xr:uid="{074B3886-370F-48D9-9A36-35ED4F7F1975}"/>
    <cellStyle name="Normal 2 4 2 3 3 2 3 4 2" xfId="46958" xr:uid="{3844C308-08FB-4AE7-8626-5CF98555B734}"/>
    <cellStyle name="Normal 2 4 2 3 3 2 3 4 3" xfId="28362" xr:uid="{4CF83609-30B9-4B85-B350-CC37EEAC9015}"/>
    <cellStyle name="Normal 2 4 2 3 3 2 3 5" xfId="37661" xr:uid="{9623D8A6-5036-421F-88F6-9DA09723D60B}"/>
    <cellStyle name="Normal 2 4 2 3 3 2 3 6" xfId="19063" xr:uid="{DACCE0A9-7252-4C7F-8608-6023DA686B16}"/>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17391" xr:uid="{19C5AB08-BB15-4B16-AD0F-BB343A7F634E}"/>
    <cellStyle name="Normal 2 4 2 3 3 2 4 2 2 2 2" xfId="53733" xr:uid="{CC58C83F-9A53-43C4-9A9D-98944DE22089}"/>
    <cellStyle name="Normal 2 4 2 3 3 2 4 2 2 2 3" xfId="35137" xr:uid="{73635D22-7F81-4DBB-99AB-F5070270C769}"/>
    <cellStyle name="Normal 2 4 2 3 3 2 4 2 2 3" xfId="44436" xr:uid="{34DB21F6-0E89-4592-8ACD-07FA709D05EB}"/>
    <cellStyle name="Normal 2 4 2 3 3 2 4 2 2 4" xfId="25838" xr:uid="{577241C5-7617-4CFC-8C39-B2278598AC45}"/>
    <cellStyle name="Normal 2 4 2 3 3 2 4 2 3" xfId="13174" xr:uid="{C85FDBC5-9C45-4BED-9DC7-2F99F10888DA}"/>
    <cellStyle name="Normal 2 4 2 3 3 2 4 2 3 2" xfId="49516" xr:uid="{6D98B689-FC7C-4047-9FC3-E39D954AC9FF}"/>
    <cellStyle name="Normal 2 4 2 3 3 2 4 2 3 3" xfId="30920" xr:uid="{EBF2F4DB-C4F6-41F3-B2A6-8D70EB8855AE}"/>
    <cellStyle name="Normal 2 4 2 3 3 2 4 2 4" xfId="40219" xr:uid="{33F1C9F8-8460-4137-B76C-04E8E28C7BDD}"/>
    <cellStyle name="Normal 2 4 2 3 3 2 4 2 5" xfId="21621" xr:uid="{07C893DF-B3C6-495E-B180-E3C0522296F1}"/>
    <cellStyle name="Normal 2 4 2 3 3 2 4 3" xfId="5920" xr:uid="{00000000-0005-0000-0000-0000F50E0000}"/>
    <cellStyle name="Normal 2 4 2 3 3 2 4 3 2" xfId="15246" xr:uid="{AF15F7A5-AA87-4D9C-9A99-CE6C3692C53A}"/>
    <cellStyle name="Normal 2 4 2 3 3 2 4 3 2 2" xfId="51588" xr:uid="{382E3D70-F4E9-4CEE-8668-9D14F8A01041}"/>
    <cellStyle name="Normal 2 4 2 3 3 2 4 3 2 3" xfId="32992" xr:uid="{51C2E618-A186-405F-A272-24C0F4C67978}"/>
    <cellStyle name="Normal 2 4 2 3 3 2 4 3 3" xfId="42291" xr:uid="{96D33C33-29E0-4735-9AA5-53398794AABC}"/>
    <cellStyle name="Normal 2 4 2 3 3 2 4 3 4" xfId="23693" xr:uid="{E87AA519-CC21-492B-B7EB-DB09CD9B5179}"/>
    <cellStyle name="Normal 2 4 2 3 3 2 4 4" xfId="11029" xr:uid="{D6DD419E-919A-4D3F-B3DE-90A1411CDAF5}"/>
    <cellStyle name="Normal 2 4 2 3 3 2 4 4 2" xfId="47371" xr:uid="{B00FED80-8149-481B-B973-CF2F2578BD53}"/>
    <cellStyle name="Normal 2 4 2 3 3 2 4 4 3" xfId="28775" xr:uid="{17380E50-3536-4B87-8AAA-123A83E2D419}"/>
    <cellStyle name="Normal 2 4 2 3 3 2 4 5" xfId="38074" xr:uid="{64126EB7-8742-433E-AEBD-5B971E803F7D}"/>
    <cellStyle name="Normal 2 4 2 3 3 2 4 6" xfId="19476" xr:uid="{1FFB49C7-42C7-4C9A-8C57-722145C04D76}"/>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17804" xr:uid="{B4FA3E44-1024-4350-A244-6A64D5A55401}"/>
    <cellStyle name="Normal 2 4 2 3 3 2 5 2 2 2 2" xfId="54146" xr:uid="{490C97AE-F27A-44E4-9A53-FABE3D666C0D}"/>
    <cellStyle name="Normal 2 4 2 3 3 2 5 2 2 2 3" xfId="35550" xr:uid="{FD69BCA7-23C0-45E0-8F8E-EA7940226F45}"/>
    <cellStyle name="Normal 2 4 2 3 3 2 5 2 2 3" xfId="44849" xr:uid="{66CAC6E3-6470-420D-817B-33726A786823}"/>
    <cellStyle name="Normal 2 4 2 3 3 2 5 2 2 4" xfId="26251" xr:uid="{21B97F86-7302-4A73-9FBD-B2D080029A25}"/>
    <cellStyle name="Normal 2 4 2 3 3 2 5 2 3" xfId="13587" xr:uid="{2940214A-4756-45E2-93FC-D0EE4BF470CC}"/>
    <cellStyle name="Normal 2 4 2 3 3 2 5 2 3 2" xfId="49929" xr:uid="{DDF92C13-E7D2-4552-91FB-36475E48CF0C}"/>
    <cellStyle name="Normal 2 4 2 3 3 2 5 2 3 3" xfId="31333" xr:uid="{32002990-9D87-423D-8581-C55CD74859AC}"/>
    <cellStyle name="Normal 2 4 2 3 3 2 5 2 4" xfId="40632" xr:uid="{3E7F4984-9B66-48B1-83C6-FB1A5B39A63C}"/>
    <cellStyle name="Normal 2 4 2 3 3 2 5 2 5" xfId="22034" xr:uid="{A768CAA8-3DE8-418D-B808-BBA43D42DB5B}"/>
    <cellStyle name="Normal 2 4 2 3 3 2 5 3" xfId="6333" xr:uid="{00000000-0005-0000-0000-0000F90E0000}"/>
    <cellStyle name="Normal 2 4 2 3 3 2 5 3 2" xfId="15659" xr:uid="{CB09968C-39F3-4413-A2A7-FE5A035FE941}"/>
    <cellStyle name="Normal 2 4 2 3 3 2 5 3 2 2" xfId="52001" xr:uid="{3D06E729-CB35-4F38-B42E-2A046BC12D20}"/>
    <cellStyle name="Normal 2 4 2 3 3 2 5 3 2 3" xfId="33405" xr:uid="{59760176-9997-4C5F-939E-19D1CDC68DF4}"/>
    <cellStyle name="Normal 2 4 2 3 3 2 5 3 3" xfId="42704" xr:uid="{0A939CCB-AD4D-4CE1-BEA8-4FA93A03D493}"/>
    <cellStyle name="Normal 2 4 2 3 3 2 5 3 4" xfId="24106" xr:uid="{D04BFA72-D0EE-49DD-A00E-45E171E4AF00}"/>
    <cellStyle name="Normal 2 4 2 3 3 2 5 4" xfId="11442" xr:uid="{B3AAF63C-A251-4583-8E83-D41979315E94}"/>
    <cellStyle name="Normal 2 4 2 3 3 2 5 4 2" xfId="47784" xr:uid="{4BC0C0E3-9174-4919-81C7-9194AA67FF92}"/>
    <cellStyle name="Normal 2 4 2 3 3 2 5 4 3" xfId="29188" xr:uid="{33BF83C7-F20C-4DC9-B2E9-4D83C8340C40}"/>
    <cellStyle name="Normal 2 4 2 3 3 2 5 5" xfId="38487" xr:uid="{1B163648-26FF-49B3-9632-94EA0C2B621B}"/>
    <cellStyle name="Normal 2 4 2 3 3 2 5 6" xfId="19889" xr:uid="{CF69B558-2903-4579-8CD6-DFB83C99ED99}"/>
    <cellStyle name="Normal 2 4 2 3 3 2 6" xfId="2463" xr:uid="{00000000-0005-0000-0000-0000FA0E0000}"/>
    <cellStyle name="Normal 2 4 2 3 3 2 6 2" xfId="6746" xr:uid="{00000000-0005-0000-0000-0000FB0E0000}"/>
    <cellStyle name="Normal 2 4 2 3 3 2 6 2 2" xfId="16072" xr:uid="{C5FF378D-D08D-4AC3-ABAC-09F26FA2D7C7}"/>
    <cellStyle name="Normal 2 4 2 3 3 2 6 2 2 2" xfId="52414" xr:uid="{B8F095C0-1DC9-4F8B-A184-7E41D52B55C6}"/>
    <cellStyle name="Normal 2 4 2 3 3 2 6 2 2 3" xfId="33818" xr:uid="{9327B00C-CEB5-412B-845E-BFFB476F75E5}"/>
    <cellStyle name="Normal 2 4 2 3 3 2 6 2 3" xfId="43117" xr:uid="{168B40C8-1514-4642-8972-599FE1C0474B}"/>
    <cellStyle name="Normal 2 4 2 3 3 2 6 2 4" xfId="24519" xr:uid="{9C44EC48-EB00-4408-9797-E014F4C865C5}"/>
    <cellStyle name="Normal 2 4 2 3 3 2 6 3" xfId="11855" xr:uid="{B5120DE9-CCA8-4744-AD80-839979F1541E}"/>
    <cellStyle name="Normal 2 4 2 3 3 2 6 3 2" xfId="48197" xr:uid="{42C5218A-FDF3-4DAB-8CDB-91B51DE69942}"/>
    <cellStyle name="Normal 2 4 2 3 3 2 6 3 3" xfId="29601" xr:uid="{BB8F23A9-585C-4E4F-B4DC-A462222CEC74}"/>
    <cellStyle name="Normal 2 4 2 3 3 2 6 4" xfId="38900" xr:uid="{580154C8-22FE-4370-B964-E6542166517F}"/>
    <cellStyle name="Normal 2 4 2 3 3 2 6 5" xfId="20302" xr:uid="{1EC22A04-AC66-41D6-A3F7-B1B578A29F29}"/>
    <cellStyle name="Normal 2 4 2 3 3 2 7" xfId="4680" xr:uid="{00000000-0005-0000-0000-0000FC0E0000}"/>
    <cellStyle name="Normal 2 4 2 3 3 2 7 2" xfId="14006" xr:uid="{66A29D7C-16C8-4B1B-83C7-E01E00FD8B85}"/>
    <cellStyle name="Normal 2 4 2 3 3 2 7 2 2" xfId="50348" xr:uid="{3F6072CB-A371-4473-91B0-BC5DDA7EC86C}"/>
    <cellStyle name="Normal 2 4 2 3 3 2 7 2 3" xfId="31752" xr:uid="{07F6C807-5506-4583-9C67-42B285AB9336}"/>
    <cellStyle name="Normal 2 4 2 3 3 2 7 3" xfId="41051" xr:uid="{EBB8CD08-4F5E-4295-8DE9-8CC338E51F4A}"/>
    <cellStyle name="Normal 2 4 2 3 3 2 7 4" xfId="22453" xr:uid="{AF1EDA9A-1007-420A-901A-0C89DB0867C3}"/>
    <cellStyle name="Normal 2 4 2 3 3 2 8" xfId="9098" xr:uid="{15335B31-FFDD-479D-88EC-FAB83DC4E6EC}"/>
    <cellStyle name="Normal 2 4 2 3 3 2 8 2" xfId="36168" xr:uid="{0CE4D071-F025-473B-AA3D-0E1AB76AEDEF}"/>
    <cellStyle name="Normal 2 4 2 3 3 2 8 2 2" xfId="54763" xr:uid="{C0205CAD-FADD-4D67-901F-D13AD39E3CA0}"/>
    <cellStyle name="Normal 2 4 2 3 3 2 8 3" xfId="45466" xr:uid="{27D07822-BAE0-4406-BBED-4B0DD9912C39}"/>
    <cellStyle name="Normal 2 4 2 3 3 2 8 4" xfId="26869" xr:uid="{EC681D1A-3008-4BA3-8501-61E4E89FA94B}"/>
    <cellStyle name="Normal 2 4 2 3 3 2 9" xfId="9789" xr:uid="{8CABFF88-E311-4D7D-B516-98B4FFB97CD3}"/>
    <cellStyle name="Normal 2 4 2 3 3 2 9 2" xfId="46131" xr:uid="{8A2C9CB5-2B84-4CFE-A6CF-8EA444D753EA}"/>
    <cellStyle name="Normal 2 4 2 3 3 2 9 3" xfId="27535" xr:uid="{7D040A9B-4271-4B36-9A5F-83D15ACCF212}"/>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16564" xr:uid="{3FD54791-93D6-4860-BA2F-A4CBE2504B5B}"/>
    <cellStyle name="Normal 2 4 2 3 3 3 2 2 2 2" xfId="52906" xr:uid="{9043954C-D383-4F9A-ADF5-4E4E2647DAD3}"/>
    <cellStyle name="Normal 2 4 2 3 3 3 2 2 2 3" xfId="34310" xr:uid="{8CC16E43-B2B3-490B-9CA4-5E614A5CD49C}"/>
    <cellStyle name="Normal 2 4 2 3 3 3 2 2 3" xfId="43609" xr:uid="{8EF242B2-2555-4B91-94D3-DB6C864A757C}"/>
    <cellStyle name="Normal 2 4 2 3 3 3 2 2 4" xfId="25011" xr:uid="{B2906B47-9794-4F9E-AAA0-EBCBB9DD5733}"/>
    <cellStyle name="Normal 2 4 2 3 3 3 2 3" xfId="12347" xr:uid="{C015D87B-E1B4-4404-9887-3E3FE32AF519}"/>
    <cellStyle name="Normal 2 4 2 3 3 3 2 3 2" xfId="48689" xr:uid="{BD206226-5545-4C59-BA06-A8309EB3923E}"/>
    <cellStyle name="Normal 2 4 2 3 3 3 2 3 3" xfId="30093" xr:uid="{D4BD7505-ABBE-44BC-8060-84CA2BE2E1FF}"/>
    <cellStyle name="Normal 2 4 2 3 3 3 2 4" xfId="39392" xr:uid="{5BA66A1D-FD63-4976-91D2-AF1F9F49A80A}"/>
    <cellStyle name="Normal 2 4 2 3 3 3 2 5" xfId="20794" xr:uid="{B6D9A691-37A6-4D18-B8F2-EFB9C7EFC3FB}"/>
    <cellStyle name="Normal 2 4 2 3 3 3 3" xfId="5093" xr:uid="{00000000-0005-0000-0000-0000000F0000}"/>
    <cellStyle name="Normal 2 4 2 3 3 3 3 2" xfId="14419" xr:uid="{F22636CC-9B42-4AE6-ADBD-1C3BDDC4BED5}"/>
    <cellStyle name="Normal 2 4 2 3 3 3 3 2 2" xfId="50761" xr:uid="{82415146-B4F2-4770-A6E6-0628AFF0FE34}"/>
    <cellStyle name="Normal 2 4 2 3 3 3 3 2 3" xfId="32165" xr:uid="{01F33F5B-44D1-4A02-B2CD-E81F69A980F1}"/>
    <cellStyle name="Normal 2 4 2 3 3 3 3 3" xfId="41464" xr:uid="{B07297B0-3165-49FC-91FA-D224E1DE144D}"/>
    <cellStyle name="Normal 2 4 2 3 3 3 3 4" xfId="22866" xr:uid="{DBCC2731-FFB6-4675-8835-DCE1881F0E7B}"/>
    <cellStyle name="Normal 2 4 2 3 3 3 4" xfId="9316" xr:uid="{C8C83D09-5A3A-4C90-8A04-9D7CD8C85B11}"/>
    <cellStyle name="Normal 2 4 2 3 3 3 4 2" xfId="36377" xr:uid="{FEC091AD-C6A0-4FB5-99A4-B35C4FA4E8F8}"/>
    <cellStyle name="Normal 2 4 2 3 3 3 4 2 2" xfId="54971" xr:uid="{5D9273EC-77D6-4488-B992-1A978E0E9FA5}"/>
    <cellStyle name="Normal 2 4 2 3 3 3 4 3" xfId="45674" xr:uid="{5B78FB24-207E-48BC-B9C5-2E093BC3FA3D}"/>
    <cellStyle name="Normal 2 4 2 3 3 3 4 4" xfId="27078" xr:uid="{D667A69D-ECF2-4C1D-8F06-89E0F8FA5C58}"/>
    <cellStyle name="Normal 2 4 2 3 3 3 5" xfId="10202" xr:uid="{4E7B8647-A283-46F9-8A27-3037D78B596D}"/>
    <cellStyle name="Normal 2 4 2 3 3 3 5 2" xfId="46544" xr:uid="{DD4102F7-5AA1-4C7A-B6F9-37970627F15A}"/>
    <cellStyle name="Normal 2 4 2 3 3 3 5 3" xfId="27948" xr:uid="{8503C612-A0C4-453E-8575-DAF111C36A11}"/>
    <cellStyle name="Normal 2 4 2 3 3 3 6" xfId="37247" xr:uid="{74E15739-6A53-4049-ABDA-8229F5907A15}"/>
    <cellStyle name="Normal 2 4 2 3 3 3 7" xfId="18649" xr:uid="{0B77813F-CA70-4F50-9182-1A269022C1A4}"/>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16977" xr:uid="{14BD9A83-C260-4482-950A-CE96F1CFC46E}"/>
    <cellStyle name="Normal 2 4 2 3 3 4 2 2 2 2" xfId="53319" xr:uid="{8DE4B084-14EF-4690-8C8E-E60D22C7D8D3}"/>
    <cellStyle name="Normal 2 4 2 3 3 4 2 2 2 3" xfId="34723" xr:uid="{E88A3592-250B-4585-BBA1-4CD7725D5A00}"/>
    <cellStyle name="Normal 2 4 2 3 3 4 2 2 3" xfId="44022" xr:uid="{BA55D99B-5CB1-4AC2-9A44-93489A4F6AB4}"/>
    <cellStyle name="Normal 2 4 2 3 3 4 2 2 4" xfId="25424" xr:uid="{1BFA23AF-82D4-4CBC-862B-87B3609EB397}"/>
    <cellStyle name="Normal 2 4 2 3 3 4 2 3" xfId="12760" xr:uid="{677A41A8-832C-4FB6-8C68-EBC3B7476DD1}"/>
    <cellStyle name="Normal 2 4 2 3 3 4 2 3 2" xfId="49102" xr:uid="{B9FF2802-FA4F-4A9C-9E85-B2BAB0176506}"/>
    <cellStyle name="Normal 2 4 2 3 3 4 2 3 3" xfId="30506" xr:uid="{6B75C5D5-71BB-4B18-832B-E4563C36D6FF}"/>
    <cellStyle name="Normal 2 4 2 3 3 4 2 4" xfId="39805" xr:uid="{E3F0955A-9049-45A9-9218-65C5F49299D6}"/>
    <cellStyle name="Normal 2 4 2 3 3 4 2 5" xfId="21207" xr:uid="{30810C61-B6BD-4629-B293-1AB93439BC7C}"/>
    <cellStyle name="Normal 2 4 2 3 3 4 3" xfId="5506" xr:uid="{00000000-0005-0000-0000-0000040F0000}"/>
    <cellStyle name="Normal 2 4 2 3 3 4 3 2" xfId="14832" xr:uid="{6BB47971-64D8-47F6-9FD0-0052A50CFD74}"/>
    <cellStyle name="Normal 2 4 2 3 3 4 3 2 2" xfId="51174" xr:uid="{4B419CAF-6AA6-4CDD-993A-93B0BF83583B}"/>
    <cellStyle name="Normal 2 4 2 3 3 4 3 2 3" xfId="32578" xr:uid="{2D5B367B-4D7C-4E30-8222-162FE0963C69}"/>
    <cellStyle name="Normal 2 4 2 3 3 4 3 3" xfId="41877" xr:uid="{42570D8C-EE3B-4CA3-9D6B-EDB91A549853}"/>
    <cellStyle name="Normal 2 4 2 3 3 4 3 4" xfId="23279" xr:uid="{7DA5C8B9-7E16-48AC-9EAD-94B032EC59DC}"/>
    <cellStyle name="Normal 2 4 2 3 3 4 4" xfId="10615" xr:uid="{6B99E240-0682-45EA-B10D-90CD056C03E5}"/>
    <cellStyle name="Normal 2 4 2 3 3 4 4 2" xfId="46957" xr:uid="{B2725FD2-8DCC-47D7-A467-A3C3B530B71D}"/>
    <cellStyle name="Normal 2 4 2 3 3 4 4 3" xfId="28361" xr:uid="{D9F23C71-F04E-457E-8E7B-BF2675D4DF91}"/>
    <cellStyle name="Normal 2 4 2 3 3 4 5" xfId="37660" xr:uid="{03328601-4CF9-420C-ADFF-57BB93CBE163}"/>
    <cellStyle name="Normal 2 4 2 3 3 4 6" xfId="19062" xr:uid="{9AB55235-0375-4E6B-A80F-E0434C0B5B4F}"/>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17390" xr:uid="{856D1139-B994-45BF-A363-70003903D054}"/>
    <cellStyle name="Normal 2 4 2 3 3 5 2 2 2 2" xfId="53732" xr:uid="{44C8EB62-F15B-4F7A-BC7E-1D874A3FC3B2}"/>
    <cellStyle name="Normal 2 4 2 3 3 5 2 2 2 3" xfId="35136" xr:uid="{0CE181E5-A1A2-4654-AAB8-71BFF325F056}"/>
    <cellStyle name="Normal 2 4 2 3 3 5 2 2 3" xfId="44435" xr:uid="{BA1725FC-E1A1-4AD1-BE0E-4372AB6E029F}"/>
    <cellStyle name="Normal 2 4 2 3 3 5 2 2 4" xfId="25837" xr:uid="{01E9169F-AF14-4D2D-83ED-0670384F8DBA}"/>
    <cellStyle name="Normal 2 4 2 3 3 5 2 3" xfId="13173" xr:uid="{92439EC6-5410-40CE-968B-007D547A452F}"/>
    <cellStyle name="Normal 2 4 2 3 3 5 2 3 2" xfId="49515" xr:uid="{836C0332-AF57-47D1-B630-D6E97A052162}"/>
    <cellStyle name="Normal 2 4 2 3 3 5 2 3 3" xfId="30919" xr:uid="{1F80AB64-8C85-423D-AA3C-6A64E4041DAC}"/>
    <cellStyle name="Normal 2 4 2 3 3 5 2 4" xfId="40218" xr:uid="{E7F0DCF0-D540-404F-8861-071A4A27B83A}"/>
    <cellStyle name="Normal 2 4 2 3 3 5 2 5" xfId="21620" xr:uid="{E35C5D50-ED5A-4317-BCF4-3028E6A154FA}"/>
    <cellStyle name="Normal 2 4 2 3 3 5 3" xfId="5919" xr:uid="{00000000-0005-0000-0000-0000080F0000}"/>
    <cellStyle name="Normal 2 4 2 3 3 5 3 2" xfId="15245" xr:uid="{D72FD492-A5ED-4BAA-9CDF-D8B05676AC86}"/>
    <cellStyle name="Normal 2 4 2 3 3 5 3 2 2" xfId="51587" xr:uid="{2AFC00C3-3301-4E41-B6BD-77D71FCCA7B1}"/>
    <cellStyle name="Normal 2 4 2 3 3 5 3 2 3" xfId="32991" xr:uid="{C7628F99-C70E-437D-AA4D-5466E9D9932B}"/>
    <cellStyle name="Normal 2 4 2 3 3 5 3 3" xfId="42290" xr:uid="{A813154B-8A95-4E96-A0D3-17EA38C0B2A0}"/>
    <cellStyle name="Normal 2 4 2 3 3 5 3 4" xfId="23692" xr:uid="{39BD4720-983B-4CC9-BD3C-829DC531B689}"/>
    <cellStyle name="Normal 2 4 2 3 3 5 4" xfId="11028" xr:uid="{EE45A8E3-B848-4567-AD98-5B250D4125B9}"/>
    <cellStyle name="Normal 2 4 2 3 3 5 4 2" xfId="47370" xr:uid="{297FD2E1-60BE-4185-AE67-08D6747D0437}"/>
    <cellStyle name="Normal 2 4 2 3 3 5 4 3" xfId="28774" xr:uid="{E22CF5E2-EFF2-4F41-B241-AF7F1618884A}"/>
    <cellStyle name="Normal 2 4 2 3 3 5 5" xfId="38073" xr:uid="{EC04F521-6B94-4F76-B041-64C109B9E543}"/>
    <cellStyle name="Normal 2 4 2 3 3 5 6" xfId="19475" xr:uid="{3A9A034F-CF89-4874-8050-5DCB440531FA}"/>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17803" xr:uid="{AF8626FF-1590-4ABF-A75A-0670629BDEB7}"/>
    <cellStyle name="Normal 2 4 2 3 3 6 2 2 2 2" xfId="54145" xr:uid="{2CE0E884-7E64-408B-BEA5-880BC757375D}"/>
    <cellStyle name="Normal 2 4 2 3 3 6 2 2 2 3" xfId="35549" xr:uid="{C7CB571A-CA3F-413D-9B25-AF99FB0BC44F}"/>
    <cellStyle name="Normal 2 4 2 3 3 6 2 2 3" xfId="44848" xr:uid="{B5133389-6751-4827-BF93-DF63F46E84CB}"/>
    <cellStyle name="Normal 2 4 2 3 3 6 2 2 4" xfId="26250" xr:uid="{6928A108-D2FA-48DA-9357-9E6043F0993D}"/>
    <cellStyle name="Normal 2 4 2 3 3 6 2 3" xfId="13586" xr:uid="{3B5C6379-FB5A-49C6-85AB-8C70B7489A04}"/>
    <cellStyle name="Normal 2 4 2 3 3 6 2 3 2" xfId="49928" xr:uid="{1164CCEB-203D-4290-8A82-B3140DEEFB51}"/>
    <cellStyle name="Normal 2 4 2 3 3 6 2 3 3" xfId="31332" xr:uid="{5ECFAEFD-8F9F-4DA0-AE56-91919D6F5610}"/>
    <cellStyle name="Normal 2 4 2 3 3 6 2 4" xfId="40631" xr:uid="{D9716F1C-C7CB-4150-9D03-AC806977247A}"/>
    <cellStyle name="Normal 2 4 2 3 3 6 2 5" xfId="22033" xr:uid="{CF9C349E-34B4-4C72-9654-63A6A6E2FC1C}"/>
    <cellStyle name="Normal 2 4 2 3 3 6 3" xfId="6332" xr:uid="{00000000-0005-0000-0000-00000C0F0000}"/>
    <cellStyle name="Normal 2 4 2 3 3 6 3 2" xfId="15658" xr:uid="{273B60B1-5434-4DE1-A987-74F4A1ADF3E8}"/>
    <cellStyle name="Normal 2 4 2 3 3 6 3 2 2" xfId="52000" xr:uid="{77CA4B80-CE46-4872-976D-0A11C5BAE9A9}"/>
    <cellStyle name="Normal 2 4 2 3 3 6 3 2 3" xfId="33404" xr:uid="{FC571232-3141-4C1E-AE26-51D293C9AA9E}"/>
    <cellStyle name="Normal 2 4 2 3 3 6 3 3" xfId="42703" xr:uid="{0E419FFB-DBD6-4EDD-A1DE-5EB0181D83E2}"/>
    <cellStyle name="Normal 2 4 2 3 3 6 3 4" xfId="24105" xr:uid="{35B0471F-487F-4159-A333-D92F10D37B7D}"/>
    <cellStyle name="Normal 2 4 2 3 3 6 4" xfId="11441" xr:uid="{80FB9869-0F66-45F5-97D6-FC9533FE8723}"/>
    <cellStyle name="Normal 2 4 2 3 3 6 4 2" xfId="47783" xr:uid="{56ADEC39-6FB9-40B8-8C0C-D4510BAB75AE}"/>
    <cellStyle name="Normal 2 4 2 3 3 6 4 3" xfId="29187" xr:uid="{F4B4E471-EB65-4447-8E1B-AEF72111BE91}"/>
    <cellStyle name="Normal 2 4 2 3 3 6 5" xfId="38486" xr:uid="{93F9DDC8-BA02-48EE-8463-D17045C617F4}"/>
    <cellStyle name="Normal 2 4 2 3 3 6 6" xfId="19888" xr:uid="{B98026E8-0D76-4BAB-9490-3DBD50FF0E8B}"/>
    <cellStyle name="Normal 2 4 2 3 3 7" xfId="2462" xr:uid="{00000000-0005-0000-0000-00000D0F0000}"/>
    <cellStyle name="Normal 2 4 2 3 3 7 2" xfId="6745" xr:uid="{00000000-0005-0000-0000-00000E0F0000}"/>
    <cellStyle name="Normal 2 4 2 3 3 7 2 2" xfId="16071" xr:uid="{7519248F-5F61-4737-9935-471B86F8DEFB}"/>
    <cellStyle name="Normal 2 4 2 3 3 7 2 2 2" xfId="52413" xr:uid="{F6CB2938-F99C-48DA-B684-998935DD59EF}"/>
    <cellStyle name="Normal 2 4 2 3 3 7 2 2 3" xfId="33817" xr:uid="{A07EE1C0-2F2E-4E52-84CE-50CB3B166FBD}"/>
    <cellStyle name="Normal 2 4 2 3 3 7 2 3" xfId="43116" xr:uid="{77A140E0-0E9C-424C-AF10-AE55A6F3B9C6}"/>
    <cellStyle name="Normal 2 4 2 3 3 7 2 4" xfId="24518" xr:uid="{449670EC-E664-42FB-A125-D6F239684CE1}"/>
    <cellStyle name="Normal 2 4 2 3 3 7 3" xfId="11854" xr:uid="{0BD48237-E600-4D01-AAEA-5E612A104705}"/>
    <cellStyle name="Normal 2 4 2 3 3 7 3 2" xfId="48196" xr:uid="{1E550485-FDDE-4EA3-9726-CFA827AA9E2B}"/>
    <cellStyle name="Normal 2 4 2 3 3 7 3 3" xfId="29600" xr:uid="{7AB7826D-9AC9-463F-9CC0-B82B2C5159EE}"/>
    <cellStyle name="Normal 2 4 2 3 3 7 4" xfId="38899" xr:uid="{C9DB041E-CAC7-46F2-950E-9371D7BE8096}"/>
    <cellStyle name="Normal 2 4 2 3 3 7 5" xfId="20301" xr:uid="{DF14EB24-5F69-4DDD-853C-0668C3F14CE8}"/>
    <cellStyle name="Normal 2 4 2 3 3 8" xfId="4679" xr:uid="{00000000-0005-0000-0000-00000F0F0000}"/>
    <cellStyle name="Normal 2 4 2 3 3 8 2" xfId="14005" xr:uid="{C586CCFE-7927-4D93-B9AC-2BA34872CD91}"/>
    <cellStyle name="Normal 2 4 2 3 3 8 2 2" xfId="50347" xr:uid="{30692757-6AA4-43DD-9418-253DE4898DA2}"/>
    <cellStyle name="Normal 2 4 2 3 3 8 2 3" xfId="31751" xr:uid="{BF8904B1-C589-40CB-A862-36D21998E372}"/>
    <cellStyle name="Normal 2 4 2 3 3 8 3" xfId="41050" xr:uid="{E3D09A19-3E16-40C9-ABC6-3120DDC05457}"/>
    <cellStyle name="Normal 2 4 2 3 3 8 4" xfId="22452" xr:uid="{220AF3C9-8CF2-4816-B199-96143F00FDC0}"/>
    <cellStyle name="Normal 2 4 2 3 3 9" xfId="8891" xr:uid="{D2DF60A1-A34B-4A3F-B29E-E581EFBA8360}"/>
    <cellStyle name="Normal 2 4 2 3 3 9 2" xfId="35961" xr:uid="{89E1279F-F69E-4418-9677-081477304A4C}"/>
    <cellStyle name="Normal 2 4 2 3 3 9 2 2" xfId="54556" xr:uid="{76BF9D49-394A-46FA-A1EF-B4FE51F052C7}"/>
    <cellStyle name="Normal 2 4 2 3 3 9 3" xfId="45259" xr:uid="{858C329B-FD8A-4CDD-8442-0CE6BE149D31}"/>
    <cellStyle name="Normal 2 4 2 3 3 9 4" xfId="26662" xr:uid="{567E28F5-38BF-46C5-B2AE-6DA5F3C18ADA}"/>
    <cellStyle name="Normal 2 4 2 3 4" xfId="288" xr:uid="{00000000-0005-0000-0000-0000100F0000}"/>
    <cellStyle name="Normal 2 4 2 3 4 10" xfId="36835" xr:uid="{459FAC3F-6C83-403C-B99A-141C9ED240E9}"/>
    <cellStyle name="Normal 2 4 2 3 4 11" xfId="18237" xr:uid="{F83D9474-6AFE-4C6F-84BA-70FA6AC92E03}"/>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16566" xr:uid="{9EBD3006-64AB-4469-9DCD-1D0EFCA52A98}"/>
    <cellStyle name="Normal 2 4 2 3 4 2 2 2 2 2" xfId="52908" xr:uid="{F5BD9E37-1304-4D7F-91A8-1988B6EFB104}"/>
    <cellStyle name="Normal 2 4 2 3 4 2 2 2 2 3" xfId="34312" xr:uid="{699F0CB4-9D85-4270-B66F-14C60DB6D3CE}"/>
    <cellStyle name="Normal 2 4 2 3 4 2 2 2 3" xfId="43611" xr:uid="{B48EBE91-2D93-49C2-9F2E-1CB496D8C485}"/>
    <cellStyle name="Normal 2 4 2 3 4 2 2 2 4" xfId="25013" xr:uid="{8BD76595-EDD4-405F-8900-1458B1442B78}"/>
    <cellStyle name="Normal 2 4 2 3 4 2 2 3" xfId="12349" xr:uid="{003D8D50-0474-43B0-AC53-26BCB6C065CF}"/>
    <cellStyle name="Normal 2 4 2 3 4 2 2 3 2" xfId="48691" xr:uid="{3E0AEBFD-3AF3-4314-8E99-C01292771463}"/>
    <cellStyle name="Normal 2 4 2 3 4 2 2 3 3" xfId="30095" xr:uid="{D4E59AFA-149B-41F0-9E2E-3AEF523561A5}"/>
    <cellStyle name="Normal 2 4 2 3 4 2 2 4" xfId="39394" xr:uid="{68BE81CE-08D3-4AA5-85DB-C78D0CD2D89F}"/>
    <cellStyle name="Normal 2 4 2 3 4 2 2 5" xfId="20796" xr:uid="{7AC1FEDD-1970-44B4-8B90-B19ECEE3CA37}"/>
    <cellStyle name="Normal 2 4 2 3 4 2 3" xfId="5095" xr:uid="{00000000-0005-0000-0000-0000140F0000}"/>
    <cellStyle name="Normal 2 4 2 3 4 2 3 2" xfId="14421" xr:uid="{1D1A948E-A2D6-4223-B11F-04FE8483B765}"/>
    <cellStyle name="Normal 2 4 2 3 4 2 3 2 2" xfId="50763" xr:uid="{7BD22842-8ACB-47A8-960F-B203A76EA86A}"/>
    <cellStyle name="Normal 2 4 2 3 4 2 3 2 3" xfId="32167" xr:uid="{30EC6F1E-FF3A-4863-8C93-D83BA5A24AEB}"/>
    <cellStyle name="Normal 2 4 2 3 4 2 3 3" xfId="41466" xr:uid="{5198BBA8-06BF-44E5-9894-FCF435505EE1}"/>
    <cellStyle name="Normal 2 4 2 3 4 2 3 4" xfId="22868" xr:uid="{84E3DB0F-5223-4536-9230-8C4CB8B93926}"/>
    <cellStyle name="Normal 2 4 2 3 4 2 4" xfId="9420" xr:uid="{49E252B3-99BC-416A-A0CB-FE2641ECFDE3}"/>
    <cellStyle name="Normal 2 4 2 3 4 2 4 2" xfId="36481" xr:uid="{31BB573F-94D7-4819-B235-1EE4777AB712}"/>
    <cellStyle name="Normal 2 4 2 3 4 2 4 2 2" xfId="55075" xr:uid="{6F177BC7-14A5-4E0D-B79D-C386CD28C90D}"/>
    <cellStyle name="Normal 2 4 2 3 4 2 4 3" xfId="45778" xr:uid="{4D8BF680-96E7-496C-8238-BD240AD23146}"/>
    <cellStyle name="Normal 2 4 2 3 4 2 4 4" xfId="27182" xr:uid="{55BFCBA0-D266-42B7-9F88-DE1822F38DA6}"/>
    <cellStyle name="Normal 2 4 2 3 4 2 5" xfId="10204" xr:uid="{6E6D46BE-DDB1-47FC-A872-81D2015DB77F}"/>
    <cellStyle name="Normal 2 4 2 3 4 2 5 2" xfId="46546" xr:uid="{41469AAB-2135-4B3C-BE4D-79C058FB084F}"/>
    <cellStyle name="Normal 2 4 2 3 4 2 5 3" xfId="27950" xr:uid="{8A196743-E2A9-4C9C-B0B7-1FBF39C65088}"/>
    <cellStyle name="Normal 2 4 2 3 4 2 6" xfId="37249" xr:uid="{1F77BEB6-2AA1-45D3-8152-399546F3971A}"/>
    <cellStyle name="Normal 2 4 2 3 4 2 7" xfId="18651" xr:uid="{8EA03E0E-133E-4A89-A0C7-AA7B8F0E4B44}"/>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16979" xr:uid="{E0A41108-FF38-44F4-87F4-EABF9F6258CF}"/>
    <cellStyle name="Normal 2 4 2 3 4 3 2 2 2 2" xfId="53321" xr:uid="{3365BA18-E33E-474A-A8F6-81BC9B3CFC77}"/>
    <cellStyle name="Normal 2 4 2 3 4 3 2 2 2 3" xfId="34725" xr:uid="{3BE67CB2-D135-4A87-A0C7-9CFCCECCDD4B}"/>
    <cellStyle name="Normal 2 4 2 3 4 3 2 2 3" xfId="44024" xr:uid="{39BD290D-0FDD-4C83-B7DE-7BECE0ED3623}"/>
    <cellStyle name="Normal 2 4 2 3 4 3 2 2 4" xfId="25426" xr:uid="{C95BB8CC-67BE-4E81-A628-78A825617206}"/>
    <cellStyle name="Normal 2 4 2 3 4 3 2 3" xfId="12762" xr:uid="{91215B64-4570-4FD1-BD35-460C63B2083A}"/>
    <cellStyle name="Normal 2 4 2 3 4 3 2 3 2" xfId="49104" xr:uid="{353336C4-8CFA-4761-B59C-0F15F53145DB}"/>
    <cellStyle name="Normal 2 4 2 3 4 3 2 3 3" xfId="30508" xr:uid="{F33254F6-FF40-453C-A00D-39D966EBBA8D}"/>
    <cellStyle name="Normal 2 4 2 3 4 3 2 4" xfId="39807" xr:uid="{F7AB23FB-284F-41CF-991B-D816D88731E4}"/>
    <cellStyle name="Normal 2 4 2 3 4 3 2 5" xfId="21209" xr:uid="{C8D68EC8-060B-4D81-989F-FAB805654984}"/>
    <cellStyle name="Normal 2 4 2 3 4 3 3" xfId="5508" xr:uid="{00000000-0005-0000-0000-0000180F0000}"/>
    <cellStyle name="Normal 2 4 2 3 4 3 3 2" xfId="14834" xr:uid="{73A729C7-356C-4E86-A91C-1E859E7DDF99}"/>
    <cellStyle name="Normal 2 4 2 3 4 3 3 2 2" xfId="51176" xr:uid="{0CDA221C-ED1D-45B0-B9CC-314A83AAC1C4}"/>
    <cellStyle name="Normal 2 4 2 3 4 3 3 2 3" xfId="32580" xr:uid="{319371F0-4095-4B98-A66C-543017869D73}"/>
    <cellStyle name="Normal 2 4 2 3 4 3 3 3" xfId="41879" xr:uid="{88FDD103-39DD-4AA4-88F5-EFDE4E315E2A}"/>
    <cellStyle name="Normal 2 4 2 3 4 3 3 4" xfId="23281" xr:uid="{58BEA9F8-883E-4B3E-A884-064348FB64CB}"/>
    <cellStyle name="Normal 2 4 2 3 4 3 4" xfId="10617" xr:uid="{B1B61C9C-5080-478F-A64B-4A2A5C590245}"/>
    <cellStyle name="Normal 2 4 2 3 4 3 4 2" xfId="46959" xr:uid="{DF0B4C1B-69C4-4419-925D-8DB9BAF67B6B}"/>
    <cellStyle name="Normal 2 4 2 3 4 3 4 3" xfId="28363" xr:uid="{91D080AB-7B6E-42F7-BCE2-C0C146B13592}"/>
    <cellStyle name="Normal 2 4 2 3 4 3 5" xfId="37662" xr:uid="{115E045A-A21F-4A3C-B867-724F9996D065}"/>
    <cellStyle name="Normal 2 4 2 3 4 3 6" xfId="19064" xr:uid="{5416E196-782F-4555-A280-11CC3E4B616D}"/>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17392" xr:uid="{1CA40525-CBFB-4B49-B78D-70E36C93279D}"/>
    <cellStyle name="Normal 2 4 2 3 4 4 2 2 2 2" xfId="53734" xr:uid="{B6F9D90B-15D4-4D40-A316-D92A301F2FF7}"/>
    <cellStyle name="Normal 2 4 2 3 4 4 2 2 2 3" xfId="35138" xr:uid="{0DE116B8-23E0-4384-9136-84A2CDDC6FA0}"/>
    <cellStyle name="Normal 2 4 2 3 4 4 2 2 3" xfId="44437" xr:uid="{1593C00B-3D7B-45EF-95FF-8F89F6352E8A}"/>
    <cellStyle name="Normal 2 4 2 3 4 4 2 2 4" xfId="25839" xr:uid="{237F9DEA-733E-4C05-9F1B-B4AA12E9054B}"/>
    <cellStyle name="Normal 2 4 2 3 4 4 2 3" xfId="13175" xr:uid="{7F4F3369-99E1-467C-A903-14B1FFC42805}"/>
    <cellStyle name="Normal 2 4 2 3 4 4 2 3 2" xfId="49517" xr:uid="{4F3E7D8A-A192-430A-BB4A-FC85522AE97C}"/>
    <cellStyle name="Normal 2 4 2 3 4 4 2 3 3" xfId="30921" xr:uid="{395DED82-5FFD-4A5B-A9A4-631ABF68937B}"/>
    <cellStyle name="Normal 2 4 2 3 4 4 2 4" xfId="40220" xr:uid="{8FDDBA1A-F0C3-48B8-99C2-E6DE898B4912}"/>
    <cellStyle name="Normal 2 4 2 3 4 4 2 5" xfId="21622" xr:uid="{06161E86-B764-44CD-AED8-27EC9EEEB76A}"/>
    <cellStyle name="Normal 2 4 2 3 4 4 3" xfId="5921" xr:uid="{00000000-0005-0000-0000-00001C0F0000}"/>
    <cellStyle name="Normal 2 4 2 3 4 4 3 2" xfId="15247" xr:uid="{D8E6235A-1915-41E3-BAC4-CC56D8CED1B0}"/>
    <cellStyle name="Normal 2 4 2 3 4 4 3 2 2" xfId="51589" xr:uid="{8AC3EC2A-F01C-490C-BDB0-402AC141629A}"/>
    <cellStyle name="Normal 2 4 2 3 4 4 3 2 3" xfId="32993" xr:uid="{F262B4AD-D941-4817-B31C-2F56F9B34DC6}"/>
    <cellStyle name="Normal 2 4 2 3 4 4 3 3" xfId="42292" xr:uid="{8070C0FD-7E1A-45F1-A0D7-15D6697AF36C}"/>
    <cellStyle name="Normal 2 4 2 3 4 4 3 4" xfId="23694" xr:uid="{8F29BE4A-BA5A-4618-B763-56DC79E7D8F4}"/>
    <cellStyle name="Normal 2 4 2 3 4 4 4" xfId="11030" xr:uid="{CBCD9F95-2647-4272-A760-B0024342C72E}"/>
    <cellStyle name="Normal 2 4 2 3 4 4 4 2" xfId="47372" xr:uid="{70480164-8CF3-4849-9017-A46E2098303C}"/>
    <cellStyle name="Normal 2 4 2 3 4 4 4 3" xfId="28776" xr:uid="{A24C977E-159D-4F07-818F-9AB3BC4D96D8}"/>
    <cellStyle name="Normal 2 4 2 3 4 4 5" xfId="38075" xr:uid="{92AFE9B5-BFBE-4338-832F-326C4B0399EC}"/>
    <cellStyle name="Normal 2 4 2 3 4 4 6" xfId="19477" xr:uid="{B9984FD3-4264-43ED-9129-5794A52F81E3}"/>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17805" xr:uid="{A7BDC576-12BF-48DD-AB34-D7A3FC734943}"/>
    <cellStyle name="Normal 2 4 2 3 4 5 2 2 2 2" xfId="54147" xr:uid="{65AD9C8A-7D5B-40DE-BD66-31405102451E}"/>
    <cellStyle name="Normal 2 4 2 3 4 5 2 2 2 3" xfId="35551" xr:uid="{022FA22E-F04D-4029-868F-5DA8718DEFF5}"/>
    <cellStyle name="Normal 2 4 2 3 4 5 2 2 3" xfId="44850" xr:uid="{EE72BA04-B965-47A2-8040-1CF639A6215E}"/>
    <cellStyle name="Normal 2 4 2 3 4 5 2 2 4" xfId="26252" xr:uid="{8F5E11FA-76A7-415B-BF17-C16D239F5445}"/>
    <cellStyle name="Normal 2 4 2 3 4 5 2 3" xfId="13588" xr:uid="{1A574A9E-FF88-4929-9001-E1B1EDF01759}"/>
    <cellStyle name="Normal 2 4 2 3 4 5 2 3 2" xfId="49930" xr:uid="{9BAEF589-5832-4502-9EE0-92BEDFCF5F16}"/>
    <cellStyle name="Normal 2 4 2 3 4 5 2 3 3" xfId="31334" xr:uid="{D560D931-2350-4FC5-A34D-1140C0288B0E}"/>
    <cellStyle name="Normal 2 4 2 3 4 5 2 4" xfId="40633" xr:uid="{14FC2333-D28D-47A7-A37E-391526ACF78B}"/>
    <cellStyle name="Normal 2 4 2 3 4 5 2 5" xfId="22035" xr:uid="{B0233C93-3DDF-449D-896F-D646D8F2ABFC}"/>
    <cellStyle name="Normal 2 4 2 3 4 5 3" xfId="6334" xr:uid="{00000000-0005-0000-0000-0000200F0000}"/>
    <cellStyle name="Normal 2 4 2 3 4 5 3 2" xfId="15660" xr:uid="{304BC4D9-009D-4786-A0FB-081C62B75378}"/>
    <cellStyle name="Normal 2 4 2 3 4 5 3 2 2" xfId="52002" xr:uid="{5A0BA509-C3AD-4328-BBDD-DF1E7357BFF9}"/>
    <cellStyle name="Normal 2 4 2 3 4 5 3 2 3" xfId="33406" xr:uid="{78CAA789-3D8D-4990-B63A-985B79262FB8}"/>
    <cellStyle name="Normal 2 4 2 3 4 5 3 3" xfId="42705" xr:uid="{2189173B-6035-4FA3-90F6-C2BE6BF0C9CD}"/>
    <cellStyle name="Normal 2 4 2 3 4 5 3 4" xfId="24107" xr:uid="{5191FEE5-BAB4-4896-9341-667E5CF30E87}"/>
    <cellStyle name="Normal 2 4 2 3 4 5 4" xfId="11443" xr:uid="{107E23DE-29CF-4960-8434-1EC5ED4044CA}"/>
    <cellStyle name="Normal 2 4 2 3 4 5 4 2" xfId="47785" xr:uid="{825185FF-A331-4729-AAE5-A86E5DC1D735}"/>
    <cellStyle name="Normal 2 4 2 3 4 5 4 3" xfId="29189" xr:uid="{6F51A896-B5E2-4632-91B4-6D538D858009}"/>
    <cellStyle name="Normal 2 4 2 3 4 5 5" xfId="38488" xr:uid="{12E7A21E-0FCA-4F09-8097-A87FEDDE1ADD}"/>
    <cellStyle name="Normal 2 4 2 3 4 5 6" xfId="19890" xr:uid="{59551360-DB98-40DC-833F-63D0899CBC90}"/>
    <cellStyle name="Normal 2 4 2 3 4 6" xfId="2464" xr:uid="{00000000-0005-0000-0000-0000210F0000}"/>
    <cellStyle name="Normal 2 4 2 3 4 6 2" xfId="6747" xr:uid="{00000000-0005-0000-0000-0000220F0000}"/>
    <cellStyle name="Normal 2 4 2 3 4 6 2 2" xfId="16073" xr:uid="{565D6E79-0337-4AAB-83AC-C3DE6B1687FA}"/>
    <cellStyle name="Normal 2 4 2 3 4 6 2 2 2" xfId="52415" xr:uid="{F8FB4514-895C-4ADD-B1F5-2A80D73F02BE}"/>
    <cellStyle name="Normal 2 4 2 3 4 6 2 2 3" xfId="33819" xr:uid="{0633D2B4-B0F1-49D2-A28A-D609229DE672}"/>
    <cellStyle name="Normal 2 4 2 3 4 6 2 3" xfId="43118" xr:uid="{3D850943-99E1-4971-BCDF-5B34DA0DD78A}"/>
    <cellStyle name="Normal 2 4 2 3 4 6 2 4" xfId="24520" xr:uid="{919BC535-D3E5-4C6A-9B0E-4C87681C3B7D}"/>
    <cellStyle name="Normal 2 4 2 3 4 6 3" xfId="11856" xr:uid="{18A315ED-1651-4A45-B165-FA7E9DD4EC8A}"/>
    <cellStyle name="Normal 2 4 2 3 4 6 3 2" xfId="48198" xr:uid="{2EDA63A5-D36F-4A93-B885-8010F34DE7F2}"/>
    <cellStyle name="Normal 2 4 2 3 4 6 3 3" xfId="29602" xr:uid="{5E04AAFB-8B69-4C6D-9CB0-F86E1E639910}"/>
    <cellStyle name="Normal 2 4 2 3 4 6 4" xfId="38901" xr:uid="{64873803-6FCC-4B59-A48B-FB91E9B5995C}"/>
    <cellStyle name="Normal 2 4 2 3 4 6 5" xfId="20303" xr:uid="{73BD4D29-A360-4ADF-87FC-F0AFDBE1AE4C}"/>
    <cellStyle name="Normal 2 4 2 3 4 7" xfId="4681" xr:uid="{00000000-0005-0000-0000-0000230F0000}"/>
    <cellStyle name="Normal 2 4 2 3 4 7 2" xfId="14007" xr:uid="{666CED78-0508-477F-AE66-28D27B122993}"/>
    <cellStyle name="Normal 2 4 2 3 4 7 2 2" xfId="50349" xr:uid="{20C7BF7C-100C-4A9E-8887-82A5E8F8B7F2}"/>
    <cellStyle name="Normal 2 4 2 3 4 7 2 3" xfId="31753" xr:uid="{EE688C60-D9FD-4698-B8F4-E1CA623D807B}"/>
    <cellStyle name="Normal 2 4 2 3 4 7 3" xfId="41052" xr:uid="{BEFCDD6C-391D-4762-B4BE-E429B5426957}"/>
    <cellStyle name="Normal 2 4 2 3 4 7 4" xfId="22454" xr:uid="{B3E0EE0E-FE9D-4A6F-883C-7BAC11F90427}"/>
    <cellStyle name="Normal 2 4 2 3 4 8" xfId="8995" xr:uid="{EEE25A27-4C18-4948-8341-FF27707A7A86}"/>
    <cellStyle name="Normal 2 4 2 3 4 8 2" xfId="36065" xr:uid="{AED27F14-47DE-4CC5-B72E-792A7C196F95}"/>
    <cellStyle name="Normal 2 4 2 3 4 8 2 2" xfId="54660" xr:uid="{8AE8B488-F286-423D-A065-7FF0F1242E81}"/>
    <cellStyle name="Normal 2 4 2 3 4 8 3" xfId="45363" xr:uid="{6DD9330C-BCA0-487C-9974-D099C8412234}"/>
    <cellStyle name="Normal 2 4 2 3 4 8 4" xfId="26766" xr:uid="{4EDB0640-826C-49D7-BDD9-0702212900A3}"/>
    <cellStyle name="Normal 2 4 2 3 4 9" xfId="9790" xr:uid="{F0256830-3587-4B9F-937D-B5003596B32D}"/>
    <cellStyle name="Normal 2 4 2 3 4 9 2" xfId="46132" xr:uid="{8D54103A-7C63-4104-8DB0-7394C04E80AD}"/>
    <cellStyle name="Normal 2 4 2 3 4 9 3" xfId="27536" xr:uid="{DACBFEDB-A0FC-4034-8E8F-AAE12C3F9134}"/>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16559" xr:uid="{8876F7A0-01BE-4DD8-BB3B-6B0549B3FB80}"/>
    <cellStyle name="Normal 2 4 2 3 5 2 2 2 2" xfId="52901" xr:uid="{BDC84303-D41D-4B5E-8E1C-9F4D2DD367F8}"/>
    <cellStyle name="Normal 2 4 2 3 5 2 2 2 3" xfId="34305" xr:uid="{A441381B-F63B-4A62-8641-CC74EC411C80}"/>
    <cellStyle name="Normal 2 4 2 3 5 2 2 3" xfId="43604" xr:uid="{322137CF-631E-4275-A504-916B58A9DEDA}"/>
    <cellStyle name="Normal 2 4 2 3 5 2 2 4" xfId="25006" xr:uid="{FE6D61B4-D6B0-43C1-8F6D-0E9A1ED8EDEA}"/>
    <cellStyle name="Normal 2 4 2 3 5 2 3" xfId="12342" xr:uid="{2FA70BD8-49B9-408C-A274-BC339AA0CC2F}"/>
    <cellStyle name="Normal 2 4 2 3 5 2 3 2" xfId="48684" xr:uid="{EC07CD44-B092-49FF-A64A-DDD7BF9C47AA}"/>
    <cellStyle name="Normal 2 4 2 3 5 2 3 3" xfId="30088" xr:uid="{425D5CD9-453D-4A86-BE37-8C2D90B878AF}"/>
    <cellStyle name="Normal 2 4 2 3 5 2 4" xfId="39387" xr:uid="{34B07FE0-0CE0-4B38-AA99-3AC66C167B34}"/>
    <cellStyle name="Normal 2 4 2 3 5 2 5" xfId="20789" xr:uid="{BE1AF6FA-BE95-4FCB-B43C-416B8DC7C8F6}"/>
    <cellStyle name="Normal 2 4 2 3 5 3" xfId="5088" xr:uid="{00000000-0005-0000-0000-0000270F0000}"/>
    <cellStyle name="Normal 2 4 2 3 5 3 2" xfId="14414" xr:uid="{37A7CDDA-3654-4EDE-B895-19D45247D627}"/>
    <cellStyle name="Normal 2 4 2 3 5 3 2 2" xfId="50756" xr:uid="{C4EA3AE9-9ED6-4F52-9BA0-C58B35E4E5A6}"/>
    <cellStyle name="Normal 2 4 2 3 5 3 2 3" xfId="32160" xr:uid="{FC0DFEEE-6D47-4BC7-9E3A-24C1F97BB956}"/>
    <cellStyle name="Normal 2 4 2 3 5 3 3" xfId="41459" xr:uid="{CBAF8D71-4A17-44AC-A5CB-70E69A443E29}"/>
    <cellStyle name="Normal 2 4 2 3 5 3 4" xfId="22861" xr:uid="{ADE3A122-BBCF-4827-B336-EC32099B4447}"/>
    <cellStyle name="Normal 2 4 2 3 5 4" xfId="9212" xr:uid="{39F1BF9F-C79C-4226-B2D8-665EAA6F3686}"/>
    <cellStyle name="Normal 2 4 2 3 5 4 2" xfId="36274" xr:uid="{87E5FE36-FC67-4EDE-9C6B-5436C757F87E}"/>
    <cellStyle name="Normal 2 4 2 3 5 4 2 2" xfId="54868" xr:uid="{0E68D301-CCE1-436C-94EC-B63B446A20D5}"/>
    <cellStyle name="Normal 2 4 2 3 5 4 3" xfId="45571" xr:uid="{02776D71-79D0-4329-A674-DF9CE218A7A4}"/>
    <cellStyle name="Normal 2 4 2 3 5 4 4" xfId="26975" xr:uid="{AD84F6C1-DA07-4DC8-B66B-1BFE070EE930}"/>
    <cellStyle name="Normal 2 4 2 3 5 5" xfId="10197" xr:uid="{E2BA60FB-D7BC-40A7-A490-B3193EFEFF85}"/>
    <cellStyle name="Normal 2 4 2 3 5 5 2" xfId="46539" xr:uid="{53CB674A-60D3-4AA0-ABE0-93574CECF079}"/>
    <cellStyle name="Normal 2 4 2 3 5 5 3" xfId="27943" xr:uid="{A9B37786-A897-4447-971B-A28E0733AFC7}"/>
    <cellStyle name="Normal 2 4 2 3 5 6" xfId="37242" xr:uid="{EDDA07F1-984F-42C2-8BB4-1D30A5585E0B}"/>
    <cellStyle name="Normal 2 4 2 3 5 7" xfId="18644" xr:uid="{44A49EA2-0FDB-4352-83E3-480DD9728DD0}"/>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16972" xr:uid="{6FBA7C6D-08C8-43AF-BBC6-0C008DDE9B33}"/>
    <cellStyle name="Normal 2 4 2 3 6 2 2 2 2" xfId="53314" xr:uid="{094AC7D6-0AD5-4E64-BED9-ECA29D204D51}"/>
    <cellStyle name="Normal 2 4 2 3 6 2 2 2 3" xfId="34718" xr:uid="{333847AE-697C-4211-A2F2-FEC0FDC0C937}"/>
    <cellStyle name="Normal 2 4 2 3 6 2 2 3" xfId="44017" xr:uid="{2164ACE3-2A84-4B6C-8EC3-533B66809574}"/>
    <cellStyle name="Normal 2 4 2 3 6 2 2 4" xfId="25419" xr:uid="{79C620E5-ACF0-42D1-8408-16FF82E71B88}"/>
    <cellStyle name="Normal 2 4 2 3 6 2 3" xfId="12755" xr:uid="{1B45C69B-5D4E-4408-9459-EB45123EC112}"/>
    <cellStyle name="Normal 2 4 2 3 6 2 3 2" xfId="49097" xr:uid="{119831FA-BC06-4B3C-9713-563801C5B2A2}"/>
    <cellStyle name="Normal 2 4 2 3 6 2 3 3" xfId="30501" xr:uid="{F8DE90E5-507E-49F0-AA5F-0F87C858F03D}"/>
    <cellStyle name="Normal 2 4 2 3 6 2 4" xfId="39800" xr:uid="{A42B0AD0-B6C3-41E1-AF6A-C0300BF8F1F9}"/>
    <cellStyle name="Normal 2 4 2 3 6 2 5" xfId="21202" xr:uid="{56DF5514-57E9-43AA-9EBE-A9F165CB5EDE}"/>
    <cellStyle name="Normal 2 4 2 3 6 3" xfId="5501" xr:uid="{00000000-0005-0000-0000-00002B0F0000}"/>
    <cellStyle name="Normal 2 4 2 3 6 3 2" xfId="14827" xr:uid="{36E70259-B4A7-42B7-945A-3168A23CFA1F}"/>
    <cellStyle name="Normal 2 4 2 3 6 3 2 2" xfId="51169" xr:uid="{89FC39B9-1518-497F-9ABD-84AA70B17EEE}"/>
    <cellStyle name="Normal 2 4 2 3 6 3 2 3" xfId="32573" xr:uid="{726BBD01-448E-4B12-BCF6-4F6E09846FF8}"/>
    <cellStyle name="Normal 2 4 2 3 6 3 3" xfId="41872" xr:uid="{89F78F23-AD80-4FE8-9A18-0ABBAE768CEF}"/>
    <cellStyle name="Normal 2 4 2 3 6 3 4" xfId="23274" xr:uid="{CB267ED6-25D3-4658-8793-FDC76B3D974B}"/>
    <cellStyle name="Normal 2 4 2 3 6 4" xfId="10610" xr:uid="{C3F2F3C5-4C9F-4056-967C-F1AF2F59276C}"/>
    <cellStyle name="Normal 2 4 2 3 6 4 2" xfId="46952" xr:uid="{CFAEAEDC-D091-496F-A636-B2A7D36D73F7}"/>
    <cellStyle name="Normal 2 4 2 3 6 4 3" xfId="28356" xr:uid="{758D26AF-0146-4F21-91BA-13467EE1DF4C}"/>
    <cellStyle name="Normal 2 4 2 3 6 5" xfId="37655" xr:uid="{C0D06FBF-61BD-4D2F-BFBD-3595DAC1C523}"/>
    <cellStyle name="Normal 2 4 2 3 6 6" xfId="19057" xr:uid="{D856F391-B442-47F4-9E94-2E3E9103B8CA}"/>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17385" xr:uid="{0DD06B4F-E80E-40A9-987D-D322E6D9534C}"/>
    <cellStyle name="Normal 2 4 2 3 7 2 2 2 2" xfId="53727" xr:uid="{6F7F1A7B-56C4-42C8-99B2-774F6DF3493B}"/>
    <cellStyle name="Normal 2 4 2 3 7 2 2 2 3" xfId="35131" xr:uid="{82F60DAA-92FC-43A4-9A41-9054A40C8325}"/>
    <cellStyle name="Normal 2 4 2 3 7 2 2 3" xfId="44430" xr:uid="{179FAFDC-6D16-4BAA-B04C-110D25DCBFED}"/>
    <cellStyle name="Normal 2 4 2 3 7 2 2 4" xfId="25832" xr:uid="{575D68E3-F65A-48D4-BE7D-CFA3F28156AA}"/>
    <cellStyle name="Normal 2 4 2 3 7 2 3" xfId="13168" xr:uid="{EE26A9C9-CBA9-4619-911E-5E7D5BE0E495}"/>
    <cellStyle name="Normal 2 4 2 3 7 2 3 2" xfId="49510" xr:uid="{42E3CA0B-EB27-4534-9CE7-3CB633FBC21A}"/>
    <cellStyle name="Normal 2 4 2 3 7 2 3 3" xfId="30914" xr:uid="{41FF3A9F-260E-4937-8D0F-829B912BDC00}"/>
    <cellStyle name="Normal 2 4 2 3 7 2 4" xfId="40213" xr:uid="{929395AA-06D9-447C-8AC3-8F3929D8681B}"/>
    <cellStyle name="Normal 2 4 2 3 7 2 5" xfId="21615" xr:uid="{48BB76A8-146E-4D5F-8E34-8517BA6BB7F6}"/>
    <cellStyle name="Normal 2 4 2 3 7 3" xfId="5914" xr:uid="{00000000-0005-0000-0000-00002F0F0000}"/>
    <cellStyle name="Normal 2 4 2 3 7 3 2" xfId="15240" xr:uid="{2869680B-192C-445E-B3E8-192708F09FFA}"/>
    <cellStyle name="Normal 2 4 2 3 7 3 2 2" xfId="51582" xr:uid="{D068EFBE-014F-42A1-A688-F15D50DB4E27}"/>
    <cellStyle name="Normal 2 4 2 3 7 3 2 3" xfId="32986" xr:uid="{06ED764D-FFF8-4E7B-85D5-1CC698D4CCCC}"/>
    <cellStyle name="Normal 2 4 2 3 7 3 3" xfId="42285" xr:uid="{836ED564-AEC1-4134-AA5F-9F3E171B8D1B}"/>
    <cellStyle name="Normal 2 4 2 3 7 3 4" xfId="23687" xr:uid="{4CBF70D8-9E5E-4FFA-92E3-4223FD54F49C}"/>
    <cellStyle name="Normal 2 4 2 3 7 4" xfId="11023" xr:uid="{2D91EBD5-397D-4003-B5C0-2C973F57EE31}"/>
    <cellStyle name="Normal 2 4 2 3 7 4 2" xfId="47365" xr:uid="{B908B8D7-6620-43A8-8905-8AA7CFC3EC1E}"/>
    <cellStyle name="Normal 2 4 2 3 7 4 3" xfId="28769" xr:uid="{66ACC611-CA86-4D59-9E6D-20ABC0A58B62}"/>
    <cellStyle name="Normal 2 4 2 3 7 5" xfId="38068" xr:uid="{672AB08F-33AB-447E-9439-DD3C36552926}"/>
    <cellStyle name="Normal 2 4 2 3 7 6" xfId="19470" xr:uid="{3E815DD4-54D5-4FCF-AD3F-F1697D717807}"/>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17798" xr:uid="{060F3767-9714-4EBB-B19A-5CF463B841CF}"/>
    <cellStyle name="Normal 2 4 2 3 8 2 2 2 2" xfId="54140" xr:uid="{2B9E60F3-54EC-46F5-A30A-0957DB84EBA8}"/>
    <cellStyle name="Normal 2 4 2 3 8 2 2 2 3" xfId="35544" xr:uid="{A0D39383-9855-47B6-B3DF-C72E63AAC01D}"/>
    <cellStyle name="Normal 2 4 2 3 8 2 2 3" xfId="44843" xr:uid="{15A65172-748C-4F6B-863C-237F85A80BB7}"/>
    <cellStyle name="Normal 2 4 2 3 8 2 2 4" xfId="26245" xr:uid="{A557C2EC-87EA-45E0-8B39-2B4F264BE254}"/>
    <cellStyle name="Normal 2 4 2 3 8 2 3" xfId="13581" xr:uid="{7B5FB297-C9C5-4EC5-AD6D-664E69EDEA04}"/>
    <cellStyle name="Normal 2 4 2 3 8 2 3 2" xfId="49923" xr:uid="{F3FCA468-D4CC-4ADE-B1BC-0F1C73F8DB98}"/>
    <cellStyle name="Normal 2 4 2 3 8 2 3 3" xfId="31327" xr:uid="{F91CAB80-FE6F-44DE-B886-70808AA27DAF}"/>
    <cellStyle name="Normal 2 4 2 3 8 2 4" xfId="40626" xr:uid="{B41439D1-85EC-42F1-B8AB-921C04E5238A}"/>
    <cellStyle name="Normal 2 4 2 3 8 2 5" xfId="22028" xr:uid="{AB9596C5-DCB0-412D-A9D9-8665D759A323}"/>
    <cellStyle name="Normal 2 4 2 3 8 3" xfId="6327" xr:uid="{00000000-0005-0000-0000-0000330F0000}"/>
    <cellStyle name="Normal 2 4 2 3 8 3 2" xfId="15653" xr:uid="{69F322D8-346D-4D26-B274-8C7DE56EAC43}"/>
    <cellStyle name="Normal 2 4 2 3 8 3 2 2" xfId="51995" xr:uid="{B3AC501E-6ED2-49EE-852E-81990A467033}"/>
    <cellStyle name="Normal 2 4 2 3 8 3 2 3" xfId="33399" xr:uid="{C8359C4E-A1AF-4035-941A-33F9FAC6B65F}"/>
    <cellStyle name="Normal 2 4 2 3 8 3 3" xfId="42698" xr:uid="{5513FE4C-9C0F-42D8-BA1A-111AB10EFC1B}"/>
    <cellStyle name="Normal 2 4 2 3 8 3 4" xfId="24100" xr:uid="{99D75961-2DB8-4884-8DDF-52528C4A1D2A}"/>
    <cellStyle name="Normal 2 4 2 3 8 4" xfId="11436" xr:uid="{72C6AC31-614E-4A0B-AA3F-5561E1C197F3}"/>
    <cellStyle name="Normal 2 4 2 3 8 4 2" xfId="47778" xr:uid="{93C8918A-D5F0-43AC-91CC-B0CC82D671CA}"/>
    <cellStyle name="Normal 2 4 2 3 8 4 3" xfId="29182" xr:uid="{AAD49B76-9888-496B-B2C1-B769EA2F58F4}"/>
    <cellStyle name="Normal 2 4 2 3 8 5" xfId="38481" xr:uid="{89D6D4BC-4FF4-4B73-A406-DD22A368A5E3}"/>
    <cellStyle name="Normal 2 4 2 3 8 6" xfId="19883" xr:uid="{CDC681FD-672E-4EA3-9C25-55544D4D9AB3}"/>
    <cellStyle name="Normal 2 4 2 3 9" xfId="2457" xr:uid="{00000000-0005-0000-0000-0000340F0000}"/>
    <cellStyle name="Normal 2 4 2 3 9 2" xfId="6740" xr:uid="{00000000-0005-0000-0000-0000350F0000}"/>
    <cellStyle name="Normal 2 4 2 3 9 2 2" xfId="16066" xr:uid="{0FC71008-76F8-49DF-B14F-CBD25631D1EC}"/>
    <cellStyle name="Normal 2 4 2 3 9 2 2 2" xfId="52408" xr:uid="{1FCA5575-E74B-41B7-945A-B327497A011D}"/>
    <cellStyle name="Normal 2 4 2 3 9 2 2 3" xfId="33812" xr:uid="{C7E23E6B-E7BB-4DAB-A553-FE23B62F7B7B}"/>
    <cellStyle name="Normal 2 4 2 3 9 2 3" xfId="43111" xr:uid="{8B40CEEB-A81C-4619-BD02-63407809F284}"/>
    <cellStyle name="Normal 2 4 2 3 9 2 4" xfId="24513" xr:uid="{92751134-3735-44C3-8390-00DFF98F189C}"/>
    <cellStyle name="Normal 2 4 2 3 9 3" xfId="11849" xr:uid="{520EA308-951D-49F6-A17E-F11AEC128437}"/>
    <cellStyle name="Normal 2 4 2 3 9 3 2" xfId="48191" xr:uid="{3AE2A81F-761B-4306-BC8D-1C00823501BD}"/>
    <cellStyle name="Normal 2 4 2 3 9 3 3" xfId="29595" xr:uid="{F6C3533B-63BA-4747-8E72-B6A5EF8C643D}"/>
    <cellStyle name="Normal 2 4 2 3 9 4" xfId="38894" xr:uid="{70F8482B-2E68-4860-8A47-06025C6FD94F}"/>
    <cellStyle name="Normal 2 4 2 3 9 5" xfId="20296" xr:uid="{16E00C69-920C-46AA-89A0-B0A3E874E2EB}"/>
    <cellStyle name="Normal 2 4 2 4" xfId="289" xr:uid="{00000000-0005-0000-0000-0000360F0000}"/>
    <cellStyle name="Normal 2 4 2 4 10" xfId="8812" xr:uid="{C2E08BA7-2068-4F74-AFE2-E0AED0B82FE2}"/>
    <cellStyle name="Normal 2 4 2 4 10 2" xfId="35882" xr:uid="{18309F34-250C-4A8C-939B-5F31E8E067C1}"/>
    <cellStyle name="Normal 2 4 2 4 10 2 2" xfId="54477" xr:uid="{9ABCE50A-CAC2-4C88-A63D-E9CF960EB05E}"/>
    <cellStyle name="Normal 2 4 2 4 10 3" xfId="45180" xr:uid="{C1191790-4127-4F86-A56E-5CC40FF1A3B5}"/>
    <cellStyle name="Normal 2 4 2 4 10 4" xfId="26583" xr:uid="{7DCC620F-42B7-46CC-A47A-B877ED69DA7C}"/>
    <cellStyle name="Normal 2 4 2 4 11" xfId="9791" xr:uid="{B0A0D561-FB17-416B-8B8B-66EB61A8BD77}"/>
    <cellStyle name="Normal 2 4 2 4 11 2" xfId="46133" xr:uid="{AF4667E3-3C4B-4541-95F2-ED22649B1B45}"/>
    <cellStyle name="Normal 2 4 2 4 11 3" xfId="27537" xr:uid="{B2A2387D-2C40-450B-91FA-05CD47D1F377}"/>
    <cellStyle name="Normal 2 4 2 4 12" xfId="36836" xr:uid="{B1B31829-4688-4C75-AA0C-CE1AAE8B7A97}"/>
    <cellStyle name="Normal 2 4 2 4 13" xfId="18238" xr:uid="{3B4A0B04-5AF9-4334-8C4D-DFD42AAD5CCB}"/>
    <cellStyle name="Normal 2 4 2 4 2" xfId="290" xr:uid="{00000000-0005-0000-0000-0000370F0000}"/>
    <cellStyle name="Normal 2 4 2 4 2 10" xfId="9792" xr:uid="{CF3FE9F6-65AF-4B3B-9FAA-E13D5E24F4C7}"/>
    <cellStyle name="Normal 2 4 2 4 2 10 2" xfId="46134" xr:uid="{174D590C-35C2-43CA-BB81-DDF35BCD2A15}"/>
    <cellStyle name="Normal 2 4 2 4 2 10 3" xfId="27538" xr:uid="{5C8E88D3-340D-422E-87E4-771B11D55A20}"/>
    <cellStyle name="Normal 2 4 2 4 2 11" xfId="36837" xr:uid="{DB306E61-339C-476C-8288-F957FC04B48A}"/>
    <cellStyle name="Normal 2 4 2 4 2 12" xfId="18239" xr:uid="{37D0B80A-6B37-44B1-ACA9-803B3E31DED7}"/>
    <cellStyle name="Normal 2 4 2 4 2 2" xfId="291" xr:uid="{00000000-0005-0000-0000-0000380F0000}"/>
    <cellStyle name="Normal 2 4 2 4 2 2 10" xfId="36838" xr:uid="{2FD96B9B-1D9F-46CB-A8B3-74A01F765767}"/>
    <cellStyle name="Normal 2 4 2 4 2 2 11" xfId="18240" xr:uid="{BEEF2C0F-1067-42F7-B492-9AF57DC5540C}"/>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16569" xr:uid="{84D6C49E-D650-4231-B1CE-6670E6E04782}"/>
    <cellStyle name="Normal 2 4 2 4 2 2 2 2 2 2 2" xfId="52911" xr:uid="{32542759-61F5-4D61-BE81-2DC18C395BA7}"/>
    <cellStyle name="Normal 2 4 2 4 2 2 2 2 2 2 3" xfId="34315" xr:uid="{451E9A4F-E706-4333-9741-3417F992DF63}"/>
    <cellStyle name="Normal 2 4 2 4 2 2 2 2 2 3" xfId="43614" xr:uid="{0C56E9E8-E125-42BD-9EB2-365862AF0C89}"/>
    <cellStyle name="Normal 2 4 2 4 2 2 2 2 2 4" xfId="25016" xr:uid="{446647CE-A6D3-46E7-A2B2-2C9BFDC36BAE}"/>
    <cellStyle name="Normal 2 4 2 4 2 2 2 2 3" xfId="12352" xr:uid="{8FC8820C-0500-4B3A-B6ED-631DD4E939A2}"/>
    <cellStyle name="Normal 2 4 2 4 2 2 2 2 3 2" xfId="48694" xr:uid="{5778A774-D457-4F0E-A3AF-2B3C8D5DDD9C}"/>
    <cellStyle name="Normal 2 4 2 4 2 2 2 2 3 3" xfId="30098" xr:uid="{E3AEC623-A999-4079-B9DB-FA4C898A2FC1}"/>
    <cellStyle name="Normal 2 4 2 4 2 2 2 2 4" xfId="39397" xr:uid="{104B7FC0-8C78-4615-8E64-813A38C2F7AA}"/>
    <cellStyle name="Normal 2 4 2 4 2 2 2 2 5" xfId="20799" xr:uid="{F7205B84-57CF-4FA6-87AE-D9A534658CC0}"/>
    <cellStyle name="Normal 2 4 2 4 2 2 2 3" xfId="5098" xr:uid="{00000000-0005-0000-0000-00003C0F0000}"/>
    <cellStyle name="Normal 2 4 2 4 2 2 2 3 2" xfId="14424" xr:uid="{1482F883-ADCF-4498-B787-89C2E4259101}"/>
    <cellStyle name="Normal 2 4 2 4 2 2 2 3 2 2" xfId="50766" xr:uid="{36B4C705-7B73-4D6E-8D8D-3A58F114C07E}"/>
    <cellStyle name="Normal 2 4 2 4 2 2 2 3 2 3" xfId="32170" xr:uid="{49142EB9-75C1-462E-9A6F-C63D630B1CEF}"/>
    <cellStyle name="Normal 2 4 2 4 2 2 2 3 3" xfId="41469" xr:uid="{904A2EF4-C4BA-408D-9C82-13C1ADD07D94}"/>
    <cellStyle name="Normal 2 4 2 4 2 2 2 3 4" xfId="22871" xr:uid="{15EDC596-C862-4B9F-ACA9-7CA1061E9911}"/>
    <cellStyle name="Normal 2 4 2 4 2 2 2 4" xfId="9547" xr:uid="{F8909421-8B16-4168-8B85-A5523C430C3C}"/>
    <cellStyle name="Normal 2 4 2 4 2 2 2 4 2" xfId="36608" xr:uid="{7F6B8E84-CB7A-4ACE-B7B2-DD5801A15F62}"/>
    <cellStyle name="Normal 2 4 2 4 2 2 2 4 2 2" xfId="55202" xr:uid="{97A37040-BDE9-47FE-8D9F-2B6CEB9DF7AF}"/>
    <cellStyle name="Normal 2 4 2 4 2 2 2 4 3" xfId="45905" xr:uid="{1C868754-CCE4-4495-B926-209AAC741C46}"/>
    <cellStyle name="Normal 2 4 2 4 2 2 2 4 4" xfId="27309" xr:uid="{B9A1FB08-806C-412F-8C13-6B0D0F5BC189}"/>
    <cellStyle name="Normal 2 4 2 4 2 2 2 5" xfId="10207" xr:uid="{43CE8010-F774-46E9-B5CE-CBE57250B561}"/>
    <cellStyle name="Normal 2 4 2 4 2 2 2 5 2" xfId="46549" xr:uid="{AE4EB934-30DD-48D5-B713-0764590A996F}"/>
    <cellStyle name="Normal 2 4 2 4 2 2 2 5 3" xfId="27953" xr:uid="{4D137B0E-A8C9-4145-8D9F-2C8F7DBB36B4}"/>
    <cellStyle name="Normal 2 4 2 4 2 2 2 6" xfId="37252" xr:uid="{2E25B733-097C-4A8E-B147-0C1C405497E8}"/>
    <cellStyle name="Normal 2 4 2 4 2 2 2 7" xfId="18654" xr:uid="{6BE6485E-BD4F-4065-90BA-8BF247A69D46}"/>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16982" xr:uid="{CC16FD52-77AA-4C3C-860A-17E80012ADD8}"/>
    <cellStyle name="Normal 2 4 2 4 2 2 3 2 2 2 2" xfId="53324" xr:uid="{01E525E4-5EFF-4FD5-B31B-34ECA382E53F}"/>
    <cellStyle name="Normal 2 4 2 4 2 2 3 2 2 2 3" xfId="34728" xr:uid="{91A531C5-D200-4820-A84F-ACBDF72A2DCE}"/>
    <cellStyle name="Normal 2 4 2 4 2 2 3 2 2 3" xfId="44027" xr:uid="{02415A7E-F0F0-4DF2-8556-243C992D4A1F}"/>
    <cellStyle name="Normal 2 4 2 4 2 2 3 2 2 4" xfId="25429" xr:uid="{027F2BEC-B5A6-432C-90F1-2DACCA863EFC}"/>
    <cellStyle name="Normal 2 4 2 4 2 2 3 2 3" xfId="12765" xr:uid="{AB739E8F-1673-42A6-B4A6-244DD501D726}"/>
    <cellStyle name="Normal 2 4 2 4 2 2 3 2 3 2" xfId="49107" xr:uid="{E4F68C79-D4A6-4092-A780-36B39BC5EDC8}"/>
    <cellStyle name="Normal 2 4 2 4 2 2 3 2 3 3" xfId="30511" xr:uid="{BC73C401-0AEB-44AB-982B-3D42DEC5BC7A}"/>
    <cellStyle name="Normal 2 4 2 4 2 2 3 2 4" xfId="39810" xr:uid="{2286A34E-7458-4AB5-9072-656AFC9FE274}"/>
    <cellStyle name="Normal 2 4 2 4 2 2 3 2 5" xfId="21212" xr:uid="{6918F483-7D34-4F48-8873-0D75B3E356C8}"/>
    <cellStyle name="Normal 2 4 2 4 2 2 3 3" xfId="5511" xr:uid="{00000000-0005-0000-0000-0000400F0000}"/>
    <cellStyle name="Normal 2 4 2 4 2 2 3 3 2" xfId="14837" xr:uid="{178EA2F3-AFD9-4D88-ABA9-D0C26ACCF1B7}"/>
    <cellStyle name="Normal 2 4 2 4 2 2 3 3 2 2" xfId="51179" xr:uid="{0C52F464-F4BF-4F5C-9FFF-8CEC40D444FE}"/>
    <cellStyle name="Normal 2 4 2 4 2 2 3 3 2 3" xfId="32583" xr:uid="{1E2F1C97-BC78-4CA5-89D2-51D0ADA47153}"/>
    <cellStyle name="Normal 2 4 2 4 2 2 3 3 3" xfId="41882" xr:uid="{17ED287D-4B52-4423-AA29-E6B05C8A3F2C}"/>
    <cellStyle name="Normal 2 4 2 4 2 2 3 3 4" xfId="23284" xr:uid="{10771430-F78E-4212-974B-15BF63F73902}"/>
    <cellStyle name="Normal 2 4 2 4 2 2 3 4" xfId="10620" xr:uid="{9D010A61-2536-4D57-AA42-3A90DCAA0988}"/>
    <cellStyle name="Normal 2 4 2 4 2 2 3 4 2" xfId="46962" xr:uid="{75E1D6AA-1E2C-4534-A17F-46E8DE6D45AC}"/>
    <cellStyle name="Normal 2 4 2 4 2 2 3 4 3" xfId="28366" xr:uid="{15DF4EEF-D9E5-4F55-8DB6-B87044239B32}"/>
    <cellStyle name="Normal 2 4 2 4 2 2 3 5" xfId="37665" xr:uid="{1D303883-3202-4A39-9068-77A6412DF83A}"/>
    <cellStyle name="Normal 2 4 2 4 2 2 3 6" xfId="19067" xr:uid="{A88B15EA-2D4C-4451-9202-C2EFF0CF4B62}"/>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17395" xr:uid="{457F82DA-865C-43DC-B60B-667E1EBCFC48}"/>
    <cellStyle name="Normal 2 4 2 4 2 2 4 2 2 2 2" xfId="53737" xr:uid="{445EA0F4-F1C6-4011-AFF8-EAF60BA7644C}"/>
    <cellStyle name="Normal 2 4 2 4 2 2 4 2 2 2 3" xfId="35141" xr:uid="{BD2F7CE8-C868-4EF2-AB1D-1564593333E9}"/>
    <cellStyle name="Normal 2 4 2 4 2 2 4 2 2 3" xfId="44440" xr:uid="{726DB994-FED6-42F1-A36D-A75DA9550A7B}"/>
    <cellStyle name="Normal 2 4 2 4 2 2 4 2 2 4" xfId="25842" xr:uid="{3788A4E2-671A-437E-ABBA-D24B923C3BC6}"/>
    <cellStyle name="Normal 2 4 2 4 2 2 4 2 3" xfId="13178" xr:uid="{08B12B7A-1628-4D96-8F21-803320FA4665}"/>
    <cellStyle name="Normal 2 4 2 4 2 2 4 2 3 2" xfId="49520" xr:uid="{B267EEDB-E083-4274-BF2A-B9A03D3ECE8C}"/>
    <cellStyle name="Normal 2 4 2 4 2 2 4 2 3 3" xfId="30924" xr:uid="{E03EA7FF-2E85-4E16-A003-944F3D80A723}"/>
    <cellStyle name="Normal 2 4 2 4 2 2 4 2 4" xfId="40223" xr:uid="{506244B6-A769-4BA8-AFFC-3F5D5F88A700}"/>
    <cellStyle name="Normal 2 4 2 4 2 2 4 2 5" xfId="21625" xr:uid="{AA4CD340-4184-4C31-9E1F-4A2EDDB0ADFA}"/>
    <cellStyle name="Normal 2 4 2 4 2 2 4 3" xfId="5924" xr:uid="{00000000-0005-0000-0000-0000440F0000}"/>
    <cellStyle name="Normal 2 4 2 4 2 2 4 3 2" xfId="15250" xr:uid="{DB3C67D6-23EF-4829-8DDD-1BC90E029421}"/>
    <cellStyle name="Normal 2 4 2 4 2 2 4 3 2 2" xfId="51592" xr:uid="{293F799C-36D4-451F-BCCE-BDBF7F6951DA}"/>
    <cellStyle name="Normal 2 4 2 4 2 2 4 3 2 3" xfId="32996" xr:uid="{BE2AF699-FE9D-4761-91CF-035379627CA7}"/>
    <cellStyle name="Normal 2 4 2 4 2 2 4 3 3" xfId="42295" xr:uid="{3DDB1488-2913-4CD6-A279-B63526BF95CC}"/>
    <cellStyle name="Normal 2 4 2 4 2 2 4 3 4" xfId="23697" xr:uid="{608C788C-2495-4AAD-92E0-9B29A13C27BE}"/>
    <cellStyle name="Normal 2 4 2 4 2 2 4 4" xfId="11033" xr:uid="{473AB263-243B-452E-B41D-D8CE651AE1B8}"/>
    <cellStyle name="Normal 2 4 2 4 2 2 4 4 2" xfId="47375" xr:uid="{1D3B2DEB-6832-43ED-8F7F-7AEA0063756B}"/>
    <cellStyle name="Normal 2 4 2 4 2 2 4 4 3" xfId="28779" xr:uid="{B6476179-8F75-4B6F-B35C-EC8782BA0B16}"/>
    <cellStyle name="Normal 2 4 2 4 2 2 4 5" xfId="38078" xr:uid="{5233F68C-8C37-4D05-A8A3-EB1B3A26CA16}"/>
    <cellStyle name="Normal 2 4 2 4 2 2 4 6" xfId="19480" xr:uid="{53370207-765E-4491-A922-4F17DA8D37BB}"/>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17808" xr:uid="{D6FEBDEF-97F1-4F03-87FF-4053DC93336B}"/>
    <cellStyle name="Normal 2 4 2 4 2 2 5 2 2 2 2" xfId="54150" xr:uid="{3DDCBDE7-94BC-46F4-8C68-9594AD1899D5}"/>
    <cellStyle name="Normal 2 4 2 4 2 2 5 2 2 2 3" xfId="35554" xr:uid="{94A02A9F-5D72-4DD4-B8A7-6366A4DF39CE}"/>
    <cellStyle name="Normal 2 4 2 4 2 2 5 2 2 3" xfId="44853" xr:uid="{A078AE3F-A54A-4A94-AD79-0EA315C64E5C}"/>
    <cellStyle name="Normal 2 4 2 4 2 2 5 2 2 4" xfId="26255" xr:uid="{77E313F8-2830-44BD-8209-A572746211BB}"/>
    <cellStyle name="Normal 2 4 2 4 2 2 5 2 3" xfId="13591" xr:uid="{1B0B7FDB-A118-4576-A785-BFD5F29DE086}"/>
    <cellStyle name="Normal 2 4 2 4 2 2 5 2 3 2" xfId="49933" xr:uid="{21C7C69D-7CBD-434E-B425-221FF7830BF7}"/>
    <cellStyle name="Normal 2 4 2 4 2 2 5 2 3 3" xfId="31337" xr:uid="{DEAC14C8-631C-4D53-BD94-096E176A0FC4}"/>
    <cellStyle name="Normal 2 4 2 4 2 2 5 2 4" xfId="40636" xr:uid="{EAF94D07-FB07-4731-8632-B1EFC9C95BCD}"/>
    <cellStyle name="Normal 2 4 2 4 2 2 5 2 5" xfId="22038" xr:uid="{7B475682-C842-479E-803F-568895BD2B87}"/>
    <cellStyle name="Normal 2 4 2 4 2 2 5 3" xfId="6337" xr:uid="{00000000-0005-0000-0000-0000480F0000}"/>
    <cellStyle name="Normal 2 4 2 4 2 2 5 3 2" xfId="15663" xr:uid="{844D5F8E-27A1-4F3C-A1E4-67443C5E2305}"/>
    <cellStyle name="Normal 2 4 2 4 2 2 5 3 2 2" xfId="52005" xr:uid="{DEDBC384-DCF2-4F97-9FEA-B164614A8B7D}"/>
    <cellStyle name="Normal 2 4 2 4 2 2 5 3 2 3" xfId="33409" xr:uid="{46511FAF-6657-45AB-815E-B31E38613572}"/>
    <cellStyle name="Normal 2 4 2 4 2 2 5 3 3" xfId="42708" xr:uid="{49CE3232-4E01-4B12-AE67-04D9B46E893A}"/>
    <cellStyle name="Normal 2 4 2 4 2 2 5 3 4" xfId="24110" xr:uid="{F51D15A7-702C-4D0A-A53F-C645F3D04DFC}"/>
    <cellStyle name="Normal 2 4 2 4 2 2 5 4" xfId="11446" xr:uid="{5358A459-55BE-410F-9BBF-7E5ABD7FF726}"/>
    <cellStyle name="Normal 2 4 2 4 2 2 5 4 2" xfId="47788" xr:uid="{2CD04987-1237-404D-AE85-6BECAF3B78EA}"/>
    <cellStyle name="Normal 2 4 2 4 2 2 5 4 3" xfId="29192" xr:uid="{AA26522E-BD03-4AAF-AB18-BBD526DA0EC5}"/>
    <cellStyle name="Normal 2 4 2 4 2 2 5 5" xfId="38491" xr:uid="{9C4EE01C-92AC-4AD2-90B0-7B30782508C0}"/>
    <cellStyle name="Normal 2 4 2 4 2 2 5 6" xfId="19893" xr:uid="{B2CAD65E-935D-4117-8700-4D3DBF8F193A}"/>
    <cellStyle name="Normal 2 4 2 4 2 2 6" xfId="2467" xr:uid="{00000000-0005-0000-0000-0000490F0000}"/>
    <cellStyle name="Normal 2 4 2 4 2 2 6 2" xfId="6750" xr:uid="{00000000-0005-0000-0000-00004A0F0000}"/>
    <cellStyle name="Normal 2 4 2 4 2 2 6 2 2" xfId="16076" xr:uid="{F37F2C6D-F049-45D1-ABC4-D48EC03322AA}"/>
    <cellStyle name="Normal 2 4 2 4 2 2 6 2 2 2" xfId="52418" xr:uid="{7E7DF7C4-7E13-416F-94B5-76ABFFFAEDF6}"/>
    <cellStyle name="Normal 2 4 2 4 2 2 6 2 2 3" xfId="33822" xr:uid="{D54ACE88-A567-46D9-8607-B2DD6CF80650}"/>
    <cellStyle name="Normal 2 4 2 4 2 2 6 2 3" xfId="43121" xr:uid="{EEFADF4D-F716-478D-B5F8-4F35B3F57D63}"/>
    <cellStyle name="Normal 2 4 2 4 2 2 6 2 4" xfId="24523" xr:uid="{D77979AB-A427-486B-BFAB-4D6D1CEB20D9}"/>
    <cellStyle name="Normal 2 4 2 4 2 2 6 3" xfId="11859" xr:uid="{4D8E7ED5-0869-4413-922E-1C0E712353E7}"/>
    <cellStyle name="Normal 2 4 2 4 2 2 6 3 2" xfId="48201" xr:uid="{A31E1C50-8568-4939-A95B-28AEC5008F0B}"/>
    <cellStyle name="Normal 2 4 2 4 2 2 6 3 3" xfId="29605" xr:uid="{AE0EBA48-C9F1-4065-88D6-FBAB68D0E22C}"/>
    <cellStyle name="Normal 2 4 2 4 2 2 6 4" xfId="38904" xr:uid="{B2FA71FE-D800-41FC-BD88-15BAD01B42AB}"/>
    <cellStyle name="Normal 2 4 2 4 2 2 6 5" xfId="20306" xr:uid="{DD8D76C2-C7C7-4EC2-B066-F37D29BC623C}"/>
    <cellStyle name="Normal 2 4 2 4 2 2 7" xfId="4684" xr:uid="{00000000-0005-0000-0000-00004B0F0000}"/>
    <cellStyle name="Normal 2 4 2 4 2 2 7 2" xfId="14010" xr:uid="{D19DF030-26FA-40D4-8B16-3DABB151094C}"/>
    <cellStyle name="Normal 2 4 2 4 2 2 7 2 2" xfId="50352" xr:uid="{85A29889-3291-4D4B-8C53-A07DBD2B40DC}"/>
    <cellStyle name="Normal 2 4 2 4 2 2 7 2 3" xfId="31756" xr:uid="{AE983DCA-9899-4FB2-9BB8-2A47223AB199}"/>
    <cellStyle name="Normal 2 4 2 4 2 2 7 3" xfId="41055" xr:uid="{A9567589-BD84-4535-B3BC-B39C6F674CC5}"/>
    <cellStyle name="Normal 2 4 2 4 2 2 7 4" xfId="22457" xr:uid="{C2C10195-5F98-4451-9DB8-73267302C929}"/>
    <cellStyle name="Normal 2 4 2 4 2 2 8" xfId="9122" xr:uid="{861CB008-611F-4F3F-9D09-5BCA5A4CB255}"/>
    <cellStyle name="Normal 2 4 2 4 2 2 8 2" xfId="36192" xr:uid="{FFFFB926-2555-4B26-9A48-C12FFFFEC97A}"/>
    <cellStyle name="Normal 2 4 2 4 2 2 8 2 2" xfId="54787" xr:uid="{2A708564-A837-46F4-A6E5-B384E26EB258}"/>
    <cellStyle name="Normal 2 4 2 4 2 2 8 3" xfId="45490" xr:uid="{38DD980D-E16B-4C3A-9B35-CBCCF7BF7C7B}"/>
    <cellStyle name="Normal 2 4 2 4 2 2 8 4" xfId="26893" xr:uid="{FB7A9320-ED62-4170-AD57-9236B54622AF}"/>
    <cellStyle name="Normal 2 4 2 4 2 2 9" xfId="9793" xr:uid="{1DD5193C-AF10-424F-8B92-558AF1361BC6}"/>
    <cellStyle name="Normal 2 4 2 4 2 2 9 2" xfId="46135" xr:uid="{60E7F3F3-9FFF-4948-87CA-CFB62D463A91}"/>
    <cellStyle name="Normal 2 4 2 4 2 2 9 3" xfId="27539" xr:uid="{499ECD86-819C-4448-BABC-3CCA83D48131}"/>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16568" xr:uid="{4418E29A-2693-4697-A2A8-7B094F729250}"/>
    <cellStyle name="Normal 2 4 2 4 2 3 2 2 2 2" xfId="52910" xr:uid="{47EEDD99-D5C2-4141-AB48-5A2305FA0D81}"/>
    <cellStyle name="Normal 2 4 2 4 2 3 2 2 2 3" xfId="34314" xr:uid="{C847C569-62C2-4AA0-A1D4-8A7854B30CAF}"/>
    <cellStyle name="Normal 2 4 2 4 2 3 2 2 3" xfId="43613" xr:uid="{8CDFC670-38AD-41B7-B701-C376C0FB984A}"/>
    <cellStyle name="Normal 2 4 2 4 2 3 2 2 4" xfId="25015" xr:uid="{2C8AF822-3336-4667-B635-6447BE5002FC}"/>
    <cellStyle name="Normal 2 4 2 4 2 3 2 3" xfId="12351" xr:uid="{DEA29862-E691-4DCB-B0BD-A21F7218253C}"/>
    <cellStyle name="Normal 2 4 2 4 2 3 2 3 2" xfId="48693" xr:uid="{B7B4FA96-F404-466C-999C-7810C602FA50}"/>
    <cellStyle name="Normal 2 4 2 4 2 3 2 3 3" xfId="30097" xr:uid="{98824398-34D5-4D11-B4C7-389B6722449B}"/>
    <cellStyle name="Normal 2 4 2 4 2 3 2 4" xfId="39396" xr:uid="{6F9B1E37-EFBA-45A0-86F8-B700C0320A0D}"/>
    <cellStyle name="Normal 2 4 2 4 2 3 2 5" xfId="20798" xr:uid="{D3AD26A6-37E0-4D7B-93AC-BDD954234D67}"/>
    <cellStyle name="Normal 2 4 2 4 2 3 3" xfId="5097" xr:uid="{00000000-0005-0000-0000-00004F0F0000}"/>
    <cellStyle name="Normal 2 4 2 4 2 3 3 2" xfId="14423" xr:uid="{6EE34063-8829-40B1-8A89-9C9DAF36E6F4}"/>
    <cellStyle name="Normal 2 4 2 4 2 3 3 2 2" xfId="50765" xr:uid="{BA989013-A3EA-4A9F-8120-648EDC7C3441}"/>
    <cellStyle name="Normal 2 4 2 4 2 3 3 2 3" xfId="32169" xr:uid="{DD7FBD9A-E0C7-4BC9-ACBC-37C18EAFD36E}"/>
    <cellStyle name="Normal 2 4 2 4 2 3 3 3" xfId="41468" xr:uid="{9B257BA1-FED4-4654-90D7-1712C7BAE2C1}"/>
    <cellStyle name="Normal 2 4 2 4 2 3 3 4" xfId="22870" xr:uid="{4DA86261-190F-4A05-BE60-CC51FF93798F}"/>
    <cellStyle name="Normal 2 4 2 4 2 3 4" xfId="9340" xr:uid="{2D1F2F91-F6E8-42AC-98D0-B8667E0ECE37}"/>
    <cellStyle name="Normal 2 4 2 4 2 3 4 2" xfId="36401" xr:uid="{EFAD77B4-59E1-4598-8F52-510E6745E4EF}"/>
    <cellStyle name="Normal 2 4 2 4 2 3 4 2 2" xfId="54995" xr:uid="{0AFEBF0C-C7C2-40AC-A9F5-0E9373D6F174}"/>
    <cellStyle name="Normal 2 4 2 4 2 3 4 3" xfId="45698" xr:uid="{0C1FE902-C08C-4A5E-84D8-89122937D74A}"/>
    <cellStyle name="Normal 2 4 2 4 2 3 4 4" xfId="27102" xr:uid="{A26EAB1C-1959-4B5F-A2CC-BC6B4092579C}"/>
    <cellStyle name="Normal 2 4 2 4 2 3 5" xfId="10206" xr:uid="{A96D2222-4BE8-4DA0-BAD5-838193948E91}"/>
    <cellStyle name="Normal 2 4 2 4 2 3 5 2" xfId="46548" xr:uid="{46F31943-5643-4A7D-B064-9038661853F6}"/>
    <cellStyle name="Normal 2 4 2 4 2 3 5 3" xfId="27952" xr:uid="{FE532679-C8E1-4A75-93D3-C7004A8F4CBC}"/>
    <cellStyle name="Normal 2 4 2 4 2 3 6" xfId="37251" xr:uid="{8A7FE62B-0386-4707-B3AC-0264C9093828}"/>
    <cellStyle name="Normal 2 4 2 4 2 3 7" xfId="18653" xr:uid="{C0DB0137-421D-4111-B41E-98151210F024}"/>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16981" xr:uid="{98DA2014-24A8-424A-8FF9-B35EABA4AE45}"/>
    <cellStyle name="Normal 2 4 2 4 2 4 2 2 2 2" xfId="53323" xr:uid="{2B23AFC7-D70B-426D-BC73-DBB43E667CB6}"/>
    <cellStyle name="Normal 2 4 2 4 2 4 2 2 2 3" xfId="34727" xr:uid="{526690E5-7590-4796-B909-389759C80C8C}"/>
    <cellStyle name="Normal 2 4 2 4 2 4 2 2 3" xfId="44026" xr:uid="{A9662671-D89A-4B0D-A5A8-E05F96654329}"/>
    <cellStyle name="Normal 2 4 2 4 2 4 2 2 4" xfId="25428" xr:uid="{7DFE2D61-9469-4C8F-82EE-36BF55F09EA9}"/>
    <cellStyle name="Normal 2 4 2 4 2 4 2 3" xfId="12764" xr:uid="{1556DA50-E7F1-4FC6-9A7B-F4BA099C2F71}"/>
    <cellStyle name="Normal 2 4 2 4 2 4 2 3 2" xfId="49106" xr:uid="{2DE89999-EC38-48FA-B79C-C7A4CA491CA0}"/>
    <cellStyle name="Normal 2 4 2 4 2 4 2 3 3" xfId="30510" xr:uid="{BF62ADF2-1F00-404F-997B-6CD88BCE0174}"/>
    <cellStyle name="Normal 2 4 2 4 2 4 2 4" xfId="39809" xr:uid="{7DC2BDB7-9903-4EB1-AAF7-DD5466174CC9}"/>
    <cellStyle name="Normal 2 4 2 4 2 4 2 5" xfId="21211" xr:uid="{272AAAC3-78E6-4602-938F-82CD6CD4D189}"/>
    <cellStyle name="Normal 2 4 2 4 2 4 3" xfId="5510" xr:uid="{00000000-0005-0000-0000-0000530F0000}"/>
    <cellStyle name="Normal 2 4 2 4 2 4 3 2" xfId="14836" xr:uid="{3526064C-D034-4B7D-BB4C-0FE86EF31CE8}"/>
    <cellStyle name="Normal 2 4 2 4 2 4 3 2 2" xfId="51178" xr:uid="{A914D250-9451-4DDC-B46A-1C96A5A37C57}"/>
    <cellStyle name="Normal 2 4 2 4 2 4 3 2 3" xfId="32582" xr:uid="{5A62CC9F-5F79-45CE-94BD-47FABFB25E2B}"/>
    <cellStyle name="Normal 2 4 2 4 2 4 3 3" xfId="41881" xr:uid="{10EF5338-0744-4B1D-A4C5-5D9AD3EF91C0}"/>
    <cellStyle name="Normal 2 4 2 4 2 4 3 4" xfId="23283" xr:uid="{5B37D5FB-4ABE-44C5-9426-12F5F2C91FC0}"/>
    <cellStyle name="Normal 2 4 2 4 2 4 4" xfId="10619" xr:uid="{BCE34233-1608-43C5-A49C-9EA8AF201BA7}"/>
    <cellStyle name="Normal 2 4 2 4 2 4 4 2" xfId="46961" xr:uid="{D340F834-AB35-4A31-9F8E-676CAAA47048}"/>
    <cellStyle name="Normal 2 4 2 4 2 4 4 3" xfId="28365" xr:uid="{0634625A-4519-4393-AD82-6B0ED39656E7}"/>
    <cellStyle name="Normal 2 4 2 4 2 4 5" xfId="37664" xr:uid="{7909BF9B-C26E-4B60-9615-C7DC02201F7C}"/>
    <cellStyle name="Normal 2 4 2 4 2 4 6" xfId="19066" xr:uid="{C5299CE5-DACC-4F81-A932-580AA82A6093}"/>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17394" xr:uid="{69182DDF-63CA-4D5A-9CA9-10BB13A3444E}"/>
    <cellStyle name="Normal 2 4 2 4 2 5 2 2 2 2" xfId="53736" xr:uid="{A8746440-CB71-43A4-B2CA-59DFB963DCA5}"/>
    <cellStyle name="Normal 2 4 2 4 2 5 2 2 2 3" xfId="35140" xr:uid="{94DCF20A-F277-4306-AC35-0D7D27DFE55F}"/>
    <cellStyle name="Normal 2 4 2 4 2 5 2 2 3" xfId="44439" xr:uid="{174B8BB1-4467-4E29-B02D-8FAA4CDAA4E1}"/>
    <cellStyle name="Normal 2 4 2 4 2 5 2 2 4" xfId="25841" xr:uid="{F9343A61-F956-4750-A842-BE1B10158EA9}"/>
    <cellStyle name="Normal 2 4 2 4 2 5 2 3" xfId="13177" xr:uid="{6DD478CF-DCC7-41DA-B93B-07D8179B584E}"/>
    <cellStyle name="Normal 2 4 2 4 2 5 2 3 2" xfId="49519" xr:uid="{9411598F-177C-49EB-8644-EAD5528DF97A}"/>
    <cellStyle name="Normal 2 4 2 4 2 5 2 3 3" xfId="30923" xr:uid="{AA674FB7-7B02-45C0-B9CB-03FD6BAC88D5}"/>
    <cellStyle name="Normal 2 4 2 4 2 5 2 4" xfId="40222" xr:uid="{9AA70B00-874A-46E8-B07D-EA2C739E855E}"/>
    <cellStyle name="Normal 2 4 2 4 2 5 2 5" xfId="21624" xr:uid="{717E47F5-7A15-433F-A867-B2D372417858}"/>
    <cellStyle name="Normal 2 4 2 4 2 5 3" xfId="5923" xr:uid="{00000000-0005-0000-0000-0000570F0000}"/>
    <cellStyle name="Normal 2 4 2 4 2 5 3 2" xfId="15249" xr:uid="{DD563BB3-E248-4A95-9DEB-C2A66252C4AD}"/>
    <cellStyle name="Normal 2 4 2 4 2 5 3 2 2" xfId="51591" xr:uid="{803312DD-117E-45BB-8881-3BF7E1CCF8E4}"/>
    <cellStyle name="Normal 2 4 2 4 2 5 3 2 3" xfId="32995" xr:uid="{C33F9A01-DB30-43F3-B3CA-801419814ABA}"/>
    <cellStyle name="Normal 2 4 2 4 2 5 3 3" xfId="42294" xr:uid="{F88A0E5A-BB12-4154-8336-EE365819E724}"/>
    <cellStyle name="Normal 2 4 2 4 2 5 3 4" xfId="23696" xr:uid="{A09886CC-C3D3-40D1-8CD4-AF018EE326E0}"/>
    <cellStyle name="Normal 2 4 2 4 2 5 4" xfId="11032" xr:uid="{FD824705-5B49-4DF9-98EB-F4570E3363EA}"/>
    <cellStyle name="Normal 2 4 2 4 2 5 4 2" xfId="47374" xr:uid="{BC087FF7-5CFB-448B-B743-E36E1719EAB4}"/>
    <cellStyle name="Normal 2 4 2 4 2 5 4 3" xfId="28778" xr:uid="{ADC9C321-78A1-4C25-9186-113BB6BDB295}"/>
    <cellStyle name="Normal 2 4 2 4 2 5 5" xfId="38077" xr:uid="{208BEC7B-94F7-4774-A0C7-7E58AA528230}"/>
    <cellStyle name="Normal 2 4 2 4 2 5 6" xfId="19479" xr:uid="{4E94B50B-7E9F-48CA-BE17-DB367175FE8A}"/>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17807" xr:uid="{A1CB7881-0D1D-4D04-B9C9-6533835078C9}"/>
    <cellStyle name="Normal 2 4 2 4 2 6 2 2 2 2" xfId="54149" xr:uid="{5AA62B55-FF8B-446B-939A-D58740CBCDCE}"/>
    <cellStyle name="Normal 2 4 2 4 2 6 2 2 2 3" xfId="35553" xr:uid="{B6ACBA04-291A-4518-AD91-8ECC6A3DDA3E}"/>
    <cellStyle name="Normal 2 4 2 4 2 6 2 2 3" xfId="44852" xr:uid="{7C877877-E083-48E9-9375-5417DEB3D2C4}"/>
    <cellStyle name="Normal 2 4 2 4 2 6 2 2 4" xfId="26254" xr:uid="{94E0624E-7699-4311-B611-6FEF1FC5BB3C}"/>
    <cellStyle name="Normal 2 4 2 4 2 6 2 3" xfId="13590" xr:uid="{CB11C858-DCEE-4E86-95D1-44729A705D53}"/>
    <cellStyle name="Normal 2 4 2 4 2 6 2 3 2" xfId="49932" xr:uid="{2CC2777F-A529-4938-A1D1-7852FB3C4B2F}"/>
    <cellStyle name="Normal 2 4 2 4 2 6 2 3 3" xfId="31336" xr:uid="{07336C6C-5BF1-4087-9B10-83381827B7E6}"/>
    <cellStyle name="Normal 2 4 2 4 2 6 2 4" xfId="40635" xr:uid="{6F2E165F-11A5-4489-AF8F-CC907A4BD7FD}"/>
    <cellStyle name="Normal 2 4 2 4 2 6 2 5" xfId="22037" xr:uid="{01267216-436A-47A5-904B-C1E3170674D6}"/>
    <cellStyle name="Normal 2 4 2 4 2 6 3" xfId="6336" xr:uid="{00000000-0005-0000-0000-00005B0F0000}"/>
    <cellStyle name="Normal 2 4 2 4 2 6 3 2" xfId="15662" xr:uid="{68A68C4C-1304-421D-B368-9E7541DBCDB7}"/>
    <cellStyle name="Normal 2 4 2 4 2 6 3 2 2" xfId="52004" xr:uid="{2157EF94-6096-45BD-8AC6-213383D0CD0B}"/>
    <cellStyle name="Normal 2 4 2 4 2 6 3 2 3" xfId="33408" xr:uid="{1F3C125B-BF22-487D-80CD-E153B814029A}"/>
    <cellStyle name="Normal 2 4 2 4 2 6 3 3" xfId="42707" xr:uid="{EE8141B3-CBA9-4D9F-9BF5-1CF512B0F062}"/>
    <cellStyle name="Normal 2 4 2 4 2 6 3 4" xfId="24109" xr:uid="{2E9E7CCC-51BB-46D7-A85F-998AA965DF72}"/>
    <cellStyle name="Normal 2 4 2 4 2 6 4" xfId="11445" xr:uid="{99649D99-0425-49E6-A43B-510CEB8E2F57}"/>
    <cellStyle name="Normal 2 4 2 4 2 6 4 2" xfId="47787" xr:uid="{344D9C90-D64C-45F4-B52B-8F5F9B6F6721}"/>
    <cellStyle name="Normal 2 4 2 4 2 6 4 3" xfId="29191" xr:uid="{D1782649-6E23-4B28-B6E0-EF7448E38537}"/>
    <cellStyle name="Normal 2 4 2 4 2 6 5" xfId="38490" xr:uid="{3EC1EFE1-39DC-468B-B00E-35E849F802B8}"/>
    <cellStyle name="Normal 2 4 2 4 2 6 6" xfId="19892" xr:uid="{341852D9-A06E-4E94-A042-C8BF01761B2E}"/>
    <cellStyle name="Normal 2 4 2 4 2 7" xfId="2466" xr:uid="{00000000-0005-0000-0000-00005C0F0000}"/>
    <cellStyle name="Normal 2 4 2 4 2 7 2" xfId="6749" xr:uid="{00000000-0005-0000-0000-00005D0F0000}"/>
    <cellStyle name="Normal 2 4 2 4 2 7 2 2" xfId="16075" xr:uid="{4B3BDB66-6F72-4833-8355-05663B2CDF2B}"/>
    <cellStyle name="Normal 2 4 2 4 2 7 2 2 2" xfId="52417" xr:uid="{391184AB-9AC5-46ED-9234-B6D52460A1DA}"/>
    <cellStyle name="Normal 2 4 2 4 2 7 2 2 3" xfId="33821" xr:uid="{FACF0AD3-764B-48D8-99BA-9C147120D780}"/>
    <cellStyle name="Normal 2 4 2 4 2 7 2 3" xfId="43120" xr:uid="{2C204051-6D89-4EC0-9A5D-3CB8E2E68CD9}"/>
    <cellStyle name="Normal 2 4 2 4 2 7 2 4" xfId="24522" xr:uid="{A19DE4E2-CFB3-47B8-AA9A-7DDD2E2775D1}"/>
    <cellStyle name="Normal 2 4 2 4 2 7 3" xfId="11858" xr:uid="{374727D8-D2BD-4C6F-934F-4FA9E2DC0543}"/>
    <cellStyle name="Normal 2 4 2 4 2 7 3 2" xfId="48200" xr:uid="{E8890922-7BA9-4FBD-8AFF-1458289D66EE}"/>
    <cellStyle name="Normal 2 4 2 4 2 7 3 3" xfId="29604" xr:uid="{BE2A00A5-2C32-4037-9FF0-303CC6C04D5E}"/>
    <cellStyle name="Normal 2 4 2 4 2 7 4" xfId="38903" xr:uid="{68454914-F593-4D9E-932D-CE57DA6A6D6A}"/>
    <cellStyle name="Normal 2 4 2 4 2 7 5" xfId="20305" xr:uid="{D36BCFA9-5BBF-4AD2-A8A0-ECBC306FE646}"/>
    <cellStyle name="Normal 2 4 2 4 2 8" xfId="4683" xr:uid="{00000000-0005-0000-0000-00005E0F0000}"/>
    <cellStyle name="Normal 2 4 2 4 2 8 2" xfId="14009" xr:uid="{47E79628-6C30-4DE8-9E61-0B72AF9B8CF5}"/>
    <cellStyle name="Normal 2 4 2 4 2 8 2 2" xfId="50351" xr:uid="{B0D1BD4A-9891-4BA3-BE97-4E69EBBAB768}"/>
    <cellStyle name="Normal 2 4 2 4 2 8 2 3" xfId="31755" xr:uid="{3268F9C1-0527-4ED0-8263-D3DF5D59F6BC}"/>
    <cellStyle name="Normal 2 4 2 4 2 8 3" xfId="41054" xr:uid="{0811E455-6C22-481D-8014-9B8094C265CB}"/>
    <cellStyle name="Normal 2 4 2 4 2 8 4" xfId="22456" xr:uid="{1D588D7F-6431-494D-960C-26FD5662D484}"/>
    <cellStyle name="Normal 2 4 2 4 2 9" xfId="8915" xr:uid="{2BEB15AA-2AFA-47D4-AC0E-63DAF2CFE119}"/>
    <cellStyle name="Normal 2 4 2 4 2 9 2" xfId="35985" xr:uid="{6A1F5071-A087-4D0B-AA59-6B1E939EF3C3}"/>
    <cellStyle name="Normal 2 4 2 4 2 9 2 2" xfId="54580" xr:uid="{F7ABB0F1-1318-40C9-961F-DE4D4C0E583F}"/>
    <cellStyle name="Normal 2 4 2 4 2 9 3" xfId="45283" xr:uid="{4E9453C1-DD2B-4544-AFBC-18E6C176F684}"/>
    <cellStyle name="Normal 2 4 2 4 2 9 4" xfId="26686" xr:uid="{67A782C8-DC16-4950-B086-9968DFD2599F}"/>
    <cellStyle name="Normal 2 4 2 4 3" xfId="292" xr:uid="{00000000-0005-0000-0000-00005F0F0000}"/>
    <cellStyle name="Normal 2 4 2 4 3 10" xfId="36839" xr:uid="{C1992B02-9B7F-4AD5-800B-29F70733B8CD}"/>
    <cellStyle name="Normal 2 4 2 4 3 11" xfId="18241" xr:uid="{66A0C6E6-E47D-4B6E-86C1-9BB7426F4E74}"/>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16570" xr:uid="{8F0E76F7-6AF6-4240-B4DE-995167815E9B}"/>
    <cellStyle name="Normal 2 4 2 4 3 2 2 2 2 2" xfId="52912" xr:uid="{BDB5575B-C39F-4F8F-BAFB-F1F92B7B5F51}"/>
    <cellStyle name="Normal 2 4 2 4 3 2 2 2 2 3" xfId="34316" xr:uid="{E8504DDA-6B5C-4395-991E-F4593391846C}"/>
    <cellStyle name="Normal 2 4 2 4 3 2 2 2 3" xfId="43615" xr:uid="{E1D5EC34-9A61-4110-8A04-81904B022CCD}"/>
    <cellStyle name="Normal 2 4 2 4 3 2 2 2 4" xfId="25017" xr:uid="{B0399024-EC93-41CD-987F-3061F58B4929}"/>
    <cellStyle name="Normal 2 4 2 4 3 2 2 3" xfId="12353" xr:uid="{C47CE963-F88B-4839-9491-D037F0E87AA0}"/>
    <cellStyle name="Normal 2 4 2 4 3 2 2 3 2" xfId="48695" xr:uid="{4D9ED5CD-32CA-4CDD-8500-741485616954}"/>
    <cellStyle name="Normal 2 4 2 4 3 2 2 3 3" xfId="30099" xr:uid="{CBDA9041-B1C6-4CF3-A407-794DB0DAEF2D}"/>
    <cellStyle name="Normal 2 4 2 4 3 2 2 4" xfId="39398" xr:uid="{0D59F15F-9D7C-4F80-91A5-D2E44E9D37C1}"/>
    <cellStyle name="Normal 2 4 2 4 3 2 2 5" xfId="20800" xr:uid="{BE085243-71CF-486D-A3D3-A55CB98A2416}"/>
    <cellStyle name="Normal 2 4 2 4 3 2 3" xfId="5099" xr:uid="{00000000-0005-0000-0000-0000630F0000}"/>
    <cellStyle name="Normal 2 4 2 4 3 2 3 2" xfId="14425" xr:uid="{FB4D3321-AE45-4D34-821B-184A92A32514}"/>
    <cellStyle name="Normal 2 4 2 4 3 2 3 2 2" xfId="50767" xr:uid="{11EECB84-95A8-4058-AA5B-C470302BAC2E}"/>
    <cellStyle name="Normal 2 4 2 4 3 2 3 2 3" xfId="32171" xr:uid="{371434A6-97F1-47F3-ADF3-DF70E15B87D7}"/>
    <cellStyle name="Normal 2 4 2 4 3 2 3 3" xfId="41470" xr:uid="{D42400D5-DAAA-4B4B-9341-C1B2C31787E2}"/>
    <cellStyle name="Normal 2 4 2 4 3 2 3 4" xfId="22872" xr:uid="{B9AD370A-A248-472D-8E99-F89A30C80BD1}"/>
    <cellStyle name="Normal 2 4 2 4 3 2 4" xfId="9444" xr:uid="{807939DF-E7C0-4015-A3D8-AE9E56020172}"/>
    <cellStyle name="Normal 2 4 2 4 3 2 4 2" xfId="36505" xr:uid="{364733EB-17B0-4ADC-A382-ABC031770B35}"/>
    <cellStyle name="Normal 2 4 2 4 3 2 4 2 2" xfId="55099" xr:uid="{23AB5B96-DDFC-4202-AC0F-EEF9BA76302F}"/>
    <cellStyle name="Normal 2 4 2 4 3 2 4 3" xfId="45802" xr:uid="{CFD6A106-B353-4DDA-A91B-730306998566}"/>
    <cellStyle name="Normal 2 4 2 4 3 2 4 4" xfId="27206" xr:uid="{231072BE-0603-4FF6-9525-784B30E1811F}"/>
    <cellStyle name="Normal 2 4 2 4 3 2 5" xfId="10208" xr:uid="{17A49657-D322-4AC8-82C7-960C5BFD5395}"/>
    <cellStyle name="Normal 2 4 2 4 3 2 5 2" xfId="46550" xr:uid="{70B3A707-554A-4630-A8A1-B9C26D1417DB}"/>
    <cellStyle name="Normal 2 4 2 4 3 2 5 3" xfId="27954" xr:uid="{704B08E2-8EFE-4591-AB45-30EE8C661A7C}"/>
    <cellStyle name="Normal 2 4 2 4 3 2 6" xfId="37253" xr:uid="{BBE83E77-4916-45A4-B4A3-462FA58D4EBD}"/>
    <cellStyle name="Normal 2 4 2 4 3 2 7" xfId="18655" xr:uid="{44987002-7608-41B6-91D6-D047F2A4C4F8}"/>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16983" xr:uid="{BDE9F1CE-9EA5-42EF-9AE7-DA78F4961140}"/>
    <cellStyle name="Normal 2 4 2 4 3 3 2 2 2 2" xfId="53325" xr:uid="{253E562E-8BB0-4ED2-AC55-608C8E369C36}"/>
    <cellStyle name="Normal 2 4 2 4 3 3 2 2 2 3" xfId="34729" xr:uid="{890549EA-74BE-471B-95CB-98F847BFA207}"/>
    <cellStyle name="Normal 2 4 2 4 3 3 2 2 3" xfId="44028" xr:uid="{C4714031-DA9C-4B42-BD49-E41710FEAAEB}"/>
    <cellStyle name="Normal 2 4 2 4 3 3 2 2 4" xfId="25430" xr:uid="{BA46AFC8-A774-4122-987E-EBC13B8061D3}"/>
    <cellStyle name="Normal 2 4 2 4 3 3 2 3" xfId="12766" xr:uid="{3C24F5A7-B24E-4EB0-9ACB-2B14119ACDB0}"/>
    <cellStyle name="Normal 2 4 2 4 3 3 2 3 2" xfId="49108" xr:uid="{BB6D62D9-128D-4839-9152-4DDE1F6259A4}"/>
    <cellStyle name="Normal 2 4 2 4 3 3 2 3 3" xfId="30512" xr:uid="{BEA53283-5223-41A5-B019-BB996CBFD0A7}"/>
    <cellStyle name="Normal 2 4 2 4 3 3 2 4" xfId="39811" xr:uid="{A1CA971D-747B-4A03-8AA3-C05E8C05439A}"/>
    <cellStyle name="Normal 2 4 2 4 3 3 2 5" xfId="21213" xr:uid="{F507C7A4-2034-4AF1-9EA9-16FE3F5383E1}"/>
    <cellStyle name="Normal 2 4 2 4 3 3 3" xfId="5512" xr:uid="{00000000-0005-0000-0000-0000670F0000}"/>
    <cellStyle name="Normal 2 4 2 4 3 3 3 2" xfId="14838" xr:uid="{4DC76909-2822-46DA-9139-EFFEECF91495}"/>
    <cellStyle name="Normal 2 4 2 4 3 3 3 2 2" xfId="51180" xr:uid="{51E9BD36-8646-41A2-A1DE-CF17DCC74AF1}"/>
    <cellStyle name="Normal 2 4 2 4 3 3 3 2 3" xfId="32584" xr:uid="{68117E0D-421B-44C8-9465-1B5240DA430D}"/>
    <cellStyle name="Normal 2 4 2 4 3 3 3 3" xfId="41883" xr:uid="{58C4D31B-C24D-4E61-B60D-6291D59CA433}"/>
    <cellStyle name="Normal 2 4 2 4 3 3 3 4" xfId="23285" xr:uid="{D646C0FC-B9FB-4B24-9AE3-43E5144339DB}"/>
    <cellStyle name="Normal 2 4 2 4 3 3 4" xfId="10621" xr:uid="{E1A52D15-5977-4D8A-BAA5-7C80E8A0D3A4}"/>
    <cellStyle name="Normal 2 4 2 4 3 3 4 2" xfId="46963" xr:uid="{7DFED3EA-A631-4F3F-8317-AECF3118B758}"/>
    <cellStyle name="Normal 2 4 2 4 3 3 4 3" xfId="28367" xr:uid="{D662F9AC-2AC8-476E-A51F-3044DD1F579A}"/>
    <cellStyle name="Normal 2 4 2 4 3 3 5" xfId="37666" xr:uid="{037FFF83-01E9-45BC-9197-6D3935388389}"/>
    <cellStyle name="Normal 2 4 2 4 3 3 6" xfId="19068" xr:uid="{F996209B-C317-478D-B4E1-EE09F50D43E2}"/>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17396" xr:uid="{59794E1E-3DB5-4393-A1A5-D75ED03419D8}"/>
    <cellStyle name="Normal 2 4 2 4 3 4 2 2 2 2" xfId="53738" xr:uid="{9DB4C08B-D185-499B-8034-F1751D5188AB}"/>
    <cellStyle name="Normal 2 4 2 4 3 4 2 2 2 3" xfId="35142" xr:uid="{3610BDD9-2D23-4003-9453-CF65EF2FC203}"/>
    <cellStyle name="Normal 2 4 2 4 3 4 2 2 3" xfId="44441" xr:uid="{93C4A3C0-7A88-43AD-9A21-E102595A6055}"/>
    <cellStyle name="Normal 2 4 2 4 3 4 2 2 4" xfId="25843" xr:uid="{E5BFD54C-09C8-4AB0-AC8F-C2CF88057822}"/>
    <cellStyle name="Normal 2 4 2 4 3 4 2 3" xfId="13179" xr:uid="{8E79FD52-23DE-4BB6-80E2-96BB29A5615C}"/>
    <cellStyle name="Normal 2 4 2 4 3 4 2 3 2" xfId="49521" xr:uid="{1281BA0B-5027-4179-80D6-47005EACC1DC}"/>
    <cellStyle name="Normal 2 4 2 4 3 4 2 3 3" xfId="30925" xr:uid="{05D2E5DA-37B5-4467-B5DF-BF399100F51D}"/>
    <cellStyle name="Normal 2 4 2 4 3 4 2 4" xfId="40224" xr:uid="{B8FB13CF-DFFF-4F96-9BBA-8B75887D1713}"/>
    <cellStyle name="Normal 2 4 2 4 3 4 2 5" xfId="21626" xr:uid="{96A27598-037C-449C-BC94-764C886945F5}"/>
    <cellStyle name="Normal 2 4 2 4 3 4 3" xfId="5925" xr:uid="{00000000-0005-0000-0000-00006B0F0000}"/>
    <cellStyle name="Normal 2 4 2 4 3 4 3 2" xfId="15251" xr:uid="{AF7B30F3-D46D-40A1-B50B-E5BD6450C815}"/>
    <cellStyle name="Normal 2 4 2 4 3 4 3 2 2" xfId="51593" xr:uid="{7BD70FED-4C3A-4C86-BAD0-5A9D645938A9}"/>
    <cellStyle name="Normal 2 4 2 4 3 4 3 2 3" xfId="32997" xr:uid="{E6D3CCE3-43C5-42A8-9B38-CCFC59435BB9}"/>
    <cellStyle name="Normal 2 4 2 4 3 4 3 3" xfId="42296" xr:uid="{8AD9841F-0729-44B1-8939-4BB68A2B3519}"/>
    <cellStyle name="Normal 2 4 2 4 3 4 3 4" xfId="23698" xr:uid="{B13B6ADA-FEFA-47B4-87BD-C9C92D7EDF63}"/>
    <cellStyle name="Normal 2 4 2 4 3 4 4" xfId="11034" xr:uid="{4E64FC6E-A730-4596-A547-CBDBB68AAC6B}"/>
    <cellStyle name="Normal 2 4 2 4 3 4 4 2" xfId="47376" xr:uid="{168D0547-4FF2-4EC0-BE7A-CC33AB776A89}"/>
    <cellStyle name="Normal 2 4 2 4 3 4 4 3" xfId="28780" xr:uid="{77EF07D8-4435-4A8B-9B07-3D0AEF9F8251}"/>
    <cellStyle name="Normal 2 4 2 4 3 4 5" xfId="38079" xr:uid="{E82FA892-F947-410D-9946-80A98635E9A4}"/>
    <cellStyle name="Normal 2 4 2 4 3 4 6" xfId="19481" xr:uid="{73B66098-0AC1-449A-91D7-270497F4633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17809" xr:uid="{948220EF-AC7F-4DE8-94C8-3C716BEB2A4B}"/>
    <cellStyle name="Normal 2 4 2 4 3 5 2 2 2 2" xfId="54151" xr:uid="{08A8862B-916E-4349-BE74-0C77D183F5A0}"/>
    <cellStyle name="Normal 2 4 2 4 3 5 2 2 2 3" xfId="35555" xr:uid="{A5A08A04-2E41-4807-A431-A82118891498}"/>
    <cellStyle name="Normal 2 4 2 4 3 5 2 2 3" xfId="44854" xr:uid="{FBCE6A6E-961F-485E-8C32-EE059073701F}"/>
    <cellStyle name="Normal 2 4 2 4 3 5 2 2 4" xfId="26256" xr:uid="{AC7F077B-2193-476B-9DD6-E459E622F4CE}"/>
    <cellStyle name="Normal 2 4 2 4 3 5 2 3" xfId="13592" xr:uid="{46B1AA55-C29B-4D19-A56C-0A5B05C6A726}"/>
    <cellStyle name="Normal 2 4 2 4 3 5 2 3 2" xfId="49934" xr:uid="{734D9532-6247-46B4-BC5A-9389F55CE8B2}"/>
    <cellStyle name="Normal 2 4 2 4 3 5 2 3 3" xfId="31338" xr:uid="{EE25B9FF-4A97-4A64-8018-616A93BDEFC8}"/>
    <cellStyle name="Normal 2 4 2 4 3 5 2 4" xfId="40637" xr:uid="{8E89DC50-CC5F-4077-81CD-6387EB9CD62F}"/>
    <cellStyle name="Normal 2 4 2 4 3 5 2 5" xfId="22039" xr:uid="{ACE89FC1-A508-4A6E-87CB-439FE8218C13}"/>
    <cellStyle name="Normal 2 4 2 4 3 5 3" xfId="6338" xr:uid="{00000000-0005-0000-0000-00006F0F0000}"/>
    <cellStyle name="Normal 2 4 2 4 3 5 3 2" xfId="15664" xr:uid="{DEB0BBE7-BC8A-4EE5-BA41-4C9F40FB2509}"/>
    <cellStyle name="Normal 2 4 2 4 3 5 3 2 2" xfId="52006" xr:uid="{7AD78AFD-4871-4EEA-9211-02F21B4CE866}"/>
    <cellStyle name="Normal 2 4 2 4 3 5 3 2 3" xfId="33410" xr:uid="{A9FA7922-FE7E-41AD-9E72-2F5EA9E1E452}"/>
    <cellStyle name="Normal 2 4 2 4 3 5 3 3" xfId="42709" xr:uid="{CB120B26-2501-42EE-B268-A2D3DE4032AD}"/>
    <cellStyle name="Normal 2 4 2 4 3 5 3 4" xfId="24111" xr:uid="{F4FB7799-D436-4049-900F-CAC28DA7731F}"/>
    <cellStyle name="Normal 2 4 2 4 3 5 4" xfId="11447" xr:uid="{D076D0DB-A270-48A9-B4C2-5A7D7F7B0240}"/>
    <cellStyle name="Normal 2 4 2 4 3 5 4 2" xfId="47789" xr:uid="{BBF81FF4-0588-4DC6-B195-B3F0F2D38D72}"/>
    <cellStyle name="Normal 2 4 2 4 3 5 4 3" xfId="29193" xr:uid="{F4B8A012-899F-4AD4-8AD4-52EFB5E998A6}"/>
    <cellStyle name="Normal 2 4 2 4 3 5 5" xfId="38492" xr:uid="{CDE13FC3-4971-4A6A-BF08-3C1BE7A42C6A}"/>
    <cellStyle name="Normal 2 4 2 4 3 5 6" xfId="19894" xr:uid="{048F7551-D839-448F-B346-071EF7E90BC7}"/>
    <cellStyle name="Normal 2 4 2 4 3 6" xfId="2468" xr:uid="{00000000-0005-0000-0000-0000700F0000}"/>
    <cellStyle name="Normal 2 4 2 4 3 6 2" xfId="6751" xr:uid="{00000000-0005-0000-0000-0000710F0000}"/>
    <cellStyle name="Normal 2 4 2 4 3 6 2 2" xfId="16077" xr:uid="{01CEE256-24F1-42BD-ABB7-9BBA0F9F169C}"/>
    <cellStyle name="Normal 2 4 2 4 3 6 2 2 2" xfId="52419" xr:uid="{F8EB2E06-700E-4063-A3C7-905A520EC749}"/>
    <cellStyle name="Normal 2 4 2 4 3 6 2 2 3" xfId="33823" xr:uid="{2FFE285C-1A96-404D-9CC5-4735574D6995}"/>
    <cellStyle name="Normal 2 4 2 4 3 6 2 3" xfId="43122" xr:uid="{03884D93-7F5D-4735-ACC9-2C377C9DD64F}"/>
    <cellStyle name="Normal 2 4 2 4 3 6 2 4" xfId="24524" xr:uid="{B8E0C13F-22E1-4875-96F3-FD25ED2CEFB1}"/>
    <cellStyle name="Normal 2 4 2 4 3 6 3" xfId="11860" xr:uid="{B512AD31-5F1B-4908-B70C-94CB5756359B}"/>
    <cellStyle name="Normal 2 4 2 4 3 6 3 2" xfId="48202" xr:uid="{BA35271E-FB0E-4D42-8E00-CD96A36BEFA7}"/>
    <cellStyle name="Normal 2 4 2 4 3 6 3 3" xfId="29606" xr:uid="{BEDEEB5E-1073-4D3B-91BB-2CC784C30B71}"/>
    <cellStyle name="Normal 2 4 2 4 3 6 4" xfId="38905" xr:uid="{9C6540DA-DD7C-4793-B866-CD87D56FC6A4}"/>
    <cellStyle name="Normal 2 4 2 4 3 6 5" xfId="20307" xr:uid="{D8E16B1D-635E-43E7-8DB9-3F0517655112}"/>
    <cellStyle name="Normal 2 4 2 4 3 7" xfId="4685" xr:uid="{00000000-0005-0000-0000-0000720F0000}"/>
    <cellStyle name="Normal 2 4 2 4 3 7 2" xfId="14011" xr:uid="{34F24F61-45C8-4F5A-A628-7D5627AF0C60}"/>
    <cellStyle name="Normal 2 4 2 4 3 7 2 2" xfId="50353" xr:uid="{5122C30A-E2BD-418B-AE7B-379F06374ECA}"/>
    <cellStyle name="Normal 2 4 2 4 3 7 2 3" xfId="31757" xr:uid="{330F358B-F048-4BE1-86A9-15129ADF7BD7}"/>
    <cellStyle name="Normal 2 4 2 4 3 7 3" xfId="41056" xr:uid="{B2603A21-2616-4BDF-971B-0C2498392479}"/>
    <cellStyle name="Normal 2 4 2 4 3 7 4" xfId="22458" xr:uid="{252DCFB9-CF30-4DCE-BAFF-F84610C32400}"/>
    <cellStyle name="Normal 2 4 2 4 3 8" xfId="9019" xr:uid="{1F22810F-FF7D-4FF4-861A-F2BA8F253428}"/>
    <cellStyle name="Normal 2 4 2 4 3 8 2" xfId="36089" xr:uid="{932743B4-D093-4229-8242-90ADB7E9C1E1}"/>
    <cellStyle name="Normal 2 4 2 4 3 8 2 2" xfId="54684" xr:uid="{AC7BDA2C-6627-4272-BBA8-5D299B131298}"/>
    <cellStyle name="Normal 2 4 2 4 3 8 3" xfId="45387" xr:uid="{BE3679F8-57BB-4586-BB58-3888D28874E7}"/>
    <cellStyle name="Normal 2 4 2 4 3 8 4" xfId="26790" xr:uid="{6EA7ACC2-8065-412C-BEF8-2546CCF7E975}"/>
    <cellStyle name="Normal 2 4 2 4 3 9" xfId="9794" xr:uid="{95399AD8-594C-45D9-9878-49309534B27F}"/>
    <cellStyle name="Normal 2 4 2 4 3 9 2" xfId="46136" xr:uid="{A457BE92-599F-4BCA-ADE3-F04EFACE50B4}"/>
    <cellStyle name="Normal 2 4 2 4 3 9 3" xfId="27540" xr:uid="{282262E4-EBF3-4485-BE8A-8F8C06DF425C}"/>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16567" xr:uid="{0BA693B2-9618-48FB-A810-3046851717FC}"/>
    <cellStyle name="Normal 2 4 2 4 4 2 2 2 2" xfId="52909" xr:uid="{1D7164D2-13A6-4A3A-815C-D1263F2A9128}"/>
    <cellStyle name="Normal 2 4 2 4 4 2 2 2 3" xfId="34313" xr:uid="{5AC14486-CA04-4D3D-8878-7DBC94E90B4C}"/>
    <cellStyle name="Normal 2 4 2 4 4 2 2 3" xfId="43612" xr:uid="{64EAC5F6-C594-4112-86E6-EFBDAF99CD65}"/>
    <cellStyle name="Normal 2 4 2 4 4 2 2 4" xfId="25014" xr:uid="{84EDC194-AF98-4B77-A4CF-C6667CDFFB61}"/>
    <cellStyle name="Normal 2 4 2 4 4 2 3" xfId="12350" xr:uid="{51938503-3A2C-4F7D-AD03-43F14D60EEC7}"/>
    <cellStyle name="Normal 2 4 2 4 4 2 3 2" xfId="48692" xr:uid="{F299D92B-64E6-48E0-BC39-D835320BEB3F}"/>
    <cellStyle name="Normal 2 4 2 4 4 2 3 3" xfId="30096" xr:uid="{95AD9149-5B1D-4724-8A40-4729554AD1EE}"/>
    <cellStyle name="Normal 2 4 2 4 4 2 4" xfId="39395" xr:uid="{245C29FF-36A7-4B37-8B56-2E13DD5A28D0}"/>
    <cellStyle name="Normal 2 4 2 4 4 2 5" xfId="20797" xr:uid="{02B2C0D3-943F-40A0-977D-929F947E3672}"/>
    <cellStyle name="Normal 2 4 2 4 4 3" xfId="5096" xr:uid="{00000000-0005-0000-0000-0000760F0000}"/>
    <cellStyle name="Normal 2 4 2 4 4 3 2" xfId="14422" xr:uid="{1EF5E8DD-72CF-44CC-944D-A953988691DF}"/>
    <cellStyle name="Normal 2 4 2 4 4 3 2 2" xfId="50764" xr:uid="{142E2F3A-5EA5-48A1-9933-5BFC9360AADB}"/>
    <cellStyle name="Normal 2 4 2 4 4 3 2 3" xfId="32168" xr:uid="{04645739-FB83-4D29-8F26-B2CEECB4D27A}"/>
    <cellStyle name="Normal 2 4 2 4 4 3 3" xfId="41467" xr:uid="{4691CAEF-4768-48E7-AE20-5D38FC360B17}"/>
    <cellStyle name="Normal 2 4 2 4 4 3 4" xfId="22869" xr:uid="{7CF837DE-5681-4709-A79B-CE4397A82808}"/>
    <cellStyle name="Normal 2 4 2 4 4 4" xfId="9237" xr:uid="{FF4B133D-A40B-4895-9E3D-E727B18E66C8}"/>
    <cellStyle name="Normal 2 4 2 4 4 4 2" xfId="36298" xr:uid="{1DF84098-8E25-4FAA-81D8-2E2F2B351BD2}"/>
    <cellStyle name="Normal 2 4 2 4 4 4 2 2" xfId="54892" xr:uid="{271A1E16-52BA-4E4A-A72E-62D988B01D60}"/>
    <cellStyle name="Normal 2 4 2 4 4 4 3" xfId="45595" xr:uid="{66D60B35-9229-42E0-B271-1AC2D88AB203}"/>
    <cellStyle name="Normal 2 4 2 4 4 4 4" xfId="26999" xr:uid="{66A80D45-9252-4A2F-BCAA-A5EDBC7A9BFD}"/>
    <cellStyle name="Normal 2 4 2 4 4 5" xfId="10205" xr:uid="{D56D15FF-3BAC-4CA0-942C-011636CAE6D8}"/>
    <cellStyle name="Normal 2 4 2 4 4 5 2" xfId="46547" xr:uid="{85042141-B667-4550-9C68-1400288BF40F}"/>
    <cellStyle name="Normal 2 4 2 4 4 5 3" xfId="27951" xr:uid="{AFD41496-564A-47FB-A592-255E353A14C9}"/>
    <cellStyle name="Normal 2 4 2 4 4 6" xfId="37250" xr:uid="{635B0FCC-42B8-4DE7-904A-1F9775D908AD}"/>
    <cellStyle name="Normal 2 4 2 4 4 7" xfId="18652" xr:uid="{718FCBA7-AD9E-4546-B77F-E49D807E8A35}"/>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16980" xr:uid="{F56C5B16-0108-4291-A4BB-DC805C1A0827}"/>
    <cellStyle name="Normal 2 4 2 4 5 2 2 2 2" xfId="53322" xr:uid="{807F7C8A-7359-4462-88DF-DB2C3912A153}"/>
    <cellStyle name="Normal 2 4 2 4 5 2 2 2 3" xfId="34726" xr:uid="{AA9F668B-1884-4F28-8B4C-79B1747E807A}"/>
    <cellStyle name="Normal 2 4 2 4 5 2 2 3" xfId="44025" xr:uid="{1F2F93B0-7C11-49DD-AAA6-B500357072A6}"/>
    <cellStyle name="Normal 2 4 2 4 5 2 2 4" xfId="25427" xr:uid="{4DF1824C-D9D1-48AA-B5A3-CE9BA6045C19}"/>
    <cellStyle name="Normal 2 4 2 4 5 2 3" xfId="12763" xr:uid="{786B441E-550E-465E-A02B-8B3D83A76DFE}"/>
    <cellStyle name="Normal 2 4 2 4 5 2 3 2" xfId="49105" xr:uid="{638D2D0B-5FCC-46B8-882C-316A70CEC75A}"/>
    <cellStyle name="Normal 2 4 2 4 5 2 3 3" xfId="30509" xr:uid="{F62DD7FC-636F-40A0-8391-E36CB6B7AD82}"/>
    <cellStyle name="Normal 2 4 2 4 5 2 4" xfId="39808" xr:uid="{CDFE548F-B3C6-47AA-98FA-EDD19F466562}"/>
    <cellStyle name="Normal 2 4 2 4 5 2 5" xfId="21210" xr:uid="{02A5056D-B9BF-4155-97EB-2A4086E2141C}"/>
    <cellStyle name="Normal 2 4 2 4 5 3" xfId="5509" xr:uid="{00000000-0005-0000-0000-00007A0F0000}"/>
    <cellStyle name="Normal 2 4 2 4 5 3 2" xfId="14835" xr:uid="{C406E1C1-1F32-442F-A44F-B3A3561E41E9}"/>
    <cellStyle name="Normal 2 4 2 4 5 3 2 2" xfId="51177" xr:uid="{B5892646-3E3C-4056-AB21-111D95613254}"/>
    <cellStyle name="Normal 2 4 2 4 5 3 2 3" xfId="32581" xr:uid="{ABF394BC-0AE5-4192-A4C8-642D2637388B}"/>
    <cellStyle name="Normal 2 4 2 4 5 3 3" xfId="41880" xr:uid="{0CCA9F99-89A6-41EA-A514-8DF07C650509}"/>
    <cellStyle name="Normal 2 4 2 4 5 3 4" xfId="23282" xr:uid="{7D19BFF7-1D08-453B-ADCB-EEFC36DB4903}"/>
    <cellStyle name="Normal 2 4 2 4 5 4" xfId="10618" xr:uid="{90A3CDDB-7C72-4C55-9ABD-DBD22452460B}"/>
    <cellStyle name="Normal 2 4 2 4 5 4 2" xfId="46960" xr:uid="{B060FE16-18DE-49FF-B11D-521207C5E0DA}"/>
    <cellStyle name="Normal 2 4 2 4 5 4 3" xfId="28364" xr:uid="{C6AAD487-5E1E-4A2E-8EDF-CAC6BEF9B954}"/>
    <cellStyle name="Normal 2 4 2 4 5 5" xfId="37663" xr:uid="{1F0D3701-D444-4A73-A8CB-3109E07341E3}"/>
    <cellStyle name="Normal 2 4 2 4 5 6" xfId="19065" xr:uid="{33A9F621-66C1-4C59-9289-6900BFA56590}"/>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17393" xr:uid="{7FCB0B2F-6DBD-41EF-B013-FE4F2196119F}"/>
    <cellStyle name="Normal 2 4 2 4 6 2 2 2 2" xfId="53735" xr:uid="{A4E73942-3DBF-4EBA-8FDC-4BDF4D0DC1E0}"/>
    <cellStyle name="Normal 2 4 2 4 6 2 2 2 3" xfId="35139" xr:uid="{46696636-6E89-4ACD-AA0A-9B9C66B982E6}"/>
    <cellStyle name="Normal 2 4 2 4 6 2 2 3" xfId="44438" xr:uid="{0D29DF30-042B-417B-877A-52DFE3E0CF3C}"/>
    <cellStyle name="Normal 2 4 2 4 6 2 2 4" xfId="25840" xr:uid="{F7934A80-B690-4E3B-91E1-63E9ED1A40C7}"/>
    <cellStyle name="Normal 2 4 2 4 6 2 3" xfId="13176" xr:uid="{56504FA5-148E-4CFC-93D5-CD2EFEE6512B}"/>
    <cellStyle name="Normal 2 4 2 4 6 2 3 2" xfId="49518" xr:uid="{7B202E73-926E-4326-8EA1-B5A623A6E7A7}"/>
    <cellStyle name="Normal 2 4 2 4 6 2 3 3" xfId="30922" xr:uid="{6C00DA38-AFFE-4935-9663-F5134FA5516F}"/>
    <cellStyle name="Normal 2 4 2 4 6 2 4" xfId="40221" xr:uid="{55B001CE-AD72-418A-9574-8E4E9DC71C09}"/>
    <cellStyle name="Normal 2 4 2 4 6 2 5" xfId="21623" xr:uid="{E774AA18-6195-40B7-9075-EA7F0E95DF69}"/>
    <cellStyle name="Normal 2 4 2 4 6 3" xfId="5922" xr:uid="{00000000-0005-0000-0000-00007E0F0000}"/>
    <cellStyle name="Normal 2 4 2 4 6 3 2" xfId="15248" xr:uid="{C297F0DB-AEF6-44DB-BB76-08813DC4381C}"/>
    <cellStyle name="Normal 2 4 2 4 6 3 2 2" xfId="51590" xr:uid="{9749176A-6947-475E-AE13-219DAEF7CEC9}"/>
    <cellStyle name="Normal 2 4 2 4 6 3 2 3" xfId="32994" xr:uid="{C6045998-2811-4AFC-A5A4-7C0339A44289}"/>
    <cellStyle name="Normal 2 4 2 4 6 3 3" xfId="42293" xr:uid="{F1D17960-4B18-4193-BA70-2038656B8B78}"/>
    <cellStyle name="Normal 2 4 2 4 6 3 4" xfId="23695" xr:uid="{A758A2F9-2F3D-4587-8CB0-C919C1DBCB47}"/>
    <cellStyle name="Normal 2 4 2 4 6 4" xfId="11031" xr:uid="{057BFB0E-4D5E-4D7B-B8DD-CA78C1AC6CE7}"/>
    <cellStyle name="Normal 2 4 2 4 6 4 2" xfId="47373" xr:uid="{25288F4C-6B0D-437F-9FCB-123711778F94}"/>
    <cellStyle name="Normal 2 4 2 4 6 4 3" xfId="28777" xr:uid="{CE9BAE69-E1BD-489F-8BC3-0C7D9BFE424E}"/>
    <cellStyle name="Normal 2 4 2 4 6 5" xfId="38076" xr:uid="{92BCB9D8-5A83-4020-B2D0-22B2C8EE506C}"/>
    <cellStyle name="Normal 2 4 2 4 6 6" xfId="19478" xr:uid="{B5BEFD4B-1D78-436E-A947-D41ECF2832AC}"/>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17806" xr:uid="{F59B69D8-9D2B-423D-A746-ADED2AF85B6B}"/>
    <cellStyle name="Normal 2 4 2 4 7 2 2 2 2" xfId="54148" xr:uid="{03C030B1-43B3-4A57-B29D-12F5940ED883}"/>
    <cellStyle name="Normal 2 4 2 4 7 2 2 2 3" xfId="35552" xr:uid="{16AAE681-B909-41F4-96EB-ECD7DF284F68}"/>
    <cellStyle name="Normal 2 4 2 4 7 2 2 3" xfId="44851" xr:uid="{DAAD1DDD-BD17-4BD4-BF98-AFE89ABC77C9}"/>
    <cellStyle name="Normal 2 4 2 4 7 2 2 4" xfId="26253" xr:uid="{51970488-21B9-40E1-AED2-8CE2937274D2}"/>
    <cellStyle name="Normal 2 4 2 4 7 2 3" xfId="13589" xr:uid="{D4E72317-A754-4517-9FFC-529919A0D225}"/>
    <cellStyle name="Normal 2 4 2 4 7 2 3 2" xfId="49931" xr:uid="{23DFAB9C-B4E5-462D-A914-7787C7D2018B}"/>
    <cellStyle name="Normal 2 4 2 4 7 2 3 3" xfId="31335" xr:uid="{8E8DAF7F-5753-454F-AF52-8CFAF5C1D33D}"/>
    <cellStyle name="Normal 2 4 2 4 7 2 4" xfId="40634" xr:uid="{4DFA08DB-ECD7-41B4-AA67-B42FFDE38E84}"/>
    <cellStyle name="Normal 2 4 2 4 7 2 5" xfId="22036" xr:uid="{CC95B181-768C-4C4E-A0E4-9F8BE609B856}"/>
    <cellStyle name="Normal 2 4 2 4 7 3" xfId="6335" xr:uid="{00000000-0005-0000-0000-0000820F0000}"/>
    <cellStyle name="Normal 2 4 2 4 7 3 2" xfId="15661" xr:uid="{EB3868A9-202A-46FD-B99E-FEB9887C4F55}"/>
    <cellStyle name="Normal 2 4 2 4 7 3 2 2" xfId="52003" xr:uid="{369AB3E2-30FF-44AA-8BAC-7DEA0E9FC8E2}"/>
    <cellStyle name="Normal 2 4 2 4 7 3 2 3" xfId="33407" xr:uid="{6A43CB4F-BB8C-40C7-B2CC-288357D6775D}"/>
    <cellStyle name="Normal 2 4 2 4 7 3 3" xfId="42706" xr:uid="{623712F2-8B9D-43A0-B131-E2EB54C82796}"/>
    <cellStyle name="Normal 2 4 2 4 7 3 4" xfId="24108" xr:uid="{7D1D3977-06A7-40D3-95F6-69706B293147}"/>
    <cellStyle name="Normal 2 4 2 4 7 4" xfId="11444" xr:uid="{20BA5837-33E5-497E-BA4F-30C04598FF09}"/>
    <cellStyle name="Normal 2 4 2 4 7 4 2" xfId="47786" xr:uid="{ED58546D-2C3D-4DBE-8F4E-162DB76DAF46}"/>
    <cellStyle name="Normal 2 4 2 4 7 4 3" xfId="29190" xr:uid="{B5A071A1-0A62-4818-9557-BD00CA4CC970}"/>
    <cellStyle name="Normal 2 4 2 4 7 5" xfId="38489" xr:uid="{074632C5-DCB2-4276-BC2F-23457E324040}"/>
    <cellStyle name="Normal 2 4 2 4 7 6" xfId="19891" xr:uid="{E9983E1D-610D-4CD5-A10F-AB460840727D}"/>
    <cellStyle name="Normal 2 4 2 4 8" xfId="2465" xr:uid="{00000000-0005-0000-0000-0000830F0000}"/>
    <cellStyle name="Normal 2 4 2 4 8 2" xfId="6748" xr:uid="{00000000-0005-0000-0000-0000840F0000}"/>
    <cellStyle name="Normal 2 4 2 4 8 2 2" xfId="16074" xr:uid="{01D7B4BF-FA15-4012-B284-F41E708A7FA2}"/>
    <cellStyle name="Normal 2 4 2 4 8 2 2 2" xfId="52416" xr:uid="{23506E92-743E-455B-A80A-FF5DFABA8C0B}"/>
    <cellStyle name="Normal 2 4 2 4 8 2 2 3" xfId="33820" xr:uid="{489519F1-CAD3-4A05-8138-86E057941A65}"/>
    <cellStyle name="Normal 2 4 2 4 8 2 3" xfId="43119" xr:uid="{F9FF99DD-36FE-4491-92A2-D3CC6BCFF085}"/>
    <cellStyle name="Normal 2 4 2 4 8 2 4" xfId="24521" xr:uid="{CF247492-3A48-4605-AE48-8DC4DABB978E}"/>
    <cellStyle name="Normal 2 4 2 4 8 3" xfId="11857" xr:uid="{BA7A9C46-C421-4194-AD7B-C1C54575111B}"/>
    <cellStyle name="Normal 2 4 2 4 8 3 2" xfId="48199" xr:uid="{A5A92A30-4731-4284-8CDD-EC166033CD70}"/>
    <cellStyle name="Normal 2 4 2 4 8 3 3" xfId="29603" xr:uid="{41A94D7A-5D63-4990-8ABE-87E6EC524063}"/>
    <cellStyle name="Normal 2 4 2 4 8 4" xfId="38902" xr:uid="{65A9C7B5-8283-49A4-AE2A-A906E81963B7}"/>
    <cellStyle name="Normal 2 4 2 4 8 5" xfId="20304" xr:uid="{42A4431A-6975-4EB8-B5F5-9BFD3B67870D}"/>
    <cellStyle name="Normal 2 4 2 4 9" xfId="4682" xr:uid="{00000000-0005-0000-0000-0000850F0000}"/>
    <cellStyle name="Normal 2 4 2 4 9 2" xfId="14008" xr:uid="{5FE20945-82ED-4F43-A62E-2C8326CC4E4D}"/>
    <cellStyle name="Normal 2 4 2 4 9 2 2" xfId="50350" xr:uid="{54B05207-3153-4E9F-893D-F5DEAA48B15A}"/>
    <cellStyle name="Normal 2 4 2 4 9 2 3" xfId="31754" xr:uid="{394BF259-3EBF-40A6-A6BA-03DBFDD0A7F1}"/>
    <cellStyle name="Normal 2 4 2 4 9 3" xfId="41053" xr:uid="{79E1D812-826C-44D1-9738-890A48EF4313}"/>
    <cellStyle name="Normal 2 4 2 4 9 4" xfId="22455" xr:uid="{AE616BDF-6D3F-454C-A716-5A44EB1A6F6D}"/>
    <cellStyle name="Normal 2 4 2 5" xfId="293" xr:uid="{00000000-0005-0000-0000-0000860F0000}"/>
    <cellStyle name="Normal 2 4 2 5 10" xfId="9795" xr:uid="{237BA67B-61F9-42E1-A48A-3656B8F4A57D}"/>
    <cellStyle name="Normal 2 4 2 5 10 2" xfId="46137" xr:uid="{0CC94825-FD5F-4E0D-9CF8-23B6ACCC8073}"/>
    <cellStyle name="Normal 2 4 2 5 10 3" xfId="27541" xr:uid="{9DA434D8-7336-4E68-A77F-29461AA57CAB}"/>
    <cellStyle name="Normal 2 4 2 5 11" xfId="36840" xr:uid="{FAFC41A6-5C60-49EE-BC3D-E05B13391847}"/>
    <cellStyle name="Normal 2 4 2 5 12" xfId="18242" xr:uid="{036EA624-2C0B-4DF0-B063-DBDFC4CFD04A}"/>
    <cellStyle name="Normal 2 4 2 5 2" xfId="294" xr:uid="{00000000-0005-0000-0000-0000870F0000}"/>
    <cellStyle name="Normal 2 4 2 5 2 10" xfId="36841" xr:uid="{3801C691-E416-4D60-9673-685759C84D20}"/>
    <cellStyle name="Normal 2 4 2 5 2 11" xfId="18243" xr:uid="{139D16F8-EEE4-4753-BAF7-69FA4D2FBA82}"/>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16572" xr:uid="{31D372E0-BB8D-4E59-9707-2D9B865A9DCD}"/>
    <cellStyle name="Normal 2 4 2 5 2 2 2 2 2 2" xfId="52914" xr:uid="{F73983CD-492D-4C72-A702-A8673958FCF0}"/>
    <cellStyle name="Normal 2 4 2 5 2 2 2 2 2 3" xfId="34318" xr:uid="{4FE79718-E259-4506-911F-FBBBC7BFDB87}"/>
    <cellStyle name="Normal 2 4 2 5 2 2 2 2 3" xfId="43617" xr:uid="{BEBBA976-2C67-42A9-BE13-416957E4C7D6}"/>
    <cellStyle name="Normal 2 4 2 5 2 2 2 2 4" xfId="25019" xr:uid="{5F0631C6-0724-4AD3-88E0-72B4FD900017}"/>
    <cellStyle name="Normal 2 4 2 5 2 2 2 3" xfId="12355" xr:uid="{FCF03C38-856D-4D4F-A01D-893B15DDECFF}"/>
    <cellStyle name="Normal 2 4 2 5 2 2 2 3 2" xfId="48697" xr:uid="{60ACCF39-C411-491A-AA91-8A5AEB4E5199}"/>
    <cellStyle name="Normal 2 4 2 5 2 2 2 3 3" xfId="30101" xr:uid="{6A961269-0E23-4E2C-8882-11D910EE47C8}"/>
    <cellStyle name="Normal 2 4 2 5 2 2 2 4" xfId="39400" xr:uid="{FDF12947-A67C-4FC9-A0FA-2D7DEADB7969}"/>
    <cellStyle name="Normal 2 4 2 5 2 2 2 5" xfId="20802" xr:uid="{5580DB97-3D16-4B2F-BBDD-69E3660E33F1}"/>
    <cellStyle name="Normal 2 4 2 5 2 2 3" xfId="5101" xr:uid="{00000000-0005-0000-0000-00008B0F0000}"/>
    <cellStyle name="Normal 2 4 2 5 2 2 3 2" xfId="14427" xr:uid="{5A2B065A-104D-496E-AB7E-8E26C4F7A534}"/>
    <cellStyle name="Normal 2 4 2 5 2 2 3 2 2" xfId="50769" xr:uid="{E6FB0882-807B-409A-B729-645568E6FBE5}"/>
    <cellStyle name="Normal 2 4 2 5 2 2 3 2 3" xfId="32173" xr:uid="{781DB116-B9EE-4FEF-A73B-222B89323971}"/>
    <cellStyle name="Normal 2 4 2 5 2 2 3 3" xfId="41472" xr:uid="{58B94727-ED1F-47AE-8A10-B76EBB335F60}"/>
    <cellStyle name="Normal 2 4 2 5 2 2 3 4" xfId="22874" xr:uid="{6AE15A54-25D8-4E9F-A90F-ED8CB6099B21}"/>
    <cellStyle name="Normal 2 4 2 5 2 2 4" xfId="9492" xr:uid="{07DC9204-2F52-408E-80EE-617A106DD9FD}"/>
    <cellStyle name="Normal 2 4 2 5 2 2 4 2" xfId="36553" xr:uid="{36003D88-851F-4490-890F-A0A8662F2037}"/>
    <cellStyle name="Normal 2 4 2 5 2 2 4 2 2" xfId="55147" xr:uid="{C3F7CEE6-B412-4F74-80FD-09CA1D1E6742}"/>
    <cellStyle name="Normal 2 4 2 5 2 2 4 3" xfId="45850" xr:uid="{6A8F47B4-FBA2-4887-BE4E-D143799A20BC}"/>
    <cellStyle name="Normal 2 4 2 5 2 2 4 4" xfId="27254" xr:uid="{67561C3F-4809-4DF4-9B31-98C17DCC91E1}"/>
    <cellStyle name="Normal 2 4 2 5 2 2 5" xfId="10210" xr:uid="{5621A468-CEF8-4F34-A4C3-47BE324C736E}"/>
    <cellStyle name="Normal 2 4 2 5 2 2 5 2" xfId="46552" xr:uid="{7431391E-2378-4BDA-9A80-E0E6AE03DA4C}"/>
    <cellStyle name="Normal 2 4 2 5 2 2 5 3" xfId="27956" xr:uid="{C0858598-B366-4675-BF0C-C9B4C36141A2}"/>
    <cellStyle name="Normal 2 4 2 5 2 2 6" xfId="37255" xr:uid="{462BBFEE-7906-43C4-A1A2-22775C9641AE}"/>
    <cellStyle name="Normal 2 4 2 5 2 2 7" xfId="18657" xr:uid="{751C1BD8-D9EB-4805-AE54-12EBCBED704E}"/>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16985" xr:uid="{FF1C8DC2-F15D-4F99-84D1-668028F79FA1}"/>
    <cellStyle name="Normal 2 4 2 5 2 3 2 2 2 2" xfId="53327" xr:uid="{3911ECC4-79C9-48FB-A204-027BCAF7BC2A}"/>
    <cellStyle name="Normal 2 4 2 5 2 3 2 2 2 3" xfId="34731" xr:uid="{912393D7-E6D3-47D7-99B9-548CC5372C73}"/>
    <cellStyle name="Normal 2 4 2 5 2 3 2 2 3" xfId="44030" xr:uid="{2E02C638-8E21-47D0-B13E-0C8A6AE71E7B}"/>
    <cellStyle name="Normal 2 4 2 5 2 3 2 2 4" xfId="25432" xr:uid="{E781BA8F-E24E-42DF-98EB-B8422523B36E}"/>
    <cellStyle name="Normal 2 4 2 5 2 3 2 3" xfId="12768" xr:uid="{D0B2560C-136F-4A52-9200-669350B6ACAB}"/>
    <cellStyle name="Normal 2 4 2 5 2 3 2 3 2" xfId="49110" xr:uid="{A5AC563F-3285-4195-B80E-AFC1C467E9DF}"/>
    <cellStyle name="Normal 2 4 2 5 2 3 2 3 3" xfId="30514" xr:uid="{BAF04F05-F5DD-4717-A6B5-20D99F546865}"/>
    <cellStyle name="Normal 2 4 2 5 2 3 2 4" xfId="39813" xr:uid="{518A7B59-3BE1-44EA-A302-E03198D3F31A}"/>
    <cellStyle name="Normal 2 4 2 5 2 3 2 5" xfId="21215" xr:uid="{1971BB8D-58D1-4001-81FC-E57FA009BF8A}"/>
    <cellStyle name="Normal 2 4 2 5 2 3 3" xfId="5514" xr:uid="{00000000-0005-0000-0000-00008F0F0000}"/>
    <cellStyle name="Normal 2 4 2 5 2 3 3 2" xfId="14840" xr:uid="{CA3A27F6-F826-440D-94FD-FA8463876DD3}"/>
    <cellStyle name="Normal 2 4 2 5 2 3 3 2 2" xfId="51182" xr:uid="{55112590-6A69-4588-B831-D5AE885ABFE1}"/>
    <cellStyle name="Normal 2 4 2 5 2 3 3 2 3" xfId="32586" xr:uid="{EA449158-4705-49D5-9D63-B268913BF7FF}"/>
    <cellStyle name="Normal 2 4 2 5 2 3 3 3" xfId="41885" xr:uid="{1AAAD602-D0AF-486C-84D9-8B824267A3D6}"/>
    <cellStyle name="Normal 2 4 2 5 2 3 3 4" xfId="23287" xr:uid="{283ADD4A-0A93-4582-97C6-643352AD33C6}"/>
    <cellStyle name="Normal 2 4 2 5 2 3 4" xfId="10623" xr:uid="{D157F63E-11C4-4ED4-8EA7-80CFAD056D6A}"/>
    <cellStyle name="Normal 2 4 2 5 2 3 4 2" xfId="46965" xr:uid="{B2F33881-6D76-4420-92A0-C51C52C9BE4F}"/>
    <cellStyle name="Normal 2 4 2 5 2 3 4 3" xfId="28369" xr:uid="{832A3F2B-8939-475A-9A8D-AF291A64DAF6}"/>
    <cellStyle name="Normal 2 4 2 5 2 3 5" xfId="37668" xr:uid="{C719D28E-7C4B-4B06-87F5-8B0E118DF37F}"/>
    <cellStyle name="Normal 2 4 2 5 2 3 6" xfId="19070" xr:uid="{7E8F11C3-7F61-419F-B23D-37906B43E5AE}"/>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17398" xr:uid="{C06BADE2-89C8-424F-8475-B3926383277E}"/>
    <cellStyle name="Normal 2 4 2 5 2 4 2 2 2 2" xfId="53740" xr:uid="{9DD790CB-7CDB-45B4-B060-54C2564D9A96}"/>
    <cellStyle name="Normal 2 4 2 5 2 4 2 2 2 3" xfId="35144" xr:uid="{8D46E2FB-626A-43AF-BB76-7E56D5F47CD8}"/>
    <cellStyle name="Normal 2 4 2 5 2 4 2 2 3" xfId="44443" xr:uid="{6D138BC2-6138-4BA6-BA88-645866BF96AE}"/>
    <cellStyle name="Normal 2 4 2 5 2 4 2 2 4" xfId="25845" xr:uid="{EFD88606-7D28-48BF-9BE1-1BBBB2AAB9A5}"/>
    <cellStyle name="Normal 2 4 2 5 2 4 2 3" xfId="13181" xr:uid="{458EEE76-05C5-4F1A-9B1E-D3B3341F35E1}"/>
    <cellStyle name="Normal 2 4 2 5 2 4 2 3 2" xfId="49523" xr:uid="{2B0C7C2B-C842-43F9-A0C8-95B826AB0B0E}"/>
    <cellStyle name="Normal 2 4 2 5 2 4 2 3 3" xfId="30927" xr:uid="{1025DD43-3179-4766-BF65-AE1E9190E4D8}"/>
    <cellStyle name="Normal 2 4 2 5 2 4 2 4" xfId="40226" xr:uid="{CECE0685-77D3-4EEE-AC92-19D5781B8298}"/>
    <cellStyle name="Normal 2 4 2 5 2 4 2 5" xfId="21628" xr:uid="{FFA01F0F-800F-424E-9183-0A11AE0DC1BF}"/>
    <cellStyle name="Normal 2 4 2 5 2 4 3" xfId="5927" xr:uid="{00000000-0005-0000-0000-0000930F0000}"/>
    <cellStyle name="Normal 2 4 2 5 2 4 3 2" xfId="15253" xr:uid="{B960DF8C-E7A1-4E3F-AE8F-FE01693D01C1}"/>
    <cellStyle name="Normal 2 4 2 5 2 4 3 2 2" xfId="51595" xr:uid="{F64AB617-0492-4D29-A1BE-C6BA7DA6ADB1}"/>
    <cellStyle name="Normal 2 4 2 5 2 4 3 2 3" xfId="32999" xr:uid="{96302CAD-623B-4322-93AA-411E30F8A123}"/>
    <cellStyle name="Normal 2 4 2 5 2 4 3 3" xfId="42298" xr:uid="{C77CF2E2-2DE8-4B9E-9295-DAFB28DC987E}"/>
    <cellStyle name="Normal 2 4 2 5 2 4 3 4" xfId="23700" xr:uid="{E30403DF-E2AD-4AC6-B69D-17FD27CF59A4}"/>
    <cellStyle name="Normal 2 4 2 5 2 4 4" xfId="11036" xr:uid="{FDEE94AB-D8E3-497F-ADE4-77D12F2C92E8}"/>
    <cellStyle name="Normal 2 4 2 5 2 4 4 2" xfId="47378" xr:uid="{720238D1-F4D7-4ABE-A5BB-66BD53E360E3}"/>
    <cellStyle name="Normal 2 4 2 5 2 4 4 3" xfId="28782" xr:uid="{707E247F-EB64-4644-BD92-73B7D34956EE}"/>
    <cellStyle name="Normal 2 4 2 5 2 4 5" xfId="38081" xr:uid="{B7AD9156-1A62-47E7-B694-479B756E1AE7}"/>
    <cellStyle name="Normal 2 4 2 5 2 4 6" xfId="19483" xr:uid="{1B04F9A9-8C42-4E13-BC7E-28E64784C224}"/>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17811" xr:uid="{DEC987DD-ADA6-4097-A17B-EF2242324771}"/>
    <cellStyle name="Normal 2 4 2 5 2 5 2 2 2 2" xfId="54153" xr:uid="{85F02E3B-34F5-4F55-8E3B-AD59BBC39DA8}"/>
    <cellStyle name="Normal 2 4 2 5 2 5 2 2 2 3" xfId="35557" xr:uid="{1980C8F2-DCAA-41E7-B8F4-D0E08FB1949F}"/>
    <cellStyle name="Normal 2 4 2 5 2 5 2 2 3" xfId="44856" xr:uid="{409E234C-2592-4745-8D47-4BA0A42DDE77}"/>
    <cellStyle name="Normal 2 4 2 5 2 5 2 2 4" xfId="26258" xr:uid="{80851E96-4B3E-4F94-929E-F15BD3A6B5DC}"/>
    <cellStyle name="Normal 2 4 2 5 2 5 2 3" xfId="13594" xr:uid="{220A9FE8-C8F9-49E1-BCDE-057228939CFF}"/>
    <cellStyle name="Normal 2 4 2 5 2 5 2 3 2" xfId="49936" xr:uid="{7202F1C9-3B6E-4118-9EF2-4065149B30F7}"/>
    <cellStyle name="Normal 2 4 2 5 2 5 2 3 3" xfId="31340" xr:uid="{D8EDD486-4F51-47B1-9B3E-5E19A3C47DD5}"/>
    <cellStyle name="Normal 2 4 2 5 2 5 2 4" xfId="40639" xr:uid="{C2942DCE-7DF9-468D-8198-A1EE29FC72F6}"/>
    <cellStyle name="Normal 2 4 2 5 2 5 2 5" xfId="22041" xr:uid="{4ADDC13F-C6A3-4951-9F92-7A42B9AEC998}"/>
    <cellStyle name="Normal 2 4 2 5 2 5 3" xfId="6340" xr:uid="{00000000-0005-0000-0000-0000970F0000}"/>
    <cellStyle name="Normal 2 4 2 5 2 5 3 2" xfId="15666" xr:uid="{0DC89464-07E5-4E0A-B22B-40DE90A50869}"/>
    <cellStyle name="Normal 2 4 2 5 2 5 3 2 2" xfId="52008" xr:uid="{46D137B6-4521-4098-B72C-665F14D8B900}"/>
    <cellStyle name="Normal 2 4 2 5 2 5 3 2 3" xfId="33412" xr:uid="{4EAD2926-338B-4C49-9F16-D9B98EC33145}"/>
    <cellStyle name="Normal 2 4 2 5 2 5 3 3" xfId="42711" xr:uid="{C0BFCD6B-2196-469D-8B6E-EB0B8B1EE1E3}"/>
    <cellStyle name="Normal 2 4 2 5 2 5 3 4" xfId="24113" xr:uid="{1CDAA2F4-54CA-418C-8B02-23E84309536F}"/>
    <cellStyle name="Normal 2 4 2 5 2 5 4" xfId="11449" xr:uid="{2FB5A561-54EF-492B-9FF9-A250FDD8D1B9}"/>
    <cellStyle name="Normal 2 4 2 5 2 5 4 2" xfId="47791" xr:uid="{18C5EA7C-9774-46BE-8628-AFE775EC81F4}"/>
    <cellStyle name="Normal 2 4 2 5 2 5 4 3" xfId="29195" xr:uid="{5FCF3DD2-2D6A-4582-9E4E-3CAC6690CA81}"/>
    <cellStyle name="Normal 2 4 2 5 2 5 5" xfId="38494" xr:uid="{4C0C8803-F2AE-4ABC-A406-09AD7A86EC0D}"/>
    <cellStyle name="Normal 2 4 2 5 2 5 6" xfId="19896" xr:uid="{DA849FE4-4259-47A7-A687-0F8D4576DB37}"/>
    <cellStyle name="Normal 2 4 2 5 2 6" xfId="2470" xr:uid="{00000000-0005-0000-0000-0000980F0000}"/>
    <cellStyle name="Normal 2 4 2 5 2 6 2" xfId="6753" xr:uid="{00000000-0005-0000-0000-0000990F0000}"/>
    <cellStyle name="Normal 2 4 2 5 2 6 2 2" xfId="16079" xr:uid="{398869CF-CA0D-40C5-BA77-597C9D9662B3}"/>
    <cellStyle name="Normal 2 4 2 5 2 6 2 2 2" xfId="52421" xr:uid="{602CD2A2-20D4-4F02-B7CD-2339B0951089}"/>
    <cellStyle name="Normal 2 4 2 5 2 6 2 2 3" xfId="33825" xr:uid="{0CC4BE2F-961F-4920-9D2C-0531691C95CC}"/>
    <cellStyle name="Normal 2 4 2 5 2 6 2 3" xfId="43124" xr:uid="{1A2F840B-BFC7-47C6-8A37-ADED455AA665}"/>
    <cellStyle name="Normal 2 4 2 5 2 6 2 4" xfId="24526" xr:uid="{D6AF6BA9-A034-4B8E-8CEF-86D8CF46CD78}"/>
    <cellStyle name="Normal 2 4 2 5 2 6 3" xfId="11862" xr:uid="{D9C2E8F0-C37C-4D34-A9A0-63F29EF451A5}"/>
    <cellStyle name="Normal 2 4 2 5 2 6 3 2" xfId="48204" xr:uid="{AAA2A8D5-0BA5-4C15-AB10-532A6F99CED3}"/>
    <cellStyle name="Normal 2 4 2 5 2 6 3 3" xfId="29608" xr:uid="{0B54C364-66CA-4A97-9578-B25A6EED4B91}"/>
    <cellStyle name="Normal 2 4 2 5 2 6 4" xfId="38907" xr:uid="{DACDBDBE-DB44-4323-8BFB-95AD746106F6}"/>
    <cellStyle name="Normal 2 4 2 5 2 6 5" xfId="20309" xr:uid="{BA68CA6D-678F-4A55-86E8-1F60E173906C}"/>
    <cellStyle name="Normal 2 4 2 5 2 7" xfId="4687" xr:uid="{00000000-0005-0000-0000-00009A0F0000}"/>
    <cellStyle name="Normal 2 4 2 5 2 7 2" xfId="14013" xr:uid="{1F3E62CB-231D-42CB-A6B4-7E134F9AF838}"/>
    <cellStyle name="Normal 2 4 2 5 2 7 2 2" xfId="50355" xr:uid="{8681DFF4-98F6-450F-8AA4-0DCE6A51F904}"/>
    <cellStyle name="Normal 2 4 2 5 2 7 2 3" xfId="31759" xr:uid="{EA382C92-5F7A-40A8-9DE7-B920118D1B5A}"/>
    <cellStyle name="Normal 2 4 2 5 2 7 3" xfId="41058" xr:uid="{3D19BB55-D770-4750-AF35-598DD3AFEBA0}"/>
    <cellStyle name="Normal 2 4 2 5 2 7 4" xfId="22460" xr:uid="{9CB2C94D-E994-4C3F-8D73-169951C26D1A}"/>
    <cellStyle name="Normal 2 4 2 5 2 8" xfId="9067" xr:uid="{89D5CB5A-ADE0-44B8-BC1E-FDE984B579C9}"/>
    <cellStyle name="Normal 2 4 2 5 2 8 2" xfId="36137" xr:uid="{E11DB8DE-4047-4181-9859-8FCD6A0A82BA}"/>
    <cellStyle name="Normal 2 4 2 5 2 8 2 2" xfId="54732" xr:uid="{D9335700-D826-47A4-BDD9-AE73EE0280C2}"/>
    <cellStyle name="Normal 2 4 2 5 2 8 3" xfId="45435" xr:uid="{D4C7BB68-21AD-4F14-B593-5A4113E51143}"/>
    <cellStyle name="Normal 2 4 2 5 2 8 4" xfId="26838" xr:uid="{C54B84FA-D338-4E70-B551-83C9825269DF}"/>
    <cellStyle name="Normal 2 4 2 5 2 9" xfId="9796" xr:uid="{5883CC7F-E871-4DD0-9ED7-113DE5F79043}"/>
    <cellStyle name="Normal 2 4 2 5 2 9 2" xfId="46138" xr:uid="{3217C194-A901-4BF4-B711-D45DEFD7E907}"/>
    <cellStyle name="Normal 2 4 2 5 2 9 3" xfId="27542" xr:uid="{854F72F8-5351-4D98-86B0-EE23C8ADD6CC}"/>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16571" xr:uid="{3B22E63B-7E0B-4C44-BCB2-3EA2690222D8}"/>
    <cellStyle name="Normal 2 4 2 5 3 2 2 2 2" xfId="52913" xr:uid="{9B8FACAB-F5E7-4BC9-8B7E-B816557B43A1}"/>
    <cellStyle name="Normal 2 4 2 5 3 2 2 2 3" xfId="34317" xr:uid="{7CA446FF-208D-498B-B813-51D95805F475}"/>
    <cellStyle name="Normal 2 4 2 5 3 2 2 3" xfId="43616" xr:uid="{01F11087-C595-4830-ADED-EC7CD37DF7C7}"/>
    <cellStyle name="Normal 2 4 2 5 3 2 2 4" xfId="25018" xr:uid="{09C6B48E-8EFF-4D16-AD62-B58C78E85773}"/>
    <cellStyle name="Normal 2 4 2 5 3 2 3" xfId="12354" xr:uid="{B935EF0B-2391-4E35-84FA-955943E6C0D0}"/>
    <cellStyle name="Normal 2 4 2 5 3 2 3 2" xfId="48696" xr:uid="{3A95DBCF-8D52-412B-BF1B-E0175F2E3A0B}"/>
    <cellStyle name="Normal 2 4 2 5 3 2 3 3" xfId="30100" xr:uid="{647A6202-406A-4CD0-9361-779B63A99BE3}"/>
    <cellStyle name="Normal 2 4 2 5 3 2 4" xfId="39399" xr:uid="{3B91B3F1-B392-46F0-86A1-693B9B43D79C}"/>
    <cellStyle name="Normal 2 4 2 5 3 2 5" xfId="20801" xr:uid="{0B08C7BC-C03A-4BEA-AFAF-7451F32326E5}"/>
    <cellStyle name="Normal 2 4 2 5 3 3" xfId="5100" xr:uid="{00000000-0005-0000-0000-00009E0F0000}"/>
    <cellStyle name="Normal 2 4 2 5 3 3 2" xfId="14426" xr:uid="{FD9C5805-2B23-454B-91BA-915E21E7FDB9}"/>
    <cellStyle name="Normal 2 4 2 5 3 3 2 2" xfId="50768" xr:uid="{246C58CF-BFB3-42B0-9044-483CA72DF1B3}"/>
    <cellStyle name="Normal 2 4 2 5 3 3 2 3" xfId="32172" xr:uid="{99A74BBC-6C6C-4920-B45D-58A1018E973B}"/>
    <cellStyle name="Normal 2 4 2 5 3 3 3" xfId="41471" xr:uid="{645833CF-0D11-49AB-B88D-1D9365C35247}"/>
    <cellStyle name="Normal 2 4 2 5 3 3 4" xfId="22873" xr:uid="{C65034F6-88FC-4929-831A-F4E536602721}"/>
    <cellStyle name="Normal 2 4 2 5 3 4" xfId="9285" xr:uid="{5DA39FB9-904E-46D3-8E24-58BF2F19DA5B}"/>
    <cellStyle name="Normal 2 4 2 5 3 4 2" xfId="36346" xr:uid="{3D670DA6-F5CB-48D3-A6C8-D38702FF31FF}"/>
    <cellStyle name="Normal 2 4 2 5 3 4 2 2" xfId="54940" xr:uid="{EF367000-8585-40D6-901A-18B8690113D2}"/>
    <cellStyle name="Normal 2 4 2 5 3 4 3" xfId="45643" xr:uid="{CD3B092D-8931-42ED-A43E-A5DB05B50192}"/>
    <cellStyle name="Normal 2 4 2 5 3 4 4" xfId="27047" xr:uid="{D8109281-8DC5-45DE-BDA6-2D393F13061E}"/>
    <cellStyle name="Normal 2 4 2 5 3 5" xfId="10209" xr:uid="{2F16D3CC-1715-46F0-B69E-85195886005F}"/>
    <cellStyle name="Normal 2 4 2 5 3 5 2" xfId="46551" xr:uid="{F84ADD91-50CA-46E8-8136-6224771EC508}"/>
    <cellStyle name="Normal 2 4 2 5 3 5 3" xfId="27955" xr:uid="{30DD9680-2B68-41C1-8D87-5AFEF186653D}"/>
    <cellStyle name="Normal 2 4 2 5 3 6" xfId="37254" xr:uid="{654B7A5C-E5C2-4487-8C6B-48AF92267000}"/>
    <cellStyle name="Normal 2 4 2 5 3 7" xfId="18656" xr:uid="{44AC9E5D-7532-480B-A2B3-7E71A70E5672}"/>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16984" xr:uid="{915B8F00-E6EC-4809-9C14-595067F081E0}"/>
    <cellStyle name="Normal 2 4 2 5 4 2 2 2 2" xfId="53326" xr:uid="{6EA5E6B2-BEDD-42C3-8205-B6B2534DE2F0}"/>
    <cellStyle name="Normal 2 4 2 5 4 2 2 2 3" xfId="34730" xr:uid="{81F93BBF-385E-446D-8FB1-5B0FA779F443}"/>
    <cellStyle name="Normal 2 4 2 5 4 2 2 3" xfId="44029" xr:uid="{58C3D1CA-A33F-4592-A14B-B482AF53CA58}"/>
    <cellStyle name="Normal 2 4 2 5 4 2 2 4" xfId="25431" xr:uid="{62CDF5FA-61B8-4CC2-A497-86D2AF5E3909}"/>
    <cellStyle name="Normal 2 4 2 5 4 2 3" xfId="12767" xr:uid="{CCF76078-F9AE-4836-B175-760A8227430A}"/>
    <cellStyle name="Normal 2 4 2 5 4 2 3 2" xfId="49109" xr:uid="{BD017241-4EC0-4C41-A1DA-C9B26E512F3E}"/>
    <cellStyle name="Normal 2 4 2 5 4 2 3 3" xfId="30513" xr:uid="{D02502DF-D106-489C-AEFA-E85E560B49E7}"/>
    <cellStyle name="Normal 2 4 2 5 4 2 4" xfId="39812" xr:uid="{0719166D-8E99-405D-8378-D4194A408D02}"/>
    <cellStyle name="Normal 2 4 2 5 4 2 5" xfId="21214" xr:uid="{404DEFE0-C145-47EC-8927-5C3D409E42A3}"/>
    <cellStyle name="Normal 2 4 2 5 4 3" xfId="5513" xr:uid="{00000000-0005-0000-0000-0000A20F0000}"/>
    <cellStyle name="Normal 2 4 2 5 4 3 2" xfId="14839" xr:uid="{69AA7431-3F0E-444B-8344-93AE9D1E117F}"/>
    <cellStyle name="Normal 2 4 2 5 4 3 2 2" xfId="51181" xr:uid="{B6A75574-7FF4-4E8E-BAA8-33127AB77D88}"/>
    <cellStyle name="Normal 2 4 2 5 4 3 2 3" xfId="32585" xr:uid="{7685CC72-AFED-4E62-A94D-16FB2FF971EF}"/>
    <cellStyle name="Normal 2 4 2 5 4 3 3" xfId="41884" xr:uid="{04AB5788-D633-4B12-8ECB-4DDB757880FC}"/>
    <cellStyle name="Normal 2 4 2 5 4 3 4" xfId="23286" xr:uid="{5ABF56D2-A41B-4E62-9D24-B2B02413D92A}"/>
    <cellStyle name="Normal 2 4 2 5 4 4" xfId="10622" xr:uid="{88C955CD-C504-49D9-9940-084C3464F459}"/>
    <cellStyle name="Normal 2 4 2 5 4 4 2" xfId="46964" xr:uid="{B84DF8E4-7D93-4A9E-BDF2-E74AB1A88466}"/>
    <cellStyle name="Normal 2 4 2 5 4 4 3" xfId="28368" xr:uid="{7C5DF4FB-3E61-49AB-B3F5-A9907190AF7C}"/>
    <cellStyle name="Normal 2 4 2 5 4 5" xfId="37667" xr:uid="{EDCF8B3E-CEF6-4D8E-BFB0-323574E80747}"/>
    <cellStyle name="Normal 2 4 2 5 4 6" xfId="19069" xr:uid="{C63F6000-6968-4226-A763-B47D81B3F13E}"/>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17397" xr:uid="{BC7D3D53-55DF-44BF-89D8-20FD41D428E5}"/>
    <cellStyle name="Normal 2 4 2 5 5 2 2 2 2" xfId="53739" xr:uid="{4F47A6E6-70FD-4ACE-BC44-DA932616B94B}"/>
    <cellStyle name="Normal 2 4 2 5 5 2 2 2 3" xfId="35143" xr:uid="{FBF1A411-097B-46B9-9884-FC10142DDA34}"/>
    <cellStyle name="Normal 2 4 2 5 5 2 2 3" xfId="44442" xr:uid="{65B4EA13-29F3-4160-BB99-ABF28E342366}"/>
    <cellStyle name="Normal 2 4 2 5 5 2 2 4" xfId="25844" xr:uid="{EF9D07E6-901B-4C62-A170-AA57F3B27FF5}"/>
    <cellStyle name="Normal 2 4 2 5 5 2 3" xfId="13180" xr:uid="{661FBB77-2748-4AC5-A184-8EADD4999B58}"/>
    <cellStyle name="Normal 2 4 2 5 5 2 3 2" xfId="49522" xr:uid="{10FAECD5-03D3-4D1C-B5BD-EA00383C2A94}"/>
    <cellStyle name="Normal 2 4 2 5 5 2 3 3" xfId="30926" xr:uid="{9ADF0D45-D721-475F-8FD9-E3D2F42777E8}"/>
    <cellStyle name="Normal 2 4 2 5 5 2 4" xfId="40225" xr:uid="{5845E25D-EEF0-4F6A-AD17-39E2B24049D0}"/>
    <cellStyle name="Normal 2 4 2 5 5 2 5" xfId="21627" xr:uid="{69FA093D-D030-4D4D-917B-7F38DE9753C6}"/>
    <cellStyle name="Normal 2 4 2 5 5 3" xfId="5926" xr:uid="{00000000-0005-0000-0000-0000A60F0000}"/>
    <cellStyle name="Normal 2 4 2 5 5 3 2" xfId="15252" xr:uid="{6C6BD3D3-7E9F-4E5A-A79F-71D29961BDBD}"/>
    <cellStyle name="Normal 2 4 2 5 5 3 2 2" xfId="51594" xr:uid="{E8852897-2C0D-464A-9982-0AA870F91DCF}"/>
    <cellStyle name="Normal 2 4 2 5 5 3 2 3" xfId="32998" xr:uid="{35D8FB70-7BD9-4E89-9C8E-6FBCA614785C}"/>
    <cellStyle name="Normal 2 4 2 5 5 3 3" xfId="42297" xr:uid="{5A6A3999-5F45-487C-AB1E-593A7FFA535B}"/>
    <cellStyle name="Normal 2 4 2 5 5 3 4" xfId="23699" xr:uid="{9EE7438D-88C2-4FA8-B3FB-EC4C79D733C1}"/>
    <cellStyle name="Normal 2 4 2 5 5 4" xfId="11035" xr:uid="{5C15124D-7114-46FF-B5BC-6FC48CC00BBB}"/>
    <cellStyle name="Normal 2 4 2 5 5 4 2" xfId="47377" xr:uid="{3DB28E64-3677-4253-85A2-9565C9B54E96}"/>
    <cellStyle name="Normal 2 4 2 5 5 4 3" xfId="28781" xr:uid="{DFEACB44-D5FE-4A4E-A1F5-F0646034E6D1}"/>
    <cellStyle name="Normal 2 4 2 5 5 5" xfId="38080" xr:uid="{63518B97-13F8-4ADE-9F15-F0B091684275}"/>
    <cellStyle name="Normal 2 4 2 5 5 6" xfId="19482" xr:uid="{25B247C8-E8FC-47EC-B097-27CCDE7B383A}"/>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17810" xr:uid="{7BBF340D-1259-4036-BC70-1D6AD7CC2F62}"/>
    <cellStyle name="Normal 2 4 2 5 6 2 2 2 2" xfId="54152" xr:uid="{6C91B711-A39F-4DA2-A8F4-99D4201CCE35}"/>
    <cellStyle name="Normal 2 4 2 5 6 2 2 2 3" xfId="35556" xr:uid="{8B76F46C-E34C-45AE-884D-59EB270E5972}"/>
    <cellStyle name="Normal 2 4 2 5 6 2 2 3" xfId="44855" xr:uid="{D4243079-648C-4378-BB3A-48023FE9F7ED}"/>
    <cellStyle name="Normal 2 4 2 5 6 2 2 4" xfId="26257" xr:uid="{B3D422CA-E9A7-4786-BCCE-9DA93C521BBD}"/>
    <cellStyle name="Normal 2 4 2 5 6 2 3" xfId="13593" xr:uid="{9D8B95B7-AA7D-4F87-840C-EA977FAE7841}"/>
    <cellStyle name="Normal 2 4 2 5 6 2 3 2" xfId="49935" xr:uid="{C4ACE596-2F45-49D2-9892-15B41C7D7725}"/>
    <cellStyle name="Normal 2 4 2 5 6 2 3 3" xfId="31339" xr:uid="{A4F569A6-0E9C-47FF-9D8F-95DB0CBD59A5}"/>
    <cellStyle name="Normal 2 4 2 5 6 2 4" xfId="40638" xr:uid="{0F559490-111A-407D-AE6F-20ED6B65B06A}"/>
    <cellStyle name="Normal 2 4 2 5 6 2 5" xfId="22040" xr:uid="{CDB08756-B8B3-4D74-B6F7-974EC044337A}"/>
    <cellStyle name="Normal 2 4 2 5 6 3" xfId="6339" xr:uid="{00000000-0005-0000-0000-0000AA0F0000}"/>
    <cellStyle name="Normal 2 4 2 5 6 3 2" xfId="15665" xr:uid="{46AC6F31-D17A-4ADF-8FF7-F0B427736394}"/>
    <cellStyle name="Normal 2 4 2 5 6 3 2 2" xfId="52007" xr:uid="{38DBE670-26E0-48A6-ABD2-1F383DCA58C8}"/>
    <cellStyle name="Normal 2 4 2 5 6 3 2 3" xfId="33411" xr:uid="{304D95F8-475B-4168-A9AA-7066EF60294D}"/>
    <cellStyle name="Normal 2 4 2 5 6 3 3" xfId="42710" xr:uid="{47157FC1-5383-4967-8613-5516F8A50AB4}"/>
    <cellStyle name="Normal 2 4 2 5 6 3 4" xfId="24112" xr:uid="{AAEA7652-30CA-4CDA-B3B4-BED215B61B21}"/>
    <cellStyle name="Normal 2 4 2 5 6 4" xfId="11448" xr:uid="{F8501FEE-4A19-4D19-9A27-CA02415F78E8}"/>
    <cellStyle name="Normal 2 4 2 5 6 4 2" xfId="47790" xr:uid="{487C5549-D76D-4992-BB4D-96BDD2097E74}"/>
    <cellStyle name="Normal 2 4 2 5 6 4 3" xfId="29194" xr:uid="{428D6957-EB36-4490-B8D9-77FD3230D863}"/>
    <cellStyle name="Normal 2 4 2 5 6 5" xfId="38493" xr:uid="{AA2CF96A-85DB-41DF-B1B0-C228A849AF95}"/>
    <cellStyle name="Normal 2 4 2 5 6 6" xfId="19895" xr:uid="{37730FA5-BF17-48B2-A1BB-9DA6C41D3C79}"/>
    <cellStyle name="Normal 2 4 2 5 7" xfId="2469" xr:uid="{00000000-0005-0000-0000-0000AB0F0000}"/>
    <cellStyle name="Normal 2 4 2 5 7 2" xfId="6752" xr:uid="{00000000-0005-0000-0000-0000AC0F0000}"/>
    <cellStyle name="Normal 2 4 2 5 7 2 2" xfId="16078" xr:uid="{21B005FA-1FA4-4C5F-AC1B-6FDAE8D6BC85}"/>
    <cellStyle name="Normal 2 4 2 5 7 2 2 2" xfId="52420" xr:uid="{E6B2F7C4-37BB-47DA-88E3-87C5AE149A57}"/>
    <cellStyle name="Normal 2 4 2 5 7 2 2 3" xfId="33824" xr:uid="{A376D9D2-252F-4998-A5C6-5737099AC95D}"/>
    <cellStyle name="Normal 2 4 2 5 7 2 3" xfId="43123" xr:uid="{A93A37AC-6C45-46A7-9B22-6C9EC2184091}"/>
    <cellStyle name="Normal 2 4 2 5 7 2 4" xfId="24525" xr:uid="{B86CFD63-43E1-4F23-9683-7758373A3B73}"/>
    <cellStyle name="Normal 2 4 2 5 7 3" xfId="11861" xr:uid="{05EAC401-ED7A-4F89-9EA0-F6BED0A9C564}"/>
    <cellStyle name="Normal 2 4 2 5 7 3 2" xfId="48203" xr:uid="{D1EE2C97-6938-41E8-956E-FAE5C303F37D}"/>
    <cellStyle name="Normal 2 4 2 5 7 3 3" xfId="29607" xr:uid="{20363D0C-343A-451A-95E3-5BFCF0D3E3D8}"/>
    <cellStyle name="Normal 2 4 2 5 7 4" xfId="38906" xr:uid="{13347E4B-3B88-4CE2-8D0D-042D8D8ECBCA}"/>
    <cellStyle name="Normal 2 4 2 5 7 5" xfId="20308" xr:uid="{29382829-0438-4EA1-BF9B-2A5B654C1077}"/>
    <cellStyle name="Normal 2 4 2 5 8" xfId="4686" xr:uid="{00000000-0005-0000-0000-0000AD0F0000}"/>
    <cellStyle name="Normal 2 4 2 5 8 2" xfId="14012" xr:uid="{05255193-49B6-45E3-BAE7-1183F900D80C}"/>
    <cellStyle name="Normal 2 4 2 5 8 2 2" xfId="50354" xr:uid="{781DAFCE-E38F-425E-B625-03C0E652B814}"/>
    <cellStyle name="Normal 2 4 2 5 8 2 3" xfId="31758" xr:uid="{2096E3C7-D1CB-46A9-98FD-F8122F61439F}"/>
    <cellStyle name="Normal 2 4 2 5 8 3" xfId="41057" xr:uid="{947EBAD8-3EC7-424B-8C73-84715755D34A}"/>
    <cellStyle name="Normal 2 4 2 5 8 4" xfId="22459" xr:uid="{91CF3AE4-2F8C-431A-A08D-D4128180121B}"/>
    <cellStyle name="Normal 2 4 2 5 9" xfId="8860" xr:uid="{5FAFEFC0-3249-464B-9F12-2B1DA137C588}"/>
    <cellStyle name="Normal 2 4 2 5 9 2" xfId="35930" xr:uid="{8FD7FD28-409C-48D9-BFD0-64F50613A60B}"/>
    <cellStyle name="Normal 2 4 2 5 9 2 2" xfId="54525" xr:uid="{F9326E7D-55D8-4DFF-803D-5810D7F468A3}"/>
    <cellStyle name="Normal 2 4 2 5 9 3" xfId="45228" xr:uid="{B26F6248-E5FB-42D7-99A8-922FFD579A90}"/>
    <cellStyle name="Normal 2 4 2 5 9 4" xfId="26631" xr:uid="{2D7073E8-BA89-4116-B995-A827F7E0FDAC}"/>
    <cellStyle name="Normal 2 4 2 6" xfId="295" xr:uid="{00000000-0005-0000-0000-0000AE0F0000}"/>
    <cellStyle name="Normal 2 4 2 6 10" xfId="36842" xr:uid="{094C9CD4-7E5C-411F-A164-27C01363B110}"/>
    <cellStyle name="Normal 2 4 2 6 11" xfId="18244" xr:uid="{87416D17-C615-45C3-A1CD-400B4C569E89}"/>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16573" xr:uid="{CA81BBBE-75B9-4AEF-B766-CB5530931C22}"/>
    <cellStyle name="Normal 2 4 2 6 2 2 2 2 2" xfId="52915" xr:uid="{BC77785C-B83B-4215-9C93-D492A923102C}"/>
    <cellStyle name="Normal 2 4 2 6 2 2 2 2 3" xfId="34319" xr:uid="{396A397B-F864-4208-BC23-A32F319C802A}"/>
    <cellStyle name="Normal 2 4 2 6 2 2 2 3" xfId="43618" xr:uid="{EE5618FA-5D09-4885-98BE-F52C71979035}"/>
    <cellStyle name="Normal 2 4 2 6 2 2 2 4" xfId="25020" xr:uid="{1C4E0275-8CE5-47E2-8848-D8E06837C74B}"/>
    <cellStyle name="Normal 2 4 2 6 2 2 3" xfId="12356" xr:uid="{F88B73D8-CC58-4CF3-9DBB-12E65C29DEAB}"/>
    <cellStyle name="Normal 2 4 2 6 2 2 3 2" xfId="48698" xr:uid="{B38286B0-3FD2-4264-802C-3C2BE1335333}"/>
    <cellStyle name="Normal 2 4 2 6 2 2 3 3" xfId="30102" xr:uid="{B83676F7-D61B-4C5C-8F7C-50B2F209571F}"/>
    <cellStyle name="Normal 2 4 2 6 2 2 4" xfId="39401" xr:uid="{80466369-36A3-4204-8312-8EB7107C3E92}"/>
    <cellStyle name="Normal 2 4 2 6 2 2 5" xfId="20803" xr:uid="{AAF0B57C-0FFB-417B-B31E-D4014B723427}"/>
    <cellStyle name="Normal 2 4 2 6 2 3" xfId="5102" xr:uid="{00000000-0005-0000-0000-0000B20F0000}"/>
    <cellStyle name="Normal 2 4 2 6 2 3 2" xfId="14428" xr:uid="{EF708F23-73D7-446E-A062-B3F624C33C0C}"/>
    <cellStyle name="Normal 2 4 2 6 2 3 2 2" xfId="50770" xr:uid="{61F42080-432F-4407-AD3E-E745A0FE1D7F}"/>
    <cellStyle name="Normal 2 4 2 6 2 3 2 3" xfId="32174" xr:uid="{CF4BB6BB-C7F4-4267-9E0D-1476AB009AD0}"/>
    <cellStyle name="Normal 2 4 2 6 2 3 3" xfId="41473" xr:uid="{9EE5B1DF-80DE-4AF0-8E60-34E8A0FDFAC2}"/>
    <cellStyle name="Normal 2 4 2 6 2 3 4" xfId="22875" xr:uid="{B599D576-3160-4ADE-B595-F9A055F3A8C3}"/>
    <cellStyle name="Normal 2 4 2 6 2 4" xfId="9401" xr:uid="{C89DD342-23DD-474B-84C5-F9DED42F169B}"/>
    <cellStyle name="Normal 2 4 2 6 2 4 2" xfId="36462" xr:uid="{16CD5BE6-9C50-4637-9009-A8DD509B5470}"/>
    <cellStyle name="Normal 2 4 2 6 2 4 2 2" xfId="55056" xr:uid="{EBA6EC7B-DF5D-4291-A43E-50099BED53F5}"/>
    <cellStyle name="Normal 2 4 2 6 2 4 3" xfId="45759" xr:uid="{03FA7D71-DC50-4B65-BEB9-34D6FE118D2D}"/>
    <cellStyle name="Normal 2 4 2 6 2 4 4" xfId="27163" xr:uid="{A7815365-17E3-4E91-A470-7D17C022C308}"/>
    <cellStyle name="Normal 2 4 2 6 2 5" xfId="10211" xr:uid="{BAEEBA2A-1939-4D0B-BAB2-30620827CE91}"/>
    <cellStyle name="Normal 2 4 2 6 2 5 2" xfId="46553" xr:uid="{B9A1672D-DDCA-45F9-900A-71B537BFD25F}"/>
    <cellStyle name="Normal 2 4 2 6 2 5 3" xfId="27957" xr:uid="{E66CAEAE-5AB6-488D-8F23-A36ABBD6A683}"/>
    <cellStyle name="Normal 2 4 2 6 2 6" xfId="37256" xr:uid="{D49D4A65-4BB4-4480-A812-8EB3F49CDC34}"/>
    <cellStyle name="Normal 2 4 2 6 2 7" xfId="18658" xr:uid="{6DD54379-D86E-43D3-82A4-3717EEB5B1E1}"/>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16986" xr:uid="{7435FD70-F22F-4692-82E2-EAC4A170F362}"/>
    <cellStyle name="Normal 2 4 2 6 3 2 2 2 2" xfId="53328" xr:uid="{8C89C209-F333-4BD8-9B6F-9084E84A42F8}"/>
    <cellStyle name="Normal 2 4 2 6 3 2 2 2 3" xfId="34732" xr:uid="{204736CC-1380-4BAA-80C4-54CC1ABC59D3}"/>
    <cellStyle name="Normal 2 4 2 6 3 2 2 3" xfId="44031" xr:uid="{40B65FE9-2B9E-4382-A66C-F3468AB7A836}"/>
    <cellStyle name="Normal 2 4 2 6 3 2 2 4" xfId="25433" xr:uid="{1BCA3ABA-F038-46DB-8FFB-1F99BE077B01}"/>
    <cellStyle name="Normal 2 4 2 6 3 2 3" xfId="12769" xr:uid="{8E57222D-F501-4BC1-8767-8FF82EEC1E39}"/>
    <cellStyle name="Normal 2 4 2 6 3 2 3 2" xfId="49111" xr:uid="{5AAEB831-41D4-4D04-828C-FD0ED28A0E77}"/>
    <cellStyle name="Normal 2 4 2 6 3 2 3 3" xfId="30515" xr:uid="{55A7C136-A109-43BE-B238-C2C782DF0440}"/>
    <cellStyle name="Normal 2 4 2 6 3 2 4" xfId="39814" xr:uid="{6690B721-35A1-4F90-A8A3-372FBA55885A}"/>
    <cellStyle name="Normal 2 4 2 6 3 2 5" xfId="21216" xr:uid="{088BB82E-DCE8-4A3D-970F-B8FB090DD36F}"/>
    <cellStyle name="Normal 2 4 2 6 3 3" xfId="5515" xr:uid="{00000000-0005-0000-0000-0000B60F0000}"/>
    <cellStyle name="Normal 2 4 2 6 3 3 2" xfId="14841" xr:uid="{859A5A71-48B8-4010-97DD-DDC357823E74}"/>
    <cellStyle name="Normal 2 4 2 6 3 3 2 2" xfId="51183" xr:uid="{60B6912C-981D-4221-B668-B37F42B89DB1}"/>
    <cellStyle name="Normal 2 4 2 6 3 3 2 3" xfId="32587" xr:uid="{F4180B54-F7D7-4DEC-B013-D6CE56F7D4EF}"/>
    <cellStyle name="Normal 2 4 2 6 3 3 3" xfId="41886" xr:uid="{CE6BE010-8285-4961-BDA6-C016D3302700}"/>
    <cellStyle name="Normal 2 4 2 6 3 3 4" xfId="23288" xr:uid="{584F5283-C6ED-4677-B3C2-89B6FF7DE505}"/>
    <cellStyle name="Normal 2 4 2 6 3 4" xfId="10624" xr:uid="{95512957-1280-49C8-B1A6-02E080003949}"/>
    <cellStyle name="Normal 2 4 2 6 3 4 2" xfId="46966" xr:uid="{95BFE638-431D-4B66-BD4F-89045FC9B8B4}"/>
    <cellStyle name="Normal 2 4 2 6 3 4 3" xfId="28370" xr:uid="{DEC5BD1B-C555-4CAE-8D36-3D9FB8AB2A18}"/>
    <cellStyle name="Normal 2 4 2 6 3 5" xfId="37669" xr:uid="{B7500DF4-EC51-4073-B436-46EF652F9CDB}"/>
    <cellStyle name="Normal 2 4 2 6 3 6" xfId="19071" xr:uid="{7EF181FD-0B30-401E-8613-C349AAE10647}"/>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17399" xr:uid="{58D9C89E-A04C-485C-91D2-63244938269A}"/>
    <cellStyle name="Normal 2 4 2 6 4 2 2 2 2" xfId="53741" xr:uid="{346509A1-FA1C-4F95-9C44-503AFD984C2B}"/>
    <cellStyle name="Normal 2 4 2 6 4 2 2 2 3" xfId="35145" xr:uid="{B7941D89-8157-4BA7-A4CB-C83F4289A723}"/>
    <cellStyle name="Normal 2 4 2 6 4 2 2 3" xfId="44444" xr:uid="{B864D084-ABB3-4B9B-A5D7-821AD22E4B24}"/>
    <cellStyle name="Normal 2 4 2 6 4 2 2 4" xfId="25846" xr:uid="{AA97905D-2453-44B0-9001-5A205A0998B8}"/>
    <cellStyle name="Normal 2 4 2 6 4 2 3" xfId="13182" xr:uid="{652DF7EF-606A-4255-85AD-305FB7318BD7}"/>
    <cellStyle name="Normal 2 4 2 6 4 2 3 2" xfId="49524" xr:uid="{88E0D0E5-76C0-4EAD-8CAA-A13305D48FA8}"/>
    <cellStyle name="Normal 2 4 2 6 4 2 3 3" xfId="30928" xr:uid="{2EA62491-E900-4E7B-A669-6660DE63FCDF}"/>
    <cellStyle name="Normal 2 4 2 6 4 2 4" xfId="40227" xr:uid="{8776A08E-0ECD-429B-98B4-75112DD3CD6A}"/>
    <cellStyle name="Normal 2 4 2 6 4 2 5" xfId="21629" xr:uid="{3AEF2D05-FE62-4B91-A519-63AC6F342B7A}"/>
    <cellStyle name="Normal 2 4 2 6 4 3" xfId="5928" xr:uid="{00000000-0005-0000-0000-0000BA0F0000}"/>
    <cellStyle name="Normal 2 4 2 6 4 3 2" xfId="15254" xr:uid="{E077BFEA-5E9B-4986-9FD2-1869045F7EF2}"/>
    <cellStyle name="Normal 2 4 2 6 4 3 2 2" xfId="51596" xr:uid="{C088D580-C1B6-49E4-AC62-FB4C8E9D454C}"/>
    <cellStyle name="Normal 2 4 2 6 4 3 2 3" xfId="33000" xr:uid="{A02F0BD3-BC6E-4892-83AD-C12349FCD282}"/>
    <cellStyle name="Normal 2 4 2 6 4 3 3" xfId="42299" xr:uid="{C33DB45E-60B3-4727-8D46-BA9DE4371CC8}"/>
    <cellStyle name="Normal 2 4 2 6 4 3 4" xfId="23701" xr:uid="{2943F686-B1AC-4135-853A-0706A5B0297A}"/>
    <cellStyle name="Normal 2 4 2 6 4 4" xfId="11037" xr:uid="{9B850E4C-D15F-4F6D-9583-BDE1F812C705}"/>
    <cellStyle name="Normal 2 4 2 6 4 4 2" xfId="47379" xr:uid="{1724DD2F-640E-4989-98A0-BD7DB75AEEFC}"/>
    <cellStyle name="Normal 2 4 2 6 4 4 3" xfId="28783" xr:uid="{035BE885-DB37-49B5-946E-3E6AF3D5ADFD}"/>
    <cellStyle name="Normal 2 4 2 6 4 5" xfId="38082" xr:uid="{B78F0B5D-0FF2-4512-8BF1-63E1FB345796}"/>
    <cellStyle name="Normal 2 4 2 6 4 6" xfId="19484" xr:uid="{B0DD86D0-32C8-49DE-9EFE-830302C4A6FC}"/>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17812" xr:uid="{91500103-C90D-4143-94AC-5A3D879D24BB}"/>
    <cellStyle name="Normal 2 4 2 6 5 2 2 2 2" xfId="54154" xr:uid="{A2519FA8-5E13-44EC-9103-B8274917E505}"/>
    <cellStyle name="Normal 2 4 2 6 5 2 2 2 3" xfId="35558" xr:uid="{5DE7FCCC-C3B0-475D-8A76-24F2FC2E2119}"/>
    <cellStyle name="Normal 2 4 2 6 5 2 2 3" xfId="44857" xr:uid="{F0619E0A-A597-4972-9434-37439F5AE44F}"/>
    <cellStyle name="Normal 2 4 2 6 5 2 2 4" xfId="26259" xr:uid="{669D0C2F-E948-4763-99A3-6AF5F5D5B481}"/>
    <cellStyle name="Normal 2 4 2 6 5 2 3" xfId="13595" xr:uid="{F356E787-C0F7-455C-A992-C60610F1E471}"/>
    <cellStyle name="Normal 2 4 2 6 5 2 3 2" xfId="49937" xr:uid="{22ABFC45-5D1A-4572-B074-75C3214FD67E}"/>
    <cellStyle name="Normal 2 4 2 6 5 2 3 3" xfId="31341" xr:uid="{CCD6E434-6DBB-4BF9-9A4C-EF41575346B7}"/>
    <cellStyle name="Normal 2 4 2 6 5 2 4" xfId="40640" xr:uid="{65981454-1A7A-4FE2-8C12-027D4EFD1AB1}"/>
    <cellStyle name="Normal 2 4 2 6 5 2 5" xfId="22042" xr:uid="{76765079-CA56-4BCE-BD5A-9D96F8A8FA04}"/>
    <cellStyle name="Normal 2 4 2 6 5 3" xfId="6341" xr:uid="{00000000-0005-0000-0000-0000BE0F0000}"/>
    <cellStyle name="Normal 2 4 2 6 5 3 2" xfId="15667" xr:uid="{A102E4E0-7D01-476D-8172-BBBF170799AB}"/>
    <cellStyle name="Normal 2 4 2 6 5 3 2 2" xfId="52009" xr:uid="{9214ACAB-578B-494D-9D47-2A2F9C53838F}"/>
    <cellStyle name="Normal 2 4 2 6 5 3 2 3" xfId="33413" xr:uid="{32C1497D-DC19-492E-AACD-18F3A6DDA5E4}"/>
    <cellStyle name="Normal 2 4 2 6 5 3 3" xfId="42712" xr:uid="{C0BA078B-B5C2-4092-B760-7808403DD586}"/>
    <cellStyle name="Normal 2 4 2 6 5 3 4" xfId="24114" xr:uid="{8334B006-88AB-4B6C-B9FE-FD546D92BE2D}"/>
    <cellStyle name="Normal 2 4 2 6 5 4" xfId="11450" xr:uid="{CAD29151-8DE9-4DAF-B97A-81E9B009AE97}"/>
    <cellStyle name="Normal 2 4 2 6 5 4 2" xfId="47792" xr:uid="{E627DEAB-0EAD-4A7F-81AD-682F1EC9F10C}"/>
    <cellStyle name="Normal 2 4 2 6 5 4 3" xfId="29196" xr:uid="{88DAC7B3-4082-4DFA-8A7A-F30717D38DD3}"/>
    <cellStyle name="Normal 2 4 2 6 5 5" xfId="38495" xr:uid="{BB2680E7-397E-44D0-9FB3-AA86675523F3}"/>
    <cellStyle name="Normal 2 4 2 6 5 6" xfId="19897" xr:uid="{CA1C59E4-AA95-437D-A935-D5BD69F6FFFA}"/>
    <cellStyle name="Normal 2 4 2 6 6" xfId="2471" xr:uid="{00000000-0005-0000-0000-0000BF0F0000}"/>
    <cellStyle name="Normal 2 4 2 6 6 2" xfId="6754" xr:uid="{00000000-0005-0000-0000-0000C00F0000}"/>
    <cellStyle name="Normal 2 4 2 6 6 2 2" xfId="16080" xr:uid="{24AED515-AADA-4063-9459-7E2B8F9EA3BC}"/>
    <cellStyle name="Normal 2 4 2 6 6 2 2 2" xfId="52422" xr:uid="{2669E14C-A9F6-45C1-BD7C-ED27B59F3ED8}"/>
    <cellStyle name="Normal 2 4 2 6 6 2 2 3" xfId="33826" xr:uid="{C423AD39-F83C-4FFA-8A66-9BC097991C07}"/>
    <cellStyle name="Normal 2 4 2 6 6 2 3" xfId="43125" xr:uid="{2EB00590-B51E-4A0B-A47B-9C3A9DC3140D}"/>
    <cellStyle name="Normal 2 4 2 6 6 2 4" xfId="24527" xr:uid="{B42FCE04-E6CA-4D12-B5AF-B1C6F8E86466}"/>
    <cellStyle name="Normal 2 4 2 6 6 3" xfId="11863" xr:uid="{F2046855-7C5C-4F9E-B4F7-8BA9029E675A}"/>
    <cellStyle name="Normal 2 4 2 6 6 3 2" xfId="48205" xr:uid="{90BFBD1C-D60B-4B3C-840C-3BE349184169}"/>
    <cellStyle name="Normal 2 4 2 6 6 3 3" xfId="29609" xr:uid="{4F245153-2412-4BCE-B5A5-937DE674B3BA}"/>
    <cellStyle name="Normal 2 4 2 6 6 4" xfId="38908" xr:uid="{7CC7E15B-BE93-48B0-9F25-7E49A47DC28B}"/>
    <cellStyle name="Normal 2 4 2 6 6 5" xfId="20310" xr:uid="{8A61DBAA-F38E-4BEB-B7A9-5ABD922F6642}"/>
    <cellStyle name="Normal 2 4 2 6 7" xfId="4688" xr:uid="{00000000-0005-0000-0000-0000C10F0000}"/>
    <cellStyle name="Normal 2 4 2 6 7 2" xfId="14014" xr:uid="{14724796-5597-4720-9266-6053F5B3ABAC}"/>
    <cellStyle name="Normal 2 4 2 6 7 2 2" xfId="50356" xr:uid="{0E5B0AD9-5EEF-44DF-A00B-7064E241F2D2}"/>
    <cellStyle name="Normal 2 4 2 6 7 2 3" xfId="31760" xr:uid="{29320A9D-6A93-477E-8D7A-E62F4EDEC26D}"/>
    <cellStyle name="Normal 2 4 2 6 7 3" xfId="41059" xr:uid="{2140AB73-83A5-47AB-A946-A467877BD185}"/>
    <cellStyle name="Normal 2 4 2 6 7 4" xfId="22461" xr:uid="{EEFA6808-4606-4682-9A86-C95A90311B24}"/>
    <cellStyle name="Normal 2 4 2 6 8" xfId="8976" xr:uid="{6DEAFF8C-68CB-4364-A161-479509F453AE}"/>
    <cellStyle name="Normal 2 4 2 6 8 2" xfId="36046" xr:uid="{99D11F07-9D42-4568-B2AB-3FC2C8CA636B}"/>
    <cellStyle name="Normal 2 4 2 6 8 2 2" xfId="54641" xr:uid="{D13768C6-EBB2-425D-B9FB-8666C7232B9A}"/>
    <cellStyle name="Normal 2 4 2 6 8 3" xfId="45344" xr:uid="{3B7F291A-5752-479C-9761-6222043C35E4}"/>
    <cellStyle name="Normal 2 4 2 6 8 4" xfId="26747" xr:uid="{7EF5096C-E5A1-4809-B41F-5C58484FBA93}"/>
    <cellStyle name="Normal 2 4 2 6 9" xfId="9797" xr:uid="{4F242978-5B27-43D5-BE67-777316AF23D1}"/>
    <cellStyle name="Normal 2 4 2 6 9 2" xfId="46139" xr:uid="{0DD5F2CC-AC48-4567-96A0-EEA1D36C78F1}"/>
    <cellStyle name="Normal 2 4 2 6 9 3" xfId="27543" xr:uid="{17FA5C78-2EFD-4393-8361-FFA1A5A03B65}"/>
    <cellStyle name="Normal 2 4 2 7" xfId="771" xr:uid="{00000000-0005-0000-0000-0000C20F0000}"/>
    <cellStyle name="Normal 2 4 2 7 2" xfId="3010" xr:uid="{00000000-0005-0000-0000-0000C30F0000}"/>
    <cellStyle name="Normal 2 4 2 7 2 2" xfId="7232" xr:uid="{00000000-0005-0000-0000-0000C40F0000}"/>
    <cellStyle name="Normal 2 4 2 7 2 2 2" xfId="16558" xr:uid="{74AA4C72-CFF2-4618-A7C6-D6B199F0AB1C}"/>
    <cellStyle name="Normal 2 4 2 7 2 2 2 2" xfId="52900" xr:uid="{523BA7AA-3D87-49A1-94F2-5713D683D94D}"/>
    <cellStyle name="Normal 2 4 2 7 2 2 2 3" xfId="34304" xr:uid="{CD424D45-91B5-4661-924B-8454E10CC7A6}"/>
    <cellStyle name="Normal 2 4 2 7 2 2 3" xfId="43603" xr:uid="{4C2230D3-D44B-490C-83CF-D87DD56DA56C}"/>
    <cellStyle name="Normal 2 4 2 7 2 2 4" xfId="25005" xr:uid="{B9E4CF33-1700-419E-8E49-E9EE49F5A3FF}"/>
    <cellStyle name="Normal 2 4 2 7 2 3" xfId="12341" xr:uid="{32B2A076-83F7-421D-9D6E-230D6BF9B799}"/>
    <cellStyle name="Normal 2 4 2 7 2 3 2" xfId="48683" xr:uid="{8CD25EDF-775C-413B-B2A3-4D3135AA8E8F}"/>
    <cellStyle name="Normal 2 4 2 7 2 3 3" xfId="30087" xr:uid="{D9143976-A813-44D1-B3DF-75B3DF6C5E4A}"/>
    <cellStyle name="Normal 2 4 2 7 2 4" xfId="39386" xr:uid="{1718850A-0C29-4BB4-8182-C7E05F661BE3}"/>
    <cellStyle name="Normal 2 4 2 7 2 5" xfId="20788" xr:uid="{D9F912B2-CB49-44E7-A79C-FF961B20B6BA}"/>
    <cellStyle name="Normal 2 4 2 7 3" xfId="5087" xr:uid="{00000000-0005-0000-0000-0000C50F0000}"/>
    <cellStyle name="Normal 2 4 2 7 3 2" xfId="14413" xr:uid="{40045101-0706-458A-A0DE-C8393B5B821C}"/>
    <cellStyle name="Normal 2 4 2 7 3 2 2" xfId="50755" xr:uid="{C3FFF16B-9C05-4A3C-AB89-9E1F935E1853}"/>
    <cellStyle name="Normal 2 4 2 7 3 2 3" xfId="32159" xr:uid="{A1A21367-A69A-4412-8939-11DC93CC4F11}"/>
    <cellStyle name="Normal 2 4 2 7 3 3" xfId="41458" xr:uid="{F464B248-FC03-409A-91F9-16CDCE2EE27B}"/>
    <cellStyle name="Normal 2 4 2 7 3 4" xfId="22860" xr:uid="{559CDCA7-3D96-4399-96CF-96D080902A0E}"/>
    <cellStyle name="Normal 2 4 2 7 4" xfId="9179" xr:uid="{D1C44CED-398E-43B3-AFA3-1E7DC60C5D92}"/>
    <cellStyle name="Normal 2 4 2 7 4 2" xfId="36243" xr:uid="{831B2539-D9B2-4B8F-A9B8-A80E610A53C0}"/>
    <cellStyle name="Normal 2 4 2 7 4 2 2" xfId="54837" xr:uid="{17F41452-5741-45B9-904D-6B6753602D10}"/>
    <cellStyle name="Normal 2 4 2 7 4 3" xfId="45540" xr:uid="{A285EE12-4E52-45A5-BAAC-41E73A938A79}"/>
    <cellStyle name="Normal 2 4 2 7 4 4" xfId="26944" xr:uid="{4842EF13-E095-4792-89F8-F4E3400F8492}"/>
    <cellStyle name="Normal 2 4 2 7 5" xfId="10196" xr:uid="{BEB0BE7F-D1AB-484B-92D3-2480D1FAA668}"/>
    <cellStyle name="Normal 2 4 2 7 5 2" xfId="46538" xr:uid="{0E98D1A3-5447-4C18-950C-8C647D703D75}"/>
    <cellStyle name="Normal 2 4 2 7 5 3" xfId="27942" xr:uid="{AA1E7FEF-C17D-40BD-8573-A78C37626C6A}"/>
    <cellStyle name="Normal 2 4 2 7 6" xfId="37241" xr:uid="{FB130501-86AE-40AD-A5F0-9200503A2E98}"/>
    <cellStyle name="Normal 2 4 2 7 7" xfId="18643" xr:uid="{D308AE11-B1B7-4AE1-A2AF-261E2E68B615}"/>
    <cellStyle name="Normal 2 4 2 8" xfId="1193" xr:uid="{00000000-0005-0000-0000-0000C60F0000}"/>
    <cellStyle name="Normal 2 4 2 8 2" xfId="3423" xr:uid="{00000000-0005-0000-0000-0000C70F0000}"/>
    <cellStyle name="Normal 2 4 2 8 2 2" xfId="7645" xr:uid="{00000000-0005-0000-0000-0000C80F0000}"/>
    <cellStyle name="Normal 2 4 2 8 2 2 2" xfId="16971" xr:uid="{45E9B96E-B02B-4E24-AA4D-C24DE7C8D904}"/>
    <cellStyle name="Normal 2 4 2 8 2 2 2 2" xfId="53313" xr:uid="{709E284B-748D-44B4-814C-57AEB4B40190}"/>
    <cellStyle name="Normal 2 4 2 8 2 2 2 3" xfId="34717" xr:uid="{57304048-92E0-4F38-B271-2E2C0BCCE22D}"/>
    <cellStyle name="Normal 2 4 2 8 2 2 3" xfId="44016" xr:uid="{72117DA1-261B-4CD1-A30C-4B64251281E0}"/>
    <cellStyle name="Normal 2 4 2 8 2 2 4" xfId="25418" xr:uid="{E3CB9407-9231-4427-A685-5A94951ED40C}"/>
    <cellStyle name="Normal 2 4 2 8 2 3" xfId="12754" xr:uid="{04D4E53F-ECB3-4503-A25E-0E363CE61B61}"/>
    <cellStyle name="Normal 2 4 2 8 2 3 2" xfId="49096" xr:uid="{C6AF2C5C-20F5-4E0F-96F0-060321EE804C}"/>
    <cellStyle name="Normal 2 4 2 8 2 3 3" xfId="30500" xr:uid="{32891339-F6B0-4A67-8D71-709206764FA2}"/>
    <cellStyle name="Normal 2 4 2 8 2 4" xfId="39799" xr:uid="{E7C8186B-89D8-4DB1-9753-983D82603C43}"/>
    <cellStyle name="Normal 2 4 2 8 2 5" xfId="21201" xr:uid="{08FA0E67-4305-4945-84E5-A35BF0C929D6}"/>
    <cellStyle name="Normal 2 4 2 8 3" xfId="5500" xr:uid="{00000000-0005-0000-0000-0000C90F0000}"/>
    <cellStyle name="Normal 2 4 2 8 3 2" xfId="14826" xr:uid="{301144DA-9459-4C8F-8D15-C5D66BA77327}"/>
    <cellStyle name="Normal 2 4 2 8 3 2 2" xfId="51168" xr:uid="{BCD2B04A-DD9C-4B27-9B59-A2D47DF87D82}"/>
    <cellStyle name="Normal 2 4 2 8 3 2 3" xfId="32572" xr:uid="{DA516ECE-FFD6-4368-A49E-511999DB9065}"/>
    <cellStyle name="Normal 2 4 2 8 3 3" xfId="41871" xr:uid="{AE54A174-4E6B-4CA6-A21A-E42F58AD62E0}"/>
    <cellStyle name="Normal 2 4 2 8 3 4" xfId="23273" xr:uid="{969182CA-6A22-493B-B6B6-6B1948BC1C95}"/>
    <cellStyle name="Normal 2 4 2 8 4" xfId="10609" xr:uid="{9E377004-6573-4A52-8863-D248BCF16E3E}"/>
    <cellStyle name="Normal 2 4 2 8 4 2" xfId="46951" xr:uid="{0FD2E13D-1871-4AA0-A57C-7C25FD2CEAF4}"/>
    <cellStyle name="Normal 2 4 2 8 4 3" xfId="28355" xr:uid="{EA4AABFA-1B3C-4355-B999-731DE4885F5E}"/>
    <cellStyle name="Normal 2 4 2 8 5" xfId="37654" xr:uid="{C827F9B1-F0ED-45F7-99AC-D6A9939A668C}"/>
    <cellStyle name="Normal 2 4 2 8 6" xfId="19056" xr:uid="{B4DE8020-FB10-4A42-BC41-E59CF944DC31}"/>
    <cellStyle name="Normal 2 4 2 9" xfId="1606" xr:uid="{00000000-0005-0000-0000-0000CA0F0000}"/>
    <cellStyle name="Normal 2 4 2 9 2" xfId="3836" xr:uid="{00000000-0005-0000-0000-0000CB0F0000}"/>
    <cellStyle name="Normal 2 4 2 9 2 2" xfId="8058" xr:uid="{00000000-0005-0000-0000-0000CC0F0000}"/>
    <cellStyle name="Normal 2 4 2 9 2 2 2" xfId="17384" xr:uid="{B706F28D-E062-4339-9204-59D9EE6BA2D3}"/>
    <cellStyle name="Normal 2 4 2 9 2 2 2 2" xfId="53726" xr:uid="{7BA9AFDA-2151-417A-960B-BA34CC7A66B3}"/>
    <cellStyle name="Normal 2 4 2 9 2 2 2 3" xfId="35130" xr:uid="{5534000B-A326-4FB6-97E0-C39099345294}"/>
    <cellStyle name="Normal 2 4 2 9 2 2 3" xfId="44429" xr:uid="{E644DC9F-4C51-433F-B4EC-3BCDF2978665}"/>
    <cellStyle name="Normal 2 4 2 9 2 2 4" xfId="25831" xr:uid="{FC73463C-1B6D-41E9-9088-5844D805A665}"/>
    <cellStyle name="Normal 2 4 2 9 2 3" xfId="13167" xr:uid="{BDA8FE1B-154F-4D37-B577-16C0A1322D14}"/>
    <cellStyle name="Normal 2 4 2 9 2 3 2" xfId="49509" xr:uid="{2C494F7E-9336-47C8-86D1-4589AFE61105}"/>
    <cellStyle name="Normal 2 4 2 9 2 3 3" xfId="30913" xr:uid="{C0721DE8-F0D8-4795-9B17-3A96044BCA5B}"/>
    <cellStyle name="Normal 2 4 2 9 2 4" xfId="40212" xr:uid="{FD467B53-2740-4A2E-B2BC-0DD55F077284}"/>
    <cellStyle name="Normal 2 4 2 9 2 5" xfId="21614" xr:uid="{0F967C9E-F513-4057-83B9-448D0D40098B}"/>
    <cellStyle name="Normal 2 4 2 9 3" xfId="5913" xr:uid="{00000000-0005-0000-0000-0000CD0F0000}"/>
    <cellStyle name="Normal 2 4 2 9 3 2" xfId="15239" xr:uid="{5AF4B76C-7385-4C91-9FEC-1C06E7F10460}"/>
    <cellStyle name="Normal 2 4 2 9 3 2 2" xfId="51581" xr:uid="{8FC52510-6965-4BD8-B9A9-281B788A6993}"/>
    <cellStyle name="Normal 2 4 2 9 3 2 3" xfId="32985" xr:uid="{A3F9AE1D-BE77-493B-BD84-1A6A01D60426}"/>
    <cellStyle name="Normal 2 4 2 9 3 3" xfId="42284" xr:uid="{20E1955F-97AA-4DEC-8840-7DC6A9CC042B}"/>
    <cellStyle name="Normal 2 4 2 9 3 4" xfId="23686" xr:uid="{A9D5D403-C8EF-4C9C-B0B9-5396371D7835}"/>
    <cellStyle name="Normal 2 4 2 9 4" xfId="11022" xr:uid="{3127CCA5-7120-4FF2-9EDD-BC23384F017E}"/>
    <cellStyle name="Normal 2 4 2 9 4 2" xfId="47364" xr:uid="{B34D72F3-2332-4A95-AB4E-254D4F72C142}"/>
    <cellStyle name="Normal 2 4 2 9 4 3" xfId="28768" xr:uid="{2397E8AE-C5D4-48D5-AD8E-89268F0297A6}"/>
    <cellStyle name="Normal 2 4 2 9 5" xfId="38067" xr:uid="{FE3798CC-393B-47C7-B7A5-87A3E596EB4B}"/>
    <cellStyle name="Normal 2 4 2 9 6" xfId="19469" xr:uid="{2D27854D-570F-4337-9A39-B15A31228B01}"/>
    <cellStyle name="Normal 2 4 3" xfId="296" xr:uid="{00000000-0005-0000-0000-0000CE0F0000}"/>
    <cellStyle name="Normal 2 4 3 10" xfId="9798" xr:uid="{1673E417-4864-45D1-9DD2-F865F5A8DC33}"/>
    <cellStyle name="Normal 2 4 3 10 2" xfId="46140" xr:uid="{D3297DD1-925B-49FE-B4F0-6DDE7B186DD4}"/>
    <cellStyle name="Normal 2 4 3 10 3" xfId="27544" xr:uid="{9B3DFF13-B578-4CAB-AD88-1A86C9DD6A7F}"/>
    <cellStyle name="Normal 2 4 3 11" xfId="36843" xr:uid="{AD7FF2A9-86DA-4B44-A3E8-9339EAAB5242}"/>
    <cellStyle name="Normal 2 4 3 12" xfId="18245" xr:uid="{D4BF089C-1C4C-458A-BEDB-EC8F0E549FCF}"/>
    <cellStyle name="Normal 2 4 3 2" xfId="297" xr:uid="{00000000-0005-0000-0000-0000CF0F0000}"/>
    <cellStyle name="Normal 2 4 3 3" xfId="298" xr:uid="{00000000-0005-0000-0000-0000D00F0000}"/>
    <cellStyle name="Normal 2 4 3 3 10" xfId="8814" xr:uid="{F78EFD99-FCC5-4915-ACA3-DFC3FC0D45A5}"/>
    <cellStyle name="Normal 2 4 3 3 10 2" xfId="35884" xr:uid="{38520DAD-63AB-44B3-B0A6-76E774607851}"/>
    <cellStyle name="Normal 2 4 3 3 10 2 2" xfId="54479" xr:uid="{BD68C046-4E35-4B7F-99B8-990402A77326}"/>
    <cellStyle name="Normal 2 4 3 3 10 3" xfId="45182" xr:uid="{D9E5A492-448F-412B-9DF2-FD3857E80D7D}"/>
    <cellStyle name="Normal 2 4 3 3 10 4" xfId="26585" xr:uid="{79336395-06A6-44F9-9B06-1CF47200ED75}"/>
    <cellStyle name="Normal 2 4 3 3 11" xfId="9799" xr:uid="{B3C25148-8A57-452F-99F1-0BBAE66F4E35}"/>
    <cellStyle name="Normal 2 4 3 3 11 2" xfId="46141" xr:uid="{B9F85715-74FC-4118-BFD8-0EA48DBF856F}"/>
    <cellStyle name="Normal 2 4 3 3 11 3" xfId="27545" xr:uid="{0EE0F8F5-354E-45A7-A40A-10A25F64BA98}"/>
    <cellStyle name="Normal 2 4 3 3 12" xfId="36844" xr:uid="{DCDC994B-2351-430E-B6C4-9EF3BEFFD223}"/>
    <cellStyle name="Normal 2 4 3 3 13" xfId="18246" xr:uid="{057A3C1F-EE45-4ECB-8218-B1A1868DDD44}"/>
    <cellStyle name="Normal 2 4 3 3 2" xfId="299" xr:uid="{00000000-0005-0000-0000-0000D10F0000}"/>
    <cellStyle name="Normal 2 4 3 3 2 10" xfId="9800" xr:uid="{703E6E80-61B0-446F-8359-E9733EA7DD5C}"/>
    <cellStyle name="Normal 2 4 3 3 2 10 2" xfId="46142" xr:uid="{FC662A94-B50F-4552-84AA-1D654A8A2E05}"/>
    <cellStyle name="Normal 2 4 3 3 2 10 3" xfId="27546" xr:uid="{502BE2A1-AC71-446D-9771-8B15431904BE}"/>
    <cellStyle name="Normal 2 4 3 3 2 11" xfId="36845" xr:uid="{5217F331-65EB-4487-ACA4-54915223E4B4}"/>
    <cellStyle name="Normal 2 4 3 3 2 12" xfId="18247" xr:uid="{A91C4680-7F16-42D8-AB81-FCB08226DB21}"/>
    <cellStyle name="Normal 2 4 3 3 2 2" xfId="300" xr:uid="{00000000-0005-0000-0000-0000D20F0000}"/>
    <cellStyle name="Normal 2 4 3 3 2 2 10" xfId="36846" xr:uid="{5FD2B291-E351-4F6F-83BE-F0BA3C3E5558}"/>
    <cellStyle name="Normal 2 4 3 3 2 2 11" xfId="18248" xr:uid="{AC0498C8-3211-4532-B6D5-4FF0B016027F}"/>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16577" xr:uid="{B3F823D9-240C-4707-BA63-6287707C34D5}"/>
    <cellStyle name="Normal 2 4 3 3 2 2 2 2 2 2 2" xfId="52919" xr:uid="{689B30C1-31A2-432F-9C1E-B23DCF9427F1}"/>
    <cellStyle name="Normal 2 4 3 3 2 2 2 2 2 2 3" xfId="34323" xr:uid="{31658C44-2DF2-4B15-892A-B2FC5348D26C}"/>
    <cellStyle name="Normal 2 4 3 3 2 2 2 2 2 3" xfId="43622" xr:uid="{D33AA2BA-5908-4391-83FE-CAD6FD4F18B7}"/>
    <cellStyle name="Normal 2 4 3 3 2 2 2 2 2 4" xfId="25024" xr:uid="{439896D7-4DD3-46AF-AA8A-C2C5047111A4}"/>
    <cellStyle name="Normal 2 4 3 3 2 2 2 2 3" xfId="12360" xr:uid="{AF947321-6267-4C5E-BBED-3ACA59914B72}"/>
    <cellStyle name="Normal 2 4 3 3 2 2 2 2 3 2" xfId="48702" xr:uid="{EADC597B-44DA-43CB-975E-CD64BF89E154}"/>
    <cellStyle name="Normal 2 4 3 3 2 2 2 2 3 3" xfId="30106" xr:uid="{79DD019D-24AB-4357-BA2C-19270E3F13C4}"/>
    <cellStyle name="Normal 2 4 3 3 2 2 2 2 4" xfId="39405" xr:uid="{EB34C50E-9BFC-4CFE-A130-5B53C41C438B}"/>
    <cellStyle name="Normal 2 4 3 3 2 2 2 2 5" xfId="20807" xr:uid="{013B2006-EA31-48E5-A815-F70B69343462}"/>
    <cellStyle name="Normal 2 4 3 3 2 2 2 3" xfId="5106" xr:uid="{00000000-0005-0000-0000-0000D60F0000}"/>
    <cellStyle name="Normal 2 4 3 3 2 2 2 3 2" xfId="14432" xr:uid="{291A4EB8-AF1C-4F27-933B-B7D8FCC3CEF5}"/>
    <cellStyle name="Normal 2 4 3 3 2 2 2 3 2 2" xfId="50774" xr:uid="{62FDA18A-DF72-4669-918E-6F79FD3BE0FB}"/>
    <cellStyle name="Normal 2 4 3 3 2 2 2 3 2 3" xfId="32178" xr:uid="{F5CE250C-3EEE-442E-954F-1DBBBF81C6F4}"/>
    <cellStyle name="Normal 2 4 3 3 2 2 2 3 3" xfId="41477" xr:uid="{98966D53-2194-432F-AE41-F95AC9BF50A7}"/>
    <cellStyle name="Normal 2 4 3 3 2 2 2 3 4" xfId="22879" xr:uid="{6CF60D7B-AE75-484B-B49B-9A5BE538DBEC}"/>
    <cellStyle name="Normal 2 4 3 3 2 2 2 4" xfId="9549" xr:uid="{EA88B7BC-E37D-4688-A768-0D7FE5EF9F42}"/>
    <cellStyle name="Normal 2 4 3 3 2 2 2 4 2" xfId="36610" xr:uid="{2BC528AB-697D-40E0-9CEA-A8120A7A466E}"/>
    <cellStyle name="Normal 2 4 3 3 2 2 2 4 2 2" xfId="55204" xr:uid="{1EC9B42C-4C2E-47F9-BECF-2F95AC2E41EC}"/>
    <cellStyle name="Normal 2 4 3 3 2 2 2 4 3" xfId="45907" xr:uid="{2F47A20B-56C2-428C-AB2E-893625C4D032}"/>
    <cellStyle name="Normal 2 4 3 3 2 2 2 4 4" xfId="27311" xr:uid="{9B504D74-26AC-413E-BFE9-DC0EFDE87DCC}"/>
    <cellStyle name="Normal 2 4 3 3 2 2 2 5" xfId="10215" xr:uid="{D058E05E-109D-45CF-B971-C311CB81AE8C}"/>
    <cellStyle name="Normal 2 4 3 3 2 2 2 5 2" xfId="46557" xr:uid="{B8DD64AE-8314-4407-B534-61AD162520C2}"/>
    <cellStyle name="Normal 2 4 3 3 2 2 2 5 3" xfId="27961" xr:uid="{F0C25373-F5C1-4F31-B4F1-D7632AA6A3E6}"/>
    <cellStyle name="Normal 2 4 3 3 2 2 2 6" xfId="37260" xr:uid="{CD976790-ABA3-4E98-85CF-36E10D848A32}"/>
    <cellStyle name="Normal 2 4 3 3 2 2 2 7" xfId="18662" xr:uid="{B493B662-3EF5-44E6-AAF3-5C0CB712CEE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16990" xr:uid="{ABE90841-392A-4A54-BA7C-39F21C17E6B4}"/>
    <cellStyle name="Normal 2 4 3 3 2 2 3 2 2 2 2" xfId="53332" xr:uid="{3A8F3DF9-7AA7-4D8A-AAD9-9D83D2C399D2}"/>
    <cellStyle name="Normal 2 4 3 3 2 2 3 2 2 2 3" xfId="34736" xr:uid="{DFFDA891-EDA4-4E42-B890-8D46D0E18DFE}"/>
    <cellStyle name="Normal 2 4 3 3 2 2 3 2 2 3" xfId="44035" xr:uid="{00BECE85-0142-49B5-92DC-D08ADB828950}"/>
    <cellStyle name="Normal 2 4 3 3 2 2 3 2 2 4" xfId="25437" xr:uid="{D000A10A-0D82-437E-B149-8F383B555BE6}"/>
    <cellStyle name="Normal 2 4 3 3 2 2 3 2 3" xfId="12773" xr:uid="{10C0F6D3-860B-4F7D-BBEA-FD24B9FB1592}"/>
    <cellStyle name="Normal 2 4 3 3 2 2 3 2 3 2" xfId="49115" xr:uid="{C297CF81-BEB6-48BB-8595-6DCE88ECEF51}"/>
    <cellStyle name="Normal 2 4 3 3 2 2 3 2 3 3" xfId="30519" xr:uid="{C8E53704-5788-418C-B18B-D7EC5448DB28}"/>
    <cellStyle name="Normal 2 4 3 3 2 2 3 2 4" xfId="39818" xr:uid="{CA0F4AE8-2358-4607-B378-B004FE86DF71}"/>
    <cellStyle name="Normal 2 4 3 3 2 2 3 2 5" xfId="21220" xr:uid="{C30A9DC7-2D6D-446B-99A5-86EDE0E866B5}"/>
    <cellStyle name="Normal 2 4 3 3 2 2 3 3" xfId="5519" xr:uid="{00000000-0005-0000-0000-0000DA0F0000}"/>
    <cellStyle name="Normal 2 4 3 3 2 2 3 3 2" xfId="14845" xr:uid="{ECD1766E-0132-4E52-8209-437B112B0C32}"/>
    <cellStyle name="Normal 2 4 3 3 2 2 3 3 2 2" xfId="51187" xr:uid="{C0F6FB17-75D3-49E6-B993-6D38DE2EB7FB}"/>
    <cellStyle name="Normal 2 4 3 3 2 2 3 3 2 3" xfId="32591" xr:uid="{FB567C59-7594-45B2-B73A-1C6ABFD16249}"/>
    <cellStyle name="Normal 2 4 3 3 2 2 3 3 3" xfId="41890" xr:uid="{31AD2546-8531-474E-98FA-37C7C61E1445}"/>
    <cellStyle name="Normal 2 4 3 3 2 2 3 3 4" xfId="23292" xr:uid="{5BBBCB42-87AE-44AD-B746-E33BD278E0F4}"/>
    <cellStyle name="Normal 2 4 3 3 2 2 3 4" xfId="10628" xr:uid="{A1D870BA-C5CB-4BA5-B5CB-909A7F2FB226}"/>
    <cellStyle name="Normal 2 4 3 3 2 2 3 4 2" xfId="46970" xr:uid="{1FE1E50A-8D44-4216-BC08-823F52FA2512}"/>
    <cellStyle name="Normal 2 4 3 3 2 2 3 4 3" xfId="28374" xr:uid="{4A456C12-86C0-44B0-8CB7-E42FAB023DD5}"/>
    <cellStyle name="Normal 2 4 3 3 2 2 3 5" xfId="37673" xr:uid="{B428063C-AE5C-4FC1-B691-67A74C65C506}"/>
    <cellStyle name="Normal 2 4 3 3 2 2 3 6" xfId="19075" xr:uid="{C676783D-8FBF-4033-BA4C-9F473D68F621}"/>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17403" xr:uid="{5AEC7F94-07BA-4FEB-BB85-AA678EB80846}"/>
    <cellStyle name="Normal 2 4 3 3 2 2 4 2 2 2 2" xfId="53745" xr:uid="{864751FC-1207-42A3-AEE1-F91B382F5B24}"/>
    <cellStyle name="Normal 2 4 3 3 2 2 4 2 2 2 3" xfId="35149" xr:uid="{2F818BA8-9FBF-4D3E-9A01-1E0E2314B670}"/>
    <cellStyle name="Normal 2 4 3 3 2 2 4 2 2 3" xfId="44448" xr:uid="{98104AB1-B69E-4AEB-9997-EABEB645284C}"/>
    <cellStyle name="Normal 2 4 3 3 2 2 4 2 2 4" xfId="25850" xr:uid="{58C807ED-41C2-4828-8239-64E19302E519}"/>
    <cellStyle name="Normal 2 4 3 3 2 2 4 2 3" xfId="13186" xr:uid="{432392FB-AF35-46D9-B4EE-928BD37CBB94}"/>
    <cellStyle name="Normal 2 4 3 3 2 2 4 2 3 2" xfId="49528" xr:uid="{8FE5CDD8-8709-4B80-866D-47F70CA4EC34}"/>
    <cellStyle name="Normal 2 4 3 3 2 2 4 2 3 3" xfId="30932" xr:uid="{928CD0FF-C574-4AF8-869D-2434F22D45DB}"/>
    <cellStyle name="Normal 2 4 3 3 2 2 4 2 4" xfId="40231" xr:uid="{C1B5CBD2-57FA-4356-A7F9-BB2E397ADEC2}"/>
    <cellStyle name="Normal 2 4 3 3 2 2 4 2 5" xfId="21633" xr:uid="{67B1D79F-C57A-4A97-8931-E7B69A0ED2A1}"/>
    <cellStyle name="Normal 2 4 3 3 2 2 4 3" xfId="5932" xr:uid="{00000000-0005-0000-0000-0000DE0F0000}"/>
    <cellStyle name="Normal 2 4 3 3 2 2 4 3 2" xfId="15258" xr:uid="{C0E0E863-FE38-4222-9527-2ABD66F7106E}"/>
    <cellStyle name="Normal 2 4 3 3 2 2 4 3 2 2" xfId="51600" xr:uid="{988DF54E-0A7B-4156-AB6D-0D4E1D93D439}"/>
    <cellStyle name="Normal 2 4 3 3 2 2 4 3 2 3" xfId="33004" xr:uid="{02B77C73-EE2B-4101-ACA1-27E34BB7017C}"/>
    <cellStyle name="Normal 2 4 3 3 2 2 4 3 3" xfId="42303" xr:uid="{62B4CEE6-CA0C-44B0-95F0-3DF788A65CAA}"/>
    <cellStyle name="Normal 2 4 3 3 2 2 4 3 4" xfId="23705" xr:uid="{6BAD15D1-C7CD-44C2-94E3-F08A8A6552E4}"/>
    <cellStyle name="Normal 2 4 3 3 2 2 4 4" xfId="11041" xr:uid="{F7C74B2A-8F1B-46CA-9AF5-91323D72416D}"/>
    <cellStyle name="Normal 2 4 3 3 2 2 4 4 2" xfId="47383" xr:uid="{D6159208-6DDD-447B-85D9-AB5801A01349}"/>
    <cellStyle name="Normal 2 4 3 3 2 2 4 4 3" xfId="28787" xr:uid="{1E97B701-DEAD-406E-A3C7-EA6BB8DB306F}"/>
    <cellStyle name="Normal 2 4 3 3 2 2 4 5" xfId="38086" xr:uid="{D950650A-0237-4D14-BE39-05AD53F5655F}"/>
    <cellStyle name="Normal 2 4 3 3 2 2 4 6" xfId="19488" xr:uid="{DD5EB722-FBEA-4686-B205-DA6A0B656766}"/>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17816" xr:uid="{13A7AF8E-49F8-4AB3-8754-32A04EFEFD1B}"/>
    <cellStyle name="Normal 2 4 3 3 2 2 5 2 2 2 2" xfId="54158" xr:uid="{BAA6CBDF-E0DB-4F56-8493-9FF87E4E73B3}"/>
    <cellStyle name="Normal 2 4 3 3 2 2 5 2 2 2 3" xfId="35562" xr:uid="{373FE98E-3976-4EAF-A88C-612091B53D5E}"/>
    <cellStyle name="Normal 2 4 3 3 2 2 5 2 2 3" xfId="44861" xr:uid="{638F2FC8-E658-4DDE-922F-039DC2DB6F1E}"/>
    <cellStyle name="Normal 2 4 3 3 2 2 5 2 2 4" xfId="26263" xr:uid="{F4F01FC1-2F91-4C98-AC1E-82C0A5F2D74C}"/>
    <cellStyle name="Normal 2 4 3 3 2 2 5 2 3" xfId="13599" xr:uid="{69381231-0E36-4E07-8A38-196DFE9020E6}"/>
    <cellStyle name="Normal 2 4 3 3 2 2 5 2 3 2" xfId="49941" xr:uid="{13B01F60-C530-4FA2-9FFE-28DEDEF03ABB}"/>
    <cellStyle name="Normal 2 4 3 3 2 2 5 2 3 3" xfId="31345" xr:uid="{772510C9-FB00-4D04-B251-023F298D6F14}"/>
    <cellStyle name="Normal 2 4 3 3 2 2 5 2 4" xfId="40644" xr:uid="{CECE6EDF-332F-484D-AA48-5AF3BD70BB0A}"/>
    <cellStyle name="Normal 2 4 3 3 2 2 5 2 5" xfId="22046" xr:uid="{A6BF65F4-801E-4088-B3CC-52DC95D7767C}"/>
    <cellStyle name="Normal 2 4 3 3 2 2 5 3" xfId="6345" xr:uid="{00000000-0005-0000-0000-0000E20F0000}"/>
    <cellStyle name="Normal 2 4 3 3 2 2 5 3 2" xfId="15671" xr:uid="{06062696-7E47-471F-8BB3-D311CCBBA7C6}"/>
    <cellStyle name="Normal 2 4 3 3 2 2 5 3 2 2" xfId="52013" xr:uid="{D3B9D688-FB67-478A-876E-D72F31A83E57}"/>
    <cellStyle name="Normal 2 4 3 3 2 2 5 3 2 3" xfId="33417" xr:uid="{90E5DFD6-58B2-435A-BB46-9A2BA770107B}"/>
    <cellStyle name="Normal 2 4 3 3 2 2 5 3 3" xfId="42716" xr:uid="{90CCB7C9-E91D-4798-A956-32C34B6DE34F}"/>
    <cellStyle name="Normal 2 4 3 3 2 2 5 3 4" xfId="24118" xr:uid="{DA2E2CE2-340C-4E85-BA4B-CB6FF8152762}"/>
    <cellStyle name="Normal 2 4 3 3 2 2 5 4" xfId="11454" xr:uid="{C5C7C812-1BE5-4249-BAAA-444B95C4B0D5}"/>
    <cellStyle name="Normal 2 4 3 3 2 2 5 4 2" xfId="47796" xr:uid="{89BB8F6A-1839-4DD7-835C-8007F012435D}"/>
    <cellStyle name="Normal 2 4 3 3 2 2 5 4 3" xfId="29200" xr:uid="{3167E402-8585-4CAA-869B-877C43E9F0D4}"/>
    <cellStyle name="Normal 2 4 3 3 2 2 5 5" xfId="38499" xr:uid="{E86BB0D4-350A-4844-A377-1988A9D9384E}"/>
    <cellStyle name="Normal 2 4 3 3 2 2 5 6" xfId="19901" xr:uid="{5E0E89BB-ACF6-4313-9A1C-714B81E22163}"/>
    <cellStyle name="Normal 2 4 3 3 2 2 6" xfId="2475" xr:uid="{00000000-0005-0000-0000-0000E30F0000}"/>
    <cellStyle name="Normal 2 4 3 3 2 2 6 2" xfId="6758" xr:uid="{00000000-0005-0000-0000-0000E40F0000}"/>
    <cellStyle name="Normal 2 4 3 3 2 2 6 2 2" xfId="16084" xr:uid="{AFC18ABA-C760-4256-A317-274462BCA8A1}"/>
    <cellStyle name="Normal 2 4 3 3 2 2 6 2 2 2" xfId="52426" xr:uid="{E25A0FCD-0B8C-4E00-93EB-83F061F0F228}"/>
    <cellStyle name="Normal 2 4 3 3 2 2 6 2 2 3" xfId="33830" xr:uid="{AE2D2A8E-2F75-4414-A921-FCA1E6528A83}"/>
    <cellStyle name="Normal 2 4 3 3 2 2 6 2 3" xfId="43129" xr:uid="{F7AB3C47-6253-4BD2-B2AA-0F29B03394C3}"/>
    <cellStyle name="Normal 2 4 3 3 2 2 6 2 4" xfId="24531" xr:uid="{8E98A020-1020-4DC9-955C-A2F46A5337D4}"/>
    <cellStyle name="Normal 2 4 3 3 2 2 6 3" xfId="11867" xr:uid="{BFE59873-0023-4A70-A652-B441E01ABF53}"/>
    <cellStyle name="Normal 2 4 3 3 2 2 6 3 2" xfId="48209" xr:uid="{EDE735E2-B9ED-4C76-A879-945A810B32EC}"/>
    <cellStyle name="Normal 2 4 3 3 2 2 6 3 3" xfId="29613" xr:uid="{5041B37C-2C63-400E-9083-DC0BD3EAE109}"/>
    <cellStyle name="Normal 2 4 3 3 2 2 6 4" xfId="38912" xr:uid="{D252BA84-BB32-418A-80F8-5DC2DE8CAE04}"/>
    <cellStyle name="Normal 2 4 3 3 2 2 6 5" xfId="20314" xr:uid="{B110156D-7A43-4F15-9EFB-5A55AC1B0A62}"/>
    <cellStyle name="Normal 2 4 3 3 2 2 7" xfId="4692" xr:uid="{00000000-0005-0000-0000-0000E50F0000}"/>
    <cellStyle name="Normal 2 4 3 3 2 2 7 2" xfId="14018" xr:uid="{5F6BAE95-E49E-485E-A84D-C020C8E6B512}"/>
    <cellStyle name="Normal 2 4 3 3 2 2 7 2 2" xfId="50360" xr:uid="{5A22BC05-DF6F-4F43-ADC3-0FDC500D9011}"/>
    <cellStyle name="Normal 2 4 3 3 2 2 7 2 3" xfId="31764" xr:uid="{652834C2-6E63-4B05-952B-83AF48C1088F}"/>
    <cellStyle name="Normal 2 4 3 3 2 2 7 3" xfId="41063" xr:uid="{EACD1B78-4870-423C-9042-17B5104F64DF}"/>
    <cellStyle name="Normal 2 4 3 3 2 2 7 4" xfId="22465" xr:uid="{16E4BA86-29A4-4E64-B8E1-84D53B684695}"/>
    <cellStyle name="Normal 2 4 3 3 2 2 8" xfId="9124" xr:uid="{1FF2B195-09C8-4D7B-A363-E8AF809A669B}"/>
    <cellStyle name="Normal 2 4 3 3 2 2 8 2" xfId="36194" xr:uid="{F8F8851D-5CC2-4EB6-A965-45BFF91D5765}"/>
    <cellStyle name="Normal 2 4 3 3 2 2 8 2 2" xfId="54789" xr:uid="{6CF65C11-9B74-42CE-A286-202B70E1CCEC}"/>
    <cellStyle name="Normal 2 4 3 3 2 2 8 3" xfId="45492" xr:uid="{F2691011-E931-4063-9BD0-A76E04C08927}"/>
    <cellStyle name="Normal 2 4 3 3 2 2 8 4" xfId="26895" xr:uid="{54054AAC-5C98-4918-8F4A-7A3828EDD36E}"/>
    <cellStyle name="Normal 2 4 3 3 2 2 9" xfId="9801" xr:uid="{CA95AAFA-854C-49E5-AE05-CA995CAB28C7}"/>
    <cellStyle name="Normal 2 4 3 3 2 2 9 2" xfId="46143" xr:uid="{3314E2F5-4F2D-437B-ADFA-9037678A4373}"/>
    <cellStyle name="Normal 2 4 3 3 2 2 9 3" xfId="27547" xr:uid="{46DC7C28-B05F-414D-BBD3-1BF68D5A6F3A}"/>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16576" xr:uid="{96CBF2B2-C278-4FAA-8961-60340B14E876}"/>
    <cellStyle name="Normal 2 4 3 3 2 3 2 2 2 2" xfId="52918" xr:uid="{6CC3717D-DFCF-420C-86BD-5F1A2A4BB392}"/>
    <cellStyle name="Normal 2 4 3 3 2 3 2 2 2 3" xfId="34322" xr:uid="{093CF42A-6E8D-4914-9EBB-F7CC43BA5CB6}"/>
    <cellStyle name="Normal 2 4 3 3 2 3 2 2 3" xfId="43621" xr:uid="{7B51A7E5-B486-412F-A405-4FF234D64405}"/>
    <cellStyle name="Normal 2 4 3 3 2 3 2 2 4" xfId="25023" xr:uid="{20F80FCC-86BC-4355-A72B-950A40E8AAE8}"/>
    <cellStyle name="Normal 2 4 3 3 2 3 2 3" xfId="12359" xr:uid="{52541C76-DE76-4632-9F6E-920208D932EF}"/>
    <cellStyle name="Normal 2 4 3 3 2 3 2 3 2" xfId="48701" xr:uid="{94102CF8-56FB-4608-B01F-9C23C1568E44}"/>
    <cellStyle name="Normal 2 4 3 3 2 3 2 3 3" xfId="30105" xr:uid="{6CBC6755-0C85-402F-A5C7-86418C7E4613}"/>
    <cellStyle name="Normal 2 4 3 3 2 3 2 4" xfId="39404" xr:uid="{29FC462F-034D-401C-A2EA-33A15175DFA7}"/>
    <cellStyle name="Normal 2 4 3 3 2 3 2 5" xfId="20806" xr:uid="{A0B94B44-B20D-4D6E-A0B2-F3D58C37CD87}"/>
    <cellStyle name="Normal 2 4 3 3 2 3 3" xfId="5105" xr:uid="{00000000-0005-0000-0000-0000E90F0000}"/>
    <cellStyle name="Normal 2 4 3 3 2 3 3 2" xfId="14431" xr:uid="{F316D972-E1CC-4CC5-92B3-C0513B956F89}"/>
    <cellStyle name="Normal 2 4 3 3 2 3 3 2 2" xfId="50773" xr:uid="{4E8D112F-5467-4C3E-8685-8D4543063955}"/>
    <cellStyle name="Normal 2 4 3 3 2 3 3 2 3" xfId="32177" xr:uid="{D9653FC5-9AA2-40A9-8AB6-93B3E1BE2E9B}"/>
    <cellStyle name="Normal 2 4 3 3 2 3 3 3" xfId="41476" xr:uid="{D768067C-E109-4243-A2B5-8EF04DAC55F3}"/>
    <cellStyle name="Normal 2 4 3 3 2 3 3 4" xfId="22878" xr:uid="{3206A032-121B-4A7C-838B-CFDC8F2A9F92}"/>
    <cellStyle name="Normal 2 4 3 3 2 3 4" xfId="9342" xr:uid="{41454CF9-47C1-4E8A-868A-8F39341308EB}"/>
    <cellStyle name="Normal 2 4 3 3 2 3 4 2" xfId="36403" xr:uid="{9D71A550-51F4-4C59-B5EC-6B8C2270D87C}"/>
    <cellStyle name="Normal 2 4 3 3 2 3 4 2 2" xfId="54997" xr:uid="{22A12BC6-4315-4784-BC91-98A658831A27}"/>
    <cellStyle name="Normal 2 4 3 3 2 3 4 3" xfId="45700" xr:uid="{693141F9-09FE-4CAB-967C-3F586F69F2AA}"/>
    <cellStyle name="Normal 2 4 3 3 2 3 4 4" xfId="27104" xr:uid="{994E0836-E6B5-4EC7-A9FE-1920D25B6625}"/>
    <cellStyle name="Normal 2 4 3 3 2 3 5" xfId="10214" xr:uid="{7DD10B7C-39FD-417F-9421-10138A16F767}"/>
    <cellStyle name="Normal 2 4 3 3 2 3 5 2" xfId="46556" xr:uid="{43D580F6-A854-4626-A9B2-95250EE5D176}"/>
    <cellStyle name="Normal 2 4 3 3 2 3 5 3" xfId="27960" xr:uid="{E267B1DB-1058-4005-9792-144FD7701708}"/>
    <cellStyle name="Normal 2 4 3 3 2 3 6" xfId="37259" xr:uid="{5239FD3D-EECA-4C13-A1F2-B0C10BA7A1C8}"/>
    <cellStyle name="Normal 2 4 3 3 2 3 7" xfId="18661" xr:uid="{221D642C-E84A-469F-B2FF-0C1AE5B0116C}"/>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16989" xr:uid="{CBD2BC6C-2521-42A7-83F2-8B205922DD0D}"/>
    <cellStyle name="Normal 2 4 3 3 2 4 2 2 2 2" xfId="53331" xr:uid="{D447E8E9-31C6-431C-AF3C-1B06959F11AE}"/>
    <cellStyle name="Normal 2 4 3 3 2 4 2 2 2 3" xfId="34735" xr:uid="{1B37E8D0-4472-4C4F-8F45-4F2BBF9EA644}"/>
    <cellStyle name="Normal 2 4 3 3 2 4 2 2 3" xfId="44034" xr:uid="{0EDD757A-86F6-47CE-8831-58EE2972CC21}"/>
    <cellStyle name="Normal 2 4 3 3 2 4 2 2 4" xfId="25436" xr:uid="{207C3DF7-BF72-4C48-B0EB-5D3F9FA22650}"/>
    <cellStyle name="Normal 2 4 3 3 2 4 2 3" xfId="12772" xr:uid="{3DBC287D-3738-40B0-A36C-6047E83FC688}"/>
    <cellStyle name="Normal 2 4 3 3 2 4 2 3 2" xfId="49114" xr:uid="{84677B8A-FD44-467C-8CA4-54907608D725}"/>
    <cellStyle name="Normal 2 4 3 3 2 4 2 3 3" xfId="30518" xr:uid="{659B4EC0-8A85-4B37-9654-2AE44680117F}"/>
    <cellStyle name="Normal 2 4 3 3 2 4 2 4" xfId="39817" xr:uid="{A91DFECD-F0C4-4FB2-82C4-5EA5FD01D759}"/>
    <cellStyle name="Normal 2 4 3 3 2 4 2 5" xfId="21219" xr:uid="{6F2C7193-58BE-4688-8E87-070840D438D1}"/>
    <cellStyle name="Normal 2 4 3 3 2 4 3" xfId="5518" xr:uid="{00000000-0005-0000-0000-0000ED0F0000}"/>
    <cellStyle name="Normal 2 4 3 3 2 4 3 2" xfId="14844" xr:uid="{E922A279-990A-40D4-8BF7-A7E08AA54014}"/>
    <cellStyle name="Normal 2 4 3 3 2 4 3 2 2" xfId="51186" xr:uid="{9A370430-4A81-49A2-805B-A33B41719A8E}"/>
    <cellStyle name="Normal 2 4 3 3 2 4 3 2 3" xfId="32590" xr:uid="{4D039D91-568B-45E1-8DB5-E70468D2C3C6}"/>
    <cellStyle name="Normal 2 4 3 3 2 4 3 3" xfId="41889" xr:uid="{D591AA76-1B13-47A1-8657-A7E3C36153E1}"/>
    <cellStyle name="Normal 2 4 3 3 2 4 3 4" xfId="23291" xr:uid="{B71CD49A-96DF-4F6F-9F80-ADF135D5FDF9}"/>
    <cellStyle name="Normal 2 4 3 3 2 4 4" xfId="10627" xr:uid="{031A7134-3F1E-480F-97F0-B8D4A4EFCE36}"/>
    <cellStyle name="Normal 2 4 3 3 2 4 4 2" xfId="46969" xr:uid="{0564ED6C-A7FD-4D69-953C-D0844909018C}"/>
    <cellStyle name="Normal 2 4 3 3 2 4 4 3" xfId="28373" xr:uid="{E6873361-686D-4889-9A21-ECFF36ED8611}"/>
    <cellStyle name="Normal 2 4 3 3 2 4 5" xfId="37672" xr:uid="{F1BAA8CD-EEE1-4C8A-8DBA-678964F451DD}"/>
    <cellStyle name="Normal 2 4 3 3 2 4 6" xfId="19074" xr:uid="{35D10537-B09F-41FB-B386-AF4569671B7F}"/>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17402" xr:uid="{079D5E11-94CD-4231-BB6E-4F17F82C010E}"/>
    <cellStyle name="Normal 2 4 3 3 2 5 2 2 2 2" xfId="53744" xr:uid="{869077CF-3147-463F-A3F1-FADE41102B76}"/>
    <cellStyle name="Normal 2 4 3 3 2 5 2 2 2 3" xfId="35148" xr:uid="{D8310FC7-979A-42B3-B401-6774343DF4AF}"/>
    <cellStyle name="Normal 2 4 3 3 2 5 2 2 3" xfId="44447" xr:uid="{35480237-8264-47DB-B0AC-6D47A7E2EB45}"/>
    <cellStyle name="Normal 2 4 3 3 2 5 2 2 4" xfId="25849" xr:uid="{802E17F6-730A-42BC-B64D-3CEC06B197D8}"/>
    <cellStyle name="Normal 2 4 3 3 2 5 2 3" xfId="13185" xr:uid="{00733CC7-129A-4B51-826D-FDD6BE352F2E}"/>
    <cellStyle name="Normal 2 4 3 3 2 5 2 3 2" xfId="49527" xr:uid="{D39C5C7B-F4C2-4301-BF63-2E3234BF1DBB}"/>
    <cellStyle name="Normal 2 4 3 3 2 5 2 3 3" xfId="30931" xr:uid="{CD4A6750-4B7F-472C-BB0B-0AA17B453A7C}"/>
    <cellStyle name="Normal 2 4 3 3 2 5 2 4" xfId="40230" xr:uid="{A74FE94F-7A1E-4115-9B7B-FFF196914404}"/>
    <cellStyle name="Normal 2 4 3 3 2 5 2 5" xfId="21632" xr:uid="{A613C1DB-6CCD-41C7-A4F5-F87C39FE40A7}"/>
    <cellStyle name="Normal 2 4 3 3 2 5 3" xfId="5931" xr:uid="{00000000-0005-0000-0000-0000F10F0000}"/>
    <cellStyle name="Normal 2 4 3 3 2 5 3 2" xfId="15257" xr:uid="{DD861AFC-91D1-4B1C-8EDA-06774F927709}"/>
    <cellStyle name="Normal 2 4 3 3 2 5 3 2 2" xfId="51599" xr:uid="{1E34CB9C-C7C0-4927-BD09-60719B0DC723}"/>
    <cellStyle name="Normal 2 4 3 3 2 5 3 2 3" xfId="33003" xr:uid="{9412E5B3-7C8F-481E-BC6D-382A54DDDAEE}"/>
    <cellStyle name="Normal 2 4 3 3 2 5 3 3" xfId="42302" xr:uid="{7ACF6D48-5EA8-4A89-91FD-A6F29A2EDAD0}"/>
    <cellStyle name="Normal 2 4 3 3 2 5 3 4" xfId="23704" xr:uid="{0227D4FA-BFBC-4D84-A5DA-CFBEA01E35E8}"/>
    <cellStyle name="Normal 2 4 3 3 2 5 4" xfId="11040" xr:uid="{847D9D22-7297-4101-8ECD-42C9369E9C89}"/>
    <cellStyle name="Normal 2 4 3 3 2 5 4 2" xfId="47382" xr:uid="{1C363F0A-E75F-430A-8249-F2FD86CBD99E}"/>
    <cellStyle name="Normal 2 4 3 3 2 5 4 3" xfId="28786" xr:uid="{9A6A8E10-09FD-4410-B60D-FC66DD5FE3B1}"/>
    <cellStyle name="Normal 2 4 3 3 2 5 5" xfId="38085" xr:uid="{19D67504-7DDE-42BE-B268-40E1D4C65666}"/>
    <cellStyle name="Normal 2 4 3 3 2 5 6" xfId="19487" xr:uid="{E990D45D-3307-4CF5-BB25-CCF3AB2F236C}"/>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17815" xr:uid="{FB9E66D8-61E5-460D-A13E-59A9B0ED714E}"/>
    <cellStyle name="Normal 2 4 3 3 2 6 2 2 2 2" xfId="54157" xr:uid="{6911A6B3-6098-44D8-9D0D-6FDEC63AB2A8}"/>
    <cellStyle name="Normal 2 4 3 3 2 6 2 2 2 3" xfId="35561" xr:uid="{D2C2D1F9-B729-4D78-A0BA-C3D30F00C691}"/>
    <cellStyle name="Normal 2 4 3 3 2 6 2 2 3" xfId="44860" xr:uid="{4FFDE95D-0FF1-45AB-8BCA-78B16EE13BC1}"/>
    <cellStyle name="Normal 2 4 3 3 2 6 2 2 4" xfId="26262" xr:uid="{A9AB0834-0FCA-4FF1-9985-2A75E3CF40CC}"/>
    <cellStyle name="Normal 2 4 3 3 2 6 2 3" xfId="13598" xr:uid="{1204830B-2A2E-4DAB-A29A-EC4009E106FB}"/>
    <cellStyle name="Normal 2 4 3 3 2 6 2 3 2" xfId="49940" xr:uid="{05B8231F-6222-4962-9084-3ECDE91BEACD}"/>
    <cellStyle name="Normal 2 4 3 3 2 6 2 3 3" xfId="31344" xr:uid="{83025AF8-E095-4F29-B272-2245E8B0EC5D}"/>
    <cellStyle name="Normal 2 4 3 3 2 6 2 4" xfId="40643" xr:uid="{3D269197-EF19-4458-B768-8E351B8A7DED}"/>
    <cellStyle name="Normal 2 4 3 3 2 6 2 5" xfId="22045" xr:uid="{DC994C9F-733F-4B36-9ADB-F2D0094FAC30}"/>
    <cellStyle name="Normal 2 4 3 3 2 6 3" xfId="6344" xr:uid="{00000000-0005-0000-0000-0000F50F0000}"/>
    <cellStyle name="Normal 2 4 3 3 2 6 3 2" xfId="15670" xr:uid="{12DABC04-5DE0-41E5-9BC6-B00994ECAD45}"/>
    <cellStyle name="Normal 2 4 3 3 2 6 3 2 2" xfId="52012" xr:uid="{14EB1F48-1073-47C2-826B-72EB4CDA3F52}"/>
    <cellStyle name="Normal 2 4 3 3 2 6 3 2 3" xfId="33416" xr:uid="{627AFD3E-1ECA-4134-9DC5-2EE1D4244CF8}"/>
    <cellStyle name="Normal 2 4 3 3 2 6 3 3" xfId="42715" xr:uid="{E5772375-35DE-4FD3-8F6F-E894A4957B39}"/>
    <cellStyle name="Normal 2 4 3 3 2 6 3 4" xfId="24117" xr:uid="{3D6896EC-5B88-41D9-A098-D3BD1F555186}"/>
    <cellStyle name="Normal 2 4 3 3 2 6 4" xfId="11453" xr:uid="{EF3B0048-F6F9-411C-9A21-63693589AF53}"/>
    <cellStyle name="Normal 2 4 3 3 2 6 4 2" xfId="47795" xr:uid="{777DDD1F-834A-4917-9EDF-FFAFC124DF0E}"/>
    <cellStyle name="Normal 2 4 3 3 2 6 4 3" xfId="29199" xr:uid="{BC9F8E30-58B8-410A-9CD2-EA8E20F257EF}"/>
    <cellStyle name="Normal 2 4 3 3 2 6 5" xfId="38498" xr:uid="{D9DE14B4-1916-4C08-9DDC-44875849D4FF}"/>
    <cellStyle name="Normal 2 4 3 3 2 6 6" xfId="19900" xr:uid="{E5A48708-0131-4F12-8AC6-3DD8AB81684B}"/>
    <cellStyle name="Normal 2 4 3 3 2 7" xfId="2474" xr:uid="{00000000-0005-0000-0000-0000F60F0000}"/>
    <cellStyle name="Normal 2 4 3 3 2 7 2" xfId="6757" xr:uid="{00000000-0005-0000-0000-0000F70F0000}"/>
    <cellStyle name="Normal 2 4 3 3 2 7 2 2" xfId="16083" xr:uid="{9DE5D1D2-B3EC-4824-92F9-65DD0B57B6AF}"/>
    <cellStyle name="Normal 2 4 3 3 2 7 2 2 2" xfId="52425" xr:uid="{11D59E9B-B795-461B-9350-39E0611DAC66}"/>
    <cellStyle name="Normal 2 4 3 3 2 7 2 2 3" xfId="33829" xr:uid="{37817D6D-F199-4D52-8AF8-05795292E100}"/>
    <cellStyle name="Normal 2 4 3 3 2 7 2 3" xfId="43128" xr:uid="{B3CBDB7C-D0DB-47DE-A58C-CD0F2D91ACB1}"/>
    <cellStyle name="Normal 2 4 3 3 2 7 2 4" xfId="24530" xr:uid="{06A26521-C8F3-4F1A-9605-59D6A503FBE9}"/>
    <cellStyle name="Normal 2 4 3 3 2 7 3" xfId="11866" xr:uid="{D8662FDD-7594-4556-A6B4-157BBC093D5F}"/>
    <cellStyle name="Normal 2 4 3 3 2 7 3 2" xfId="48208" xr:uid="{F0F1977F-AC57-483E-B369-828A5A2519CF}"/>
    <cellStyle name="Normal 2 4 3 3 2 7 3 3" xfId="29612" xr:uid="{6BEC2B2F-9010-45EA-9FC4-B8F29B28F8CF}"/>
    <cellStyle name="Normal 2 4 3 3 2 7 4" xfId="38911" xr:uid="{BA994D90-CE6C-4673-9C8E-0B5F8DFCB1AC}"/>
    <cellStyle name="Normal 2 4 3 3 2 7 5" xfId="20313" xr:uid="{701E9642-FE1E-4DF3-8A55-6E0D91343CFD}"/>
    <cellStyle name="Normal 2 4 3 3 2 8" xfId="4691" xr:uid="{00000000-0005-0000-0000-0000F80F0000}"/>
    <cellStyle name="Normal 2 4 3 3 2 8 2" xfId="14017" xr:uid="{5E69A180-942B-4AA5-9387-AB371C4DBD1C}"/>
    <cellStyle name="Normal 2 4 3 3 2 8 2 2" xfId="50359" xr:uid="{24FB45F1-25B9-4121-8951-E54B56E7A200}"/>
    <cellStyle name="Normal 2 4 3 3 2 8 2 3" xfId="31763" xr:uid="{B9CD64FB-A0BD-4AAF-A71A-3DBB7D9E2C50}"/>
    <cellStyle name="Normal 2 4 3 3 2 8 3" xfId="41062" xr:uid="{76893ED4-F73C-4616-93BB-15DA0F7181B4}"/>
    <cellStyle name="Normal 2 4 3 3 2 8 4" xfId="22464" xr:uid="{3274B3D7-9454-44E4-8CDA-39C50B4CB832}"/>
    <cellStyle name="Normal 2 4 3 3 2 9" xfId="8917" xr:uid="{1E22693C-F4B1-4678-80B0-65CF6DC31586}"/>
    <cellStyle name="Normal 2 4 3 3 2 9 2" xfId="35987" xr:uid="{40FA24F2-FAD2-44EE-AAC4-B2BF5206C72E}"/>
    <cellStyle name="Normal 2 4 3 3 2 9 2 2" xfId="54582" xr:uid="{EFC61D5E-165D-4C7F-A5C1-0E5D3B726318}"/>
    <cellStyle name="Normal 2 4 3 3 2 9 3" xfId="45285" xr:uid="{D281BE92-A9FE-4B2F-8160-07E5FA11359C}"/>
    <cellStyle name="Normal 2 4 3 3 2 9 4" xfId="26688" xr:uid="{3C36BA94-BFA2-4284-849A-14E21A680923}"/>
    <cellStyle name="Normal 2 4 3 3 3" xfId="301" xr:uid="{00000000-0005-0000-0000-0000F90F0000}"/>
    <cellStyle name="Normal 2 4 3 3 3 10" xfId="36847" xr:uid="{4A0EF372-9F0C-4099-9458-C6FDA3BC7E49}"/>
    <cellStyle name="Normal 2 4 3 3 3 11" xfId="18249" xr:uid="{D1E13CEF-F7A0-4023-8CA1-EE326D3F57E6}"/>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16578" xr:uid="{F9B918DF-1D4F-4DAB-8BF0-6AD10534FF5C}"/>
    <cellStyle name="Normal 2 4 3 3 3 2 2 2 2 2" xfId="52920" xr:uid="{64BFE2FC-E5F9-419A-92B2-052C3AD3453E}"/>
    <cellStyle name="Normal 2 4 3 3 3 2 2 2 2 3" xfId="34324" xr:uid="{923775FB-F097-423B-BAFF-2F6CED730AFA}"/>
    <cellStyle name="Normal 2 4 3 3 3 2 2 2 3" xfId="43623" xr:uid="{8D4207BE-F751-4EE4-95BA-F115BF3074A0}"/>
    <cellStyle name="Normal 2 4 3 3 3 2 2 2 4" xfId="25025" xr:uid="{CB996240-2C6B-4B0A-9777-93272C8D07FD}"/>
    <cellStyle name="Normal 2 4 3 3 3 2 2 3" xfId="12361" xr:uid="{F16E7C8E-6CC6-4550-86A9-FD487098D896}"/>
    <cellStyle name="Normal 2 4 3 3 3 2 2 3 2" xfId="48703" xr:uid="{1C842D07-1E68-45A6-AFC0-4CA4C6155D0B}"/>
    <cellStyle name="Normal 2 4 3 3 3 2 2 3 3" xfId="30107" xr:uid="{D471C875-0D37-49C4-9796-CCBBE7136801}"/>
    <cellStyle name="Normal 2 4 3 3 3 2 2 4" xfId="39406" xr:uid="{F04E0EEE-2EB5-410C-86AA-EEEAB057DC6A}"/>
    <cellStyle name="Normal 2 4 3 3 3 2 2 5" xfId="20808" xr:uid="{6BCEF4CA-7738-4EE4-9DA9-ED3B05CFAF8F}"/>
    <cellStyle name="Normal 2 4 3 3 3 2 3" xfId="5107" xr:uid="{00000000-0005-0000-0000-0000FD0F0000}"/>
    <cellStyle name="Normal 2 4 3 3 3 2 3 2" xfId="14433" xr:uid="{F67292B8-EBEB-4A08-AD7C-C38E8B21A645}"/>
    <cellStyle name="Normal 2 4 3 3 3 2 3 2 2" xfId="50775" xr:uid="{2E33B941-D6F8-4AB3-9BE8-9787C46078E4}"/>
    <cellStyle name="Normal 2 4 3 3 3 2 3 2 3" xfId="32179" xr:uid="{E0D93CDE-7971-4781-AC95-9EBCA14859E3}"/>
    <cellStyle name="Normal 2 4 3 3 3 2 3 3" xfId="41478" xr:uid="{3BB7B3DF-5CEF-4822-B6E9-4F3FC8C760AE}"/>
    <cellStyle name="Normal 2 4 3 3 3 2 3 4" xfId="22880" xr:uid="{AEC736BD-CA90-4883-8310-9DC0E87D0019}"/>
    <cellStyle name="Normal 2 4 3 3 3 2 4" xfId="9446" xr:uid="{7ACDBBC8-943F-41CF-9832-96F56BCB3985}"/>
    <cellStyle name="Normal 2 4 3 3 3 2 4 2" xfId="36507" xr:uid="{4B124CB7-30CC-4180-8AC1-749C739663E1}"/>
    <cellStyle name="Normal 2 4 3 3 3 2 4 2 2" xfId="55101" xr:uid="{9F7000C7-D08F-4194-9763-017917D878F6}"/>
    <cellStyle name="Normal 2 4 3 3 3 2 4 3" xfId="45804" xr:uid="{405C71CA-860A-489F-8D84-1055D84F5868}"/>
    <cellStyle name="Normal 2 4 3 3 3 2 4 4" xfId="27208" xr:uid="{D1A261D1-CAFE-42FA-839B-8FC33BAC7BC1}"/>
    <cellStyle name="Normal 2 4 3 3 3 2 5" xfId="10216" xr:uid="{28ED4752-EC07-4E6B-99B6-431A56D0F4DF}"/>
    <cellStyle name="Normal 2 4 3 3 3 2 5 2" xfId="46558" xr:uid="{84E05C43-4727-4C4D-A894-471057A1E27F}"/>
    <cellStyle name="Normal 2 4 3 3 3 2 5 3" xfId="27962" xr:uid="{796FD638-1ADF-457B-AD55-B327E985668E}"/>
    <cellStyle name="Normal 2 4 3 3 3 2 6" xfId="37261" xr:uid="{83DA07BC-FD88-4702-9307-88366700CB98}"/>
    <cellStyle name="Normal 2 4 3 3 3 2 7" xfId="18663" xr:uid="{9D5DAA52-631C-4180-806F-EBB891BCE96C}"/>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16991" xr:uid="{6E0438C7-13AF-4892-A9DF-11F5BBB79967}"/>
    <cellStyle name="Normal 2 4 3 3 3 3 2 2 2 2" xfId="53333" xr:uid="{83EFCE40-D484-4D20-B978-8CA777F48FA3}"/>
    <cellStyle name="Normal 2 4 3 3 3 3 2 2 2 3" xfId="34737" xr:uid="{ED4A1871-6233-4BD4-8D4E-B25CFF3C415A}"/>
    <cellStyle name="Normal 2 4 3 3 3 3 2 2 3" xfId="44036" xr:uid="{D3EF5FBB-DAFA-4EDC-A505-CED8741E3A83}"/>
    <cellStyle name="Normal 2 4 3 3 3 3 2 2 4" xfId="25438" xr:uid="{BBB1E91E-8B2E-42BF-8387-7B8112FCFBE3}"/>
    <cellStyle name="Normal 2 4 3 3 3 3 2 3" xfId="12774" xr:uid="{A2990610-4282-41E9-A350-7250DAC3E8FF}"/>
    <cellStyle name="Normal 2 4 3 3 3 3 2 3 2" xfId="49116" xr:uid="{85F03515-4B20-4FCD-A684-76321C589137}"/>
    <cellStyle name="Normal 2 4 3 3 3 3 2 3 3" xfId="30520" xr:uid="{02DCB006-9AA9-40BA-8542-B6CCB1DD8CD0}"/>
    <cellStyle name="Normal 2 4 3 3 3 3 2 4" xfId="39819" xr:uid="{5D7D7E2A-91F6-446D-AA1E-C7D58ECE73EC}"/>
    <cellStyle name="Normal 2 4 3 3 3 3 2 5" xfId="21221" xr:uid="{DBB5AAB7-AC79-4F98-A789-23773DC825EC}"/>
    <cellStyle name="Normal 2 4 3 3 3 3 3" xfId="5520" xr:uid="{00000000-0005-0000-0000-000001100000}"/>
    <cellStyle name="Normal 2 4 3 3 3 3 3 2" xfId="14846" xr:uid="{39963A89-B913-4F59-9328-A525BDFB54F9}"/>
    <cellStyle name="Normal 2 4 3 3 3 3 3 2 2" xfId="51188" xr:uid="{128601FE-19E8-4731-A6BC-FA3C577BA697}"/>
    <cellStyle name="Normal 2 4 3 3 3 3 3 2 3" xfId="32592" xr:uid="{BCE36EF8-6BF4-4DA3-A378-C13DD06DC52C}"/>
    <cellStyle name="Normal 2 4 3 3 3 3 3 3" xfId="41891" xr:uid="{68CD67E4-A79C-4FCA-BAA1-0D2524501009}"/>
    <cellStyle name="Normal 2 4 3 3 3 3 3 4" xfId="23293" xr:uid="{5F594AF5-FB93-420B-B595-2487565D0350}"/>
    <cellStyle name="Normal 2 4 3 3 3 3 4" xfId="10629" xr:uid="{11741606-9FFB-47E3-9231-1E3123EF3869}"/>
    <cellStyle name="Normal 2 4 3 3 3 3 4 2" xfId="46971" xr:uid="{760CBA2E-68FF-4C5F-84E4-456856E81DA5}"/>
    <cellStyle name="Normal 2 4 3 3 3 3 4 3" xfId="28375" xr:uid="{E2D0ADA6-04B4-4A97-BBBD-B3DABB720E3D}"/>
    <cellStyle name="Normal 2 4 3 3 3 3 5" xfId="37674" xr:uid="{DDED5267-E3FF-4B82-992D-9A80E64377C3}"/>
    <cellStyle name="Normal 2 4 3 3 3 3 6" xfId="19076" xr:uid="{2F302655-A7EC-4429-A3E5-D3D4F4E85144}"/>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17404" xr:uid="{D58A45C1-14E9-4459-A0F3-59A05D40CFB3}"/>
    <cellStyle name="Normal 2 4 3 3 3 4 2 2 2 2" xfId="53746" xr:uid="{91FBA018-4929-4CA4-85EC-77C1A3C68BE7}"/>
    <cellStyle name="Normal 2 4 3 3 3 4 2 2 2 3" xfId="35150" xr:uid="{4124402D-7BC9-46D2-9722-D2EA771803AE}"/>
    <cellStyle name="Normal 2 4 3 3 3 4 2 2 3" xfId="44449" xr:uid="{46096A8A-7EDF-4D7B-A2FB-197D115F60D9}"/>
    <cellStyle name="Normal 2 4 3 3 3 4 2 2 4" xfId="25851" xr:uid="{9E252AE2-C529-4324-9066-7895F199A2C8}"/>
    <cellStyle name="Normal 2 4 3 3 3 4 2 3" xfId="13187" xr:uid="{D6300F6D-267D-4336-B946-B6E2C9F8DDA1}"/>
    <cellStyle name="Normal 2 4 3 3 3 4 2 3 2" xfId="49529" xr:uid="{6C57E125-D250-4155-A6E5-3B4C801D3A78}"/>
    <cellStyle name="Normal 2 4 3 3 3 4 2 3 3" xfId="30933" xr:uid="{6522406F-BCAF-4DAC-97F3-4A87BCF635AC}"/>
    <cellStyle name="Normal 2 4 3 3 3 4 2 4" xfId="40232" xr:uid="{3E4A43DE-AF5C-4D01-BF10-EF53687314AC}"/>
    <cellStyle name="Normal 2 4 3 3 3 4 2 5" xfId="21634" xr:uid="{42D56383-574E-4905-87F4-1C3D7A5A1F5B}"/>
    <cellStyle name="Normal 2 4 3 3 3 4 3" xfId="5933" xr:uid="{00000000-0005-0000-0000-000005100000}"/>
    <cellStyle name="Normal 2 4 3 3 3 4 3 2" xfId="15259" xr:uid="{0B6CF2CB-5F88-4E45-B486-55A8FE799BDC}"/>
    <cellStyle name="Normal 2 4 3 3 3 4 3 2 2" xfId="51601" xr:uid="{9E4FC7E6-A939-4CA5-BC4A-9D948A703DB1}"/>
    <cellStyle name="Normal 2 4 3 3 3 4 3 2 3" xfId="33005" xr:uid="{C63DAB10-0612-49A5-A028-EFDF5D21E03B}"/>
    <cellStyle name="Normal 2 4 3 3 3 4 3 3" xfId="42304" xr:uid="{4712E90C-96F0-40BB-BAA7-12797B36A46D}"/>
    <cellStyle name="Normal 2 4 3 3 3 4 3 4" xfId="23706" xr:uid="{F42B5187-5EDC-4FC6-B92D-46815BFEF0CD}"/>
    <cellStyle name="Normal 2 4 3 3 3 4 4" xfId="11042" xr:uid="{29D164CA-413F-48AD-B09B-CDE7B9F27F85}"/>
    <cellStyle name="Normal 2 4 3 3 3 4 4 2" xfId="47384" xr:uid="{E59F42FD-A08C-4DEB-9F3A-844D3454D38A}"/>
    <cellStyle name="Normal 2 4 3 3 3 4 4 3" xfId="28788" xr:uid="{B525DEBD-B6A0-40C4-A000-843B59D89C6C}"/>
    <cellStyle name="Normal 2 4 3 3 3 4 5" xfId="38087" xr:uid="{A45B55C6-1AAD-42D9-BD19-310592924295}"/>
    <cellStyle name="Normal 2 4 3 3 3 4 6" xfId="19489" xr:uid="{BDAF43C0-5DDE-49D7-A8EC-D194BA01E523}"/>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17817" xr:uid="{944508B6-22EF-4679-82DF-90343D8BCE02}"/>
    <cellStyle name="Normal 2 4 3 3 3 5 2 2 2 2" xfId="54159" xr:uid="{E1E5E078-34BD-47DA-95D7-1A876138A36D}"/>
    <cellStyle name="Normal 2 4 3 3 3 5 2 2 2 3" xfId="35563" xr:uid="{6BD42794-8FCB-40CF-A650-32CEF52C043A}"/>
    <cellStyle name="Normal 2 4 3 3 3 5 2 2 3" xfId="44862" xr:uid="{E246B3DC-91BB-4976-BE58-AB0C207EC1CC}"/>
    <cellStyle name="Normal 2 4 3 3 3 5 2 2 4" xfId="26264" xr:uid="{3BE22F62-230D-4B04-806C-23641501CBAD}"/>
    <cellStyle name="Normal 2 4 3 3 3 5 2 3" xfId="13600" xr:uid="{FBD67FC0-D4E5-4B17-9B62-AF37BA2141D0}"/>
    <cellStyle name="Normal 2 4 3 3 3 5 2 3 2" xfId="49942" xr:uid="{1311D1DB-F574-45A5-8DB2-BE89758974A9}"/>
    <cellStyle name="Normal 2 4 3 3 3 5 2 3 3" xfId="31346" xr:uid="{C494CB06-4BE2-4F22-A853-C1B0C501621C}"/>
    <cellStyle name="Normal 2 4 3 3 3 5 2 4" xfId="40645" xr:uid="{33A32876-B655-47C4-AC25-8C3928442520}"/>
    <cellStyle name="Normal 2 4 3 3 3 5 2 5" xfId="22047" xr:uid="{5D5E13B8-4802-41EC-AF5A-FBF03FEEA3E9}"/>
    <cellStyle name="Normal 2 4 3 3 3 5 3" xfId="6346" xr:uid="{00000000-0005-0000-0000-000009100000}"/>
    <cellStyle name="Normal 2 4 3 3 3 5 3 2" xfId="15672" xr:uid="{F1117078-6601-43F4-9D06-C9D6A5B1BBAF}"/>
    <cellStyle name="Normal 2 4 3 3 3 5 3 2 2" xfId="52014" xr:uid="{21E5F888-CFEE-4CD6-9319-04556A698817}"/>
    <cellStyle name="Normal 2 4 3 3 3 5 3 2 3" xfId="33418" xr:uid="{84403E59-83E4-422B-97B2-4739F938DF1C}"/>
    <cellStyle name="Normal 2 4 3 3 3 5 3 3" xfId="42717" xr:uid="{2ED3A45B-4B10-404A-93C3-3379909D7C00}"/>
    <cellStyle name="Normal 2 4 3 3 3 5 3 4" xfId="24119" xr:uid="{1C05E8F8-3193-4941-8181-8AC3684E936A}"/>
    <cellStyle name="Normal 2 4 3 3 3 5 4" xfId="11455" xr:uid="{DE69EF79-CE98-4E6D-B226-9A56AB1F8F21}"/>
    <cellStyle name="Normal 2 4 3 3 3 5 4 2" xfId="47797" xr:uid="{2E349593-C43D-4ACC-9027-2EEF58BB1F41}"/>
    <cellStyle name="Normal 2 4 3 3 3 5 4 3" xfId="29201" xr:uid="{67DD09C6-3280-4F05-A2D2-61C6336B339F}"/>
    <cellStyle name="Normal 2 4 3 3 3 5 5" xfId="38500" xr:uid="{FD5565B3-8C5C-482B-A390-AB2793D5722F}"/>
    <cellStyle name="Normal 2 4 3 3 3 5 6" xfId="19902" xr:uid="{6781B047-E8B5-4A6D-AD6C-CCD2D155EECB}"/>
    <cellStyle name="Normal 2 4 3 3 3 6" xfId="2476" xr:uid="{00000000-0005-0000-0000-00000A100000}"/>
    <cellStyle name="Normal 2 4 3 3 3 6 2" xfId="6759" xr:uid="{00000000-0005-0000-0000-00000B100000}"/>
    <cellStyle name="Normal 2 4 3 3 3 6 2 2" xfId="16085" xr:uid="{6427C1CD-235A-42FB-A169-6D3118B04C29}"/>
    <cellStyle name="Normal 2 4 3 3 3 6 2 2 2" xfId="52427" xr:uid="{FC520A87-F2BC-4078-9678-9D1961DB9017}"/>
    <cellStyle name="Normal 2 4 3 3 3 6 2 2 3" xfId="33831" xr:uid="{9AAB3426-2218-4FDB-96AD-D39CBF5A7ADA}"/>
    <cellStyle name="Normal 2 4 3 3 3 6 2 3" xfId="43130" xr:uid="{4B9BE3CA-ACC6-429B-BCB0-5878DA6B165F}"/>
    <cellStyle name="Normal 2 4 3 3 3 6 2 4" xfId="24532" xr:uid="{D4F5B6E8-2555-4D1E-9E7A-9B82EC1B850B}"/>
    <cellStyle name="Normal 2 4 3 3 3 6 3" xfId="11868" xr:uid="{812AC833-044D-4EFE-960E-E67678D8E407}"/>
    <cellStyle name="Normal 2 4 3 3 3 6 3 2" xfId="48210" xr:uid="{E6C0608F-9A14-4D9D-BE56-F7645B79BE10}"/>
    <cellStyle name="Normal 2 4 3 3 3 6 3 3" xfId="29614" xr:uid="{E2908E4E-7EDD-4172-87C2-BA9D5FC44630}"/>
    <cellStyle name="Normal 2 4 3 3 3 6 4" xfId="38913" xr:uid="{910B41B7-6B15-4546-8B78-D2FC57A708F9}"/>
    <cellStyle name="Normal 2 4 3 3 3 6 5" xfId="20315" xr:uid="{C2B0BE82-5642-4932-BF51-B00CB63D1BF6}"/>
    <cellStyle name="Normal 2 4 3 3 3 7" xfId="4693" xr:uid="{00000000-0005-0000-0000-00000C100000}"/>
    <cellStyle name="Normal 2 4 3 3 3 7 2" xfId="14019" xr:uid="{79A51014-395A-41E7-9625-E80ADEE00678}"/>
    <cellStyle name="Normal 2 4 3 3 3 7 2 2" xfId="50361" xr:uid="{18BB0B8A-AC32-4442-A57D-F6C304D0AF45}"/>
    <cellStyle name="Normal 2 4 3 3 3 7 2 3" xfId="31765" xr:uid="{CB437834-60EE-4E9A-9F4C-8BD68A78FEB6}"/>
    <cellStyle name="Normal 2 4 3 3 3 7 3" xfId="41064" xr:uid="{6AAF311E-81C0-41B7-AF7D-EFC922779681}"/>
    <cellStyle name="Normal 2 4 3 3 3 7 4" xfId="22466" xr:uid="{04A85E88-3EB8-4DD8-A340-ADEC655C160E}"/>
    <cellStyle name="Normal 2 4 3 3 3 8" xfId="9021" xr:uid="{4EC0F035-DC07-4262-9C58-7142AC357944}"/>
    <cellStyle name="Normal 2 4 3 3 3 8 2" xfId="36091" xr:uid="{FCE9F082-421A-40F3-8473-F494F50A2E87}"/>
    <cellStyle name="Normal 2 4 3 3 3 8 2 2" xfId="54686" xr:uid="{179723F4-460E-40F3-B895-E39442461F0A}"/>
    <cellStyle name="Normal 2 4 3 3 3 8 3" xfId="45389" xr:uid="{F704CCCB-0559-4592-AF13-C45FB27CA1D3}"/>
    <cellStyle name="Normal 2 4 3 3 3 8 4" xfId="26792" xr:uid="{1E04EF24-0376-4FD6-A5D5-EE357B350375}"/>
    <cellStyle name="Normal 2 4 3 3 3 9" xfId="9802" xr:uid="{ADFA856F-561A-4CD6-9DBE-E4088C60590C}"/>
    <cellStyle name="Normal 2 4 3 3 3 9 2" xfId="46144" xr:uid="{CA5A9966-FEC2-4319-8873-394589252507}"/>
    <cellStyle name="Normal 2 4 3 3 3 9 3" xfId="27548" xr:uid="{1DF17197-95D2-4918-BFDA-F026850BC6E9}"/>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16575" xr:uid="{127F3D66-C3B4-4271-84A6-5CBA389AC957}"/>
    <cellStyle name="Normal 2 4 3 3 4 2 2 2 2" xfId="52917" xr:uid="{237C868B-F701-478C-A4C1-CF63CD72D371}"/>
    <cellStyle name="Normal 2 4 3 3 4 2 2 2 3" xfId="34321" xr:uid="{EAC55948-18C7-43F3-A1FC-4EFD7FD857BE}"/>
    <cellStyle name="Normal 2 4 3 3 4 2 2 3" xfId="43620" xr:uid="{67AFAFCB-C158-4715-9D7A-156454C22858}"/>
    <cellStyle name="Normal 2 4 3 3 4 2 2 4" xfId="25022" xr:uid="{0DF4960E-AE5C-44B9-9E1A-FEA6F365FDDC}"/>
    <cellStyle name="Normal 2 4 3 3 4 2 3" xfId="12358" xr:uid="{92E009F5-B13B-4625-AE52-CBFC37B40C78}"/>
    <cellStyle name="Normal 2 4 3 3 4 2 3 2" xfId="48700" xr:uid="{C4FA5082-9FAC-4D09-8E24-7AE4D58D4E61}"/>
    <cellStyle name="Normal 2 4 3 3 4 2 3 3" xfId="30104" xr:uid="{20850518-37B3-49BD-BB64-459CA2171FDB}"/>
    <cellStyle name="Normal 2 4 3 3 4 2 4" xfId="39403" xr:uid="{BC91C352-E51C-4C09-8655-29CF2835F516}"/>
    <cellStyle name="Normal 2 4 3 3 4 2 5" xfId="20805" xr:uid="{217AA8DE-C729-4649-B001-EF5BEBF4B342}"/>
    <cellStyle name="Normal 2 4 3 3 4 3" xfId="5104" xr:uid="{00000000-0005-0000-0000-000010100000}"/>
    <cellStyle name="Normal 2 4 3 3 4 3 2" xfId="14430" xr:uid="{2EFE876D-4754-492A-AB6F-A860B72F3631}"/>
    <cellStyle name="Normal 2 4 3 3 4 3 2 2" xfId="50772" xr:uid="{FC60E1B9-FC4C-46BE-AA15-EE50482169CA}"/>
    <cellStyle name="Normal 2 4 3 3 4 3 2 3" xfId="32176" xr:uid="{19F78C1B-C18A-4ECA-9527-0BD53225CD5F}"/>
    <cellStyle name="Normal 2 4 3 3 4 3 3" xfId="41475" xr:uid="{1970BF52-D88D-4419-8796-BFD168F188C9}"/>
    <cellStyle name="Normal 2 4 3 3 4 3 4" xfId="22877" xr:uid="{BB046121-089E-4004-AD53-6CEB3D2AD9E3}"/>
    <cellStyle name="Normal 2 4 3 3 4 4" xfId="9239" xr:uid="{3DCBA9AF-C63D-4CA9-81B6-AC7CB7B67292}"/>
    <cellStyle name="Normal 2 4 3 3 4 4 2" xfId="36300" xr:uid="{3921754E-8313-4728-91A0-5858E572F9CC}"/>
    <cellStyle name="Normal 2 4 3 3 4 4 2 2" xfId="54894" xr:uid="{DBDFDF53-0423-48A4-9F0B-EDF94F9CF890}"/>
    <cellStyle name="Normal 2 4 3 3 4 4 3" xfId="45597" xr:uid="{1260FEB2-DC08-4843-8E55-8496F6FA23CF}"/>
    <cellStyle name="Normal 2 4 3 3 4 4 4" xfId="27001" xr:uid="{B8A9A5A3-B2FF-41F6-B33B-1EDD6F1B7FA1}"/>
    <cellStyle name="Normal 2 4 3 3 4 5" xfId="10213" xr:uid="{0578DDA0-5252-4144-967D-FBEBD4946A46}"/>
    <cellStyle name="Normal 2 4 3 3 4 5 2" xfId="46555" xr:uid="{80798C0C-8116-49C0-B16E-926471937C30}"/>
    <cellStyle name="Normal 2 4 3 3 4 5 3" xfId="27959" xr:uid="{F9E31AC3-C4FC-42A4-B00A-2D66F4E7C5CB}"/>
    <cellStyle name="Normal 2 4 3 3 4 6" xfId="37258" xr:uid="{AE4321B7-E412-4897-AA56-FC80FA35D1D7}"/>
    <cellStyle name="Normal 2 4 3 3 4 7" xfId="18660" xr:uid="{C3BC8F75-66F1-42D9-8FE1-8C88C0E17968}"/>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16988" xr:uid="{28D8A904-F093-493A-889B-0EA1DB4225F9}"/>
    <cellStyle name="Normal 2 4 3 3 5 2 2 2 2" xfId="53330" xr:uid="{32E2D7D9-4F46-445C-8935-999C6750C7A1}"/>
    <cellStyle name="Normal 2 4 3 3 5 2 2 2 3" xfId="34734" xr:uid="{7053F551-8543-48BC-847B-CE5F45ABDF67}"/>
    <cellStyle name="Normal 2 4 3 3 5 2 2 3" xfId="44033" xr:uid="{39F43C4A-6628-4D33-B777-6A010FED4D36}"/>
    <cellStyle name="Normal 2 4 3 3 5 2 2 4" xfId="25435" xr:uid="{6B25F79B-1C7C-4EFE-9F7D-B1FD9A80A81B}"/>
    <cellStyle name="Normal 2 4 3 3 5 2 3" xfId="12771" xr:uid="{57527822-E895-40E0-A923-68E78F86090F}"/>
    <cellStyle name="Normal 2 4 3 3 5 2 3 2" xfId="49113" xr:uid="{EB79CDE3-61F9-4A71-BD3B-BBC3A62597E6}"/>
    <cellStyle name="Normal 2 4 3 3 5 2 3 3" xfId="30517" xr:uid="{EC9E962E-AF8D-4F68-96CB-26434A8870E6}"/>
    <cellStyle name="Normal 2 4 3 3 5 2 4" xfId="39816" xr:uid="{738E5FED-B826-45E7-9277-7A86C471395D}"/>
    <cellStyle name="Normal 2 4 3 3 5 2 5" xfId="21218" xr:uid="{96E56DBE-774B-4E41-932A-DFD1612BDE70}"/>
    <cellStyle name="Normal 2 4 3 3 5 3" xfId="5517" xr:uid="{00000000-0005-0000-0000-000014100000}"/>
    <cellStyle name="Normal 2 4 3 3 5 3 2" xfId="14843" xr:uid="{52DDECF2-DAC0-4A55-9884-7EBD2C95D499}"/>
    <cellStyle name="Normal 2 4 3 3 5 3 2 2" xfId="51185" xr:uid="{A82C17EC-3978-4662-8690-8B7B4A5EE906}"/>
    <cellStyle name="Normal 2 4 3 3 5 3 2 3" xfId="32589" xr:uid="{5668AC28-299A-45A1-82FA-CFB16A953743}"/>
    <cellStyle name="Normal 2 4 3 3 5 3 3" xfId="41888" xr:uid="{70579D65-0FE4-436E-B645-6FF33E2B6B9E}"/>
    <cellStyle name="Normal 2 4 3 3 5 3 4" xfId="23290" xr:uid="{1C24A277-3138-4B0E-BAEE-3BD13536AC81}"/>
    <cellStyle name="Normal 2 4 3 3 5 4" xfId="10626" xr:uid="{C13DCC12-6163-4BE0-ABBE-131944C78C3F}"/>
    <cellStyle name="Normal 2 4 3 3 5 4 2" xfId="46968" xr:uid="{9EB1ABD9-EC4C-4B85-AE86-B67DAF218B59}"/>
    <cellStyle name="Normal 2 4 3 3 5 4 3" xfId="28372" xr:uid="{9A67561E-7E1F-4221-857D-843AB899E852}"/>
    <cellStyle name="Normal 2 4 3 3 5 5" xfId="37671" xr:uid="{15934684-7BEC-40A3-B7E2-CFE24034510D}"/>
    <cellStyle name="Normal 2 4 3 3 5 6" xfId="19073" xr:uid="{6DCDB55B-E419-4CD0-A2D1-CE98E11C5D71}"/>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17401" xr:uid="{DD04F3DD-CDFF-4A8F-B552-DD0D21CBF2CB}"/>
    <cellStyle name="Normal 2 4 3 3 6 2 2 2 2" xfId="53743" xr:uid="{FE530D89-850F-498E-8F3F-8A1A1D7E27E3}"/>
    <cellStyle name="Normal 2 4 3 3 6 2 2 2 3" xfId="35147" xr:uid="{EEF2C586-E2CC-47B8-8326-8F4D44948E4B}"/>
    <cellStyle name="Normal 2 4 3 3 6 2 2 3" xfId="44446" xr:uid="{E8246F19-EBC5-4FC0-9214-443C19B1BDA9}"/>
    <cellStyle name="Normal 2 4 3 3 6 2 2 4" xfId="25848" xr:uid="{CFF38C4B-39A7-493C-9C66-D85A9DD27D93}"/>
    <cellStyle name="Normal 2 4 3 3 6 2 3" xfId="13184" xr:uid="{49702FC6-CA1E-413A-85EC-DA178D7E3AC3}"/>
    <cellStyle name="Normal 2 4 3 3 6 2 3 2" xfId="49526" xr:uid="{EBB16D48-1471-43C1-AE5B-800CCDA59DAC}"/>
    <cellStyle name="Normal 2 4 3 3 6 2 3 3" xfId="30930" xr:uid="{CCB2360E-3E35-4043-8030-E09780075BCB}"/>
    <cellStyle name="Normal 2 4 3 3 6 2 4" xfId="40229" xr:uid="{9C59BA29-1829-4B48-8168-196F66A1815B}"/>
    <cellStyle name="Normal 2 4 3 3 6 2 5" xfId="21631" xr:uid="{70F6C3C2-1EBD-4590-B07A-B03923405580}"/>
    <cellStyle name="Normal 2 4 3 3 6 3" xfId="5930" xr:uid="{00000000-0005-0000-0000-000018100000}"/>
    <cellStyle name="Normal 2 4 3 3 6 3 2" xfId="15256" xr:uid="{6FEB7061-4B61-4880-B064-CBB472AECF42}"/>
    <cellStyle name="Normal 2 4 3 3 6 3 2 2" xfId="51598" xr:uid="{DDC0C279-CFF6-4844-B356-5BA0D6D745D0}"/>
    <cellStyle name="Normal 2 4 3 3 6 3 2 3" xfId="33002" xr:uid="{81E53AAC-8ABD-46FF-969C-FDEBC39375E6}"/>
    <cellStyle name="Normal 2 4 3 3 6 3 3" xfId="42301" xr:uid="{B8C19272-4F71-447F-86E3-1AF46FE41469}"/>
    <cellStyle name="Normal 2 4 3 3 6 3 4" xfId="23703" xr:uid="{B0444598-9E1A-4307-9B7F-5A68CA4FBA44}"/>
    <cellStyle name="Normal 2 4 3 3 6 4" xfId="11039" xr:uid="{A500FA3B-E5B4-42BC-B308-13F4DF9C9D7A}"/>
    <cellStyle name="Normal 2 4 3 3 6 4 2" xfId="47381" xr:uid="{41EE9F4F-E1F5-433B-9029-C18E0FF4A100}"/>
    <cellStyle name="Normal 2 4 3 3 6 4 3" xfId="28785" xr:uid="{9222D1B4-EFDF-4CE0-BB4D-72F309299DC0}"/>
    <cellStyle name="Normal 2 4 3 3 6 5" xfId="38084" xr:uid="{850FADBB-6FEF-4515-91A3-64B41E30C0DE}"/>
    <cellStyle name="Normal 2 4 3 3 6 6" xfId="19486" xr:uid="{BA163E3B-7FA9-438D-A2EB-08566A87CD8D}"/>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17814" xr:uid="{2571206C-EE8D-4A7D-A297-84194A90441D}"/>
    <cellStyle name="Normal 2 4 3 3 7 2 2 2 2" xfId="54156" xr:uid="{FD9486A1-24C6-4C77-B20B-8A9F6C6969E8}"/>
    <cellStyle name="Normal 2 4 3 3 7 2 2 2 3" xfId="35560" xr:uid="{8DDCDA88-1FF5-4FBD-851F-8564AC6DBFE7}"/>
    <cellStyle name="Normal 2 4 3 3 7 2 2 3" xfId="44859" xr:uid="{3D50661C-3A9F-4DDC-8866-56D9AC8AD69E}"/>
    <cellStyle name="Normal 2 4 3 3 7 2 2 4" xfId="26261" xr:uid="{1738FC35-4501-4AF3-8189-10929564DE8C}"/>
    <cellStyle name="Normal 2 4 3 3 7 2 3" xfId="13597" xr:uid="{D738AF76-397F-487E-8377-F555C8798E77}"/>
    <cellStyle name="Normal 2 4 3 3 7 2 3 2" xfId="49939" xr:uid="{44173261-4D6C-4782-AAA7-F978FE195B10}"/>
    <cellStyle name="Normal 2 4 3 3 7 2 3 3" xfId="31343" xr:uid="{84A3D84B-CDF8-41B4-B0C8-244272CC61D7}"/>
    <cellStyle name="Normal 2 4 3 3 7 2 4" xfId="40642" xr:uid="{D98AE48F-4375-4636-9A70-27B16235627B}"/>
    <cellStyle name="Normal 2 4 3 3 7 2 5" xfId="22044" xr:uid="{9C07EE81-D264-4CB8-A89D-18BE3C74AF32}"/>
    <cellStyle name="Normal 2 4 3 3 7 3" xfId="6343" xr:uid="{00000000-0005-0000-0000-00001C100000}"/>
    <cellStyle name="Normal 2 4 3 3 7 3 2" xfId="15669" xr:uid="{47489EE9-F4CD-43A0-9261-98E39B14FEE6}"/>
    <cellStyle name="Normal 2 4 3 3 7 3 2 2" xfId="52011" xr:uid="{FA0CA302-B105-4FA8-9ED4-439EF28CB1A2}"/>
    <cellStyle name="Normal 2 4 3 3 7 3 2 3" xfId="33415" xr:uid="{97C00BE2-71FA-4BBA-BBBC-E5928C57ABBD}"/>
    <cellStyle name="Normal 2 4 3 3 7 3 3" xfId="42714" xr:uid="{62FCA4E4-04A4-4200-B0C6-79E9D8729B8B}"/>
    <cellStyle name="Normal 2 4 3 3 7 3 4" xfId="24116" xr:uid="{816A6110-3CE5-4EDD-8230-68D18EFAFB3A}"/>
    <cellStyle name="Normal 2 4 3 3 7 4" xfId="11452" xr:uid="{2400CEC4-5CF8-4204-924C-09E551232B2E}"/>
    <cellStyle name="Normal 2 4 3 3 7 4 2" xfId="47794" xr:uid="{E79A4731-287F-408E-B348-C542FC1B8647}"/>
    <cellStyle name="Normal 2 4 3 3 7 4 3" xfId="29198" xr:uid="{3E2AA981-4993-4475-BA79-E27E69F77A1B}"/>
    <cellStyle name="Normal 2 4 3 3 7 5" xfId="38497" xr:uid="{1D7FAA45-C0C4-4CA1-A6C9-9EF0972A3102}"/>
    <cellStyle name="Normal 2 4 3 3 7 6" xfId="19899" xr:uid="{0B5CB8ED-4422-4ED0-A9CC-D3172DB7CA57}"/>
    <cellStyle name="Normal 2 4 3 3 8" xfId="2473" xr:uid="{00000000-0005-0000-0000-00001D100000}"/>
    <cellStyle name="Normal 2 4 3 3 8 2" xfId="6756" xr:uid="{00000000-0005-0000-0000-00001E100000}"/>
    <cellStyle name="Normal 2 4 3 3 8 2 2" xfId="16082" xr:uid="{9CABB850-AB35-4508-9393-4A5EABE9B6C7}"/>
    <cellStyle name="Normal 2 4 3 3 8 2 2 2" xfId="52424" xr:uid="{0558FAD2-0884-4512-8CD7-1F8CAF28F697}"/>
    <cellStyle name="Normal 2 4 3 3 8 2 2 3" xfId="33828" xr:uid="{870990EF-6E4F-4F69-8568-608EB767CC81}"/>
    <cellStyle name="Normal 2 4 3 3 8 2 3" xfId="43127" xr:uid="{C34C6079-00B6-4684-99D8-ACCB7880AB86}"/>
    <cellStyle name="Normal 2 4 3 3 8 2 4" xfId="24529" xr:uid="{068F31B0-B936-4E7B-9B10-A0D943859018}"/>
    <cellStyle name="Normal 2 4 3 3 8 3" xfId="11865" xr:uid="{42DB5806-0C83-42C1-A6A3-A1C5BF6B5C1D}"/>
    <cellStyle name="Normal 2 4 3 3 8 3 2" xfId="48207" xr:uid="{6DA7B8F1-06D4-4D10-B70A-2F18D02AE7FD}"/>
    <cellStyle name="Normal 2 4 3 3 8 3 3" xfId="29611" xr:uid="{73377343-E8DA-4CED-8AA6-A10E4726C059}"/>
    <cellStyle name="Normal 2 4 3 3 8 4" xfId="38910" xr:uid="{287FA5E0-8DF5-4E52-B507-4DE705024C88}"/>
    <cellStyle name="Normal 2 4 3 3 8 5" xfId="20312" xr:uid="{3033F9E3-6DEB-4766-A176-48D48E89CC05}"/>
    <cellStyle name="Normal 2 4 3 3 9" xfId="4690" xr:uid="{00000000-0005-0000-0000-00001F100000}"/>
    <cellStyle name="Normal 2 4 3 3 9 2" xfId="14016" xr:uid="{8A4806FC-1F8B-4AE8-938E-A29252F6CA2F}"/>
    <cellStyle name="Normal 2 4 3 3 9 2 2" xfId="50358" xr:uid="{D833F9F7-5CF8-4813-8594-BC5DBCEDE52B}"/>
    <cellStyle name="Normal 2 4 3 3 9 2 3" xfId="31762" xr:uid="{91166F7C-DA6E-44F4-B134-FBB355C0F15F}"/>
    <cellStyle name="Normal 2 4 3 3 9 3" xfId="41061" xr:uid="{1282E4C5-65A5-4A53-86B0-5B31B6C9F70C}"/>
    <cellStyle name="Normal 2 4 3 3 9 4" xfId="22463" xr:uid="{9301A273-77C9-4B70-9674-3EA3BD28CCF7}"/>
    <cellStyle name="Normal 2 4 3 4" xfId="787" xr:uid="{00000000-0005-0000-0000-000020100000}"/>
    <cellStyle name="Normal 2 4 3 4 2" xfId="3026" xr:uid="{00000000-0005-0000-0000-000021100000}"/>
    <cellStyle name="Normal 2 4 3 4 2 2" xfId="7248" xr:uid="{00000000-0005-0000-0000-000022100000}"/>
    <cellStyle name="Normal 2 4 3 4 2 2 2" xfId="16574" xr:uid="{470394EB-96DD-4BD6-916F-5A0FB6654BB5}"/>
    <cellStyle name="Normal 2 4 3 4 2 2 2 2" xfId="52916" xr:uid="{AAF9A48A-539C-489B-9EE7-74C03DC61E1F}"/>
    <cellStyle name="Normal 2 4 3 4 2 2 2 3" xfId="34320" xr:uid="{6AAA0220-E86A-4519-8111-045E1825E8D3}"/>
    <cellStyle name="Normal 2 4 3 4 2 2 3" xfId="43619" xr:uid="{A3EADDFE-55A9-4902-82B3-431A46CB4698}"/>
    <cellStyle name="Normal 2 4 3 4 2 2 4" xfId="25021" xr:uid="{949E3B72-58CD-45AB-B40F-F2C31A8863B3}"/>
    <cellStyle name="Normal 2 4 3 4 2 3" xfId="12357" xr:uid="{11FDE805-E79A-45B8-85BA-944D3CA9BD23}"/>
    <cellStyle name="Normal 2 4 3 4 2 3 2" xfId="48699" xr:uid="{0179E1B1-4E97-4AC2-A8F9-239B2A48EDF7}"/>
    <cellStyle name="Normal 2 4 3 4 2 3 3" xfId="30103" xr:uid="{F519F2F3-AC32-43F7-8B17-B48CB4697193}"/>
    <cellStyle name="Normal 2 4 3 4 2 4" xfId="39402" xr:uid="{D340C43B-88FB-41B5-BA99-A0AFB3C022A6}"/>
    <cellStyle name="Normal 2 4 3 4 2 5" xfId="20804" xr:uid="{64BA38CF-2C7A-437A-A16A-EC2531924BAA}"/>
    <cellStyle name="Normal 2 4 3 4 3" xfId="5103" xr:uid="{00000000-0005-0000-0000-000023100000}"/>
    <cellStyle name="Normal 2 4 3 4 3 2" xfId="14429" xr:uid="{3213FB10-AF4A-4045-ABD7-36512C9CB2A7}"/>
    <cellStyle name="Normal 2 4 3 4 3 2 2" xfId="50771" xr:uid="{C8FFB6E8-4AB8-4820-95EC-C9B80E004A6E}"/>
    <cellStyle name="Normal 2 4 3 4 3 2 3" xfId="32175" xr:uid="{157B3B60-FF61-4C31-BAB6-6DD25273E719}"/>
    <cellStyle name="Normal 2 4 3 4 3 3" xfId="41474" xr:uid="{22A956D0-0E71-4D43-B5A9-3FE81084AB4B}"/>
    <cellStyle name="Normal 2 4 3 4 3 4" xfId="22876" xr:uid="{821D0486-24D1-45DC-93B8-4BF68C941E75}"/>
    <cellStyle name="Normal 2 4 3 4 4" xfId="9605" xr:uid="{31B075F0-6828-4EC6-AC77-4B4B0626A722}"/>
    <cellStyle name="Normal 2 4 3 4 4 2" xfId="36652" xr:uid="{09057B61-8824-41E1-BB8C-37D3E414C64E}"/>
    <cellStyle name="Normal 2 4 3 4 4 2 2" xfId="55246" xr:uid="{F469EB57-1388-4FEF-8393-EFF5921D5CB5}"/>
    <cellStyle name="Normal 2 4 3 4 4 3" xfId="45949" xr:uid="{BD1D856E-82BD-437B-B5FC-2FBEB8F080F4}"/>
    <cellStyle name="Normal 2 4 3 4 4 4" xfId="27353" xr:uid="{B8F6DCA0-F2A8-498F-BD27-3C5B774AF2ED}"/>
    <cellStyle name="Normal 2 4 3 4 5" xfId="10212" xr:uid="{A7E19973-CCFC-4952-83FC-A3CE4F2B4C04}"/>
    <cellStyle name="Normal 2 4 3 4 5 2" xfId="46554" xr:uid="{A825143E-5EF8-404E-9533-472606EE2AF1}"/>
    <cellStyle name="Normal 2 4 3 4 5 3" xfId="27958" xr:uid="{2B85E193-E402-4431-BE4B-37E6FF6FCF6D}"/>
    <cellStyle name="Normal 2 4 3 4 6" xfId="37257" xr:uid="{4418AFC9-1F62-4492-9CC2-7AA9263F1A5A}"/>
    <cellStyle name="Normal 2 4 3 4 7" xfId="18659" xr:uid="{66669C57-4393-4C73-B496-6AA9B5A41B2E}"/>
    <cellStyle name="Normal 2 4 3 5" xfId="1209" xr:uid="{00000000-0005-0000-0000-000024100000}"/>
    <cellStyle name="Normal 2 4 3 5 2" xfId="3439" xr:uid="{00000000-0005-0000-0000-000025100000}"/>
    <cellStyle name="Normal 2 4 3 5 2 2" xfId="7661" xr:uid="{00000000-0005-0000-0000-000026100000}"/>
    <cellStyle name="Normal 2 4 3 5 2 2 2" xfId="16987" xr:uid="{9A6D9415-37A7-4610-9487-3F13BDDCFD31}"/>
    <cellStyle name="Normal 2 4 3 5 2 2 2 2" xfId="53329" xr:uid="{7081E70E-94D9-475B-82E2-18E01DB3C1EE}"/>
    <cellStyle name="Normal 2 4 3 5 2 2 2 3" xfId="34733" xr:uid="{4E92ED2E-2438-4545-8942-6E06CEF8CBE9}"/>
    <cellStyle name="Normal 2 4 3 5 2 2 3" xfId="44032" xr:uid="{4470D621-8095-43B3-A28F-B88B1A08887F}"/>
    <cellStyle name="Normal 2 4 3 5 2 2 4" xfId="25434" xr:uid="{E0EBCBB1-7691-438B-8882-C4F0DDCA9A9F}"/>
    <cellStyle name="Normal 2 4 3 5 2 3" xfId="12770" xr:uid="{13D08A51-970F-4C0E-8846-A924BB43A206}"/>
    <cellStyle name="Normal 2 4 3 5 2 3 2" xfId="49112" xr:uid="{7BBA0B99-63B3-451B-86D7-BC1D82C53AFA}"/>
    <cellStyle name="Normal 2 4 3 5 2 3 3" xfId="30516" xr:uid="{55F5E4B0-9D16-49B7-95EB-F03F560DC271}"/>
    <cellStyle name="Normal 2 4 3 5 2 4" xfId="39815" xr:uid="{5E8695E6-CEAC-427F-8255-F9D304D76AC2}"/>
    <cellStyle name="Normal 2 4 3 5 2 5" xfId="21217" xr:uid="{FB215329-76B3-4A8B-907B-095E0409D832}"/>
    <cellStyle name="Normal 2 4 3 5 3" xfId="5516" xr:uid="{00000000-0005-0000-0000-000027100000}"/>
    <cellStyle name="Normal 2 4 3 5 3 2" xfId="14842" xr:uid="{AF2A78D3-6F44-4CFD-83FA-424F73A27418}"/>
    <cellStyle name="Normal 2 4 3 5 3 2 2" xfId="51184" xr:uid="{07FDBF4B-DDBD-49B9-90D6-075F6EBED128}"/>
    <cellStyle name="Normal 2 4 3 5 3 2 3" xfId="32588" xr:uid="{3CD79705-EA47-48F6-B84D-EB7F2FC9FA1A}"/>
    <cellStyle name="Normal 2 4 3 5 3 3" xfId="41887" xr:uid="{0C8AC707-A356-4CEB-AF33-E8B5B7C8CAFA}"/>
    <cellStyle name="Normal 2 4 3 5 3 4" xfId="23289" xr:uid="{64B2C950-EDFA-4354-8902-0AB21E08A99F}"/>
    <cellStyle name="Normal 2 4 3 5 4" xfId="10625" xr:uid="{B6D4580A-B5D9-4205-BF3D-9896C0E18A1F}"/>
    <cellStyle name="Normal 2 4 3 5 4 2" xfId="46967" xr:uid="{A98F48E7-C647-4074-B26D-B991E7C63C1A}"/>
    <cellStyle name="Normal 2 4 3 5 4 3" xfId="28371" xr:uid="{C882C4FD-7AC6-4170-989F-93B211380846}"/>
    <cellStyle name="Normal 2 4 3 5 5" xfId="37670" xr:uid="{B93D7637-FD2D-4EB8-B9CD-A8E3B3E65270}"/>
    <cellStyle name="Normal 2 4 3 5 6" xfId="19072" xr:uid="{24E6A1DD-0FC5-4661-9775-3A41226D2BA8}"/>
    <cellStyle name="Normal 2 4 3 6" xfId="1622" xr:uid="{00000000-0005-0000-0000-000028100000}"/>
    <cellStyle name="Normal 2 4 3 6 2" xfId="3852" xr:uid="{00000000-0005-0000-0000-000029100000}"/>
    <cellStyle name="Normal 2 4 3 6 2 2" xfId="8074" xr:uid="{00000000-0005-0000-0000-00002A100000}"/>
    <cellStyle name="Normal 2 4 3 6 2 2 2" xfId="17400" xr:uid="{CA1BFFDB-8F6F-445F-AF55-2AB928D38A1F}"/>
    <cellStyle name="Normal 2 4 3 6 2 2 2 2" xfId="53742" xr:uid="{09F8BD80-428F-44CB-BF76-013FEE9CE273}"/>
    <cellStyle name="Normal 2 4 3 6 2 2 2 3" xfId="35146" xr:uid="{34CEE6F9-3CA0-4783-858B-A22CC02A4F90}"/>
    <cellStyle name="Normal 2 4 3 6 2 2 3" xfId="44445" xr:uid="{0006FF2D-277F-4388-8BF0-6BB8364C5C46}"/>
    <cellStyle name="Normal 2 4 3 6 2 2 4" xfId="25847" xr:uid="{F2BF25E8-1091-4E6A-88B5-58A0080BCB7F}"/>
    <cellStyle name="Normal 2 4 3 6 2 3" xfId="13183" xr:uid="{9CF01616-2210-4DAD-945B-6F41B8E956C7}"/>
    <cellStyle name="Normal 2 4 3 6 2 3 2" xfId="49525" xr:uid="{97394E9A-EC8C-42A6-8B1D-64A0D0BCDC07}"/>
    <cellStyle name="Normal 2 4 3 6 2 3 3" xfId="30929" xr:uid="{85479B9F-F6E7-4682-8B2F-360E1413088E}"/>
    <cellStyle name="Normal 2 4 3 6 2 4" xfId="40228" xr:uid="{B88B7B0B-27CA-4334-95C1-DD7E76DA9862}"/>
    <cellStyle name="Normal 2 4 3 6 2 5" xfId="21630" xr:uid="{4F81D499-D0BE-4643-B124-81E7BA37ED33}"/>
    <cellStyle name="Normal 2 4 3 6 3" xfId="5929" xr:uid="{00000000-0005-0000-0000-00002B100000}"/>
    <cellStyle name="Normal 2 4 3 6 3 2" xfId="15255" xr:uid="{E6A43230-1DB3-46C1-9771-DD82F68DE85C}"/>
    <cellStyle name="Normal 2 4 3 6 3 2 2" xfId="51597" xr:uid="{32FD00BE-ED69-45A8-8CE9-E4DD18A2B7E7}"/>
    <cellStyle name="Normal 2 4 3 6 3 2 3" xfId="33001" xr:uid="{F42D8F62-F18E-4903-B9B7-1E49212C598D}"/>
    <cellStyle name="Normal 2 4 3 6 3 3" xfId="42300" xr:uid="{6CFAA563-F5A3-4D2E-A082-0CC428FE295A}"/>
    <cellStyle name="Normal 2 4 3 6 3 4" xfId="23702" xr:uid="{BEAEA515-9A1E-4C97-B6BC-D58FC46C74BF}"/>
    <cellStyle name="Normal 2 4 3 6 4" xfId="11038" xr:uid="{C95A3CEC-F4EB-4CFB-B465-C24284036EE3}"/>
    <cellStyle name="Normal 2 4 3 6 4 2" xfId="47380" xr:uid="{84A79B15-5959-478E-88D9-41FA81828D84}"/>
    <cellStyle name="Normal 2 4 3 6 4 3" xfId="28784" xr:uid="{69E2B60E-F69B-42D5-A966-5F3409594619}"/>
    <cellStyle name="Normal 2 4 3 6 5" xfId="38083" xr:uid="{A3F0C30B-4D29-4EB1-A307-5A3A404DC7A7}"/>
    <cellStyle name="Normal 2 4 3 6 6" xfId="19485" xr:uid="{3DE41F9E-42F5-4136-88D5-BF49120FFEF6}"/>
    <cellStyle name="Normal 2 4 3 7" xfId="2036" xr:uid="{00000000-0005-0000-0000-00002C100000}"/>
    <cellStyle name="Normal 2 4 3 7 2" xfId="4265" xr:uid="{00000000-0005-0000-0000-00002D100000}"/>
    <cellStyle name="Normal 2 4 3 7 2 2" xfId="8487" xr:uid="{00000000-0005-0000-0000-00002E100000}"/>
    <cellStyle name="Normal 2 4 3 7 2 2 2" xfId="17813" xr:uid="{DE1D347E-C017-4413-BEC3-85A34FFC4234}"/>
    <cellStyle name="Normal 2 4 3 7 2 2 2 2" xfId="54155" xr:uid="{F5932D71-D669-45BB-9277-BEAC6622AB73}"/>
    <cellStyle name="Normal 2 4 3 7 2 2 2 3" xfId="35559" xr:uid="{89733F99-CF63-487B-BDB8-F835129E12FE}"/>
    <cellStyle name="Normal 2 4 3 7 2 2 3" xfId="44858" xr:uid="{338A5927-B328-4C7E-BC0D-1F808AD47087}"/>
    <cellStyle name="Normal 2 4 3 7 2 2 4" xfId="26260" xr:uid="{6E748428-BD31-4AF5-83BE-43F98BA00BB3}"/>
    <cellStyle name="Normal 2 4 3 7 2 3" xfId="13596" xr:uid="{66C68DF3-286E-41D0-9D9C-7663F1D8943F}"/>
    <cellStyle name="Normal 2 4 3 7 2 3 2" xfId="49938" xr:uid="{D154DC3F-AAA4-455C-A7C5-3BE443501AE1}"/>
    <cellStyle name="Normal 2 4 3 7 2 3 3" xfId="31342" xr:uid="{8B401A4F-7A7E-4F39-A814-B73D04EB2D2B}"/>
    <cellStyle name="Normal 2 4 3 7 2 4" xfId="40641" xr:uid="{97B14778-0E39-43C4-8321-0270499E37CC}"/>
    <cellStyle name="Normal 2 4 3 7 2 5" xfId="22043" xr:uid="{65FC82FB-9F4A-46EF-9BF9-DA97DD9F499E}"/>
    <cellStyle name="Normal 2 4 3 7 3" xfId="6342" xr:uid="{00000000-0005-0000-0000-00002F100000}"/>
    <cellStyle name="Normal 2 4 3 7 3 2" xfId="15668" xr:uid="{6D5B7DA2-D3D3-494D-9BB6-FF6151E46453}"/>
    <cellStyle name="Normal 2 4 3 7 3 2 2" xfId="52010" xr:uid="{B9F015C6-4EBA-42F6-88CB-DA6FE67C0625}"/>
    <cellStyle name="Normal 2 4 3 7 3 2 3" xfId="33414" xr:uid="{19C258E5-EC3B-4A12-AC62-B60C829B8BF9}"/>
    <cellStyle name="Normal 2 4 3 7 3 3" xfId="42713" xr:uid="{1DDF85AE-39A9-4A41-A15D-A7341F90A9B5}"/>
    <cellStyle name="Normal 2 4 3 7 3 4" xfId="24115" xr:uid="{E6019A47-AE36-46CD-AA74-AF1F338D35BC}"/>
    <cellStyle name="Normal 2 4 3 7 4" xfId="11451" xr:uid="{5E118DB7-55B5-4DD6-B379-51DAA6A4D91F}"/>
    <cellStyle name="Normal 2 4 3 7 4 2" xfId="47793" xr:uid="{327900FF-4AE3-48BD-8C82-4A6E193C547D}"/>
    <cellStyle name="Normal 2 4 3 7 4 3" xfId="29197" xr:uid="{ED3AD467-B26C-4D12-BBF9-C01DD0DB71B8}"/>
    <cellStyle name="Normal 2 4 3 7 5" xfId="38496" xr:uid="{ADF4CE22-E4C8-44E0-ADC0-45EBF0035058}"/>
    <cellStyle name="Normal 2 4 3 7 6" xfId="19898" xr:uid="{ACA0B630-D797-43E1-AEC3-51B5A15C6A8B}"/>
    <cellStyle name="Normal 2 4 3 8" xfId="2472" xr:uid="{00000000-0005-0000-0000-000030100000}"/>
    <cellStyle name="Normal 2 4 3 8 2" xfId="6755" xr:uid="{00000000-0005-0000-0000-000031100000}"/>
    <cellStyle name="Normal 2 4 3 8 2 2" xfId="16081" xr:uid="{B584C479-05A3-4753-8FDB-A95B6A7BC1CC}"/>
    <cellStyle name="Normal 2 4 3 8 2 2 2" xfId="52423" xr:uid="{85E49EE9-6120-49F2-8BF8-3368C917442B}"/>
    <cellStyle name="Normal 2 4 3 8 2 2 3" xfId="33827" xr:uid="{9B2E52E6-A67B-46A9-AFAF-A136408E647C}"/>
    <cellStyle name="Normal 2 4 3 8 2 3" xfId="43126" xr:uid="{11B3F32A-6537-435C-9183-2DD71E9D3FDB}"/>
    <cellStyle name="Normal 2 4 3 8 2 4" xfId="24528" xr:uid="{B8A86846-FBE0-49A5-8F60-5550E5D19DB5}"/>
    <cellStyle name="Normal 2 4 3 8 3" xfId="11864" xr:uid="{FEA0CA81-338A-4019-9860-B2781070B91F}"/>
    <cellStyle name="Normal 2 4 3 8 3 2" xfId="48206" xr:uid="{02E01DED-7879-4D02-891D-2F5327F20BBB}"/>
    <cellStyle name="Normal 2 4 3 8 3 3" xfId="29610" xr:uid="{441203A1-C9D0-491E-9957-0DDD3A918C23}"/>
    <cellStyle name="Normal 2 4 3 8 4" xfId="38909" xr:uid="{A128703C-7469-4514-9C28-7782E186BFD1}"/>
    <cellStyle name="Normal 2 4 3 8 5" xfId="20311" xr:uid="{284B3B95-41E2-4C1A-A49A-E7F2881D9842}"/>
    <cellStyle name="Normal 2 4 3 9" xfId="4689" xr:uid="{00000000-0005-0000-0000-000032100000}"/>
    <cellStyle name="Normal 2 4 3 9 2" xfId="14015" xr:uid="{E0F7775F-62FD-447B-A3E4-EF37279FE630}"/>
    <cellStyle name="Normal 2 4 3 9 2 2" xfId="50357" xr:uid="{53843247-F354-4EAD-B906-2F368A8F66B7}"/>
    <cellStyle name="Normal 2 4 3 9 2 3" xfId="31761" xr:uid="{2D82C257-8AAA-4843-AC1C-539A94B8352E}"/>
    <cellStyle name="Normal 2 4 3 9 3" xfId="41060" xr:uid="{A853B12A-2F03-4E2D-B63A-C3C7BAACD6B4}"/>
    <cellStyle name="Normal 2 4 3 9 4" xfId="22462" xr:uid="{D7360B09-5A0D-4288-9D4E-699FB19A4F2A}"/>
    <cellStyle name="Normal 2 4 4" xfId="302" xr:uid="{00000000-0005-0000-0000-000033100000}"/>
    <cellStyle name="Normal 2 4 5" xfId="303" xr:uid="{00000000-0005-0000-0000-000034100000}"/>
    <cellStyle name="Normal 2 4 5 10" xfId="4694" xr:uid="{00000000-0005-0000-0000-000035100000}"/>
    <cellStyle name="Normal 2 4 5 10 2" xfId="14020" xr:uid="{6529CE7F-2954-47EE-B59F-4AC960F4F22F}"/>
    <cellStyle name="Normal 2 4 5 10 2 2" xfId="50362" xr:uid="{EB193FEA-6FDF-4605-9359-D859CB56EE48}"/>
    <cellStyle name="Normal 2 4 5 10 2 3" xfId="31766" xr:uid="{9DE5A589-2600-4A29-A5AF-6D221E77860C}"/>
    <cellStyle name="Normal 2 4 5 10 3" xfId="41065" xr:uid="{8DF2B510-34CA-4C41-BD95-E25EC240D704}"/>
    <cellStyle name="Normal 2 4 5 10 4" xfId="22467" xr:uid="{3141AAD6-7072-4B7B-A626-119A5FC49F54}"/>
    <cellStyle name="Normal 2 4 5 11" xfId="8780" xr:uid="{7650B30D-5C17-47F0-B17B-A5E27258C29E}"/>
    <cellStyle name="Normal 2 4 5 11 2" xfId="35850" xr:uid="{1EEC0FED-EAFA-4671-B157-CABDAAFC8428}"/>
    <cellStyle name="Normal 2 4 5 11 2 2" xfId="54445" xr:uid="{68AB8F63-0ECD-4D73-A9B1-D0529909AC13}"/>
    <cellStyle name="Normal 2 4 5 11 3" xfId="45148" xr:uid="{F8320C49-58AC-4E03-9182-BF70DB8AE50F}"/>
    <cellStyle name="Normal 2 4 5 11 4" xfId="26551" xr:uid="{418E8993-4859-4A5E-BDF3-8C6BE7D49B6D}"/>
    <cellStyle name="Normal 2 4 5 12" xfId="9803" xr:uid="{B1CE1696-61F8-4107-92FE-504BBCECEEAC}"/>
    <cellStyle name="Normal 2 4 5 12 2" xfId="46145" xr:uid="{B0B7E4E9-6487-4A7F-A99E-56F7B6FA8F08}"/>
    <cellStyle name="Normal 2 4 5 12 3" xfId="27549" xr:uid="{4E36D62B-4FE8-43CF-9EBB-9FB43F3C9F6D}"/>
    <cellStyle name="Normal 2 4 5 13" xfId="36848" xr:uid="{48B17A1E-07DF-4584-A0C4-AE8A6C87C504}"/>
    <cellStyle name="Normal 2 4 5 14" xfId="18250" xr:uid="{7FCBF8B5-E7DA-4094-911F-AF90940AA20A}"/>
    <cellStyle name="Normal 2 4 5 2" xfId="304" xr:uid="{00000000-0005-0000-0000-000036100000}"/>
    <cellStyle name="Normal 2 4 5 2 10" xfId="8815" xr:uid="{40A5EFE5-2EC9-4F25-B9EC-CAF9321E00F7}"/>
    <cellStyle name="Normal 2 4 5 2 10 2" xfId="35885" xr:uid="{97B9225F-5DCE-45E4-B2BC-7D9D79106A12}"/>
    <cellStyle name="Normal 2 4 5 2 10 2 2" xfId="54480" xr:uid="{07844289-0E65-41DA-B976-6A6D466BF0DC}"/>
    <cellStyle name="Normal 2 4 5 2 10 3" xfId="45183" xr:uid="{24DAF908-1DA2-4451-B384-D416B56145CB}"/>
    <cellStyle name="Normal 2 4 5 2 10 4" xfId="26586" xr:uid="{DF18F63E-8529-4602-899A-2EBBABF2D92C}"/>
    <cellStyle name="Normal 2 4 5 2 11" xfId="9804" xr:uid="{DE5BE725-2527-4F70-A78C-EB0257F40D12}"/>
    <cellStyle name="Normal 2 4 5 2 11 2" xfId="46146" xr:uid="{F8070DAA-D3F4-4255-BA36-B244EA948C97}"/>
    <cellStyle name="Normal 2 4 5 2 11 3" xfId="27550" xr:uid="{0E99686C-50D7-4AA3-B312-D00D7A58CB93}"/>
    <cellStyle name="Normal 2 4 5 2 12" xfId="36849" xr:uid="{E4B9C9F5-A87C-4B7D-AD5A-D5A4DD9CECF3}"/>
    <cellStyle name="Normal 2 4 5 2 13" xfId="18251" xr:uid="{1414AC92-D3B7-447F-9406-3D7339F7DCC8}"/>
    <cellStyle name="Normal 2 4 5 2 2" xfId="305" xr:uid="{00000000-0005-0000-0000-000037100000}"/>
    <cellStyle name="Normal 2 4 5 2 2 10" xfId="9805" xr:uid="{E51732F4-6F74-4015-9255-B7F4F5D6B1CF}"/>
    <cellStyle name="Normal 2 4 5 2 2 10 2" xfId="46147" xr:uid="{5DDE7ECA-C7E5-419B-941A-D3C6848BD0E2}"/>
    <cellStyle name="Normal 2 4 5 2 2 10 3" xfId="27551" xr:uid="{7940119D-01E1-47C1-8EC1-D5969D913733}"/>
    <cellStyle name="Normal 2 4 5 2 2 11" xfId="36850" xr:uid="{EAF72F3D-2980-4F78-B168-0C44D1B5ECD1}"/>
    <cellStyle name="Normal 2 4 5 2 2 12" xfId="18252" xr:uid="{8F910377-9672-4EA2-B457-3793933DF7BC}"/>
    <cellStyle name="Normal 2 4 5 2 2 2" xfId="306" xr:uid="{00000000-0005-0000-0000-000038100000}"/>
    <cellStyle name="Normal 2 4 5 2 2 2 10" xfId="36851" xr:uid="{025041DA-5691-4A16-8ADE-1065AFBFFE24}"/>
    <cellStyle name="Normal 2 4 5 2 2 2 11" xfId="18253" xr:uid="{973D6F7B-2E18-40D2-A080-53C13FC40E02}"/>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16582" xr:uid="{73C000EE-582F-462A-BE51-DF6E1E88842B}"/>
    <cellStyle name="Normal 2 4 5 2 2 2 2 2 2 2 2" xfId="52924" xr:uid="{BE111D51-CBF1-45AA-8BE2-722786E0F02C}"/>
    <cellStyle name="Normal 2 4 5 2 2 2 2 2 2 2 3" xfId="34328" xr:uid="{A5EC0CF7-3B8E-4887-BDCC-CD0C35FDA7CE}"/>
    <cellStyle name="Normal 2 4 5 2 2 2 2 2 2 3" xfId="43627" xr:uid="{001C8BAC-5AA6-47BB-B346-D11F5AF2D8AE}"/>
    <cellStyle name="Normal 2 4 5 2 2 2 2 2 2 4" xfId="25029" xr:uid="{B23CB8FE-4D5E-4B7B-AB55-22D116864BD0}"/>
    <cellStyle name="Normal 2 4 5 2 2 2 2 2 3" xfId="12365" xr:uid="{9A655614-6639-4B86-B5F1-1864B0F75C9E}"/>
    <cellStyle name="Normal 2 4 5 2 2 2 2 2 3 2" xfId="48707" xr:uid="{81BB9F35-F215-4EEF-8853-B3F04AFB3D1D}"/>
    <cellStyle name="Normal 2 4 5 2 2 2 2 2 3 3" xfId="30111" xr:uid="{1A1ABB5C-446C-404B-ADF6-AAC3D3282033}"/>
    <cellStyle name="Normal 2 4 5 2 2 2 2 2 4" xfId="39410" xr:uid="{39CD2C4E-9A46-4944-BC5E-936FF235E515}"/>
    <cellStyle name="Normal 2 4 5 2 2 2 2 2 5" xfId="20812" xr:uid="{033D253A-0C97-4198-80BE-745E8CF1A699}"/>
    <cellStyle name="Normal 2 4 5 2 2 2 2 3" xfId="5111" xr:uid="{00000000-0005-0000-0000-00003C100000}"/>
    <cellStyle name="Normal 2 4 5 2 2 2 2 3 2" xfId="14437" xr:uid="{0DC5A45A-776C-4C02-96F1-5E0D27249FD0}"/>
    <cellStyle name="Normal 2 4 5 2 2 2 2 3 2 2" xfId="50779" xr:uid="{59F1B18E-B4E1-4B42-B5D9-5E3FB777627C}"/>
    <cellStyle name="Normal 2 4 5 2 2 2 2 3 2 3" xfId="32183" xr:uid="{E21FCFB8-840F-42E9-B54A-C9DAA98E2453}"/>
    <cellStyle name="Normal 2 4 5 2 2 2 2 3 3" xfId="41482" xr:uid="{BB4DE1CB-9A8C-40AE-B8E7-DC85609F9300}"/>
    <cellStyle name="Normal 2 4 5 2 2 2 2 3 4" xfId="22884" xr:uid="{71A9FA4E-D628-4D67-B111-8D2414A910E6}"/>
    <cellStyle name="Normal 2 4 5 2 2 2 2 4" xfId="9550" xr:uid="{8A7671EC-AB7E-4F51-9B1B-FE1F0FDC42A9}"/>
    <cellStyle name="Normal 2 4 5 2 2 2 2 4 2" xfId="36611" xr:uid="{EDA7B4F1-C989-4CEA-82C6-7C39C787DA03}"/>
    <cellStyle name="Normal 2 4 5 2 2 2 2 4 2 2" xfId="55205" xr:uid="{C322F52A-136C-4FDF-BDA9-4BBA6CDD7E21}"/>
    <cellStyle name="Normal 2 4 5 2 2 2 2 4 3" xfId="45908" xr:uid="{EEB04318-D716-4156-9D2D-C903AD7ACCC5}"/>
    <cellStyle name="Normal 2 4 5 2 2 2 2 4 4" xfId="27312" xr:uid="{8728ADE5-4663-4B38-B3B2-22550B5F18A8}"/>
    <cellStyle name="Normal 2 4 5 2 2 2 2 5" xfId="10220" xr:uid="{5CE2F809-7219-4220-9322-72EFDA27C0E1}"/>
    <cellStyle name="Normal 2 4 5 2 2 2 2 5 2" xfId="46562" xr:uid="{633DEDF0-B760-477B-ABC0-3E0D80B44C2D}"/>
    <cellStyle name="Normal 2 4 5 2 2 2 2 5 3" xfId="27966" xr:uid="{7141D645-2F7F-4DA4-9CD0-8D0BA837B8C1}"/>
    <cellStyle name="Normal 2 4 5 2 2 2 2 6" xfId="37265" xr:uid="{0BB22B04-5865-44B5-9546-8B12FB46EBE9}"/>
    <cellStyle name="Normal 2 4 5 2 2 2 2 7" xfId="18667" xr:uid="{DB8F7177-5943-438F-B5B3-8BFFE3086B74}"/>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16995" xr:uid="{D5D62848-713E-4A13-BCEE-BDABA97E580B}"/>
    <cellStyle name="Normal 2 4 5 2 2 2 3 2 2 2 2" xfId="53337" xr:uid="{6F30E0C1-C596-40FB-B667-62102D9792DD}"/>
    <cellStyle name="Normal 2 4 5 2 2 2 3 2 2 2 3" xfId="34741" xr:uid="{32BF3402-4516-408D-BA21-00AEBD65B779}"/>
    <cellStyle name="Normal 2 4 5 2 2 2 3 2 2 3" xfId="44040" xr:uid="{53FF8B56-9438-4E29-A92D-220742667617}"/>
    <cellStyle name="Normal 2 4 5 2 2 2 3 2 2 4" xfId="25442" xr:uid="{2518752C-AAF1-4428-9E87-9F35FF2E2F00}"/>
    <cellStyle name="Normal 2 4 5 2 2 2 3 2 3" xfId="12778" xr:uid="{42C599D6-FFE2-40DE-B4AE-8422B2FAE1E4}"/>
    <cellStyle name="Normal 2 4 5 2 2 2 3 2 3 2" xfId="49120" xr:uid="{2049F721-C6CE-4457-9773-7768F72390FE}"/>
    <cellStyle name="Normal 2 4 5 2 2 2 3 2 3 3" xfId="30524" xr:uid="{2060C5F6-E5B6-4C89-8561-110FC0B1D2F2}"/>
    <cellStyle name="Normal 2 4 5 2 2 2 3 2 4" xfId="39823" xr:uid="{9CAA95A1-B9A1-4AA7-963B-DF163B65A3E7}"/>
    <cellStyle name="Normal 2 4 5 2 2 2 3 2 5" xfId="21225" xr:uid="{A62BB4C8-E45A-4438-A4E3-0D4FE70DADDB}"/>
    <cellStyle name="Normal 2 4 5 2 2 2 3 3" xfId="5524" xr:uid="{00000000-0005-0000-0000-000040100000}"/>
    <cellStyle name="Normal 2 4 5 2 2 2 3 3 2" xfId="14850" xr:uid="{D5BBA5BC-DD2F-4247-85CD-FDE988123BC8}"/>
    <cellStyle name="Normal 2 4 5 2 2 2 3 3 2 2" xfId="51192" xr:uid="{5210349D-1ED9-4FBF-AFD0-F4829D38343D}"/>
    <cellStyle name="Normal 2 4 5 2 2 2 3 3 2 3" xfId="32596" xr:uid="{7E79AAC8-33B6-453C-AE30-315D03616C69}"/>
    <cellStyle name="Normal 2 4 5 2 2 2 3 3 3" xfId="41895" xr:uid="{53ABBEA0-4F89-4F4F-AE77-C8F9728296A5}"/>
    <cellStyle name="Normal 2 4 5 2 2 2 3 3 4" xfId="23297" xr:uid="{771015E0-39E2-4C9F-A7E9-17D2009451C5}"/>
    <cellStyle name="Normal 2 4 5 2 2 2 3 4" xfId="10633" xr:uid="{8973FBF8-E84A-4BC9-A813-09B1335ABC4D}"/>
    <cellStyle name="Normal 2 4 5 2 2 2 3 4 2" xfId="46975" xr:uid="{0515BB6C-DC9A-41A8-8167-EE6E4351DA2C}"/>
    <cellStyle name="Normal 2 4 5 2 2 2 3 4 3" xfId="28379" xr:uid="{C762512C-E9BF-4BC0-B32F-D03A2A0655C6}"/>
    <cellStyle name="Normal 2 4 5 2 2 2 3 5" xfId="37678" xr:uid="{8AC9BCF8-70B4-4CAC-A596-631F77FF1D8C}"/>
    <cellStyle name="Normal 2 4 5 2 2 2 3 6" xfId="19080" xr:uid="{053C3118-5CB8-4762-A7DA-C60088824056}"/>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17408" xr:uid="{BCFF6742-ABFA-435C-B62D-2D4B0A8156EC}"/>
    <cellStyle name="Normal 2 4 5 2 2 2 4 2 2 2 2" xfId="53750" xr:uid="{0873AACC-E8D9-4B80-BE5D-097452A0E098}"/>
    <cellStyle name="Normal 2 4 5 2 2 2 4 2 2 2 3" xfId="35154" xr:uid="{E30E054F-A286-472D-AA5A-B165FBA5DC5A}"/>
    <cellStyle name="Normal 2 4 5 2 2 2 4 2 2 3" xfId="44453" xr:uid="{A612CD34-CFAE-4965-B1D0-89D8B0314253}"/>
    <cellStyle name="Normal 2 4 5 2 2 2 4 2 2 4" xfId="25855" xr:uid="{6F2727D9-BD43-4C3A-9A23-2BB85097095B}"/>
    <cellStyle name="Normal 2 4 5 2 2 2 4 2 3" xfId="13191" xr:uid="{86DE8D88-D64A-44BA-995A-04D8FDA10642}"/>
    <cellStyle name="Normal 2 4 5 2 2 2 4 2 3 2" xfId="49533" xr:uid="{A68A44AD-6F8F-417A-A9A1-91FDDFDDC381}"/>
    <cellStyle name="Normal 2 4 5 2 2 2 4 2 3 3" xfId="30937" xr:uid="{A2CE92F3-2C16-4214-903B-13A548A6A7C9}"/>
    <cellStyle name="Normal 2 4 5 2 2 2 4 2 4" xfId="40236" xr:uid="{2C48F0AB-1AC3-4865-B6A1-997F959DEC42}"/>
    <cellStyle name="Normal 2 4 5 2 2 2 4 2 5" xfId="21638" xr:uid="{F579E74A-9AEE-4A58-995D-84B8DA4D6FB0}"/>
    <cellStyle name="Normal 2 4 5 2 2 2 4 3" xfId="5937" xr:uid="{00000000-0005-0000-0000-000044100000}"/>
    <cellStyle name="Normal 2 4 5 2 2 2 4 3 2" xfId="15263" xr:uid="{28CFC174-BB2E-445F-A862-31911DDF7094}"/>
    <cellStyle name="Normal 2 4 5 2 2 2 4 3 2 2" xfId="51605" xr:uid="{B8CC9A57-27AE-4C09-AD66-754CA39BA8DA}"/>
    <cellStyle name="Normal 2 4 5 2 2 2 4 3 2 3" xfId="33009" xr:uid="{43B4D1B0-874C-405A-B31F-2E75B850C18D}"/>
    <cellStyle name="Normal 2 4 5 2 2 2 4 3 3" xfId="42308" xr:uid="{070DB696-F2A4-4526-938E-75A0C463C249}"/>
    <cellStyle name="Normal 2 4 5 2 2 2 4 3 4" xfId="23710" xr:uid="{AAB250E7-E61F-4709-91BE-1D9668952835}"/>
    <cellStyle name="Normal 2 4 5 2 2 2 4 4" xfId="11046" xr:uid="{226D1CAA-D420-4922-B68B-73F2001E5DA1}"/>
    <cellStyle name="Normal 2 4 5 2 2 2 4 4 2" xfId="47388" xr:uid="{E843025A-AB93-4D00-91A9-126C39B46505}"/>
    <cellStyle name="Normal 2 4 5 2 2 2 4 4 3" xfId="28792" xr:uid="{2D6CC685-1983-499F-8175-22C351A0DE2D}"/>
    <cellStyle name="Normal 2 4 5 2 2 2 4 5" xfId="38091" xr:uid="{6842E54A-D1F0-4E50-8659-E4E36376F19F}"/>
    <cellStyle name="Normal 2 4 5 2 2 2 4 6" xfId="19493" xr:uid="{028F24F4-6302-428B-9FE1-6A75A5FED834}"/>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17821" xr:uid="{B630A633-13E1-4FE7-AB00-1E7DB8B1625A}"/>
    <cellStyle name="Normal 2 4 5 2 2 2 5 2 2 2 2" xfId="54163" xr:uid="{CC82343C-8BDD-4672-A625-EFD0382FCBB2}"/>
    <cellStyle name="Normal 2 4 5 2 2 2 5 2 2 2 3" xfId="35567" xr:uid="{403DC067-AC93-4004-8BF4-F8E1EAE1FE36}"/>
    <cellStyle name="Normal 2 4 5 2 2 2 5 2 2 3" xfId="44866" xr:uid="{42E312C1-48E7-4A86-8D50-C8A8C0AB6006}"/>
    <cellStyle name="Normal 2 4 5 2 2 2 5 2 2 4" xfId="26268" xr:uid="{95326399-AF71-4D4C-9174-709C69A56451}"/>
    <cellStyle name="Normal 2 4 5 2 2 2 5 2 3" xfId="13604" xr:uid="{CFD2B02D-5700-4FA7-9E50-23775FFA2107}"/>
    <cellStyle name="Normal 2 4 5 2 2 2 5 2 3 2" xfId="49946" xr:uid="{4C35BEC0-4B55-442F-A49A-4A9B8A320EFE}"/>
    <cellStyle name="Normal 2 4 5 2 2 2 5 2 3 3" xfId="31350" xr:uid="{44382A40-8059-41AB-A378-87627C28F4BE}"/>
    <cellStyle name="Normal 2 4 5 2 2 2 5 2 4" xfId="40649" xr:uid="{A7BF2561-A852-4B31-988D-6F9F595E990D}"/>
    <cellStyle name="Normal 2 4 5 2 2 2 5 2 5" xfId="22051" xr:uid="{ABC6E77C-68C5-4FE1-B952-24BD588216B0}"/>
    <cellStyle name="Normal 2 4 5 2 2 2 5 3" xfId="6350" xr:uid="{00000000-0005-0000-0000-000048100000}"/>
    <cellStyle name="Normal 2 4 5 2 2 2 5 3 2" xfId="15676" xr:uid="{7567D006-63D2-4443-82C3-C6DFC959745D}"/>
    <cellStyle name="Normal 2 4 5 2 2 2 5 3 2 2" xfId="52018" xr:uid="{116242D5-EE33-4EAD-ACB2-987BBA1BC21B}"/>
    <cellStyle name="Normal 2 4 5 2 2 2 5 3 2 3" xfId="33422" xr:uid="{3458EFCE-3BEA-49E0-A0CB-156A45B857F4}"/>
    <cellStyle name="Normal 2 4 5 2 2 2 5 3 3" xfId="42721" xr:uid="{7C48FBC5-6861-42C8-97D8-4FDCFCCE9EBC}"/>
    <cellStyle name="Normal 2 4 5 2 2 2 5 3 4" xfId="24123" xr:uid="{09C9EA34-F95D-44CA-9994-3491B3D45CA0}"/>
    <cellStyle name="Normal 2 4 5 2 2 2 5 4" xfId="11459" xr:uid="{12013BA3-F4CD-4829-BC0D-DAF2A56FCCD1}"/>
    <cellStyle name="Normal 2 4 5 2 2 2 5 4 2" xfId="47801" xr:uid="{5F329C24-B3CA-4608-9513-A4A01DB1078D}"/>
    <cellStyle name="Normal 2 4 5 2 2 2 5 4 3" xfId="29205" xr:uid="{80EF3F4E-E71D-43DF-9483-2A5F268B446F}"/>
    <cellStyle name="Normal 2 4 5 2 2 2 5 5" xfId="38504" xr:uid="{46FADB40-7862-417D-9B17-74DF82A05C07}"/>
    <cellStyle name="Normal 2 4 5 2 2 2 5 6" xfId="19906" xr:uid="{F06A68A3-4A2F-4D65-9707-20D4C1117DC7}"/>
    <cellStyle name="Normal 2 4 5 2 2 2 6" xfId="2480" xr:uid="{00000000-0005-0000-0000-000049100000}"/>
    <cellStyle name="Normal 2 4 5 2 2 2 6 2" xfId="6763" xr:uid="{00000000-0005-0000-0000-00004A100000}"/>
    <cellStyle name="Normal 2 4 5 2 2 2 6 2 2" xfId="16089" xr:uid="{0BE622E8-49FF-41AF-8D6B-0E0A4AF019DC}"/>
    <cellStyle name="Normal 2 4 5 2 2 2 6 2 2 2" xfId="52431" xr:uid="{DC92F53A-F5A6-4F23-A100-2187F4E01AC9}"/>
    <cellStyle name="Normal 2 4 5 2 2 2 6 2 2 3" xfId="33835" xr:uid="{4913D403-A78B-45CB-9B56-27EA0F5A471C}"/>
    <cellStyle name="Normal 2 4 5 2 2 2 6 2 3" xfId="43134" xr:uid="{C32FF334-BB96-4258-9B87-75F845F53AB7}"/>
    <cellStyle name="Normal 2 4 5 2 2 2 6 2 4" xfId="24536" xr:uid="{2E9580E5-549B-4D48-A6BE-E0E7E28B31F0}"/>
    <cellStyle name="Normal 2 4 5 2 2 2 6 3" xfId="11872" xr:uid="{BBD338B4-F60E-4B23-A3C8-EDFE08D7C5DF}"/>
    <cellStyle name="Normal 2 4 5 2 2 2 6 3 2" xfId="48214" xr:uid="{F2383581-5CCC-449D-9DD7-383DB9FA1492}"/>
    <cellStyle name="Normal 2 4 5 2 2 2 6 3 3" xfId="29618" xr:uid="{8ABCEEFE-27D4-45E4-AB09-EFAA896C32D4}"/>
    <cellStyle name="Normal 2 4 5 2 2 2 6 4" xfId="38917" xr:uid="{CBA5542D-4E01-44CA-825B-1FC1870BB153}"/>
    <cellStyle name="Normal 2 4 5 2 2 2 6 5" xfId="20319" xr:uid="{C84D420A-56D9-449D-BE45-BFA77B11FF2B}"/>
    <cellStyle name="Normal 2 4 5 2 2 2 7" xfId="4697" xr:uid="{00000000-0005-0000-0000-00004B100000}"/>
    <cellStyle name="Normal 2 4 5 2 2 2 7 2" xfId="14023" xr:uid="{2A73AEB2-5DD3-4C0D-A690-3BEB77E2C826}"/>
    <cellStyle name="Normal 2 4 5 2 2 2 7 2 2" xfId="50365" xr:uid="{7D7C009D-BD2B-4755-945D-BF1B0A98FCE7}"/>
    <cellStyle name="Normal 2 4 5 2 2 2 7 2 3" xfId="31769" xr:uid="{6FD46F4D-8381-4F60-BAB6-838FAD406B14}"/>
    <cellStyle name="Normal 2 4 5 2 2 2 7 3" xfId="41068" xr:uid="{A7FDFA76-C536-4599-B3F2-4E5E99627903}"/>
    <cellStyle name="Normal 2 4 5 2 2 2 7 4" xfId="22470" xr:uid="{69AC597B-68A2-4807-B424-589250000709}"/>
    <cellStyle name="Normal 2 4 5 2 2 2 8" xfId="9125" xr:uid="{AE6B93A1-5C0B-49F1-AF15-6FC3FAFFE3B2}"/>
    <cellStyle name="Normal 2 4 5 2 2 2 8 2" xfId="36195" xr:uid="{BB5229EB-CBA6-4CFF-8D62-0A25141E929A}"/>
    <cellStyle name="Normal 2 4 5 2 2 2 8 2 2" xfId="54790" xr:uid="{210B6EBB-2BDB-4F41-BC5F-143CCB7E8B6F}"/>
    <cellStyle name="Normal 2 4 5 2 2 2 8 3" xfId="45493" xr:uid="{EC57EEA2-12FC-416A-8E90-1044FEE5F3D3}"/>
    <cellStyle name="Normal 2 4 5 2 2 2 8 4" xfId="26896" xr:uid="{ABF603C2-EA9A-4F2B-BE1D-6CD51BDA95D8}"/>
    <cellStyle name="Normal 2 4 5 2 2 2 9" xfId="9806" xr:uid="{2207A0AD-A29F-42FF-A742-819CD215714E}"/>
    <cellStyle name="Normal 2 4 5 2 2 2 9 2" xfId="46148" xr:uid="{9F926BAA-4AC6-49D3-8A3E-DE7DC41364C1}"/>
    <cellStyle name="Normal 2 4 5 2 2 2 9 3" xfId="27552" xr:uid="{BA2B6DB9-94B4-462B-825C-3DEC27E7298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16581" xr:uid="{F7312754-1FD8-4D59-B4DC-8953D521C453}"/>
    <cellStyle name="Normal 2 4 5 2 2 3 2 2 2 2" xfId="52923" xr:uid="{5B0AA446-CC9A-4D51-B820-AF22BA639751}"/>
    <cellStyle name="Normal 2 4 5 2 2 3 2 2 2 3" xfId="34327" xr:uid="{CC9C4045-DB9D-49CC-9CB6-852F6A9D285F}"/>
    <cellStyle name="Normal 2 4 5 2 2 3 2 2 3" xfId="43626" xr:uid="{E9F7919D-8E28-4FEC-9726-9116267B6CE8}"/>
    <cellStyle name="Normal 2 4 5 2 2 3 2 2 4" xfId="25028" xr:uid="{4AC19707-ED1D-4FDF-A943-5FBB49C1D504}"/>
    <cellStyle name="Normal 2 4 5 2 2 3 2 3" xfId="12364" xr:uid="{DB73B889-36FA-4A25-B429-438D30219606}"/>
    <cellStyle name="Normal 2 4 5 2 2 3 2 3 2" xfId="48706" xr:uid="{4EC2DE29-2168-410E-B0F3-0E5ABE3C9AED}"/>
    <cellStyle name="Normal 2 4 5 2 2 3 2 3 3" xfId="30110" xr:uid="{8EF424DD-CD5C-48A8-8E74-4C3F696B66F3}"/>
    <cellStyle name="Normal 2 4 5 2 2 3 2 4" xfId="39409" xr:uid="{D4ABD272-3473-4A19-860F-2C986EB2ED16}"/>
    <cellStyle name="Normal 2 4 5 2 2 3 2 5" xfId="20811" xr:uid="{C34D6B50-C1D3-4675-A877-F24259879668}"/>
    <cellStyle name="Normal 2 4 5 2 2 3 3" xfId="5110" xr:uid="{00000000-0005-0000-0000-00004F100000}"/>
    <cellStyle name="Normal 2 4 5 2 2 3 3 2" xfId="14436" xr:uid="{5565AD4F-6ABF-44A0-9C86-EC0E7E815725}"/>
    <cellStyle name="Normal 2 4 5 2 2 3 3 2 2" xfId="50778" xr:uid="{D1D7A2D5-F851-40CF-9274-C6C47EFCF9D7}"/>
    <cellStyle name="Normal 2 4 5 2 2 3 3 2 3" xfId="32182" xr:uid="{93EA4B4C-A4BE-44AA-A8A7-4BE6BC1C5B9B}"/>
    <cellStyle name="Normal 2 4 5 2 2 3 3 3" xfId="41481" xr:uid="{D04D8D7B-252D-43C0-AD59-7D9842B0A14C}"/>
    <cellStyle name="Normal 2 4 5 2 2 3 3 4" xfId="22883" xr:uid="{66B1E99A-1B91-47A1-B28B-E8CD64E735BB}"/>
    <cellStyle name="Normal 2 4 5 2 2 3 4" xfId="9343" xr:uid="{FC4CD386-4202-45E2-8021-2A85CACF4E8B}"/>
    <cellStyle name="Normal 2 4 5 2 2 3 4 2" xfId="36404" xr:uid="{D195347A-37F1-4854-8B15-FFBDC7EEC35C}"/>
    <cellStyle name="Normal 2 4 5 2 2 3 4 2 2" xfId="54998" xr:uid="{6131F393-E3B0-4155-9A8E-4B89D3FE7B33}"/>
    <cellStyle name="Normal 2 4 5 2 2 3 4 3" xfId="45701" xr:uid="{7F961177-5E66-4723-893D-7CAEC00BC6A2}"/>
    <cellStyle name="Normal 2 4 5 2 2 3 4 4" xfId="27105" xr:uid="{82ECAE6D-6230-4ABF-958E-440999E3CEE8}"/>
    <cellStyle name="Normal 2 4 5 2 2 3 5" xfId="10219" xr:uid="{11BA2784-A714-486F-8181-511F45503B89}"/>
    <cellStyle name="Normal 2 4 5 2 2 3 5 2" xfId="46561" xr:uid="{5689D7E4-5EB0-4233-9391-523FE804BE2B}"/>
    <cellStyle name="Normal 2 4 5 2 2 3 5 3" xfId="27965" xr:uid="{4A65B8D9-CA63-4153-8026-77B15ACA516A}"/>
    <cellStyle name="Normal 2 4 5 2 2 3 6" xfId="37264" xr:uid="{602BDB0B-6262-4C2C-9A38-96CBD592C268}"/>
    <cellStyle name="Normal 2 4 5 2 2 3 7" xfId="18666" xr:uid="{9ABB8512-13F7-47F5-919D-7726EB153A92}"/>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16994" xr:uid="{869B6439-EC83-4597-8B19-7A53B1D68104}"/>
    <cellStyle name="Normal 2 4 5 2 2 4 2 2 2 2" xfId="53336" xr:uid="{C3F3079D-33A6-4D8B-802F-4C3A647B39CD}"/>
    <cellStyle name="Normal 2 4 5 2 2 4 2 2 2 3" xfId="34740" xr:uid="{105C064F-D1A8-4C08-847B-014A4EC2F66B}"/>
    <cellStyle name="Normal 2 4 5 2 2 4 2 2 3" xfId="44039" xr:uid="{FCBF215A-BE5A-4C62-80CB-0D0E1B2197FC}"/>
    <cellStyle name="Normal 2 4 5 2 2 4 2 2 4" xfId="25441" xr:uid="{A3FCACD4-3064-4416-BD47-6A784E0CB152}"/>
    <cellStyle name="Normal 2 4 5 2 2 4 2 3" xfId="12777" xr:uid="{9382A119-AC54-402A-87F1-727E7DC86581}"/>
    <cellStyle name="Normal 2 4 5 2 2 4 2 3 2" xfId="49119" xr:uid="{536FA13D-B5D7-419D-AA0D-C11C83A6C87E}"/>
    <cellStyle name="Normal 2 4 5 2 2 4 2 3 3" xfId="30523" xr:uid="{A426E039-A812-4235-B5D1-2D7ABB6D0895}"/>
    <cellStyle name="Normal 2 4 5 2 2 4 2 4" xfId="39822" xr:uid="{94D4E08D-31C7-4DDB-B50D-55D2107A2EF5}"/>
    <cellStyle name="Normal 2 4 5 2 2 4 2 5" xfId="21224" xr:uid="{A916034F-C3FB-43EB-9BB0-A079311518EB}"/>
    <cellStyle name="Normal 2 4 5 2 2 4 3" xfId="5523" xr:uid="{00000000-0005-0000-0000-000053100000}"/>
    <cellStyle name="Normal 2 4 5 2 2 4 3 2" xfId="14849" xr:uid="{22A24656-A83B-45F4-98C1-BE3C0993020E}"/>
    <cellStyle name="Normal 2 4 5 2 2 4 3 2 2" xfId="51191" xr:uid="{33CDFED8-CF80-4F00-B80E-A9D907400142}"/>
    <cellStyle name="Normal 2 4 5 2 2 4 3 2 3" xfId="32595" xr:uid="{DA745C7A-6510-4669-BB30-C26EF771497E}"/>
    <cellStyle name="Normal 2 4 5 2 2 4 3 3" xfId="41894" xr:uid="{BB59A7C2-637A-442B-A7A3-C9EE6BCE1216}"/>
    <cellStyle name="Normal 2 4 5 2 2 4 3 4" xfId="23296" xr:uid="{4AE1AD9B-7299-4851-BA06-167EB43B9795}"/>
    <cellStyle name="Normal 2 4 5 2 2 4 4" xfId="10632" xr:uid="{4FC2F3DF-803D-42F7-9D87-7D9B7A611A6B}"/>
    <cellStyle name="Normal 2 4 5 2 2 4 4 2" xfId="46974" xr:uid="{8EA95D59-D9F6-4304-A700-4E8E20EBCD37}"/>
    <cellStyle name="Normal 2 4 5 2 2 4 4 3" xfId="28378" xr:uid="{66AA53FF-A10E-4F9D-BA47-058D693F5CEB}"/>
    <cellStyle name="Normal 2 4 5 2 2 4 5" xfId="37677" xr:uid="{111C2E5A-B469-434D-8F08-89A5B39AF459}"/>
    <cellStyle name="Normal 2 4 5 2 2 4 6" xfId="19079" xr:uid="{F3093ECA-8777-4FB4-AEF3-3EDDBA766BF5}"/>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17407" xr:uid="{C539EC73-CF54-49AE-B587-0FF11305DAF4}"/>
    <cellStyle name="Normal 2 4 5 2 2 5 2 2 2 2" xfId="53749" xr:uid="{D163B706-A384-4D39-A8EF-4D0818A99BC1}"/>
    <cellStyle name="Normal 2 4 5 2 2 5 2 2 2 3" xfId="35153" xr:uid="{3399D483-93EE-49B1-8C58-C0CC8BD5FCA3}"/>
    <cellStyle name="Normal 2 4 5 2 2 5 2 2 3" xfId="44452" xr:uid="{315D15E8-C4EA-4BFD-AD87-D7FB159E42A6}"/>
    <cellStyle name="Normal 2 4 5 2 2 5 2 2 4" xfId="25854" xr:uid="{366BA222-CB56-4F19-994A-FC6C1D1082B0}"/>
    <cellStyle name="Normal 2 4 5 2 2 5 2 3" xfId="13190" xr:uid="{1BEDF2EF-B224-463B-97AF-B18B206B1466}"/>
    <cellStyle name="Normal 2 4 5 2 2 5 2 3 2" xfId="49532" xr:uid="{500398AA-3F4A-491B-8B7F-04C1378C48DE}"/>
    <cellStyle name="Normal 2 4 5 2 2 5 2 3 3" xfId="30936" xr:uid="{47DBEB52-B4AF-4C3C-8078-47EA125628A6}"/>
    <cellStyle name="Normal 2 4 5 2 2 5 2 4" xfId="40235" xr:uid="{BEA05A81-4A44-4B41-8271-101E01D83618}"/>
    <cellStyle name="Normal 2 4 5 2 2 5 2 5" xfId="21637" xr:uid="{BF84CD79-4355-4346-80B6-0A42DC116526}"/>
    <cellStyle name="Normal 2 4 5 2 2 5 3" xfId="5936" xr:uid="{00000000-0005-0000-0000-000057100000}"/>
    <cellStyle name="Normal 2 4 5 2 2 5 3 2" xfId="15262" xr:uid="{03EF7FD3-CBF0-4B6D-9311-864FC8F0B05A}"/>
    <cellStyle name="Normal 2 4 5 2 2 5 3 2 2" xfId="51604" xr:uid="{975DE796-0455-4198-89D1-8D9CB92CC448}"/>
    <cellStyle name="Normal 2 4 5 2 2 5 3 2 3" xfId="33008" xr:uid="{2A919533-4AD1-45D3-B530-268E9FBDD8B0}"/>
    <cellStyle name="Normal 2 4 5 2 2 5 3 3" xfId="42307" xr:uid="{A2FA04F5-E33C-4BB4-9EE2-60A37F654E3A}"/>
    <cellStyle name="Normal 2 4 5 2 2 5 3 4" xfId="23709" xr:uid="{D975C905-CB7F-4CAC-83B0-970595CA5AFA}"/>
    <cellStyle name="Normal 2 4 5 2 2 5 4" xfId="11045" xr:uid="{883B31F9-742C-4458-8E15-2547099D6E11}"/>
    <cellStyle name="Normal 2 4 5 2 2 5 4 2" xfId="47387" xr:uid="{35783FEA-A9D2-4EF6-8945-6E61E692F694}"/>
    <cellStyle name="Normal 2 4 5 2 2 5 4 3" xfId="28791" xr:uid="{E0053469-F509-4876-8BAE-FD0981AD4E91}"/>
    <cellStyle name="Normal 2 4 5 2 2 5 5" xfId="38090" xr:uid="{EFAF3F6F-19DF-4BD3-9E40-D96F41BAFDD6}"/>
    <cellStyle name="Normal 2 4 5 2 2 5 6" xfId="19492" xr:uid="{2C690245-BAB5-43A2-A1D5-506B856361EA}"/>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17820" xr:uid="{5A506461-CC2A-4E42-BCBC-4CE894FD527B}"/>
    <cellStyle name="Normal 2 4 5 2 2 6 2 2 2 2" xfId="54162" xr:uid="{46FEF426-E4BD-4FEA-9FC4-C795D78BCD4F}"/>
    <cellStyle name="Normal 2 4 5 2 2 6 2 2 2 3" xfId="35566" xr:uid="{2DF1D247-5119-4DF4-9E8E-94FAA7086866}"/>
    <cellStyle name="Normal 2 4 5 2 2 6 2 2 3" xfId="44865" xr:uid="{27D10A67-3AE4-4FA3-AD14-821F61DC4243}"/>
    <cellStyle name="Normal 2 4 5 2 2 6 2 2 4" xfId="26267" xr:uid="{38FB3F4E-7271-43F7-B9EB-087560E35F81}"/>
    <cellStyle name="Normal 2 4 5 2 2 6 2 3" xfId="13603" xr:uid="{687910B4-4BF8-4152-8401-A96DB1D7FA4E}"/>
    <cellStyle name="Normal 2 4 5 2 2 6 2 3 2" xfId="49945" xr:uid="{7E2AE136-D7E8-4CCD-9A11-5D014BDCC729}"/>
    <cellStyle name="Normal 2 4 5 2 2 6 2 3 3" xfId="31349" xr:uid="{B6E445FB-153B-438D-B4B7-579BB373D57B}"/>
    <cellStyle name="Normal 2 4 5 2 2 6 2 4" xfId="40648" xr:uid="{AA1DF0DE-20D8-41A9-8C59-EEB6B01D4091}"/>
    <cellStyle name="Normal 2 4 5 2 2 6 2 5" xfId="22050" xr:uid="{4C84BFF0-904E-4DA7-BE08-63B84FEDA7FC}"/>
    <cellStyle name="Normal 2 4 5 2 2 6 3" xfId="6349" xr:uid="{00000000-0005-0000-0000-00005B100000}"/>
    <cellStyle name="Normal 2 4 5 2 2 6 3 2" xfId="15675" xr:uid="{B19F9603-3BEE-43D4-B9DD-210A47FCFEFB}"/>
    <cellStyle name="Normal 2 4 5 2 2 6 3 2 2" xfId="52017" xr:uid="{941837BF-C7A6-4A2D-BC2C-0BF11BA55975}"/>
    <cellStyle name="Normal 2 4 5 2 2 6 3 2 3" xfId="33421" xr:uid="{DE636FB0-AF84-40A9-AA50-3B2D22CE9DF0}"/>
    <cellStyle name="Normal 2 4 5 2 2 6 3 3" xfId="42720" xr:uid="{D64ADCA7-50B0-4E43-9D69-B97D27B80299}"/>
    <cellStyle name="Normal 2 4 5 2 2 6 3 4" xfId="24122" xr:uid="{9C88AC33-8E75-4E8B-B33B-34D497C71E6D}"/>
    <cellStyle name="Normal 2 4 5 2 2 6 4" xfId="11458" xr:uid="{38C8FC34-C07B-4F71-A4C7-7809ADB9028A}"/>
    <cellStyle name="Normal 2 4 5 2 2 6 4 2" xfId="47800" xr:uid="{6FBFBA81-83CB-49F2-AB24-5A5A37FABCF3}"/>
    <cellStyle name="Normal 2 4 5 2 2 6 4 3" xfId="29204" xr:uid="{FC250D78-8F93-4A89-8289-1E94F9E03EF7}"/>
    <cellStyle name="Normal 2 4 5 2 2 6 5" xfId="38503" xr:uid="{19B0C92E-227C-4CF0-A496-634684BF8F6D}"/>
    <cellStyle name="Normal 2 4 5 2 2 6 6" xfId="19905" xr:uid="{7B2D5848-E661-43C5-A858-AEB77D6F654B}"/>
    <cellStyle name="Normal 2 4 5 2 2 7" xfId="2479" xr:uid="{00000000-0005-0000-0000-00005C100000}"/>
    <cellStyle name="Normal 2 4 5 2 2 7 2" xfId="6762" xr:uid="{00000000-0005-0000-0000-00005D100000}"/>
    <cellStyle name="Normal 2 4 5 2 2 7 2 2" xfId="16088" xr:uid="{327AB3B8-0FA0-4271-A532-F6FBB956E1CD}"/>
    <cellStyle name="Normal 2 4 5 2 2 7 2 2 2" xfId="52430" xr:uid="{C9C9ECB4-BD84-4D59-8941-F3C94964A055}"/>
    <cellStyle name="Normal 2 4 5 2 2 7 2 2 3" xfId="33834" xr:uid="{A1242CCC-F8EE-428E-9988-52D9FF3BFAD6}"/>
    <cellStyle name="Normal 2 4 5 2 2 7 2 3" xfId="43133" xr:uid="{ED8C3008-EFE3-49AC-9CF3-600EA82D2F9A}"/>
    <cellStyle name="Normal 2 4 5 2 2 7 2 4" xfId="24535" xr:uid="{EB2FA58A-91EF-46AB-8C74-7F053E673C68}"/>
    <cellStyle name="Normal 2 4 5 2 2 7 3" xfId="11871" xr:uid="{27AB3B9A-170C-443A-A94D-69A9BBD0A642}"/>
    <cellStyle name="Normal 2 4 5 2 2 7 3 2" xfId="48213" xr:uid="{89D8DB44-0195-4D67-9AB7-78194C266768}"/>
    <cellStyle name="Normal 2 4 5 2 2 7 3 3" xfId="29617" xr:uid="{72C84D90-EE80-4336-A0A4-56430F98BB4A}"/>
    <cellStyle name="Normal 2 4 5 2 2 7 4" xfId="38916" xr:uid="{23CB5513-D321-4843-BC5D-1753AA9049CE}"/>
    <cellStyle name="Normal 2 4 5 2 2 7 5" xfId="20318" xr:uid="{8C2BF361-E301-4E02-B5BE-9DD4A2482460}"/>
    <cellStyle name="Normal 2 4 5 2 2 8" xfId="4696" xr:uid="{00000000-0005-0000-0000-00005E100000}"/>
    <cellStyle name="Normal 2 4 5 2 2 8 2" xfId="14022" xr:uid="{815188C2-2E60-4C11-A7EB-B00BA9876839}"/>
    <cellStyle name="Normal 2 4 5 2 2 8 2 2" xfId="50364" xr:uid="{CF1F9097-4267-4125-BABF-1C0208A74409}"/>
    <cellStyle name="Normal 2 4 5 2 2 8 2 3" xfId="31768" xr:uid="{3287CD52-DC57-4170-84D6-E0EB305AD3F8}"/>
    <cellStyle name="Normal 2 4 5 2 2 8 3" xfId="41067" xr:uid="{A28DDEE5-38F5-448D-B68A-6B377ECD9F2D}"/>
    <cellStyle name="Normal 2 4 5 2 2 8 4" xfId="22469" xr:uid="{B3E04325-CA0F-4815-AA54-828BCD0106FB}"/>
    <cellStyle name="Normal 2 4 5 2 2 9" xfId="8918" xr:uid="{C191AFB9-5B9B-45BF-8589-0BB68E370D0F}"/>
    <cellStyle name="Normal 2 4 5 2 2 9 2" xfId="35988" xr:uid="{F26010EE-836A-45CD-ADE3-C5BB5FC46865}"/>
    <cellStyle name="Normal 2 4 5 2 2 9 2 2" xfId="54583" xr:uid="{03D15DCE-91DA-4DED-AA6A-CF3E95E50F5B}"/>
    <cellStyle name="Normal 2 4 5 2 2 9 3" xfId="45286" xr:uid="{AEF3EBE2-6FC4-4AAF-B757-DEA15448EFD9}"/>
    <cellStyle name="Normal 2 4 5 2 2 9 4" xfId="26689" xr:uid="{8944880B-C5E4-46B9-9768-A9FCB71ED4E1}"/>
    <cellStyle name="Normal 2 4 5 2 3" xfId="307" xr:uid="{00000000-0005-0000-0000-00005F100000}"/>
    <cellStyle name="Normal 2 4 5 2 3 10" xfId="36852" xr:uid="{3C95A66E-40D8-451F-858A-AA47B4C19964}"/>
    <cellStyle name="Normal 2 4 5 2 3 11" xfId="18254" xr:uid="{DFE0B6CA-7AB6-4F50-9D01-9EE8835357CF}"/>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16583" xr:uid="{9F6D9CA4-1B2C-406B-ADBA-1E1D3A8176CE}"/>
    <cellStyle name="Normal 2 4 5 2 3 2 2 2 2 2" xfId="52925" xr:uid="{BC58F9B1-D930-40EF-9044-3829CE36200E}"/>
    <cellStyle name="Normal 2 4 5 2 3 2 2 2 2 3" xfId="34329" xr:uid="{61357194-DDDC-496B-9ACE-35A338437AF8}"/>
    <cellStyle name="Normal 2 4 5 2 3 2 2 2 3" xfId="43628" xr:uid="{C15FB70C-686C-456B-B5C6-D4733E4981E6}"/>
    <cellStyle name="Normal 2 4 5 2 3 2 2 2 4" xfId="25030" xr:uid="{5174DE27-8FF7-4E94-8652-F4C46F4489C7}"/>
    <cellStyle name="Normal 2 4 5 2 3 2 2 3" xfId="12366" xr:uid="{377345E6-1ECA-4509-AC1E-83B4B8A7B400}"/>
    <cellStyle name="Normal 2 4 5 2 3 2 2 3 2" xfId="48708" xr:uid="{A0FC3378-60F2-4A84-B8FB-22440D402529}"/>
    <cellStyle name="Normal 2 4 5 2 3 2 2 3 3" xfId="30112" xr:uid="{2385FBE3-92B8-43C7-A611-E799063A09AD}"/>
    <cellStyle name="Normal 2 4 5 2 3 2 2 4" xfId="39411" xr:uid="{B0D4CD9C-F0AA-4954-8ECB-53B45A2736F6}"/>
    <cellStyle name="Normal 2 4 5 2 3 2 2 5" xfId="20813" xr:uid="{82DD8CEC-D4CE-408E-8233-5656004CC15F}"/>
    <cellStyle name="Normal 2 4 5 2 3 2 3" xfId="5112" xr:uid="{00000000-0005-0000-0000-000063100000}"/>
    <cellStyle name="Normal 2 4 5 2 3 2 3 2" xfId="14438" xr:uid="{81F13182-3495-4BBD-9F91-74091A6F00E2}"/>
    <cellStyle name="Normal 2 4 5 2 3 2 3 2 2" xfId="50780" xr:uid="{6290BE79-6209-4190-9603-71A2E1AE101E}"/>
    <cellStyle name="Normal 2 4 5 2 3 2 3 2 3" xfId="32184" xr:uid="{4528B9EE-18AF-46FD-811C-CE8D3714394D}"/>
    <cellStyle name="Normal 2 4 5 2 3 2 3 3" xfId="41483" xr:uid="{DD082F4C-FCFA-473C-85FE-C1C17C80B557}"/>
    <cellStyle name="Normal 2 4 5 2 3 2 3 4" xfId="22885" xr:uid="{8DA783E4-96ED-4288-8B08-E263B5AF9F75}"/>
    <cellStyle name="Normal 2 4 5 2 3 2 4" xfId="9447" xr:uid="{5DAE67B2-15F6-4C7F-9310-B9C816D42F72}"/>
    <cellStyle name="Normal 2 4 5 2 3 2 4 2" xfId="36508" xr:uid="{8F1E6686-7749-4111-960F-ADC1AEF6A09C}"/>
    <cellStyle name="Normal 2 4 5 2 3 2 4 2 2" xfId="55102" xr:uid="{F77CBF4C-AB23-4463-A256-6EB8D7366995}"/>
    <cellStyle name="Normal 2 4 5 2 3 2 4 3" xfId="45805" xr:uid="{1157815B-7DDE-47A3-8D54-D9748BB7AFC0}"/>
    <cellStyle name="Normal 2 4 5 2 3 2 4 4" xfId="27209" xr:uid="{BD9511A6-57E2-4EC6-986B-6CDB5C9DCB7E}"/>
    <cellStyle name="Normal 2 4 5 2 3 2 5" xfId="10221" xr:uid="{B53F3A48-9D43-480A-A672-93809BD817F8}"/>
    <cellStyle name="Normal 2 4 5 2 3 2 5 2" xfId="46563" xr:uid="{8FF4B8FC-D002-4194-8EC0-ADBC03A98ED8}"/>
    <cellStyle name="Normal 2 4 5 2 3 2 5 3" xfId="27967" xr:uid="{195543B0-9970-45A9-9526-EB795BD0B498}"/>
    <cellStyle name="Normal 2 4 5 2 3 2 6" xfId="37266" xr:uid="{9660C18E-C9F5-4881-8A45-77777C89B897}"/>
    <cellStyle name="Normal 2 4 5 2 3 2 7" xfId="18668" xr:uid="{FDB565A3-BBEF-48E6-8D92-C0A83EB18548}"/>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16996" xr:uid="{CABB844B-3EFE-4B4A-9AA7-540A76B81EEE}"/>
    <cellStyle name="Normal 2 4 5 2 3 3 2 2 2 2" xfId="53338" xr:uid="{A3228F5F-AE81-4E0D-8EDB-C78FF2F0F398}"/>
    <cellStyle name="Normal 2 4 5 2 3 3 2 2 2 3" xfId="34742" xr:uid="{D2F5261C-57B7-4E87-BEE4-F6C9A91B0290}"/>
    <cellStyle name="Normal 2 4 5 2 3 3 2 2 3" xfId="44041" xr:uid="{705F7E26-E87E-438A-B25F-308792231A5A}"/>
    <cellStyle name="Normal 2 4 5 2 3 3 2 2 4" xfId="25443" xr:uid="{3D88FE53-43CE-4E28-9215-3EA4A9187420}"/>
    <cellStyle name="Normal 2 4 5 2 3 3 2 3" xfId="12779" xr:uid="{56335776-5320-4B03-A596-F5B8FBFBEBA2}"/>
    <cellStyle name="Normal 2 4 5 2 3 3 2 3 2" xfId="49121" xr:uid="{F8486A9F-46B6-4DC4-86DA-AC9E0F390AF4}"/>
    <cellStyle name="Normal 2 4 5 2 3 3 2 3 3" xfId="30525" xr:uid="{D95D39BB-87A1-4486-85E6-3A626C05430A}"/>
    <cellStyle name="Normal 2 4 5 2 3 3 2 4" xfId="39824" xr:uid="{959E93B8-8E71-48F6-990D-554AB4B3F9A0}"/>
    <cellStyle name="Normal 2 4 5 2 3 3 2 5" xfId="21226" xr:uid="{370FFDB3-6066-458C-838E-047FA30B4135}"/>
    <cellStyle name="Normal 2 4 5 2 3 3 3" xfId="5525" xr:uid="{00000000-0005-0000-0000-000067100000}"/>
    <cellStyle name="Normal 2 4 5 2 3 3 3 2" xfId="14851" xr:uid="{AF9387EC-9BEF-4B80-B510-FE0B19D88342}"/>
    <cellStyle name="Normal 2 4 5 2 3 3 3 2 2" xfId="51193" xr:uid="{DC960E83-1E4B-4C05-945F-7D10120B562F}"/>
    <cellStyle name="Normal 2 4 5 2 3 3 3 2 3" xfId="32597" xr:uid="{EC1784CE-8E46-4E10-B730-D3A83C45CA47}"/>
    <cellStyle name="Normal 2 4 5 2 3 3 3 3" xfId="41896" xr:uid="{D18598EB-A996-4685-BA1A-91580549CBB7}"/>
    <cellStyle name="Normal 2 4 5 2 3 3 3 4" xfId="23298" xr:uid="{8055A6B7-83A3-4D2A-9F5C-8D4DAE1DFFC7}"/>
    <cellStyle name="Normal 2 4 5 2 3 3 4" xfId="10634" xr:uid="{42C5CB26-2790-4500-9B30-0A878326F510}"/>
    <cellStyle name="Normal 2 4 5 2 3 3 4 2" xfId="46976" xr:uid="{ADAAC002-9E64-4331-B97F-1F0BB3C903A0}"/>
    <cellStyle name="Normal 2 4 5 2 3 3 4 3" xfId="28380" xr:uid="{A0755CD6-C68E-4071-BF64-458321014358}"/>
    <cellStyle name="Normal 2 4 5 2 3 3 5" xfId="37679" xr:uid="{B901B8E9-AC84-44A0-87D5-6177DB69E701}"/>
    <cellStyle name="Normal 2 4 5 2 3 3 6" xfId="19081" xr:uid="{858E16F1-68A6-4A04-9AB1-4C7079013D95}"/>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17409" xr:uid="{9C12450F-C24B-4480-B598-9B8250A44A4F}"/>
    <cellStyle name="Normal 2 4 5 2 3 4 2 2 2 2" xfId="53751" xr:uid="{808033BB-2371-41CF-B997-FAA07C8F57D6}"/>
    <cellStyle name="Normal 2 4 5 2 3 4 2 2 2 3" xfId="35155" xr:uid="{7D6FA57C-C187-42B7-B18B-D17BF077E1BF}"/>
    <cellStyle name="Normal 2 4 5 2 3 4 2 2 3" xfId="44454" xr:uid="{8F1AEC40-1336-4010-93AD-785A4B650CDE}"/>
    <cellStyle name="Normal 2 4 5 2 3 4 2 2 4" xfId="25856" xr:uid="{21EABBA9-0E33-44BE-AA90-1C98F55E00F3}"/>
    <cellStyle name="Normal 2 4 5 2 3 4 2 3" xfId="13192" xr:uid="{1A0A7EA5-6CA4-44DD-A671-25F2897E16C1}"/>
    <cellStyle name="Normal 2 4 5 2 3 4 2 3 2" xfId="49534" xr:uid="{B4B2738C-A72C-4281-A0D2-3555DA2A4B83}"/>
    <cellStyle name="Normal 2 4 5 2 3 4 2 3 3" xfId="30938" xr:uid="{A3AA6DF7-08D4-4493-84F9-F8E51C8E6B03}"/>
    <cellStyle name="Normal 2 4 5 2 3 4 2 4" xfId="40237" xr:uid="{1A2EF519-7832-4C5C-BA35-EBECADF05535}"/>
    <cellStyle name="Normal 2 4 5 2 3 4 2 5" xfId="21639" xr:uid="{D0D990BE-6D42-451E-B402-9019DFB95D34}"/>
    <cellStyle name="Normal 2 4 5 2 3 4 3" xfId="5938" xr:uid="{00000000-0005-0000-0000-00006B100000}"/>
    <cellStyle name="Normal 2 4 5 2 3 4 3 2" xfId="15264" xr:uid="{2EFD91D1-EE9A-4B1B-8F8C-FDCD5DDFD5B1}"/>
    <cellStyle name="Normal 2 4 5 2 3 4 3 2 2" xfId="51606" xr:uid="{A77540E1-D986-4E39-8A3B-A602A6A1FE3D}"/>
    <cellStyle name="Normal 2 4 5 2 3 4 3 2 3" xfId="33010" xr:uid="{F1CC2735-F020-4DEB-B372-BE1F1F34DB89}"/>
    <cellStyle name="Normal 2 4 5 2 3 4 3 3" xfId="42309" xr:uid="{74743586-9FCA-4156-86AD-E162F88BC611}"/>
    <cellStyle name="Normal 2 4 5 2 3 4 3 4" xfId="23711" xr:uid="{B63175E0-A661-4EBD-A04B-1B6D708715FD}"/>
    <cellStyle name="Normal 2 4 5 2 3 4 4" xfId="11047" xr:uid="{80680567-DABD-4577-8EE1-7160DFB125B4}"/>
    <cellStyle name="Normal 2 4 5 2 3 4 4 2" xfId="47389" xr:uid="{24856DA6-DD4F-42A2-BD94-5D07F5B15644}"/>
    <cellStyle name="Normal 2 4 5 2 3 4 4 3" xfId="28793" xr:uid="{6B552125-A2AC-420C-B1D0-7B2E0E708737}"/>
    <cellStyle name="Normal 2 4 5 2 3 4 5" xfId="38092" xr:uid="{078122D4-D026-4655-8894-2E38FC579512}"/>
    <cellStyle name="Normal 2 4 5 2 3 4 6" xfId="19494" xr:uid="{A23BC4A5-9029-40EE-8A38-0A5AAB0B8ADC}"/>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17822" xr:uid="{6902A47C-7452-4A04-8C7A-869213220FBD}"/>
    <cellStyle name="Normal 2 4 5 2 3 5 2 2 2 2" xfId="54164" xr:uid="{EEDB4B49-978D-467E-BE4D-0501DAE340BF}"/>
    <cellStyle name="Normal 2 4 5 2 3 5 2 2 2 3" xfId="35568" xr:uid="{DF27FF15-5019-4972-9B88-356B144E14C9}"/>
    <cellStyle name="Normal 2 4 5 2 3 5 2 2 3" xfId="44867" xr:uid="{119105F9-169D-4CFB-B09D-5FC4237364F8}"/>
    <cellStyle name="Normal 2 4 5 2 3 5 2 2 4" xfId="26269" xr:uid="{6EADBF39-EE5F-43E1-905E-F6DE67E36BC8}"/>
    <cellStyle name="Normal 2 4 5 2 3 5 2 3" xfId="13605" xr:uid="{792A47CA-C5E9-4DA5-845F-0C5691975B09}"/>
    <cellStyle name="Normal 2 4 5 2 3 5 2 3 2" xfId="49947" xr:uid="{1DD09210-834C-42EB-B5C9-198B1A6EEC05}"/>
    <cellStyle name="Normal 2 4 5 2 3 5 2 3 3" xfId="31351" xr:uid="{34B2529C-C41C-43BF-AE0D-BB4828E7CDBE}"/>
    <cellStyle name="Normal 2 4 5 2 3 5 2 4" xfId="40650" xr:uid="{8F17828F-127B-4353-9C37-0C6ABE715CEA}"/>
    <cellStyle name="Normal 2 4 5 2 3 5 2 5" xfId="22052" xr:uid="{08EA59D7-F79C-41E0-87AD-F8ED9ADFD987}"/>
    <cellStyle name="Normal 2 4 5 2 3 5 3" xfId="6351" xr:uid="{00000000-0005-0000-0000-00006F100000}"/>
    <cellStyle name="Normal 2 4 5 2 3 5 3 2" xfId="15677" xr:uid="{FF23615C-74E7-4FDA-BCD3-20EF84F31DE1}"/>
    <cellStyle name="Normal 2 4 5 2 3 5 3 2 2" xfId="52019" xr:uid="{E7FFF690-D877-4117-B921-8DE3AE3054C4}"/>
    <cellStyle name="Normal 2 4 5 2 3 5 3 2 3" xfId="33423" xr:uid="{80EFAC62-C5BD-4F61-9AEB-B3E418EB6F39}"/>
    <cellStyle name="Normal 2 4 5 2 3 5 3 3" xfId="42722" xr:uid="{7F4FB76F-8091-406E-8F78-B37CE57CB051}"/>
    <cellStyle name="Normal 2 4 5 2 3 5 3 4" xfId="24124" xr:uid="{3D1C3005-F10A-4D68-A204-E202DEC330BB}"/>
    <cellStyle name="Normal 2 4 5 2 3 5 4" xfId="11460" xr:uid="{5014B451-95E4-4F79-A9E2-949DAA342D4D}"/>
    <cellStyle name="Normal 2 4 5 2 3 5 4 2" xfId="47802" xr:uid="{92E4E0FC-0351-45D7-A39B-ACD6FFB90DAE}"/>
    <cellStyle name="Normal 2 4 5 2 3 5 4 3" xfId="29206" xr:uid="{85BC5FAD-9D55-4727-9020-5618D7315CAF}"/>
    <cellStyle name="Normal 2 4 5 2 3 5 5" xfId="38505" xr:uid="{BF624123-872E-4E00-AA00-2F4854258533}"/>
    <cellStyle name="Normal 2 4 5 2 3 5 6" xfId="19907" xr:uid="{D57ED5A9-6C98-49D0-806A-EC87BD40CC0A}"/>
    <cellStyle name="Normal 2 4 5 2 3 6" xfId="2481" xr:uid="{00000000-0005-0000-0000-000070100000}"/>
    <cellStyle name="Normal 2 4 5 2 3 6 2" xfId="6764" xr:uid="{00000000-0005-0000-0000-000071100000}"/>
    <cellStyle name="Normal 2 4 5 2 3 6 2 2" xfId="16090" xr:uid="{EEB4DF39-6B7B-45E5-88FE-03C45FB93301}"/>
    <cellStyle name="Normal 2 4 5 2 3 6 2 2 2" xfId="52432" xr:uid="{197AC0E5-6B17-45C1-A3B9-602989570C1E}"/>
    <cellStyle name="Normal 2 4 5 2 3 6 2 2 3" xfId="33836" xr:uid="{C50076C0-33C8-4F1D-A7DC-A4F24F23721B}"/>
    <cellStyle name="Normal 2 4 5 2 3 6 2 3" xfId="43135" xr:uid="{EDD40248-3D41-4FB3-8852-63473A7436BC}"/>
    <cellStyle name="Normal 2 4 5 2 3 6 2 4" xfId="24537" xr:uid="{B03A59EF-D5F1-40C2-96CF-559906520D3E}"/>
    <cellStyle name="Normal 2 4 5 2 3 6 3" xfId="11873" xr:uid="{B6B27097-89A5-43BE-8710-27B2EEC589D2}"/>
    <cellStyle name="Normal 2 4 5 2 3 6 3 2" xfId="48215" xr:uid="{634F081B-8C55-4100-BC56-1CA183E62780}"/>
    <cellStyle name="Normal 2 4 5 2 3 6 3 3" xfId="29619" xr:uid="{F42A2C2C-22F7-46AA-B6A8-A8AD4142FEF9}"/>
    <cellStyle name="Normal 2 4 5 2 3 6 4" xfId="38918" xr:uid="{76ACBBD0-D223-4EA1-95D3-8FBB9BD528C1}"/>
    <cellStyle name="Normal 2 4 5 2 3 6 5" xfId="20320" xr:uid="{1C247239-676D-4ACB-B02E-F5A3B9D3BE48}"/>
    <cellStyle name="Normal 2 4 5 2 3 7" xfId="4698" xr:uid="{00000000-0005-0000-0000-000072100000}"/>
    <cellStyle name="Normal 2 4 5 2 3 7 2" xfId="14024" xr:uid="{E510DC0A-C6C6-47FB-8AD2-95BA02FD519D}"/>
    <cellStyle name="Normal 2 4 5 2 3 7 2 2" xfId="50366" xr:uid="{9DDD4E92-161B-4765-83B6-B0EF6A005AD0}"/>
    <cellStyle name="Normal 2 4 5 2 3 7 2 3" xfId="31770" xr:uid="{712AF36E-CF16-422E-9908-95633F15E961}"/>
    <cellStyle name="Normal 2 4 5 2 3 7 3" xfId="41069" xr:uid="{2817A0EB-52CD-4EAC-B922-1E96F0539B0E}"/>
    <cellStyle name="Normal 2 4 5 2 3 7 4" xfId="22471" xr:uid="{7DF651A5-65C3-47E5-832F-410DADE9055B}"/>
    <cellStyle name="Normal 2 4 5 2 3 8" xfId="9022" xr:uid="{B979F5DF-A88B-437D-B1B4-B92D08856DC7}"/>
    <cellStyle name="Normal 2 4 5 2 3 8 2" xfId="36092" xr:uid="{10715F77-4754-41BE-80B8-922A855AB8F5}"/>
    <cellStyle name="Normal 2 4 5 2 3 8 2 2" xfId="54687" xr:uid="{66BD3A45-F10E-4DF6-924E-35A127306CFF}"/>
    <cellStyle name="Normal 2 4 5 2 3 8 3" xfId="45390" xr:uid="{A881BFDB-69E7-42D8-9E2A-FCFFF04D2056}"/>
    <cellStyle name="Normal 2 4 5 2 3 8 4" xfId="26793" xr:uid="{C3622C3D-628E-433F-A2DB-ABD0AB817F23}"/>
    <cellStyle name="Normal 2 4 5 2 3 9" xfId="9807" xr:uid="{C542C989-CCD0-4766-926D-238EF3274981}"/>
    <cellStyle name="Normal 2 4 5 2 3 9 2" xfId="46149" xr:uid="{618216F1-8523-4D6A-8175-31138D9FBCDA}"/>
    <cellStyle name="Normal 2 4 5 2 3 9 3" xfId="27553" xr:uid="{E861CC66-16E3-417F-B59B-5460A800EAE7}"/>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16580" xr:uid="{C2EA2B7A-9215-4E30-B1C1-92DEDD92C66F}"/>
    <cellStyle name="Normal 2 4 5 2 4 2 2 2 2" xfId="52922" xr:uid="{F64C6DE5-52E1-4E76-AF6B-7409E36A8169}"/>
    <cellStyle name="Normal 2 4 5 2 4 2 2 2 3" xfId="34326" xr:uid="{4217F61A-23A1-4906-B9D1-941EED8A2FFB}"/>
    <cellStyle name="Normal 2 4 5 2 4 2 2 3" xfId="43625" xr:uid="{B78ACC0F-41D7-4EC1-96B6-5BAA3BC73DCF}"/>
    <cellStyle name="Normal 2 4 5 2 4 2 2 4" xfId="25027" xr:uid="{F70AC6DF-54FA-4D61-8ECA-15DE05DB6F2B}"/>
    <cellStyle name="Normal 2 4 5 2 4 2 3" xfId="12363" xr:uid="{0777A75C-A563-4ADD-AA19-5204993840DE}"/>
    <cellStyle name="Normal 2 4 5 2 4 2 3 2" xfId="48705" xr:uid="{33B20A72-CC8C-4241-ADF6-61C0D6383D5E}"/>
    <cellStyle name="Normal 2 4 5 2 4 2 3 3" xfId="30109" xr:uid="{08B77268-FEA0-4EA2-84BB-7A9EA35C0580}"/>
    <cellStyle name="Normal 2 4 5 2 4 2 4" xfId="39408" xr:uid="{C3180470-F7C0-411E-BF68-80932845371D}"/>
    <cellStyle name="Normal 2 4 5 2 4 2 5" xfId="20810" xr:uid="{B9A03726-30F9-4DA8-AC20-91754AA9EA4B}"/>
    <cellStyle name="Normal 2 4 5 2 4 3" xfId="5109" xr:uid="{00000000-0005-0000-0000-000076100000}"/>
    <cellStyle name="Normal 2 4 5 2 4 3 2" xfId="14435" xr:uid="{6EEF5DA1-F682-4359-9260-9B8A3A4E6B15}"/>
    <cellStyle name="Normal 2 4 5 2 4 3 2 2" xfId="50777" xr:uid="{A373D84D-A680-4441-BABA-C1F5C09753C2}"/>
    <cellStyle name="Normal 2 4 5 2 4 3 2 3" xfId="32181" xr:uid="{C3F91A3F-2D13-46AD-AEA6-54B386A82C34}"/>
    <cellStyle name="Normal 2 4 5 2 4 3 3" xfId="41480" xr:uid="{76819B4C-A12B-499A-9CE8-0AF3CB40A8EA}"/>
    <cellStyle name="Normal 2 4 5 2 4 3 4" xfId="22882" xr:uid="{BA9FB18D-6BD9-4A9A-A211-AB26AF5EC28F}"/>
    <cellStyle name="Normal 2 4 5 2 4 4" xfId="9240" xr:uid="{16FBE981-4867-4157-8C0D-9C1339DB5B3F}"/>
    <cellStyle name="Normal 2 4 5 2 4 4 2" xfId="36301" xr:uid="{7E47791D-9F84-4DCF-867F-7437F17C240B}"/>
    <cellStyle name="Normal 2 4 5 2 4 4 2 2" xfId="54895" xr:uid="{33B0CD7E-6051-4DDB-9DD0-06D97ACFD15F}"/>
    <cellStyle name="Normal 2 4 5 2 4 4 3" xfId="45598" xr:uid="{A12AF445-F741-47E4-A525-4139D5876FEB}"/>
    <cellStyle name="Normal 2 4 5 2 4 4 4" xfId="27002" xr:uid="{72AF79DE-C771-4F3D-96CE-26348BA206F6}"/>
    <cellStyle name="Normal 2 4 5 2 4 5" xfId="10218" xr:uid="{9DB1E427-9E2D-475B-B4E7-E87EE148B44D}"/>
    <cellStyle name="Normal 2 4 5 2 4 5 2" xfId="46560" xr:uid="{B4495B44-31C3-4D8B-AE8D-56EC038BE508}"/>
    <cellStyle name="Normal 2 4 5 2 4 5 3" xfId="27964" xr:uid="{C4E23D21-674F-455F-89B6-1F6426EB3FD9}"/>
    <cellStyle name="Normal 2 4 5 2 4 6" xfId="37263" xr:uid="{C0147F6F-B7D7-4711-97B3-90C717064B88}"/>
    <cellStyle name="Normal 2 4 5 2 4 7" xfId="18665" xr:uid="{431E3D45-8B5D-44DF-8835-271B475B8DE9}"/>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16993" xr:uid="{8DC485E7-5E48-438D-8CFC-C035396D5E63}"/>
    <cellStyle name="Normal 2 4 5 2 5 2 2 2 2" xfId="53335" xr:uid="{00008CD7-85EE-4F2E-BDFB-88836927662B}"/>
    <cellStyle name="Normal 2 4 5 2 5 2 2 2 3" xfId="34739" xr:uid="{35349DEC-8E2F-45F4-817A-F5DA28D1ACCE}"/>
    <cellStyle name="Normal 2 4 5 2 5 2 2 3" xfId="44038" xr:uid="{7298BA62-7B1E-420D-8781-F737CF4A622B}"/>
    <cellStyle name="Normal 2 4 5 2 5 2 2 4" xfId="25440" xr:uid="{0EB89403-CF5A-434C-815B-599199B19CDB}"/>
    <cellStyle name="Normal 2 4 5 2 5 2 3" xfId="12776" xr:uid="{FA47AF5A-ABC6-436C-BAC7-D28DF69EC1C7}"/>
    <cellStyle name="Normal 2 4 5 2 5 2 3 2" xfId="49118" xr:uid="{8F290F5E-BCB9-4E7D-B11E-6E6254109822}"/>
    <cellStyle name="Normal 2 4 5 2 5 2 3 3" xfId="30522" xr:uid="{EF52EBBF-4508-4111-AEE0-F56298F5BA1C}"/>
    <cellStyle name="Normal 2 4 5 2 5 2 4" xfId="39821" xr:uid="{A3EBEA36-E90F-4270-B9D5-4AB00E387963}"/>
    <cellStyle name="Normal 2 4 5 2 5 2 5" xfId="21223" xr:uid="{D51F2C4C-A4CC-4D71-B20C-BBCAD0EEA944}"/>
    <cellStyle name="Normal 2 4 5 2 5 3" xfId="5522" xr:uid="{00000000-0005-0000-0000-00007A100000}"/>
    <cellStyle name="Normal 2 4 5 2 5 3 2" xfId="14848" xr:uid="{33AA3BBE-5CED-4B78-87E9-09649288B098}"/>
    <cellStyle name="Normal 2 4 5 2 5 3 2 2" xfId="51190" xr:uid="{E0D843A0-FCC9-4C46-8DDD-7DAB4654264C}"/>
    <cellStyle name="Normal 2 4 5 2 5 3 2 3" xfId="32594" xr:uid="{9613C01F-E77A-482F-B1D0-75324DFD6148}"/>
    <cellStyle name="Normal 2 4 5 2 5 3 3" xfId="41893" xr:uid="{616EEE3B-2597-48CC-B6DC-D6F20536CEBE}"/>
    <cellStyle name="Normal 2 4 5 2 5 3 4" xfId="23295" xr:uid="{F3FDC5E3-C96C-4304-98E8-F219E780CCDF}"/>
    <cellStyle name="Normal 2 4 5 2 5 4" xfId="10631" xr:uid="{F08878D8-2886-42F7-B6FF-46CD4576AE48}"/>
    <cellStyle name="Normal 2 4 5 2 5 4 2" xfId="46973" xr:uid="{969922BD-A24D-4259-B094-84B289346E07}"/>
    <cellStyle name="Normal 2 4 5 2 5 4 3" xfId="28377" xr:uid="{F9DB6D46-374B-4CF7-BA40-68B3E4D64784}"/>
    <cellStyle name="Normal 2 4 5 2 5 5" xfId="37676" xr:uid="{23FC4E64-ADBC-4FE1-A502-685DF0064450}"/>
    <cellStyle name="Normal 2 4 5 2 5 6" xfId="19078" xr:uid="{40CF78E8-D583-410F-B788-BBFC0FA31440}"/>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17406" xr:uid="{963AD4FB-28B6-4069-9C09-0AE3D0D2C90A}"/>
    <cellStyle name="Normal 2 4 5 2 6 2 2 2 2" xfId="53748" xr:uid="{1AB7E7CF-F98A-47A6-902B-A9150E552E5B}"/>
    <cellStyle name="Normal 2 4 5 2 6 2 2 2 3" xfId="35152" xr:uid="{DA708E20-ED17-437D-B3F8-E88AF9FE9918}"/>
    <cellStyle name="Normal 2 4 5 2 6 2 2 3" xfId="44451" xr:uid="{F84ADF00-3A5C-464D-9D76-8EC5F6956F89}"/>
    <cellStyle name="Normal 2 4 5 2 6 2 2 4" xfId="25853" xr:uid="{F6A46D86-A054-48A3-860D-A8C886DC8696}"/>
    <cellStyle name="Normal 2 4 5 2 6 2 3" xfId="13189" xr:uid="{F62D283D-F12D-4202-B303-65F66AEFA5F0}"/>
    <cellStyle name="Normal 2 4 5 2 6 2 3 2" xfId="49531" xr:uid="{66824FE6-CAC7-4A01-A895-FCDFB9341D36}"/>
    <cellStyle name="Normal 2 4 5 2 6 2 3 3" xfId="30935" xr:uid="{3AF99C3E-940C-4E1B-B4AC-7B6657E88E25}"/>
    <cellStyle name="Normal 2 4 5 2 6 2 4" xfId="40234" xr:uid="{5CA25A87-CF35-424A-8FB8-9123FE239AA3}"/>
    <cellStyle name="Normal 2 4 5 2 6 2 5" xfId="21636" xr:uid="{E2BDDDEB-64DF-4F66-81B0-9988488689E7}"/>
    <cellStyle name="Normal 2 4 5 2 6 3" xfId="5935" xr:uid="{00000000-0005-0000-0000-00007E100000}"/>
    <cellStyle name="Normal 2 4 5 2 6 3 2" xfId="15261" xr:uid="{C528DD80-C3C9-41DB-8AE7-155EE4922E72}"/>
    <cellStyle name="Normal 2 4 5 2 6 3 2 2" xfId="51603" xr:uid="{2E227D49-45EF-4333-8DA0-D4511F5990A9}"/>
    <cellStyle name="Normal 2 4 5 2 6 3 2 3" xfId="33007" xr:uid="{90F82712-43F8-48EF-ACD3-6602639182B5}"/>
    <cellStyle name="Normal 2 4 5 2 6 3 3" xfId="42306" xr:uid="{D9383D7F-2445-4681-BCB4-745A661C6679}"/>
    <cellStyle name="Normal 2 4 5 2 6 3 4" xfId="23708" xr:uid="{63A05493-52B7-4CF2-899D-BCBCD77D55CC}"/>
    <cellStyle name="Normal 2 4 5 2 6 4" xfId="11044" xr:uid="{EB16A0E5-1C4E-442D-B5F6-51256C113470}"/>
    <cellStyle name="Normal 2 4 5 2 6 4 2" xfId="47386" xr:uid="{549ECFD0-AD26-4E35-8073-29AC798ADF23}"/>
    <cellStyle name="Normal 2 4 5 2 6 4 3" xfId="28790" xr:uid="{6F25E42A-7D0B-4237-A2F1-37931A25165B}"/>
    <cellStyle name="Normal 2 4 5 2 6 5" xfId="38089" xr:uid="{FDFAB2E1-E076-4FC0-8781-2BECB9DEF6B0}"/>
    <cellStyle name="Normal 2 4 5 2 6 6" xfId="19491" xr:uid="{E3D8E1DA-667E-4B89-A84C-B8F4DAB1C863}"/>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17819" xr:uid="{93E44366-CB4D-4D95-9D18-48B184283ED2}"/>
    <cellStyle name="Normal 2 4 5 2 7 2 2 2 2" xfId="54161" xr:uid="{F5DBBA5A-87AD-44B3-A086-8861EA2AAC4D}"/>
    <cellStyle name="Normal 2 4 5 2 7 2 2 2 3" xfId="35565" xr:uid="{E1EE61B0-28D3-48E7-B023-CB55DACEA98F}"/>
    <cellStyle name="Normal 2 4 5 2 7 2 2 3" xfId="44864" xr:uid="{C27218F8-F6C5-4BDD-BC7B-B9CB8148BB54}"/>
    <cellStyle name="Normal 2 4 5 2 7 2 2 4" xfId="26266" xr:uid="{963EAA5E-648B-4C00-B20B-DE0CA2F99B35}"/>
    <cellStyle name="Normal 2 4 5 2 7 2 3" xfId="13602" xr:uid="{4192EEC8-D2E3-4CC6-98CC-20EFB77157C9}"/>
    <cellStyle name="Normal 2 4 5 2 7 2 3 2" xfId="49944" xr:uid="{126E1013-91BE-4205-B965-3FDBB1615B03}"/>
    <cellStyle name="Normal 2 4 5 2 7 2 3 3" xfId="31348" xr:uid="{3D7E219F-6E33-4A80-9A86-2E8EA96806B6}"/>
    <cellStyle name="Normal 2 4 5 2 7 2 4" xfId="40647" xr:uid="{16E204F8-BCD5-436D-A0BE-EE824B58EEE1}"/>
    <cellStyle name="Normal 2 4 5 2 7 2 5" xfId="22049" xr:uid="{CD375E68-467C-449A-B601-60C561C4DBCC}"/>
    <cellStyle name="Normal 2 4 5 2 7 3" xfId="6348" xr:uid="{00000000-0005-0000-0000-000082100000}"/>
    <cellStyle name="Normal 2 4 5 2 7 3 2" xfId="15674" xr:uid="{5E2167F6-9DDB-44F2-A79A-B154C4AB8CB1}"/>
    <cellStyle name="Normal 2 4 5 2 7 3 2 2" xfId="52016" xr:uid="{356B6C49-6548-4C60-8F91-3865A5987FB4}"/>
    <cellStyle name="Normal 2 4 5 2 7 3 2 3" xfId="33420" xr:uid="{D4DBCFFA-289A-4814-BC06-90A02ECE1B2D}"/>
    <cellStyle name="Normal 2 4 5 2 7 3 3" xfId="42719" xr:uid="{0063EAD6-0428-4EB6-8970-0AC1598C79E7}"/>
    <cellStyle name="Normal 2 4 5 2 7 3 4" xfId="24121" xr:uid="{E668CFC6-260A-41FD-872A-A48030553946}"/>
    <cellStyle name="Normal 2 4 5 2 7 4" xfId="11457" xr:uid="{7E77411F-6DB8-48AA-8D0E-B7BF92B7FD1C}"/>
    <cellStyle name="Normal 2 4 5 2 7 4 2" xfId="47799" xr:uid="{0BE0CF47-0CB2-4390-91E9-16CFA675931A}"/>
    <cellStyle name="Normal 2 4 5 2 7 4 3" xfId="29203" xr:uid="{1C56FBEC-D1F1-4694-BCC6-6621A3B45576}"/>
    <cellStyle name="Normal 2 4 5 2 7 5" xfId="38502" xr:uid="{A208F550-4D83-4006-B141-4BA549A90472}"/>
    <cellStyle name="Normal 2 4 5 2 7 6" xfId="19904" xr:uid="{8BFD7DAD-CDEC-4A77-BEDA-879EF280A0D9}"/>
    <cellStyle name="Normal 2 4 5 2 8" xfId="2478" xr:uid="{00000000-0005-0000-0000-000083100000}"/>
    <cellStyle name="Normal 2 4 5 2 8 2" xfId="6761" xr:uid="{00000000-0005-0000-0000-000084100000}"/>
    <cellStyle name="Normal 2 4 5 2 8 2 2" xfId="16087" xr:uid="{181E2639-D2A1-43BF-B406-A4F68213B49A}"/>
    <cellStyle name="Normal 2 4 5 2 8 2 2 2" xfId="52429" xr:uid="{2A4AD7A6-3484-4972-B3C7-5950927EA52C}"/>
    <cellStyle name="Normal 2 4 5 2 8 2 2 3" xfId="33833" xr:uid="{58921FCF-6939-4977-B28B-6324658F3A4C}"/>
    <cellStyle name="Normal 2 4 5 2 8 2 3" xfId="43132" xr:uid="{100ADDA1-7CB0-4962-9556-2097F04BE6B2}"/>
    <cellStyle name="Normal 2 4 5 2 8 2 4" xfId="24534" xr:uid="{714BDC23-5B37-4913-B75E-22D0F41CEE22}"/>
    <cellStyle name="Normal 2 4 5 2 8 3" xfId="11870" xr:uid="{4E3AC92F-0492-4C24-93D2-9AF7188990D9}"/>
    <cellStyle name="Normal 2 4 5 2 8 3 2" xfId="48212" xr:uid="{430B4A89-A871-498B-A724-4DE9DE09FA84}"/>
    <cellStyle name="Normal 2 4 5 2 8 3 3" xfId="29616" xr:uid="{B8EDC51C-D7BD-4A5F-B3B3-BCABA2F68DD1}"/>
    <cellStyle name="Normal 2 4 5 2 8 4" xfId="38915" xr:uid="{28B1241E-47A0-4FB4-B4C1-2E0712740AE9}"/>
    <cellStyle name="Normal 2 4 5 2 8 5" xfId="20317" xr:uid="{C67E8283-D18A-4D4F-BC4D-B9C38DC61209}"/>
    <cellStyle name="Normal 2 4 5 2 9" xfId="4695" xr:uid="{00000000-0005-0000-0000-000085100000}"/>
    <cellStyle name="Normal 2 4 5 2 9 2" xfId="14021" xr:uid="{E95B4390-D442-473A-9ED3-E599C9F249B3}"/>
    <cellStyle name="Normal 2 4 5 2 9 2 2" xfId="50363" xr:uid="{7C4CA0AD-5E62-4A14-B86B-7BDF09280D26}"/>
    <cellStyle name="Normal 2 4 5 2 9 2 3" xfId="31767" xr:uid="{9D7D0964-5656-48E6-9115-8A1BBA420ACD}"/>
    <cellStyle name="Normal 2 4 5 2 9 3" xfId="41066" xr:uid="{8029221F-E021-4AFB-95EE-F6AB74EEC0AC}"/>
    <cellStyle name="Normal 2 4 5 2 9 4" xfId="22468" xr:uid="{9385133A-F717-40A8-88F9-0C333DD1DE41}"/>
    <cellStyle name="Normal 2 4 5 3" xfId="308" xr:uid="{00000000-0005-0000-0000-000086100000}"/>
    <cellStyle name="Normal 2 4 5 3 10" xfId="9808" xr:uid="{93A1C3D7-89F8-4C3D-BB9B-B7B5A0A2D5B7}"/>
    <cellStyle name="Normal 2 4 5 3 10 2" xfId="46150" xr:uid="{36C63DBA-B92B-4AA0-9915-2C5C5F65E655}"/>
    <cellStyle name="Normal 2 4 5 3 10 3" xfId="27554" xr:uid="{A11FC83B-DA1D-45F3-A8B0-CEF16480CF6A}"/>
    <cellStyle name="Normal 2 4 5 3 11" xfId="36853" xr:uid="{77517741-890F-4EE7-98AA-892BBF7C48D6}"/>
    <cellStyle name="Normal 2 4 5 3 12" xfId="18255" xr:uid="{691F296F-344B-4FD0-831E-C290A33D4697}"/>
    <cellStyle name="Normal 2 4 5 3 2" xfId="309" xr:uid="{00000000-0005-0000-0000-000087100000}"/>
    <cellStyle name="Normal 2 4 5 3 2 10" xfId="36854" xr:uid="{DDAB6465-B655-4925-B762-C69E5B292919}"/>
    <cellStyle name="Normal 2 4 5 3 2 11" xfId="18256" xr:uid="{5F841C50-2128-4628-A300-9C11941E5AFB}"/>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16585" xr:uid="{DD3B9641-8BD4-4A79-ABA0-BCD6DE40B732}"/>
    <cellStyle name="Normal 2 4 5 3 2 2 2 2 2 2" xfId="52927" xr:uid="{51727E5C-1EC6-414B-BD27-C319361348BB}"/>
    <cellStyle name="Normal 2 4 5 3 2 2 2 2 2 3" xfId="34331" xr:uid="{DD6C8E94-388E-4D21-A86A-B50AC59EE6C3}"/>
    <cellStyle name="Normal 2 4 5 3 2 2 2 2 3" xfId="43630" xr:uid="{9D17B3B6-CE44-4621-9AF0-9CA14AA45A97}"/>
    <cellStyle name="Normal 2 4 5 3 2 2 2 2 4" xfId="25032" xr:uid="{DFF05A9B-E24B-4AA7-A462-A037C7BF9919}"/>
    <cellStyle name="Normal 2 4 5 3 2 2 2 3" xfId="12368" xr:uid="{FEA9CFFC-39ED-4F79-B4BB-2E42BADE976D}"/>
    <cellStyle name="Normal 2 4 5 3 2 2 2 3 2" xfId="48710" xr:uid="{83378EAB-80B2-48EE-99B6-7F6E514043D8}"/>
    <cellStyle name="Normal 2 4 5 3 2 2 2 3 3" xfId="30114" xr:uid="{F5AD2CC0-EB05-4E9A-B70C-1277B9CAAC78}"/>
    <cellStyle name="Normal 2 4 5 3 2 2 2 4" xfId="39413" xr:uid="{F8E42A55-8A1A-47F4-821C-62DDD25B3FE9}"/>
    <cellStyle name="Normal 2 4 5 3 2 2 2 5" xfId="20815" xr:uid="{D7C4F462-15D4-4FED-AD6F-F1FA13069360}"/>
    <cellStyle name="Normal 2 4 5 3 2 2 3" xfId="5114" xr:uid="{00000000-0005-0000-0000-00008B100000}"/>
    <cellStyle name="Normal 2 4 5 3 2 2 3 2" xfId="14440" xr:uid="{0A3830ED-2CC2-4FA0-A5C5-AB1936504641}"/>
    <cellStyle name="Normal 2 4 5 3 2 2 3 2 2" xfId="50782" xr:uid="{462D9673-A15C-4688-AB75-0EDC042D465D}"/>
    <cellStyle name="Normal 2 4 5 3 2 2 3 2 3" xfId="32186" xr:uid="{10039FC8-8DCC-4196-BDC6-C35D369B6D61}"/>
    <cellStyle name="Normal 2 4 5 3 2 2 3 3" xfId="41485" xr:uid="{836887C9-3A2A-422F-977D-606D8C9359D9}"/>
    <cellStyle name="Normal 2 4 5 3 2 2 3 4" xfId="22887" xr:uid="{69E3F022-D69B-45E2-8964-400311EF5EC9}"/>
    <cellStyle name="Normal 2 4 5 3 2 2 4" xfId="9515" xr:uid="{A1D6949C-773D-44DB-B26F-4DD01D24FF00}"/>
    <cellStyle name="Normal 2 4 5 3 2 2 4 2" xfId="36576" xr:uid="{42316CC2-B30E-4E1B-9D63-AD78B64D9E8D}"/>
    <cellStyle name="Normal 2 4 5 3 2 2 4 2 2" xfId="55170" xr:uid="{2E01D0DA-8CBC-4D62-A9E0-1D736664294F}"/>
    <cellStyle name="Normal 2 4 5 3 2 2 4 3" xfId="45873" xr:uid="{60B4ED0E-CFC3-44F3-83B3-E197407E8E73}"/>
    <cellStyle name="Normal 2 4 5 3 2 2 4 4" xfId="27277" xr:uid="{2FB3EF9C-2C51-454D-9079-FE0520F369BE}"/>
    <cellStyle name="Normal 2 4 5 3 2 2 5" xfId="10223" xr:uid="{9B7F44C2-81B7-4031-80C5-83AEA26F2871}"/>
    <cellStyle name="Normal 2 4 5 3 2 2 5 2" xfId="46565" xr:uid="{2AD47467-8501-42E8-8640-BCDF2989FF18}"/>
    <cellStyle name="Normal 2 4 5 3 2 2 5 3" xfId="27969" xr:uid="{D38AFFB7-84C3-4FCF-9045-D7AA70CD836D}"/>
    <cellStyle name="Normal 2 4 5 3 2 2 6" xfId="37268" xr:uid="{B45783E7-08D6-42AB-B64D-9A1CDCBD7365}"/>
    <cellStyle name="Normal 2 4 5 3 2 2 7" xfId="18670" xr:uid="{377F14A8-8A9C-4BBF-BD87-40D3B2CADE98}"/>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16998" xr:uid="{DD4DD7FA-C7E5-4B4C-ABD7-3A8EEF4379EC}"/>
    <cellStyle name="Normal 2 4 5 3 2 3 2 2 2 2" xfId="53340" xr:uid="{93AFC051-7F74-450D-8CDA-E8F50F4BB06C}"/>
    <cellStyle name="Normal 2 4 5 3 2 3 2 2 2 3" xfId="34744" xr:uid="{FAFB8FE1-A7C5-4A6E-9056-FC8D4E4BD468}"/>
    <cellStyle name="Normal 2 4 5 3 2 3 2 2 3" xfId="44043" xr:uid="{84AA1915-48E6-4F08-A32A-01A5ECC1F763}"/>
    <cellStyle name="Normal 2 4 5 3 2 3 2 2 4" xfId="25445" xr:uid="{1AE8BF41-7C44-46ED-8F2D-E1962B2FD42F}"/>
    <cellStyle name="Normal 2 4 5 3 2 3 2 3" xfId="12781" xr:uid="{6C9FC74F-D4A5-44D5-BBD0-6442BB3074E3}"/>
    <cellStyle name="Normal 2 4 5 3 2 3 2 3 2" xfId="49123" xr:uid="{25679634-FF30-4339-9B2A-EFAE9E98BECF}"/>
    <cellStyle name="Normal 2 4 5 3 2 3 2 3 3" xfId="30527" xr:uid="{4F8F5DBC-4D8B-4CD7-9DE7-6BCD5DC39378}"/>
    <cellStyle name="Normal 2 4 5 3 2 3 2 4" xfId="39826" xr:uid="{442D008B-282F-4491-88A1-E5025E286D72}"/>
    <cellStyle name="Normal 2 4 5 3 2 3 2 5" xfId="21228" xr:uid="{66D11918-548A-43CF-9721-EDCA99412585}"/>
    <cellStyle name="Normal 2 4 5 3 2 3 3" xfId="5527" xr:uid="{00000000-0005-0000-0000-00008F100000}"/>
    <cellStyle name="Normal 2 4 5 3 2 3 3 2" xfId="14853" xr:uid="{B62C10B1-3657-451E-932D-EA71AFF1622A}"/>
    <cellStyle name="Normal 2 4 5 3 2 3 3 2 2" xfId="51195" xr:uid="{451EEBFE-2482-4D4B-8D4A-E01992FC3914}"/>
    <cellStyle name="Normal 2 4 5 3 2 3 3 2 3" xfId="32599" xr:uid="{0BE243FD-AB11-4088-A1A9-E1CDF667C0B9}"/>
    <cellStyle name="Normal 2 4 5 3 2 3 3 3" xfId="41898" xr:uid="{36BD94FC-EA1F-4936-A2A1-8169BF03AA7C}"/>
    <cellStyle name="Normal 2 4 5 3 2 3 3 4" xfId="23300" xr:uid="{06DF9072-CC4F-41F6-880E-6E3BFD053804}"/>
    <cellStyle name="Normal 2 4 5 3 2 3 4" xfId="10636" xr:uid="{FF7D437A-3FA3-470E-82D3-8830B8887C55}"/>
    <cellStyle name="Normal 2 4 5 3 2 3 4 2" xfId="46978" xr:uid="{911B9F63-1BCF-4527-B848-0C9AB888EB12}"/>
    <cellStyle name="Normal 2 4 5 3 2 3 4 3" xfId="28382" xr:uid="{742716D6-EE8F-4020-BB66-E8CFFA75F17C}"/>
    <cellStyle name="Normal 2 4 5 3 2 3 5" xfId="37681" xr:uid="{9CD82660-BA8A-470F-AD27-7D82F91D0AE4}"/>
    <cellStyle name="Normal 2 4 5 3 2 3 6" xfId="19083" xr:uid="{481FF70F-A2BA-4B9E-9E2D-8FA8A4C2FC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17411" xr:uid="{7FAB59F9-678C-4C38-9D97-17C4EA999B9F}"/>
    <cellStyle name="Normal 2 4 5 3 2 4 2 2 2 2" xfId="53753" xr:uid="{3FF37E3A-EFF6-4F7E-A784-9AE2CDEF2CAF}"/>
    <cellStyle name="Normal 2 4 5 3 2 4 2 2 2 3" xfId="35157" xr:uid="{C7379340-CEEA-4AC0-AFEE-0B96CCF3E052}"/>
    <cellStyle name="Normal 2 4 5 3 2 4 2 2 3" xfId="44456" xr:uid="{03AA8870-1394-4C22-A22E-26C3568F5FF8}"/>
    <cellStyle name="Normal 2 4 5 3 2 4 2 2 4" xfId="25858" xr:uid="{515AAF8B-34C8-46F7-8955-D838F326BA57}"/>
    <cellStyle name="Normal 2 4 5 3 2 4 2 3" xfId="13194" xr:uid="{587EAC34-FDF3-429D-83B6-A8801AED44FD}"/>
    <cellStyle name="Normal 2 4 5 3 2 4 2 3 2" xfId="49536" xr:uid="{6AFEF15C-82AA-410F-B701-609A12DCFC3F}"/>
    <cellStyle name="Normal 2 4 5 3 2 4 2 3 3" xfId="30940" xr:uid="{4B60F54B-86A3-4B85-B82C-7411839DF85C}"/>
    <cellStyle name="Normal 2 4 5 3 2 4 2 4" xfId="40239" xr:uid="{1B88DD71-DFB6-4637-8D30-6D84B451D38E}"/>
    <cellStyle name="Normal 2 4 5 3 2 4 2 5" xfId="21641" xr:uid="{6D1C4A75-07BC-4D0A-AD31-8DEEB7909E3B}"/>
    <cellStyle name="Normal 2 4 5 3 2 4 3" xfId="5940" xr:uid="{00000000-0005-0000-0000-000093100000}"/>
    <cellStyle name="Normal 2 4 5 3 2 4 3 2" xfId="15266" xr:uid="{08656139-B733-4540-8B92-9350C0367FCD}"/>
    <cellStyle name="Normal 2 4 5 3 2 4 3 2 2" xfId="51608" xr:uid="{A3D32F7D-1D2A-4D38-96C7-9FEBEBA2AA79}"/>
    <cellStyle name="Normal 2 4 5 3 2 4 3 2 3" xfId="33012" xr:uid="{4A16F708-9E14-4ECD-8BAB-58773F7CC25A}"/>
    <cellStyle name="Normal 2 4 5 3 2 4 3 3" xfId="42311" xr:uid="{07BEFC8F-B976-4F2E-909D-7664D96E879B}"/>
    <cellStyle name="Normal 2 4 5 3 2 4 3 4" xfId="23713" xr:uid="{18EB29BB-CE95-421B-97E6-F571312EC6EA}"/>
    <cellStyle name="Normal 2 4 5 3 2 4 4" xfId="11049" xr:uid="{19267211-C3D0-43F0-AE74-7CD53D821AE1}"/>
    <cellStyle name="Normal 2 4 5 3 2 4 4 2" xfId="47391" xr:uid="{790F4BB8-EE67-4184-A979-7C230E0AE181}"/>
    <cellStyle name="Normal 2 4 5 3 2 4 4 3" xfId="28795" xr:uid="{7D05C951-029C-40E2-BCE3-280E3FD10BB6}"/>
    <cellStyle name="Normal 2 4 5 3 2 4 5" xfId="38094" xr:uid="{A5E3C3F9-2E1D-484D-AE70-C0DE9A4BAFDA}"/>
    <cellStyle name="Normal 2 4 5 3 2 4 6" xfId="19496" xr:uid="{78CBE18B-E9FB-4F44-8556-43D7A4AD5B06}"/>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17824" xr:uid="{89544A53-981E-46DC-A6DF-4170C309FF5B}"/>
    <cellStyle name="Normal 2 4 5 3 2 5 2 2 2 2" xfId="54166" xr:uid="{5737D002-0385-4A75-8C5C-082A7DA8EDC7}"/>
    <cellStyle name="Normal 2 4 5 3 2 5 2 2 2 3" xfId="35570" xr:uid="{3291EE26-5CF8-477B-AB57-180471105C47}"/>
    <cellStyle name="Normal 2 4 5 3 2 5 2 2 3" xfId="44869" xr:uid="{9E25FF76-F4F9-4E22-81FA-2FECE06C9159}"/>
    <cellStyle name="Normal 2 4 5 3 2 5 2 2 4" xfId="26271" xr:uid="{A9577782-60F9-4560-9770-0A9B221EE1E4}"/>
    <cellStyle name="Normal 2 4 5 3 2 5 2 3" xfId="13607" xr:uid="{1E70E2CA-B3C9-4F11-8D76-6CCD5CE536CE}"/>
    <cellStyle name="Normal 2 4 5 3 2 5 2 3 2" xfId="49949" xr:uid="{0050B5A5-5202-4478-9815-75ABD376D52D}"/>
    <cellStyle name="Normal 2 4 5 3 2 5 2 3 3" xfId="31353" xr:uid="{BC3A0293-78BF-4052-8C55-2172FD869344}"/>
    <cellStyle name="Normal 2 4 5 3 2 5 2 4" xfId="40652" xr:uid="{E222AEA9-DC12-4C2F-BCB3-22EE97B942DE}"/>
    <cellStyle name="Normal 2 4 5 3 2 5 2 5" xfId="22054" xr:uid="{A71951DA-6358-4F1D-9EE5-7E87E2D96DD5}"/>
    <cellStyle name="Normal 2 4 5 3 2 5 3" xfId="6353" xr:uid="{00000000-0005-0000-0000-000097100000}"/>
    <cellStyle name="Normal 2 4 5 3 2 5 3 2" xfId="15679" xr:uid="{66B3C67F-5B97-4DB8-A12F-9D6185756D47}"/>
    <cellStyle name="Normal 2 4 5 3 2 5 3 2 2" xfId="52021" xr:uid="{68E6B809-B3C3-42B7-98C1-F347E95D3775}"/>
    <cellStyle name="Normal 2 4 5 3 2 5 3 2 3" xfId="33425" xr:uid="{CE868601-B8BC-4B50-85E6-8BA01FAFBCCA}"/>
    <cellStyle name="Normal 2 4 5 3 2 5 3 3" xfId="42724" xr:uid="{E926164F-6036-47AB-A888-094D76E375EC}"/>
    <cellStyle name="Normal 2 4 5 3 2 5 3 4" xfId="24126" xr:uid="{73259B4A-51C1-48EA-BF5F-0581147BB1F4}"/>
    <cellStyle name="Normal 2 4 5 3 2 5 4" xfId="11462" xr:uid="{A824E048-3213-49ED-BCF8-D2D27048B96D}"/>
    <cellStyle name="Normal 2 4 5 3 2 5 4 2" xfId="47804" xr:uid="{35C33C2B-B5E9-4A03-9BA3-E2EC87A7183F}"/>
    <cellStyle name="Normal 2 4 5 3 2 5 4 3" xfId="29208" xr:uid="{ED12BE0C-77FF-45A5-8A87-CFDCA76FB8B1}"/>
    <cellStyle name="Normal 2 4 5 3 2 5 5" xfId="38507" xr:uid="{5071C1F0-5191-446D-B2DA-DACD1B1530F8}"/>
    <cellStyle name="Normal 2 4 5 3 2 5 6" xfId="19909" xr:uid="{CC732EE5-4953-4831-9FCA-E72E9E2032DB}"/>
    <cellStyle name="Normal 2 4 5 3 2 6" xfId="2483" xr:uid="{00000000-0005-0000-0000-000098100000}"/>
    <cellStyle name="Normal 2 4 5 3 2 6 2" xfId="6766" xr:uid="{00000000-0005-0000-0000-000099100000}"/>
    <cellStyle name="Normal 2 4 5 3 2 6 2 2" xfId="16092" xr:uid="{48BEEDB9-BFDE-48EE-B5E0-36D40F4E6353}"/>
    <cellStyle name="Normal 2 4 5 3 2 6 2 2 2" xfId="52434" xr:uid="{C629E3FF-3A33-4E74-BB75-73D0CF3FE853}"/>
    <cellStyle name="Normal 2 4 5 3 2 6 2 2 3" xfId="33838" xr:uid="{A844FEB0-BB02-4C72-AA4E-70417346550C}"/>
    <cellStyle name="Normal 2 4 5 3 2 6 2 3" xfId="43137" xr:uid="{22710044-0E6C-49C4-AD1F-5541D2CB6F4F}"/>
    <cellStyle name="Normal 2 4 5 3 2 6 2 4" xfId="24539" xr:uid="{F1A094CA-B0F5-40BF-B959-EE32B0193EB6}"/>
    <cellStyle name="Normal 2 4 5 3 2 6 3" xfId="11875" xr:uid="{163B7D61-39A4-4F60-9D9C-5CAF0F026E95}"/>
    <cellStyle name="Normal 2 4 5 3 2 6 3 2" xfId="48217" xr:uid="{2044706F-A830-4638-8FA0-B270F2EE96DF}"/>
    <cellStyle name="Normal 2 4 5 3 2 6 3 3" xfId="29621" xr:uid="{2554A63E-F8BB-4243-9512-15BF611D45DE}"/>
    <cellStyle name="Normal 2 4 5 3 2 6 4" xfId="38920" xr:uid="{2682AECF-F12C-4B82-A4FE-3DE03E55F70F}"/>
    <cellStyle name="Normal 2 4 5 3 2 6 5" xfId="20322" xr:uid="{D4E6464A-1385-48D6-81C8-0B17E47E3A01}"/>
    <cellStyle name="Normal 2 4 5 3 2 7" xfId="4700" xr:uid="{00000000-0005-0000-0000-00009A100000}"/>
    <cellStyle name="Normal 2 4 5 3 2 7 2" xfId="14026" xr:uid="{0FC6BE41-75BD-47A2-A779-FC831EDEF842}"/>
    <cellStyle name="Normal 2 4 5 3 2 7 2 2" xfId="50368" xr:uid="{68928B27-6A93-4D66-8624-EFEFED30FDB1}"/>
    <cellStyle name="Normal 2 4 5 3 2 7 2 3" xfId="31772" xr:uid="{E8485896-7A7A-4111-9496-7869293A9A78}"/>
    <cellStyle name="Normal 2 4 5 3 2 7 3" xfId="41071" xr:uid="{5AB4C7A7-EDD8-435F-A1DA-D0CC22D47599}"/>
    <cellStyle name="Normal 2 4 5 3 2 7 4" xfId="22473" xr:uid="{9DB9FD0D-1E8C-4DC3-BE86-786FF260C1A2}"/>
    <cellStyle name="Normal 2 4 5 3 2 8" xfId="9090" xr:uid="{4B64C5F8-5AC3-43D3-B94A-46850BBF79A5}"/>
    <cellStyle name="Normal 2 4 5 3 2 8 2" xfId="36160" xr:uid="{C721AF1A-8796-44D7-B523-6270D774581A}"/>
    <cellStyle name="Normal 2 4 5 3 2 8 2 2" xfId="54755" xr:uid="{78B414A6-9D0E-42D4-A6ED-4844888CC638}"/>
    <cellStyle name="Normal 2 4 5 3 2 8 3" xfId="45458" xr:uid="{6937059D-083A-4CC6-AFF4-8E3F188D2228}"/>
    <cellStyle name="Normal 2 4 5 3 2 8 4" xfId="26861" xr:uid="{B8F98FB8-4C82-4269-87B4-05B1C69BE517}"/>
    <cellStyle name="Normal 2 4 5 3 2 9" xfId="9809" xr:uid="{EF913899-FDFD-4617-8390-A518ECCB125F}"/>
    <cellStyle name="Normal 2 4 5 3 2 9 2" xfId="46151" xr:uid="{52819355-9B7F-4DB2-B582-EFF1E427D5B0}"/>
    <cellStyle name="Normal 2 4 5 3 2 9 3" xfId="27555" xr:uid="{9EBE74E8-AB41-4D34-A8D1-434E9AC287A7}"/>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16584" xr:uid="{BD528BE0-9F2D-48FF-8047-4E23BA03A4E8}"/>
    <cellStyle name="Normal 2 4 5 3 3 2 2 2 2" xfId="52926" xr:uid="{C11A43F5-D942-41C6-8D5B-6C47266C9A4D}"/>
    <cellStyle name="Normal 2 4 5 3 3 2 2 2 3" xfId="34330" xr:uid="{ED993A0A-5DE7-45D2-ACB4-D2736B7E53B3}"/>
    <cellStyle name="Normal 2 4 5 3 3 2 2 3" xfId="43629" xr:uid="{B568F996-EA16-41CB-B605-832080EB331C}"/>
    <cellStyle name="Normal 2 4 5 3 3 2 2 4" xfId="25031" xr:uid="{4981BA8D-ADFE-46F7-854A-8C7490304359}"/>
    <cellStyle name="Normal 2 4 5 3 3 2 3" xfId="12367" xr:uid="{8C99EC67-6DE6-44F5-8ED8-D20A5197C792}"/>
    <cellStyle name="Normal 2 4 5 3 3 2 3 2" xfId="48709" xr:uid="{7B816E90-30D2-47A7-8493-B71280DBEB83}"/>
    <cellStyle name="Normal 2 4 5 3 3 2 3 3" xfId="30113" xr:uid="{8828A956-4A03-4736-976A-D48512F77B8E}"/>
    <cellStyle name="Normal 2 4 5 3 3 2 4" xfId="39412" xr:uid="{CEA7157E-12DB-4C9E-9743-FE7AC3382106}"/>
    <cellStyle name="Normal 2 4 5 3 3 2 5" xfId="20814" xr:uid="{25B52DC1-3444-4689-B0B2-1B142276C195}"/>
    <cellStyle name="Normal 2 4 5 3 3 3" xfId="5113" xr:uid="{00000000-0005-0000-0000-00009E100000}"/>
    <cellStyle name="Normal 2 4 5 3 3 3 2" xfId="14439" xr:uid="{85D71DBA-A123-40D1-A89E-310690E4ACF3}"/>
    <cellStyle name="Normal 2 4 5 3 3 3 2 2" xfId="50781" xr:uid="{B02BBABC-AA38-40B5-B087-1131CEDF94AC}"/>
    <cellStyle name="Normal 2 4 5 3 3 3 2 3" xfId="32185" xr:uid="{B2C961F2-D790-49AF-9EF0-761BF1411B16}"/>
    <cellStyle name="Normal 2 4 5 3 3 3 3" xfId="41484" xr:uid="{D5026B92-44F6-42E5-BBF1-38604D4F3899}"/>
    <cellStyle name="Normal 2 4 5 3 3 3 4" xfId="22886" xr:uid="{E2F7D2EF-2AC8-47CA-AF0D-372878717E5F}"/>
    <cellStyle name="Normal 2 4 5 3 3 4" xfId="9308" xr:uid="{40198FFA-4C90-42BE-90C8-42459F1A2A1C}"/>
    <cellStyle name="Normal 2 4 5 3 3 4 2" xfId="36369" xr:uid="{4CB09F28-EB67-423E-ACFD-D93C01EA5CB6}"/>
    <cellStyle name="Normal 2 4 5 3 3 4 2 2" xfId="54963" xr:uid="{19BB69EC-07AF-4B9E-A9F8-C7772BAC512F}"/>
    <cellStyle name="Normal 2 4 5 3 3 4 3" xfId="45666" xr:uid="{5FCEF446-A4A4-4566-B5C8-9BC1226F8E42}"/>
    <cellStyle name="Normal 2 4 5 3 3 4 4" xfId="27070" xr:uid="{A8C8E934-1696-48C2-BE9D-C9669FB0CB08}"/>
    <cellStyle name="Normal 2 4 5 3 3 5" xfId="10222" xr:uid="{3E4F21E8-3EDF-46CB-A41E-5C25BD455C8C}"/>
    <cellStyle name="Normal 2 4 5 3 3 5 2" xfId="46564" xr:uid="{418D165F-BA00-4E0B-B68B-B4277370F0E5}"/>
    <cellStyle name="Normal 2 4 5 3 3 5 3" xfId="27968" xr:uid="{4685B7D1-138F-49C0-B045-2E04D639748A}"/>
    <cellStyle name="Normal 2 4 5 3 3 6" xfId="37267" xr:uid="{0CB4AD2B-C251-41EF-BD3C-0791938D3E0F}"/>
    <cellStyle name="Normal 2 4 5 3 3 7" xfId="18669" xr:uid="{D68AFEAF-9EE6-48C5-B44C-4573918DC447}"/>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16997" xr:uid="{746FDF65-106C-4246-87B3-E1575EF9D7C9}"/>
    <cellStyle name="Normal 2 4 5 3 4 2 2 2 2" xfId="53339" xr:uid="{23909B10-E116-4586-A567-BF7987023FCC}"/>
    <cellStyle name="Normal 2 4 5 3 4 2 2 2 3" xfId="34743" xr:uid="{29B63B7A-BEEF-4303-B8CE-E473E1C1696B}"/>
    <cellStyle name="Normal 2 4 5 3 4 2 2 3" xfId="44042" xr:uid="{6EA58004-2887-4BAE-B157-23300C08B2F2}"/>
    <cellStyle name="Normal 2 4 5 3 4 2 2 4" xfId="25444" xr:uid="{F5CC68BD-F4C9-4935-B690-C5453152EBA0}"/>
    <cellStyle name="Normal 2 4 5 3 4 2 3" xfId="12780" xr:uid="{C6A0E0AB-4FEF-41FD-99B3-EE08BEFA9795}"/>
    <cellStyle name="Normal 2 4 5 3 4 2 3 2" xfId="49122" xr:uid="{AD99C244-4C18-45B0-9512-CBF504BF9CF0}"/>
    <cellStyle name="Normal 2 4 5 3 4 2 3 3" xfId="30526" xr:uid="{A46EECE2-4399-4D7D-BAB5-2A7FB35B6AE5}"/>
    <cellStyle name="Normal 2 4 5 3 4 2 4" xfId="39825" xr:uid="{295DEB71-B0FA-487B-9079-E49725387262}"/>
    <cellStyle name="Normal 2 4 5 3 4 2 5" xfId="21227" xr:uid="{57603F0F-670F-4699-8C1B-10317532AB7A}"/>
    <cellStyle name="Normal 2 4 5 3 4 3" xfId="5526" xr:uid="{00000000-0005-0000-0000-0000A2100000}"/>
    <cellStyle name="Normal 2 4 5 3 4 3 2" xfId="14852" xr:uid="{35BC92FA-F2EF-4558-A227-44E32C9808A1}"/>
    <cellStyle name="Normal 2 4 5 3 4 3 2 2" xfId="51194" xr:uid="{28970216-8080-488C-8593-4C55B02C7D83}"/>
    <cellStyle name="Normal 2 4 5 3 4 3 2 3" xfId="32598" xr:uid="{424F2D14-97FF-4D58-BE2F-24813ED1F24E}"/>
    <cellStyle name="Normal 2 4 5 3 4 3 3" xfId="41897" xr:uid="{CFAE64BC-0550-4409-B400-CE812B5401BA}"/>
    <cellStyle name="Normal 2 4 5 3 4 3 4" xfId="23299" xr:uid="{0D193394-3AF6-47CF-9C0F-FB85983C93F7}"/>
    <cellStyle name="Normal 2 4 5 3 4 4" xfId="10635" xr:uid="{73CB317F-E462-4254-B510-CD477379075F}"/>
    <cellStyle name="Normal 2 4 5 3 4 4 2" xfId="46977" xr:uid="{B263CDAB-3108-4980-B28C-9DB3A8CC8611}"/>
    <cellStyle name="Normal 2 4 5 3 4 4 3" xfId="28381" xr:uid="{24DA59B3-E435-4E69-8556-B9B113F1A8D0}"/>
    <cellStyle name="Normal 2 4 5 3 4 5" xfId="37680" xr:uid="{77821DF7-4170-4A41-BB36-7C79D269E3E3}"/>
    <cellStyle name="Normal 2 4 5 3 4 6" xfId="19082" xr:uid="{06D6B510-67A4-403D-8005-481562A5AA8C}"/>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17410" xr:uid="{5F455FB9-E6E7-42EE-B184-B377A266B28C}"/>
    <cellStyle name="Normal 2 4 5 3 5 2 2 2 2" xfId="53752" xr:uid="{39A6391A-E961-4932-9F4F-CBA87239EDC5}"/>
    <cellStyle name="Normal 2 4 5 3 5 2 2 2 3" xfId="35156" xr:uid="{17127AE9-3775-402E-8765-00A2F7CED633}"/>
    <cellStyle name="Normal 2 4 5 3 5 2 2 3" xfId="44455" xr:uid="{16087903-F612-469D-BD86-875D24572E02}"/>
    <cellStyle name="Normal 2 4 5 3 5 2 2 4" xfId="25857" xr:uid="{4F1559CF-918D-4809-9069-1DC437C56B3F}"/>
    <cellStyle name="Normal 2 4 5 3 5 2 3" xfId="13193" xr:uid="{4B7F4133-4A7F-4A30-B7A7-58EFEDEB9401}"/>
    <cellStyle name="Normal 2 4 5 3 5 2 3 2" xfId="49535" xr:uid="{02EF9ADF-0448-4DE4-B1FD-A633D82F16AF}"/>
    <cellStyle name="Normal 2 4 5 3 5 2 3 3" xfId="30939" xr:uid="{9CD636D6-9110-4C78-A713-40B6DF2A5735}"/>
    <cellStyle name="Normal 2 4 5 3 5 2 4" xfId="40238" xr:uid="{11BF733B-8028-4573-8D15-694CAC0CEE7D}"/>
    <cellStyle name="Normal 2 4 5 3 5 2 5" xfId="21640" xr:uid="{5276374B-08EF-4A85-B001-C3C7029AA1DB}"/>
    <cellStyle name="Normal 2 4 5 3 5 3" xfId="5939" xr:uid="{00000000-0005-0000-0000-0000A6100000}"/>
    <cellStyle name="Normal 2 4 5 3 5 3 2" xfId="15265" xr:uid="{8F98AA56-3424-471D-AE29-29C6D871C76E}"/>
    <cellStyle name="Normal 2 4 5 3 5 3 2 2" xfId="51607" xr:uid="{B53ACC56-54C3-4D1A-9B13-33428C43CB47}"/>
    <cellStyle name="Normal 2 4 5 3 5 3 2 3" xfId="33011" xr:uid="{CD2BDEED-D02C-4B36-9112-C12E76A9FF61}"/>
    <cellStyle name="Normal 2 4 5 3 5 3 3" xfId="42310" xr:uid="{109682C0-5A6F-479E-9288-D753BC0F9B42}"/>
    <cellStyle name="Normal 2 4 5 3 5 3 4" xfId="23712" xr:uid="{A0B2619A-801A-46AC-8651-1E55011E0077}"/>
    <cellStyle name="Normal 2 4 5 3 5 4" xfId="11048" xr:uid="{ABB56168-D626-4EF7-8B77-F65ABBE82E71}"/>
    <cellStyle name="Normal 2 4 5 3 5 4 2" xfId="47390" xr:uid="{F9936AF2-B287-4CB4-835F-49884DEDB848}"/>
    <cellStyle name="Normal 2 4 5 3 5 4 3" xfId="28794" xr:uid="{60C949EA-FFBC-4879-91FE-900FF4019A63}"/>
    <cellStyle name="Normal 2 4 5 3 5 5" xfId="38093" xr:uid="{FCE23D09-874E-453C-B61E-71532178C765}"/>
    <cellStyle name="Normal 2 4 5 3 5 6" xfId="19495" xr:uid="{749082A7-DBD0-4EE0-879F-AD1859C30033}"/>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17823" xr:uid="{A6C35DAA-D47E-4A7B-B348-C6947B11EAEF}"/>
    <cellStyle name="Normal 2 4 5 3 6 2 2 2 2" xfId="54165" xr:uid="{977DC053-C147-4904-8C9F-2811B077BC00}"/>
    <cellStyle name="Normal 2 4 5 3 6 2 2 2 3" xfId="35569" xr:uid="{C2E16063-8075-4CB3-A8EB-8E4D905E49D3}"/>
    <cellStyle name="Normal 2 4 5 3 6 2 2 3" xfId="44868" xr:uid="{F40F80F6-AA9D-4E96-862E-01E522C3503D}"/>
    <cellStyle name="Normal 2 4 5 3 6 2 2 4" xfId="26270" xr:uid="{AB0133E5-4DBD-4B18-9C5F-B18EC82BBE95}"/>
    <cellStyle name="Normal 2 4 5 3 6 2 3" xfId="13606" xr:uid="{D52F2940-9264-4934-BEDF-2FFB39D20CC8}"/>
    <cellStyle name="Normal 2 4 5 3 6 2 3 2" xfId="49948" xr:uid="{C07160B5-B9BB-4D27-A781-DB00C107DDF7}"/>
    <cellStyle name="Normal 2 4 5 3 6 2 3 3" xfId="31352" xr:uid="{2988D259-EB59-4200-9CC9-7CB909F18F11}"/>
    <cellStyle name="Normal 2 4 5 3 6 2 4" xfId="40651" xr:uid="{24617FD9-8B9F-48F0-9499-627960F516F5}"/>
    <cellStyle name="Normal 2 4 5 3 6 2 5" xfId="22053" xr:uid="{342531A0-7F3A-49E5-AE0A-6C8AC8612861}"/>
    <cellStyle name="Normal 2 4 5 3 6 3" xfId="6352" xr:uid="{00000000-0005-0000-0000-0000AA100000}"/>
    <cellStyle name="Normal 2 4 5 3 6 3 2" xfId="15678" xr:uid="{79A641D2-4F28-49FB-8C0B-1F7DF2367F66}"/>
    <cellStyle name="Normal 2 4 5 3 6 3 2 2" xfId="52020" xr:uid="{D5CF713E-2035-4761-9FAC-460E1017605F}"/>
    <cellStyle name="Normal 2 4 5 3 6 3 2 3" xfId="33424" xr:uid="{22E38E2E-1A79-4012-B3DA-79678B69C04D}"/>
    <cellStyle name="Normal 2 4 5 3 6 3 3" xfId="42723" xr:uid="{5C1667FA-8351-42A9-AF54-567A2A7CDC6D}"/>
    <cellStyle name="Normal 2 4 5 3 6 3 4" xfId="24125" xr:uid="{ECB1ED47-0802-45E3-A1AA-36153858DDFF}"/>
    <cellStyle name="Normal 2 4 5 3 6 4" xfId="11461" xr:uid="{A57575E2-3FC6-4A29-B3DD-30CEF260890C}"/>
    <cellStyle name="Normal 2 4 5 3 6 4 2" xfId="47803" xr:uid="{7C02012A-D519-4F73-8017-E612D29FE9A8}"/>
    <cellStyle name="Normal 2 4 5 3 6 4 3" xfId="29207" xr:uid="{9B180DA5-F911-43E2-8D1D-239798C2FDC4}"/>
    <cellStyle name="Normal 2 4 5 3 6 5" xfId="38506" xr:uid="{FBCD2BB3-106B-487B-A734-305622A860B3}"/>
    <cellStyle name="Normal 2 4 5 3 6 6" xfId="19908" xr:uid="{A62A350A-21DD-4100-A970-6CBFBF8D83F4}"/>
    <cellStyle name="Normal 2 4 5 3 7" xfId="2482" xr:uid="{00000000-0005-0000-0000-0000AB100000}"/>
    <cellStyle name="Normal 2 4 5 3 7 2" xfId="6765" xr:uid="{00000000-0005-0000-0000-0000AC100000}"/>
    <cellStyle name="Normal 2 4 5 3 7 2 2" xfId="16091" xr:uid="{CE0CDF00-AE53-42C6-89CA-C635DD1CA8F8}"/>
    <cellStyle name="Normal 2 4 5 3 7 2 2 2" xfId="52433" xr:uid="{23E4C07F-9ADE-4E76-9260-5DB5F54578B4}"/>
    <cellStyle name="Normal 2 4 5 3 7 2 2 3" xfId="33837" xr:uid="{8DE74ABB-8F28-41B0-A267-A9084C7704D5}"/>
    <cellStyle name="Normal 2 4 5 3 7 2 3" xfId="43136" xr:uid="{734D97FD-DF14-4BC7-BE97-136C47258811}"/>
    <cellStyle name="Normal 2 4 5 3 7 2 4" xfId="24538" xr:uid="{C69AEED1-574D-45BF-8250-46434147EEF3}"/>
    <cellStyle name="Normal 2 4 5 3 7 3" xfId="11874" xr:uid="{1E4AD828-FD36-43B6-83AE-3160D812933A}"/>
    <cellStyle name="Normal 2 4 5 3 7 3 2" xfId="48216" xr:uid="{07F8AEA0-05C5-42D5-8D8B-BC7A9675D6B1}"/>
    <cellStyle name="Normal 2 4 5 3 7 3 3" xfId="29620" xr:uid="{05FC3842-4476-47BB-A7D6-2AA5D236471D}"/>
    <cellStyle name="Normal 2 4 5 3 7 4" xfId="38919" xr:uid="{8E6B93A8-778D-4404-9202-855F6CAC3FF9}"/>
    <cellStyle name="Normal 2 4 5 3 7 5" xfId="20321" xr:uid="{BDA4A25A-BC96-4F67-BBB7-54403447311F}"/>
    <cellStyle name="Normal 2 4 5 3 8" xfId="4699" xr:uid="{00000000-0005-0000-0000-0000AD100000}"/>
    <cellStyle name="Normal 2 4 5 3 8 2" xfId="14025" xr:uid="{FA7877E9-F4D0-49A1-AE00-D8D000EECC97}"/>
    <cellStyle name="Normal 2 4 5 3 8 2 2" xfId="50367" xr:uid="{7D6E6B14-EDB9-402F-9CB8-F1FA96D26517}"/>
    <cellStyle name="Normal 2 4 5 3 8 2 3" xfId="31771" xr:uid="{0557E2CE-C392-4CCA-A3EA-DA91716AE852}"/>
    <cellStyle name="Normal 2 4 5 3 8 3" xfId="41070" xr:uid="{C03381A6-8699-4C85-8CF3-987B40654FAB}"/>
    <cellStyle name="Normal 2 4 5 3 8 4" xfId="22472" xr:uid="{16271760-92A4-4BBD-90D8-080C1BAA03CD}"/>
    <cellStyle name="Normal 2 4 5 3 9" xfId="8883" xr:uid="{0A470B75-873E-4D74-A257-113E3E343E18}"/>
    <cellStyle name="Normal 2 4 5 3 9 2" xfId="35953" xr:uid="{C73C1615-5FEF-4565-A8A3-AF5DD505690A}"/>
    <cellStyle name="Normal 2 4 5 3 9 2 2" xfId="54548" xr:uid="{5E8B051E-6A82-4F36-92D3-12CB00443A3C}"/>
    <cellStyle name="Normal 2 4 5 3 9 3" xfId="45251" xr:uid="{9343836D-2621-4640-8291-FCFEA2545296}"/>
    <cellStyle name="Normal 2 4 5 3 9 4" xfId="26654" xr:uid="{8562D304-506A-45DF-86FF-E1E55D7C2AE2}"/>
    <cellStyle name="Normal 2 4 5 4" xfId="310" xr:uid="{00000000-0005-0000-0000-0000AE100000}"/>
    <cellStyle name="Normal 2 4 5 4 10" xfId="36855" xr:uid="{ACF9418B-1E52-4E02-89F9-EB8A6662BD61}"/>
    <cellStyle name="Normal 2 4 5 4 11" xfId="18257" xr:uid="{D1BA7625-4282-4A5E-9822-A2119F9455A6}"/>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16586" xr:uid="{D3A87685-EEA9-4247-A0E1-7EC09D40FC33}"/>
    <cellStyle name="Normal 2 4 5 4 2 2 2 2 2" xfId="52928" xr:uid="{99230E71-A89C-47AA-A7B1-997444D7F43A}"/>
    <cellStyle name="Normal 2 4 5 4 2 2 2 2 3" xfId="34332" xr:uid="{56148CDE-DD99-4D17-9E63-A3A5ED2CF82D}"/>
    <cellStyle name="Normal 2 4 5 4 2 2 2 3" xfId="43631" xr:uid="{FDF6F86F-6F91-46A5-9609-401AB3E5997A}"/>
    <cellStyle name="Normal 2 4 5 4 2 2 2 4" xfId="25033" xr:uid="{67E35C3A-6376-41A8-8966-93ED70AF1C74}"/>
    <cellStyle name="Normal 2 4 5 4 2 2 3" xfId="12369" xr:uid="{A6F6F1E5-9E18-404D-B546-90CBBE749FEB}"/>
    <cellStyle name="Normal 2 4 5 4 2 2 3 2" xfId="48711" xr:uid="{21446F4F-EC00-438A-9E5E-F8B3D014D4C0}"/>
    <cellStyle name="Normal 2 4 5 4 2 2 3 3" xfId="30115" xr:uid="{79DE6F79-11F4-4221-99D1-98B1649EE638}"/>
    <cellStyle name="Normal 2 4 5 4 2 2 4" xfId="39414" xr:uid="{378B92DE-3F1C-4A9F-A903-0BB63B0677E2}"/>
    <cellStyle name="Normal 2 4 5 4 2 2 5" xfId="20816" xr:uid="{F74B17D7-75E2-4EEA-9250-D0ADE6B791F2}"/>
    <cellStyle name="Normal 2 4 5 4 2 3" xfId="5115" xr:uid="{00000000-0005-0000-0000-0000B2100000}"/>
    <cellStyle name="Normal 2 4 5 4 2 3 2" xfId="14441" xr:uid="{9184C6B3-D112-4853-A9B2-DDB172A4CC7D}"/>
    <cellStyle name="Normal 2 4 5 4 2 3 2 2" xfId="50783" xr:uid="{B73EE0EF-4CB7-4049-86E8-3BB5B2EB0C22}"/>
    <cellStyle name="Normal 2 4 5 4 2 3 2 3" xfId="32187" xr:uid="{B58F4F5E-A4A8-4E26-9817-AE54E5E82213}"/>
    <cellStyle name="Normal 2 4 5 4 2 3 3" xfId="41486" xr:uid="{114199BF-5D4B-4ACA-BDD4-A954DE764D9B}"/>
    <cellStyle name="Normal 2 4 5 4 2 3 4" xfId="22888" xr:uid="{39ED0228-5E7B-4FCF-9186-17DDF5DC0245}"/>
    <cellStyle name="Normal 2 4 5 4 2 4" xfId="9412" xr:uid="{0ECAC303-3EA0-4623-AA0F-854157CA32E5}"/>
    <cellStyle name="Normal 2 4 5 4 2 4 2" xfId="36473" xr:uid="{9063679B-7418-46E4-9975-E0F13A7AE6F8}"/>
    <cellStyle name="Normal 2 4 5 4 2 4 2 2" xfId="55067" xr:uid="{02BC8548-BBF9-43CA-98C5-0700D0CEA5C7}"/>
    <cellStyle name="Normal 2 4 5 4 2 4 3" xfId="45770" xr:uid="{5DF646D3-0811-46F0-A5F5-435117D30DCB}"/>
    <cellStyle name="Normal 2 4 5 4 2 4 4" xfId="27174" xr:uid="{DA91A44C-BBB7-4954-AA3C-9A3521E1D50E}"/>
    <cellStyle name="Normal 2 4 5 4 2 5" xfId="10224" xr:uid="{A5B4DDF1-7E6D-4B8F-9005-6B36754CF94D}"/>
    <cellStyle name="Normal 2 4 5 4 2 5 2" xfId="46566" xr:uid="{0ECEB1C3-F78E-4A1D-8F6B-DD58A331D98A}"/>
    <cellStyle name="Normal 2 4 5 4 2 5 3" xfId="27970" xr:uid="{C1E7E01D-2198-4AE2-AA57-6CD32CDD105A}"/>
    <cellStyle name="Normal 2 4 5 4 2 6" xfId="37269" xr:uid="{CD056986-D3B2-47A0-BF72-7341DECCD920}"/>
    <cellStyle name="Normal 2 4 5 4 2 7" xfId="18671" xr:uid="{42AACCE6-B108-49C3-B9D6-2796AE6EF964}"/>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16999" xr:uid="{49459F31-8CE6-4BC2-BCCE-5F36F17CBDAD}"/>
    <cellStyle name="Normal 2 4 5 4 3 2 2 2 2" xfId="53341" xr:uid="{42007133-E781-423C-ACB3-50CA5A23066A}"/>
    <cellStyle name="Normal 2 4 5 4 3 2 2 2 3" xfId="34745" xr:uid="{FAE3E262-C03A-47C7-A8C5-B624AADD28B5}"/>
    <cellStyle name="Normal 2 4 5 4 3 2 2 3" xfId="44044" xr:uid="{01685076-0E30-458D-94B2-388ECD3695CC}"/>
    <cellStyle name="Normal 2 4 5 4 3 2 2 4" xfId="25446" xr:uid="{210DEB03-E55B-4D18-A8F3-3935F7EF31A5}"/>
    <cellStyle name="Normal 2 4 5 4 3 2 3" xfId="12782" xr:uid="{31F4C710-2313-49BA-B905-0D0518D1BE48}"/>
    <cellStyle name="Normal 2 4 5 4 3 2 3 2" xfId="49124" xr:uid="{54A6B85C-D234-4D79-9AE5-8E9AB0A418C8}"/>
    <cellStyle name="Normal 2 4 5 4 3 2 3 3" xfId="30528" xr:uid="{28AE86EF-4489-413C-B7FE-33ACC9343014}"/>
    <cellStyle name="Normal 2 4 5 4 3 2 4" xfId="39827" xr:uid="{2AC86B3B-2DAB-4C8A-9C51-8E742565A3F6}"/>
    <cellStyle name="Normal 2 4 5 4 3 2 5" xfId="21229" xr:uid="{A6F5985F-CFDD-431E-BFFA-A4B58A04DE52}"/>
    <cellStyle name="Normal 2 4 5 4 3 3" xfId="5528" xr:uid="{00000000-0005-0000-0000-0000B6100000}"/>
    <cellStyle name="Normal 2 4 5 4 3 3 2" xfId="14854" xr:uid="{BB39B37B-0BBB-42E5-8E2B-ADE28053BFA8}"/>
    <cellStyle name="Normal 2 4 5 4 3 3 2 2" xfId="51196" xr:uid="{7687CA27-0556-407F-8288-9F9743BF6995}"/>
    <cellStyle name="Normal 2 4 5 4 3 3 2 3" xfId="32600" xr:uid="{D3C24A80-C1FB-450A-AC1D-08238408059D}"/>
    <cellStyle name="Normal 2 4 5 4 3 3 3" xfId="41899" xr:uid="{65DEBC1C-9633-435C-84E0-B9ECBE1563A7}"/>
    <cellStyle name="Normal 2 4 5 4 3 3 4" xfId="23301" xr:uid="{95DF5AEC-D2E9-4CEB-89BB-9083B9B8787E}"/>
    <cellStyle name="Normal 2 4 5 4 3 4" xfId="10637" xr:uid="{D397DEB4-9652-464C-9F98-7CD30640A9E9}"/>
    <cellStyle name="Normal 2 4 5 4 3 4 2" xfId="46979" xr:uid="{6493E2E6-250A-4DC6-B9F1-4DC13CBE6CBF}"/>
    <cellStyle name="Normal 2 4 5 4 3 4 3" xfId="28383" xr:uid="{B8D25DB1-D1CF-4B24-9245-C1AB01FD5990}"/>
    <cellStyle name="Normal 2 4 5 4 3 5" xfId="37682" xr:uid="{181E2E22-785C-455F-AA30-4D5646E507A0}"/>
    <cellStyle name="Normal 2 4 5 4 3 6" xfId="19084" xr:uid="{C7AA2EC0-5B28-47B6-90C9-0F25230D96D1}"/>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17412" xr:uid="{E092E81F-3F8B-4A30-B5E1-F9714E41BC47}"/>
    <cellStyle name="Normal 2 4 5 4 4 2 2 2 2" xfId="53754" xr:uid="{FABE5967-3B12-4C64-B32D-2FEB1664E63F}"/>
    <cellStyle name="Normal 2 4 5 4 4 2 2 2 3" xfId="35158" xr:uid="{782E5C7A-32DD-4C96-AF6C-284215F26F92}"/>
    <cellStyle name="Normal 2 4 5 4 4 2 2 3" xfId="44457" xr:uid="{F15AD046-799B-417D-9BF0-1A5598FDDF51}"/>
    <cellStyle name="Normal 2 4 5 4 4 2 2 4" xfId="25859" xr:uid="{D4DB5A3D-7BCE-4DBA-AAD8-AE1F88A49762}"/>
    <cellStyle name="Normal 2 4 5 4 4 2 3" xfId="13195" xr:uid="{BDB1C72D-5402-4381-9A16-EF6F72AE3268}"/>
    <cellStyle name="Normal 2 4 5 4 4 2 3 2" xfId="49537" xr:uid="{84DDEC75-BEA5-4971-9032-83DEF936A89D}"/>
    <cellStyle name="Normal 2 4 5 4 4 2 3 3" xfId="30941" xr:uid="{C6CEBAC7-099E-4B6D-A58D-0B3EA1145EB2}"/>
    <cellStyle name="Normal 2 4 5 4 4 2 4" xfId="40240" xr:uid="{24FD7259-54DB-4CBD-B524-E698E27904B4}"/>
    <cellStyle name="Normal 2 4 5 4 4 2 5" xfId="21642" xr:uid="{4B209CD8-D09D-4400-876F-D43149318F01}"/>
    <cellStyle name="Normal 2 4 5 4 4 3" xfId="5941" xr:uid="{00000000-0005-0000-0000-0000BA100000}"/>
    <cellStyle name="Normal 2 4 5 4 4 3 2" xfId="15267" xr:uid="{BA47B10B-3DF5-4C48-8EAD-2DFEA572BBEB}"/>
    <cellStyle name="Normal 2 4 5 4 4 3 2 2" xfId="51609" xr:uid="{A6594A1E-E10B-466C-B9E4-EA6BE4B71BEE}"/>
    <cellStyle name="Normal 2 4 5 4 4 3 2 3" xfId="33013" xr:uid="{E30B9BBC-9E22-4430-904B-CC58D3B380F4}"/>
    <cellStyle name="Normal 2 4 5 4 4 3 3" xfId="42312" xr:uid="{61FE67C9-0C4E-449B-BDC9-27789739824C}"/>
    <cellStyle name="Normal 2 4 5 4 4 3 4" xfId="23714" xr:uid="{8A28B2A7-0D20-46AF-BEED-F455E07F1ECE}"/>
    <cellStyle name="Normal 2 4 5 4 4 4" xfId="11050" xr:uid="{7463BE7B-91B7-4790-A962-1F4E1A1C3F9E}"/>
    <cellStyle name="Normal 2 4 5 4 4 4 2" xfId="47392" xr:uid="{F7E04AAD-3CDA-4077-BDB1-22AE7CB3EB10}"/>
    <cellStyle name="Normal 2 4 5 4 4 4 3" xfId="28796" xr:uid="{C8AA0345-EF53-4249-BBF4-6D2027710691}"/>
    <cellStyle name="Normal 2 4 5 4 4 5" xfId="38095" xr:uid="{4A1F0651-2B09-440C-8011-460E05623CC9}"/>
    <cellStyle name="Normal 2 4 5 4 4 6" xfId="19497" xr:uid="{F2EF833B-ED75-429E-BAD6-250186BD8419}"/>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17825" xr:uid="{CB46B914-B172-4EC8-8488-6D3651F37AB0}"/>
    <cellStyle name="Normal 2 4 5 4 5 2 2 2 2" xfId="54167" xr:uid="{8D600995-022D-4F0F-A7C5-785F6FED3AC4}"/>
    <cellStyle name="Normal 2 4 5 4 5 2 2 2 3" xfId="35571" xr:uid="{A8C2047B-CC87-46A8-9560-7B7071AD27B4}"/>
    <cellStyle name="Normal 2 4 5 4 5 2 2 3" xfId="44870" xr:uid="{28A9676D-28AE-473C-BA36-6F4E45161822}"/>
    <cellStyle name="Normal 2 4 5 4 5 2 2 4" xfId="26272" xr:uid="{83A8AA5F-525B-49F2-9231-E18ED456E33A}"/>
    <cellStyle name="Normal 2 4 5 4 5 2 3" xfId="13608" xr:uid="{7D26EF2A-31C4-4106-ACE8-CD4C84FF56C5}"/>
    <cellStyle name="Normal 2 4 5 4 5 2 3 2" xfId="49950" xr:uid="{20918617-9FBA-43D8-A06A-7D9ED28CDC25}"/>
    <cellStyle name="Normal 2 4 5 4 5 2 3 3" xfId="31354" xr:uid="{2CECE9F9-031C-4C24-84F4-8B6F3C55BB76}"/>
    <cellStyle name="Normal 2 4 5 4 5 2 4" xfId="40653" xr:uid="{3412A3B4-EA7D-439A-ACE9-E89535C63B63}"/>
    <cellStyle name="Normal 2 4 5 4 5 2 5" xfId="22055" xr:uid="{AB779CC7-9D6B-467F-AEEF-66D5C6370B3D}"/>
    <cellStyle name="Normal 2 4 5 4 5 3" xfId="6354" xr:uid="{00000000-0005-0000-0000-0000BE100000}"/>
    <cellStyle name="Normal 2 4 5 4 5 3 2" xfId="15680" xr:uid="{AAB76981-484A-420E-BBC3-C4E21994468F}"/>
    <cellStyle name="Normal 2 4 5 4 5 3 2 2" xfId="52022" xr:uid="{96A97548-7B0A-48B0-B8DA-3CF734CC669A}"/>
    <cellStyle name="Normal 2 4 5 4 5 3 2 3" xfId="33426" xr:uid="{4C57090D-74B0-455A-879A-380210D2F0AB}"/>
    <cellStyle name="Normal 2 4 5 4 5 3 3" xfId="42725" xr:uid="{706C40FD-8C0D-47FB-8121-EAC59CEE9A20}"/>
    <cellStyle name="Normal 2 4 5 4 5 3 4" xfId="24127" xr:uid="{14CA63DF-A60C-48E1-8406-F4A0AD82F0B8}"/>
    <cellStyle name="Normal 2 4 5 4 5 4" xfId="11463" xr:uid="{94BF6ECF-DAB3-4C90-B846-ECFDA3B6E42D}"/>
    <cellStyle name="Normal 2 4 5 4 5 4 2" xfId="47805" xr:uid="{3825C41D-B15A-4FB2-9D8B-0CDC0F45B85E}"/>
    <cellStyle name="Normal 2 4 5 4 5 4 3" xfId="29209" xr:uid="{2851DC4E-252F-4C47-AFBD-1024A737DA7C}"/>
    <cellStyle name="Normal 2 4 5 4 5 5" xfId="38508" xr:uid="{444E7B0B-5C20-4D73-9D97-30680FEC6E2F}"/>
    <cellStyle name="Normal 2 4 5 4 5 6" xfId="19910" xr:uid="{85E3DA1D-2004-4A50-8281-022C29CCBB92}"/>
    <cellStyle name="Normal 2 4 5 4 6" xfId="2484" xr:uid="{00000000-0005-0000-0000-0000BF100000}"/>
    <cellStyle name="Normal 2 4 5 4 6 2" xfId="6767" xr:uid="{00000000-0005-0000-0000-0000C0100000}"/>
    <cellStyle name="Normal 2 4 5 4 6 2 2" xfId="16093" xr:uid="{4828E91D-28DB-4DB9-854E-01777B34EB51}"/>
    <cellStyle name="Normal 2 4 5 4 6 2 2 2" xfId="52435" xr:uid="{1CAD7EF6-8C0F-465F-BD44-868C45F46EC1}"/>
    <cellStyle name="Normal 2 4 5 4 6 2 2 3" xfId="33839" xr:uid="{C3F08E27-8AD0-497A-B0EC-6294680D102D}"/>
    <cellStyle name="Normal 2 4 5 4 6 2 3" xfId="43138" xr:uid="{CDFBB120-0966-4DB2-827B-D0CA9AF60222}"/>
    <cellStyle name="Normal 2 4 5 4 6 2 4" xfId="24540" xr:uid="{79E05283-2AC0-4AE0-961F-658A562BCA89}"/>
    <cellStyle name="Normal 2 4 5 4 6 3" xfId="11876" xr:uid="{E90EFA07-CC08-434F-B60E-F6F2F11BA526}"/>
    <cellStyle name="Normal 2 4 5 4 6 3 2" xfId="48218" xr:uid="{CE6EC0AC-EE12-4996-B100-A5C1180C0A3B}"/>
    <cellStyle name="Normal 2 4 5 4 6 3 3" xfId="29622" xr:uid="{93E0905F-AD95-4608-842B-A29060079F9E}"/>
    <cellStyle name="Normal 2 4 5 4 6 4" xfId="38921" xr:uid="{3EFDBADD-CA19-4B53-913F-4B77105AD600}"/>
    <cellStyle name="Normal 2 4 5 4 6 5" xfId="20323" xr:uid="{E125B996-1DEA-46B1-8285-43598CADF378}"/>
    <cellStyle name="Normal 2 4 5 4 7" xfId="4701" xr:uid="{00000000-0005-0000-0000-0000C1100000}"/>
    <cellStyle name="Normal 2 4 5 4 7 2" xfId="14027" xr:uid="{9437845F-39C1-4230-BE14-6D816709CC5E}"/>
    <cellStyle name="Normal 2 4 5 4 7 2 2" xfId="50369" xr:uid="{2B1A90E7-4831-4EAE-B17C-624A23736861}"/>
    <cellStyle name="Normal 2 4 5 4 7 2 3" xfId="31773" xr:uid="{1796E929-B7AA-4E31-9787-9FF9D1BD2442}"/>
    <cellStyle name="Normal 2 4 5 4 7 3" xfId="41072" xr:uid="{2F659910-0494-4DA1-9367-016524FDAFD2}"/>
    <cellStyle name="Normal 2 4 5 4 7 4" xfId="22474" xr:uid="{C23C17E2-4E22-4891-AE04-C2CE22BADDDF}"/>
    <cellStyle name="Normal 2 4 5 4 8" xfId="8987" xr:uid="{8DC2C01A-3078-41AD-BCFB-AA1CA8EE9C0A}"/>
    <cellStyle name="Normal 2 4 5 4 8 2" xfId="36057" xr:uid="{8D82C4D2-5BB3-496E-B13C-B0F60DDAEE5B}"/>
    <cellStyle name="Normal 2 4 5 4 8 2 2" xfId="54652" xr:uid="{1CA59264-FB3E-4801-AD3F-9B8D47E3759F}"/>
    <cellStyle name="Normal 2 4 5 4 8 3" xfId="45355" xr:uid="{69348EE3-A57B-4E6F-B667-4B87A0C905AB}"/>
    <cellStyle name="Normal 2 4 5 4 8 4" xfId="26758" xr:uid="{865563AF-F43A-44D1-ABF7-EF7586073593}"/>
    <cellStyle name="Normal 2 4 5 4 9" xfId="9810" xr:uid="{2F8FC18D-DA6C-470C-A510-50E695B2F0BF}"/>
    <cellStyle name="Normal 2 4 5 4 9 2" xfId="46152" xr:uid="{8DB935AB-C3CD-4CD8-8051-6DC89D742945}"/>
    <cellStyle name="Normal 2 4 5 4 9 3" xfId="27556" xr:uid="{0D4F7F72-23C5-4BD0-9B89-C832208413B7}"/>
    <cellStyle name="Normal 2 4 5 5" xfId="792" xr:uid="{00000000-0005-0000-0000-0000C2100000}"/>
    <cellStyle name="Normal 2 4 5 5 2" xfId="3031" xr:uid="{00000000-0005-0000-0000-0000C3100000}"/>
    <cellStyle name="Normal 2 4 5 5 2 2" xfId="7253" xr:uid="{00000000-0005-0000-0000-0000C4100000}"/>
    <cellStyle name="Normal 2 4 5 5 2 2 2" xfId="16579" xr:uid="{1B61155B-7AE4-4BFE-B9D4-A0CCA1D32812}"/>
    <cellStyle name="Normal 2 4 5 5 2 2 2 2" xfId="52921" xr:uid="{365FC068-9053-4C61-8337-63FEB932E5C2}"/>
    <cellStyle name="Normal 2 4 5 5 2 2 2 3" xfId="34325" xr:uid="{BA8DEB3C-FADB-494A-B165-5874572B2C7C}"/>
    <cellStyle name="Normal 2 4 5 5 2 2 3" xfId="43624" xr:uid="{D759BC65-C6FE-4592-AFB8-ECC6F7AA6F54}"/>
    <cellStyle name="Normal 2 4 5 5 2 2 4" xfId="25026" xr:uid="{0A449E90-6437-4BE3-894C-B5999A085DCF}"/>
    <cellStyle name="Normal 2 4 5 5 2 3" xfId="12362" xr:uid="{91FDADB4-5DE4-485A-AD62-DF43453C79F7}"/>
    <cellStyle name="Normal 2 4 5 5 2 3 2" xfId="48704" xr:uid="{12B03DAA-7C49-427C-AB02-1FCF67B223F2}"/>
    <cellStyle name="Normal 2 4 5 5 2 3 3" xfId="30108" xr:uid="{61217BFB-8C2B-4892-A151-7028105BCB6F}"/>
    <cellStyle name="Normal 2 4 5 5 2 4" xfId="39407" xr:uid="{3A5A7522-0141-4878-B571-6F5B1780C5EF}"/>
    <cellStyle name="Normal 2 4 5 5 2 5" xfId="20809" xr:uid="{55D6E0A8-E089-4316-9631-16576CF9D284}"/>
    <cellStyle name="Normal 2 4 5 5 3" xfId="5108" xr:uid="{00000000-0005-0000-0000-0000C5100000}"/>
    <cellStyle name="Normal 2 4 5 5 3 2" xfId="14434" xr:uid="{6A1842CE-A4B2-4790-853D-B93F8877A2FD}"/>
    <cellStyle name="Normal 2 4 5 5 3 2 2" xfId="50776" xr:uid="{4F448C39-9A96-4971-8325-F867D8B76402}"/>
    <cellStyle name="Normal 2 4 5 5 3 2 3" xfId="32180" xr:uid="{B9C4D5B1-3EDD-407E-9959-F16E0260B3F1}"/>
    <cellStyle name="Normal 2 4 5 5 3 3" xfId="41479" xr:uid="{43FA8A05-D991-46A5-A029-37BA7D8A4F53}"/>
    <cellStyle name="Normal 2 4 5 5 3 4" xfId="22881" xr:uid="{93E072F6-96D7-436A-815D-BB248F079FB6}"/>
    <cellStyle name="Normal 2 4 5 5 4" xfId="9204" xr:uid="{BE34B337-03EE-47D8-9E35-2EE6FAB30236}"/>
    <cellStyle name="Normal 2 4 5 5 4 2" xfId="36266" xr:uid="{8396A664-EBFD-4527-9B3F-442FE540432F}"/>
    <cellStyle name="Normal 2 4 5 5 4 2 2" xfId="54860" xr:uid="{8905EB28-B577-4BB8-8373-D8A1C3962498}"/>
    <cellStyle name="Normal 2 4 5 5 4 3" xfId="45563" xr:uid="{75097AE4-CC7C-4DF5-8190-8275E653F7AA}"/>
    <cellStyle name="Normal 2 4 5 5 4 4" xfId="26967" xr:uid="{08537CC1-9814-487C-B515-7F377211A663}"/>
    <cellStyle name="Normal 2 4 5 5 5" xfId="10217" xr:uid="{D6737656-3F53-4F16-AFAE-ADEAF6FF7F8C}"/>
    <cellStyle name="Normal 2 4 5 5 5 2" xfId="46559" xr:uid="{AB4DECE7-3080-4B36-958E-22F3EBCC0BB9}"/>
    <cellStyle name="Normal 2 4 5 5 5 3" xfId="27963" xr:uid="{BA25EE9C-1246-4084-8AA0-08F64BB6EC78}"/>
    <cellStyle name="Normal 2 4 5 5 6" xfId="37262" xr:uid="{F26C17E0-AF3D-4DF5-9636-93A537032A7C}"/>
    <cellStyle name="Normal 2 4 5 5 7" xfId="18664" xr:uid="{EBDF2E30-3B92-4A1C-BBF2-C6559D95304B}"/>
    <cellStyle name="Normal 2 4 5 6" xfId="1214" xr:uid="{00000000-0005-0000-0000-0000C6100000}"/>
    <cellStyle name="Normal 2 4 5 6 2" xfId="3444" xr:uid="{00000000-0005-0000-0000-0000C7100000}"/>
    <cellStyle name="Normal 2 4 5 6 2 2" xfId="7666" xr:uid="{00000000-0005-0000-0000-0000C8100000}"/>
    <cellStyle name="Normal 2 4 5 6 2 2 2" xfId="16992" xr:uid="{F3975D55-B2C9-466D-9D95-C4E999A8A873}"/>
    <cellStyle name="Normal 2 4 5 6 2 2 2 2" xfId="53334" xr:uid="{ADE728B6-4DDB-41D0-A0AB-3F7BFC86EBF9}"/>
    <cellStyle name="Normal 2 4 5 6 2 2 2 3" xfId="34738" xr:uid="{F0B00F8D-8B37-43DD-B73B-CEB6607B03AF}"/>
    <cellStyle name="Normal 2 4 5 6 2 2 3" xfId="44037" xr:uid="{8CAEFAA7-75F5-40E5-A1C8-182F4150E292}"/>
    <cellStyle name="Normal 2 4 5 6 2 2 4" xfId="25439" xr:uid="{5F54B75D-8880-4377-8456-9E565453E5C1}"/>
    <cellStyle name="Normal 2 4 5 6 2 3" xfId="12775" xr:uid="{114A75D2-B097-4473-A3CD-61015258FE6F}"/>
    <cellStyle name="Normal 2 4 5 6 2 3 2" xfId="49117" xr:uid="{A4DF7609-C368-49F8-8959-7C52F1E6E42C}"/>
    <cellStyle name="Normal 2 4 5 6 2 3 3" xfId="30521" xr:uid="{3C50BF5A-1F6D-4C30-B130-CA1D458D9EA5}"/>
    <cellStyle name="Normal 2 4 5 6 2 4" xfId="39820" xr:uid="{FA37B87D-44AD-4DFF-8F83-FDFAC0198FC0}"/>
    <cellStyle name="Normal 2 4 5 6 2 5" xfId="21222" xr:uid="{53A7C251-E175-4BA0-8113-6CEC663ECDDC}"/>
    <cellStyle name="Normal 2 4 5 6 3" xfId="5521" xr:uid="{00000000-0005-0000-0000-0000C9100000}"/>
    <cellStyle name="Normal 2 4 5 6 3 2" xfId="14847" xr:uid="{27174347-FE19-427D-A5C9-9CDA26AECC69}"/>
    <cellStyle name="Normal 2 4 5 6 3 2 2" xfId="51189" xr:uid="{14F5B517-2AEE-4231-8054-5F21793A42F4}"/>
    <cellStyle name="Normal 2 4 5 6 3 2 3" xfId="32593" xr:uid="{EC45C8A0-9CC1-4BD2-8C48-7378E2135A99}"/>
    <cellStyle name="Normal 2 4 5 6 3 3" xfId="41892" xr:uid="{F29F11D5-87F1-457B-9BAF-2735622F4826}"/>
    <cellStyle name="Normal 2 4 5 6 3 4" xfId="23294" xr:uid="{17249CB9-2F91-4CCC-AEBA-7131DB37D99C}"/>
    <cellStyle name="Normal 2 4 5 6 4" xfId="10630" xr:uid="{63B2B1BD-C462-40F3-BF8B-656C4FADE3BD}"/>
    <cellStyle name="Normal 2 4 5 6 4 2" xfId="46972" xr:uid="{4B4CD149-2FA5-49D5-9018-D28B322D69A5}"/>
    <cellStyle name="Normal 2 4 5 6 4 3" xfId="28376" xr:uid="{0A5061EF-50B1-43AF-85EC-ABCC532D96CD}"/>
    <cellStyle name="Normal 2 4 5 6 5" xfId="37675" xr:uid="{40D28E94-B15E-448C-9365-CD95285E045C}"/>
    <cellStyle name="Normal 2 4 5 6 6" xfId="19077" xr:uid="{A1243C1B-65EC-4473-AD4F-B5DF73B64556}"/>
    <cellStyle name="Normal 2 4 5 7" xfId="1627" xr:uid="{00000000-0005-0000-0000-0000CA100000}"/>
    <cellStyle name="Normal 2 4 5 7 2" xfId="3857" xr:uid="{00000000-0005-0000-0000-0000CB100000}"/>
    <cellStyle name="Normal 2 4 5 7 2 2" xfId="8079" xr:uid="{00000000-0005-0000-0000-0000CC100000}"/>
    <cellStyle name="Normal 2 4 5 7 2 2 2" xfId="17405" xr:uid="{BB0EF0E7-AB38-445B-875D-6B88168BBFE0}"/>
    <cellStyle name="Normal 2 4 5 7 2 2 2 2" xfId="53747" xr:uid="{B040CE7C-06F3-4C66-BB85-8D155030C8BA}"/>
    <cellStyle name="Normal 2 4 5 7 2 2 2 3" xfId="35151" xr:uid="{6F6CCBA0-B30A-4C82-9040-C3B0BF1510A2}"/>
    <cellStyle name="Normal 2 4 5 7 2 2 3" xfId="44450" xr:uid="{429E74B3-7573-424D-8FE0-8D386811591B}"/>
    <cellStyle name="Normal 2 4 5 7 2 2 4" xfId="25852" xr:uid="{FF6EDA0A-EE6F-4D93-B993-5F9CF3EA272F}"/>
    <cellStyle name="Normal 2 4 5 7 2 3" xfId="13188" xr:uid="{94045273-CF24-4559-8B82-15CCA3BEE3F3}"/>
    <cellStyle name="Normal 2 4 5 7 2 3 2" xfId="49530" xr:uid="{0B54B610-0C4F-49F3-815C-92FE231950C9}"/>
    <cellStyle name="Normal 2 4 5 7 2 3 3" xfId="30934" xr:uid="{FF91F0D5-F17F-4D13-9181-5AEF7479A268}"/>
    <cellStyle name="Normal 2 4 5 7 2 4" xfId="40233" xr:uid="{8F924381-B162-437E-8050-71C00D155161}"/>
    <cellStyle name="Normal 2 4 5 7 2 5" xfId="21635" xr:uid="{185DA9D2-0FFD-45BB-8A79-55D97FE57CB3}"/>
    <cellStyle name="Normal 2 4 5 7 3" xfId="5934" xr:uid="{00000000-0005-0000-0000-0000CD100000}"/>
    <cellStyle name="Normal 2 4 5 7 3 2" xfId="15260" xr:uid="{94854DF4-DB56-406F-A7E6-4F50BD8BFACC}"/>
    <cellStyle name="Normal 2 4 5 7 3 2 2" xfId="51602" xr:uid="{F197196F-F732-42A0-BDE3-ADA2042D3553}"/>
    <cellStyle name="Normal 2 4 5 7 3 2 3" xfId="33006" xr:uid="{CEED57EE-5010-4CEE-926B-B14A9A5C376C}"/>
    <cellStyle name="Normal 2 4 5 7 3 3" xfId="42305" xr:uid="{F9C46EB4-223A-4C90-868B-55F69F14AE16}"/>
    <cellStyle name="Normal 2 4 5 7 3 4" xfId="23707" xr:uid="{CE321AF3-32A7-47C8-B30D-5B6B7AD6FE75}"/>
    <cellStyle name="Normal 2 4 5 7 4" xfId="11043" xr:uid="{C6D6D09F-7A5F-4654-9466-400D9F6FE3A9}"/>
    <cellStyle name="Normal 2 4 5 7 4 2" xfId="47385" xr:uid="{9FEC1313-4ED9-4C95-94DF-6A709F88734B}"/>
    <cellStyle name="Normal 2 4 5 7 4 3" xfId="28789" xr:uid="{EF4E7073-9626-4F99-BFE9-113B18DDBC09}"/>
    <cellStyle name="Normal 2 4 5 7 5" xfId="38088" xr:uid="{3CEB99EF-4179-42DF-B339-CFCD4F720989}"/>
    <cellStyle name="Normal 2 4 5 7 6" xfId="19490" xr:uid="{BB2DD91A-8802-4846-8031-4B380BA7843B}"/>
    <cellStyle name="Normal 2 4 5 8" xfId="2041" xr:uid="{00000000-0005-0000-0000-0000CE100000}"/>
    <cellStyle name="Normal 2 4 5 8 2" xfId="4270" xr:uid="{00000000-0005-0000-0000-0000CF100000}"/>
    <cellStyle name="Normal 2 4 5 8 2 2" xfId="8492" xr:uid="{00000000-0005-0000-0000-0000D0100000}"/>
    <cellStyle name="Normal 2 4 5 8 2 2 2" xfId="17818" xr:uid="{E9D26448-E4BA-47EF-AF30-FBEBC08F3789}"/>
    <cellStyle name="Normal 2 4 5 8 2 2 2 2" xfId="54160" xr:uid="{47B06760-23FF-43A9-A62F-47F06395F8A7}"/>
    <cellStyle name="Normal 2 4 5 8 2 2 2 3" xfId="35564" xr:uid="{88ECFFCE-E637-42F9-9B87-CC24E83CC98A}"/>
    <cellStyle name="Normal 2 4 5 8 2 2 3" xfId="44863" xr:uid="{E4CF2979-E344-44AA-A47A-B03BA9BA6043}"/>
    <cellStyle name="Normal 2 4 5 8 2 2 4" xfId="26265" xr:uid="{AD6E1C9A-CD08-4093-80BC-415DF1D3DCCD}"/>
    <cellStyle name="Normal 2 4 5 8 2 3" xfId="13601" xr:uid="{4C9CE940-1937-4517-AD5B-582254AB4A11}"/>
    <cellStyle name="Normal 2 4 5 8 2 3 2" xfId="49943" xr:uid="{4170F1D7-888A-4920-8B03-6008220670ED}"/>
    <cellStyle name="Normal 2 4 5 8 2 3 3" xfId="31347" xr:uid="{FFE261EC-9B95-4E7E-88E3-C1DD65987FB8}"/>
    <cellStyle name="Normal 2 4 5 8 2 4" xfId="40646" xr:uid="{7E87F09A-3820-4F4F-872C-1D6069915251}"/>
    <cellStyle name="Normal 2 4 5 8 2 5" xfId="22048" xr:uid="{ECFB8306-EC7E-436E-98CF-46883FB589F5}"/>
    <cellStyle name="Normal 2 4 5 8 3" xfId="6347" xr:uid="{00000000-0005-0000-0000-0000D1100000}"/>
    <cellStyle name="Normal 2 4 5 8 3 2" xfId="15673" xr:uid="{EBD27BB8-34DA-4C1C-9157-CD0584F7A35A}"/>
    <cellStyle name="Normal 2 4 5 8 3 2 2" xfId="52015" xr:uid="{43C9122E-6DC5-428A-8901-C9255123F550}"/>
    <cellStyle name="Normal 2 4 5 8 3 2 3" xfId="33419" xr:uid="{85118660-759D-4359-8F6A-B421A45D07B0}"/>
    <cellStyle name="Normal 2 4 5 8 3 3" xfId="42718" xr:uid="{7CA638EA-826D-47B5-8085-6935D381E796}"/>
    <cellStyle name="Normal 2 4 5 8 3 4" xfId="24120" xr:uid="{7493FFA1-CAEB-4AD7-AE00-EB84A71CD296}"/>
    <cellStyle name="Normal 2 4 5 8 4" xfId="11456" xr:uid="{0D6AF416-E7DB-4D86-9674-1DA56A7F29BF}"/>
    <cellStyle name="Normal 2 4 5 8 4 2" xfId="47798" xr:uid="{581F47E5-1337-44C8-91BF-634D753C604D}"/>
    <cellStyle name="Normal 2 4 5 8 4 3" xfId="29202" xr:uid="{BD39C265-E82E-4375-A047-4D1954130FF9}"/>
    <cellStyle name="Normal 2 4 5 8 5" xfId="38501" xr:uid="{0558D5FC-FC95-4A83-B35B-D65973F48944}"/>
    <cellStyle name="Normal 2 4 5 8 6" xfId="19903" xr:uid="{EF142542-4B4C-426A-BBCA-26E788E6D732}"/>
    <cellStyle name="Normal 2 4 5 9" xfId="2477" xr:uid="{00000000-0005-0000-0000-0000D2100000}"/>
    <cellStyle name="Normal 2 4 5 9 2" xfId="6760" xr:uid="{00000000-0005-0000-0000-0000D3100000}"/>
    <cellStyle name="Normal 2 4 5 9 2 2" xfId="16086" xr:uid="{56EAC266-DA34-4BEF-8862-FB7EC568BE69}"/>
    <cellStyle name="Normal 2 4 5 9 2 2 2" xfId="52428" xr:uid="{D5A29739-A4E8-4B79-8DD2-95B15254FDC5}"/>
    <cellStyle name="Normal 2 4 5 9 2 2 3" xfId="33832" xr:uid="{690B9074-2DBD-4DE7-97AB-FB02024D10EF}"/>
    <cellStyle name="Normal 2 4 5 9 2 3" xfId="43131" xr:uid="{FC5F0108-BA46-448F-83E7-D4FEB437B6EB}"/>
    <cellStyle name="Normal 2 4 5 9 2 4" xfId="24533" xr:uid="{A63001A5-26C9-4C4C-B5FE-12A02D5A5F9D}"/>
    <cellStyle name="Normal 2 4 5 9 3" xfId="11869" xr:uid="{325E38D4-569A-4FB4-810F-2F84BD164E8D}"/>
    <cellStyle name="Normal 2 4 5 9 3 2" xfId="48211" xr:uid="{6ACD24FC-1E17-4E11-8739-D908E1E16130}"/>
    <cellStyle name="Normal 2 4 5 9 3 3" xfId="29615" xr:uid="{F3DA5551-BB0D-4B77-A7B7-2FAF4C8D7152}"/>
    <cellStyle name="Normal 2 4 5 9 4" xfId="38914" xr:uid="{C9C1049F-ADE7-42AF-AF1D-A712863D5CC3}"/>
    <cellStyle name="Normal 2 4 5 9 5" xfId="20316" xr:uid="{93FDFC39-5A14-46AE-859A-7AAF630D1FF4}"/>
    <cellStyle name="Normal 2 4 6" xfId="311" xr:uid="{00000000-0005-0000-0000-0000D4100000}"/>
    <cellStyle name="Normal 2 4 7" xfId="312" xr:uid="{00000000-0005-0000-0000-0000D5100000}"/>
    <cellStyle name="Normal 2 4 7 10" xfId="9811" xr:uid="{2F64EC73-60C4-4391-82FA-78E8B217852C}"/>
    <cellStyle name="Normal 2 4 7 10 2" xfId="46153" xr:uid="{62CE4046-07F3-421D-B1F4-B8160679A8FE}"/>
    <cellStyle name="Normal 2 4 7 10 3" xfId="27557" xr:uid="{D8586989-285F-4055-9FFC-BF065D334E17}"/>
    <cellStyle name="Normal 2 4 7 11" xfId="36856" xr:uid="{3A249D34-86A0-47D5-BF9C-46F4AA95D61A}"/>
    <cellStyle name="Normal 2 4 7 12" xfId="18258" xr:uid="{E52EE5EF-488F-42F0-9E9A-D5EFC0507A36}"/>
    <cellStyle name="Normal 2 4 7 2" xfId="313" xr:uid="{00000000-0005-0000-0000-0000D6100000}"/>
    <cellStyle name="Normal 2 4 7 2 10" xfId="36857" xr:uid="{8D4AE986-CA8A-496E-9BEF-41991BF89EC8}"/>
    <cellStyle name="Normal 2 4 7 2 11" xfId="18259" xr:uid="{41BFF0FB-E002-4649-A27D-8A9A681DE79B}"/>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16588" xr:uid="{D7653F22-CCEE-4D4C-B5E0-6E1FAC21F62A}"/>
    <cellStyle name="Normal 2 4 7 2 2 2 2 2 2" xfId="52930" xr:uid="{AAC37767-CCAB-41E5-AEC4-2985FDC0CE30}"/>
    <cellStyle name="Normal 2 4 7 2 2 2 2 2 3" xfId="34334" xr:uid="{88968423-1AEF-40DF-AE00-353D4A7CA677}"/>
    <cellStyle name="Normal 2 4 7 2 2 2 2 3" xfId="43633" xr:uid="{9797ADBF-9948-4961-AE56-376EDFC29D7A}"/>
    <cellStyle name="Normal 2 4 7 2 2 2 2 4" xfId="25035" xr:uid="{B6E5113B-E485-445D-8D29-4EAF19A2E9DB}"/>
    <cellStyle name="Normal 2 4 7 2 2 2 3" xfId="12371" xr:uid="{66D328F1-4EB6-4091-9D1E-1C022962534A}"/>
    <cellStyle name="Normal 2 4 7 2 2 2 3 2" xfId="48713" xr:uid="{4C885E9A-0375-4539-AD5E-008E569D66EF}"/>
    <cellStyle name="Normal 2 4 7 2 2 2 3 3" xfId="30117" xr:uid="{D165FF3C-C9C4-471D-BDEC-6154C1EF257C}"/>
    <cellStyle name="Normal 2 4 7 2 2 2 4" xfId="39416" xr:uid="{60CBE822-1718-4FC5-94B3-324AA34CFB94}"/>
    <cellStyle name="Normal 2 4 7 2 2 2 5" xfId="20818" xr:uid="{2D85EAE5-ED15-49F1-A13E-E0FD01208ADA}"/>
    <cellStyle name="Normal 2 4 7 2 2 3" xfId="5117" xr:uid="{00000000-0005-0000-0000-0000DA100000}"/>
    <cellStyle name="Normal 2 4 7 2 2 3 2" xfId="14443" xr:uid="{DF350CB2-350E-48DB-9361-CA5F1417536F}"/>
    <cellStyle name="Normal 2 4 7 2 2 3 2 2" xfId="50785" xr:uid="{229A1A55-3A38-4A60-A089-56731B6C3943}"/>
    <cellStyle name="Normal 2 4 7 2 2 3 2 3" xfId="32189" xr:uid="{D5905C47-1740-477F-BD7C-01333990949A}"/>
    <cellStyle name="Normal 2 4 7 2 2 3 3" xfId="41488" xr:uid="{38E5A27D-4A75-4DB4-9830-DDEDCB47C53A}"/>
    <cellStyle name="Normal 2 4 7 2 2 3 4" xfId="22890" xr:uid="{F451A6E1-2EA8-4137-B0D6-CE48781CC48A}"/>
    <cellStyle name="Normal 2 4 7 2 2 4" xfId="9483" xr:uid="{3D7EFF6F-050D-4214-91CB-DF2673F23584}"/>
    <cellStyle name="Normal 2 4 7 2 2 4 2" xfId="36544" xr:uid="{D9AE4DAC-5C46-46CB-98E9-AFB04A148996}"/>
    <cellStyle name="Normal 2 4 7 2 2 4 2 2" xfId="55138" xr:uid="{92C35559-040F-4926-8622-2C3EA94D3400}"/>
    <cellStyle name="Normal 2 4 7 2 2 4 3" xfId="45841" xr:uid="{75D23BC4-EE32-4E19-8207-4609B2EE578D}"/>
    <cellStyle name="Normal 2 4 7 2 2 4 4" xfId="27245" xr:uid="{0E44B624-D3BE-4DA8-BA50-CE7F474F18C0}"/>
    <cellStyle name="Normal 2 4 7 2 2 5" xfId="10226" xr:uid="{C76204BA-D6AA-44E2-8300-5B8977534E34}"/>
    <cellStyle name="Normal 2 4 7 2 2 5 2" xfId="46568" xr:uid="{89202926-5691-461A-8A3A-BB42041317C4}"/>
    <cellStyle name="Normal 2 4 7 2 2 5 3" xfId="27972" xr:uid="{0D27E1DC-F2D3-40F4-8944-34934F90B981}"/>
    <cellStyle name="Normal 2 4 7 2 2 6" xfId="37271" xr:uid="{DFB8D0E4-07F6-4702-B87A-4698D2173A0E}"/>
    <cellStyle name="Normal 2 4 7 2 2 7" xfId="18673" xr:uid="{846AEE41-AE72-4A68-B4E2-C3103A6AA6B2}"/>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17001" xr:uid="{AA177B97-42D9-438A-AF05-C2EDD1983130}"/>
    <cellStyle name="Normal 2 4 7 2 3 2 2 2 2" xfId="53343" xr:uid="{D02F7792-D1AD-42A7-A445-D55422FC7C56}"/>
    <cellStyle name="Normal 2 4 7 2 3 2 2 2 3" xfId="34747" xr:uid="{1344CCCC-F414-416F-B139-2F6356190330}"/>
    <cellStyle name="Normal 2 4 7 2 3 2 2 3" xfId="44046" xr:uid="{662AFF10-44E9-456D-B2D0-E501C76719CB}"/>
    <cellStyle name="Normal 2 4 7 2 3 2 2 4" xfId="25448" xr:uid="{50C5BDB6-C6C6-4769-83BE-C212C3AAFD37}"/>
    <cellStyle name="Normal 2 4 7 2 3 2 3" xfId="12784" xr:uid="{DE992829-21CD-41EF-861E-67CBCAEAC9E8}"/>
    <cellStyle name="Normal 2 4 7 2 3 2 3 2" xfId="49126" xr:uid="{4884849E-30F4-4171-AF3E-5A9392728DE9}"/>
    <cellStyle name="Normal 2 4 7 2 3 2 3 3" xfId="30530" xr:uid="{698A519C-8400-465D-B9F0-481E704B1893}"/>
    <cellStyle name="Normal 2 4 7 2 3 2 4" xfId="39829" xr:uid="{A6C606AE-8D7A-4AAC-A013-EC9C245124CD}"/>
    <cellStyle name="Normal 2 4 7 2 3 2 5" xfId="21231" xr:uid="{2ADB3482-506A-4D82-9282-9A21805C1E2A}"/>
    <cellStyle name="Normal 2 4 7 2 3 3" xfId="5530" xr:uid="{00000000-0005-0000-0000-0000DE100000}"/>
    <cellStyle name="Normal 2 4 7 2 3 3 2" xfId="14856" xr:uid="{6BE40076-E491-4140-B8C8-518CDF9CF7C5}"/>
    <cellStyle name="Normal 2 4 7 2 3 3 2 2" xfId="51198" xr:uid="{816B85D7-D637-42E3-9C7B-1900D6F7C487}"/>
    <cellStyle name="Normal 2 4 7 2 3 3 2 3" xfId="32602" xr:uid="{94E8B7FC-0C19-4E1D-8AAB-DB87B9E3E95F}"/>
    <cellStyle name="Normal 2 4 7 2 3 3 3" xfId="41901" xr:uid="{5B10A9D6-F3D2-4627-AE5F-70B4D3110951}"/>
    <cellStyle name="Normal 2 4 7 2 3 3 4" xfId="23303" xr:uid="{5526006D-F61A-480C-9829-503636BB68BD}"/>
    <cellStyle name="Normal 2 4 7 2 3 4" xfId="10639" xr:uid="{B8E46F58-FE2B-42EF-8738-243745648CFB}"/>
    <cellStyle name="Normal 2 4 7 2 3 4 2" xfId="46981" xr:uid="{279819BF-8015-4F04-B032-4C8B00F72BAC}"/>
    <cellStyle name="Normal 2 4 7 2 3 4 3" xfId="28385" xr:uid="{595D5750-B534-44EC-A423-64F831B700A5}"/>
    <cellStyle name="Normal 2 4 7 2 3 5" xfId="37684" xr:uid="{A3A79120-2F54-4646-9496-B7131DE93B07}"/>
    <cellStyle name="Normal 2 4 7 2 3 6" xfId="19086" xr:uid="{2E8BB7E3-F05E-461A-894C-A33619940FFF}"/>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17414" xr:uid="{094ECD96-3EA8-4F31-9AF9-4EAAB8DD8EDD}"/>
    <cellStyle name="Normal 2 4 7 2 4 2 2 2 2" xfId="53756" xr:uid="{996385BF-5477-4968-BBCC-40202A61CE3D}"/>
    <cellStyle name="Normal 2 4 7 2 4 2 2 2 3" xfId="35160" xr:uid="{FBF06CF2-353F-459F-816D-A1DAE04A78D5}"/>
    <cellStyle name="Normal 2 4 7 2 4 2 2 3" xfId="44459" xr:uid="{68C2C235-D355-4A32-96FF-EC31D1BD7669}"/>
    <cellStyle name="Normal 2 4 7 2 4 2 2 4" xfId="25861" xr:uid="{FE0814D1-7D37-4D42-8FDD-24908B3BABC2}"/>
    <cellStyle name="Normal 2 4 7 2 4 2 3" xfId="13197" xr:uid="{34CB6D96-0A41-41E3-B466-8A761F3B832D}"/>
    <cellStyle name="Normal 2 4 7 2 4 2 3 2" xfId="49539" xr:uid="{F7048192-A26F-47AE-B055-17E35FB7B769}"/>
    <cellStyle name="Normal 2 4 7 2 4 2 3 3" xfId="30943" xr:uid="{A673FE5E-8077-43FD-852F-1162FD785A3C}"/>
    <cellStyle name="Normal 2 4 7 2 4 2 4" xfId="40242" xr:uid="{B4D95A24-BE2C-49EF-A71E-CE93A698DA32}"/>
    <cellStyle name="Normal 2 4 7 2 4 2 5" xfId="21644" xr:uid="{2738C350-00C5-4E47-BEC4-E9BE00F96C8A}"/>
    <cellStyle name="Normal 2 4 7 2 4 3" xfId="5943" xr:uid="{00000000-0005-0000-0000-0000E2100000}"/>
    <cellStyle name="Normal 2 4 7 2 4 3 2" xfId="15269" xr:uid="{A2171080-4154-4DAC-AAC8-5C89615AC87C}"/>
    <cellStyle name="Normal 2 4 7 2 4 3 2 2" xfId="51611" xr:uid="{77AB9A38-D980-4B74-9CE5-9328321E57B3}"/>
    <cellStyle name="Normal 2 4 7 2 4 3 2 3" xfId="33015" xr:uid="{9876E226-3C3A-4334-A0C9-A822A5BBA7AD}"/>
    <cellStyle name="Normal 2 4 7 2 4 3 3" xfId="42314" xr:uid="{F1CF9127-4CF8-4CDD-8A52-CC84B4BAFA42}"/>
    <cellStyle name="Normal 2 4 7 2 4 3 4" xfId="23716" xr:uid="{E0A9528C-BB8C-4107-8B36-16B2FCE7C711}"/>
    <cellStyle name="Normal 2 4 7 2 4 4" xfId="11052" xr:uid="{037B9C97-3922-49EA-BF15-B6573D597B7B}"/>
    <cellStyle name="Normal 2 4 7 2 4 4 2" xfId="47394" xr:uid="{C88F1770-58B5-495E-90F1-A17587024040}"/>
    <cellStyle name="Normal 2 4 7 2 4 4 3" xfId="28798" xr:uid="{3009A3C6-4939-4366-923C-9FEA7F28046D}"/>
    <cellStyle name="Normal 2 4 7 2 4 5" xfId="38097" xr:uid="{7DE26182-52DC-4F9D-86E0-3E7B08CCA64D}"/>
    <cellStyle name="Normal 2 4 7 2 4 6" xfId="19499" xr:uid="{476EA166-2773-4EA3-A195-7E243CDC751A}"/>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17827" xr:uid="{BD7604DE-A774-431E-9148-52ABD04C0614}"/>
    <cellStyle name="Normal 2 4 7 2 5 2 2 2 2" xfId="54169" xr:uid="{3F146CAB-1BE2-4498-A8A5-86C3FDA99BB5}"/>
    <cellStyle name="Normal 2 4 7 2 5 2 2 2 3" xfId="35573" xr:uid="{AE0F9C0F-F937-4FD5-A4C1-F9B88AE788A0}"/>
    <cellStyle name="Normal 2 4 7 2 5 2 2 3" xfId="44872" xr:uid="{B6F6FD22-C736-4274-B015-572AA6348FB7}"/>
    <cellStyle name="Normal 2 4 7 2 5 2 2 4" xfId="26274" xr:uid="{5B280830-77F6-488C-8485-82F582849BD9}"/>
    <cellStyle name="Normal 2 4 7 2 5 2 3" xfId="13610" xr:uid="{3E9694D7-6C24-4F7D-88C4-05C4709CFE29}"/>
    <cellStyle name="Normal 2 4 7 2 5 2 3 2" xfId="49952" xr:uid="{21400C2C-E634-482A-85BF-D3CE176D6EA6}"/>
    <cellStyle name="Normal 2 4 7 2 5 2 3 3" xfId="31356" xr:uid="{4ADAA09A-F485-4960-8803-04695C485ECC}"/>
    <cellStyle name="Normal 2 4 7 2 5 2 4" xfId="40655" xr:uid="{E138726E-2EDD-444C-A041-5CD9AB9D83B7}"/>
    <cellStyle name="Normal 2 4 7 2 5 2 5" xfId="22057" xr:uid="{59BEB859-A332-46A0-AB69-7224A46EC9F6}"/>
    <cellStyle name="Normal 2 4 7 2 5 3" xfId="6356" xr:uid="{00000000-0005-0000-0000-0000E6100000}"/>
    <cellStyle name="Normal 2 4 7 2 5 3 2" xfId="15682" xr:uid="{0C488E24-A3E2-4B0C-ADC8-8DF3832006B8}"/>
    <cellStyle name="Normal 2 4 7 2 5 3 2 2" xfId="52024" xr:uid="{06F3A998-D02C-4A43-95C6-6098142C2590}"/>
    <cellStyle name="Normal 2 4 7 2 5 3 2 3" xfId="33428" xr:uid="{519FBC36-C6AB-4131-8BD7-6CEBBDCE3A21}"/>
    <cellStyle name="Normal 2 4 7 2 5 3 3" xfId="42727" xr:uid="{71EF85E4-6D3D-4C93-9171-126CCA664494}"/>
    <cellStyle name="Normal 2 4 7 2 5 3 4" xfId="24129" xr:uid="{E83276C9-7331-4250-A761-243AA02126EA}"/>
    <cellStyle name="Normal 2 4 7 2 5 4" xfId="11465" xr:uid="{B2F75D31-6896-4F2A-89AB-AF7731714839}"/>
    <cellStyle name="Normal 2 4 7 2 5 4 2" xfId="47807" xr:uid="{F137C8F2-8220-411C-A026-F65ADCB8DACA}"/>
    <cellStyle name="Normal 2 4 7 2 5 4 3" xfId="29211" xr:uid="{36029E08-5346-4496-8E20-89AF3AB839A6}"/>
    <cellStyle name="Normal 2 4 7 2 5 5" xfId="38510" xr:uid="{E9FB2D26-BA9C-45DB-BF2D-9F920E327E54}"/>
    <cellStyle name="Normal 2 4 7 2 5 6" xfId="19912" xr:uid="{576C0CEB-A14C-4E7E-9FAD-FE49EF4498BC}"/>
    <cellStyle name="Normal 2 4 7 2 6" xfId="2486" xr:uid="{00000000-0005-0000-0000-0000E7100000}"/>
    <cellStyle name="Normal 2 4 7 2 6 2" xfId="6769" xr:uid="{00000000-0005-0000-0000-0000E8100000}"/>
    <cellStyle name="Normal 2 4 7 2 6 2 2" xfId="16095" xr:uid="{D6C8B852-D577-4964-9BC2-F576A39E65EF}"/>
    <cellStyle name="Normal 2 4 7 2 6 2 2 2" xfId="52437" xr:uid="{35471B86-0DDB-4A21-9DCF-19AD28B7606B}"/>
    <cellStyle name="Normal 2 4 7 2 6 2 2 3" xfId="33841" xr:uid="{106EB541-DBCF-4BBB-8A09-07A6AD495BB0}"/>
    <cellStyle name="Normal 2 4 7 2 6 2 3" xfId="43140" xr:uid="{02574BA7-D394-46AE-BEA7-F02D3B4B87B6}"/>
    <cellStyle name="Normal 2 4 7 2 6 2 4" xfId="24542" xr:uid="{8FAF3CE1-4AFD-414F-898C-EF099E3EF568}"/>
    <cellStyle name="Normal 2 4 7 2 6 3" xfId="11878" xr:uid="{3B5B7714-B7AB-4198-86A8-0341AE3C7F0C}"/>
    <cellStyle name="Normal 2 4 7 2 6 3 2" xfId="48220" xr:uid="{DBA425CC-FC63-41B2-86BD-53B7149E7907}"/>
    <cellStyle name="Normal 2 4 7 2 6 3 3" xfId="29624" xr:uid="{CA9CA743-792D-4DD9-AAFE-BA64963154EA}"/>
    <cellStyle name="Normal 2 4 7 2 6 4" xfId="38923" xr:uid="{7E8404CA-EB51-49E5-82B6-3600F047341F}"/>
    <cellStyle name="Normal 2 4 7 2 6 5" xfId="20325" xr:uid="{3633CFDA-CD69-442B-A4AC-C95D05F4C85F}"/>
    <cellStyle name="Normal 2 4 7 2 7" xfId="4703" xr:uid="{00000000-0005-0000-0000-0000E9100000}"/>
    <cellStyle name="Normal 2 4 7 2 7 2" xfId="14029" xr:uid="{4260F80B-3C64-4821-A56D-02BEC421676A}"/>
    <cellStyle name="Normal 2 4 7 2 7 2 2" xfId="50371" xr:uid="{D2D1A8E9-4A92-4976-B343-89D82BE45B0B}"/>
    <cellStyle name="Normal 2 4 7 2 7 2 3" xfId="31775" xr:uid="{FF2E25B5-D3B9-43F9-BCF5-B170FD0C157A}"/>
    <cellStyle name="Normal 2 4 7 2 7 3" xfId="41074" xr:uid="{8948AB33-8AC9-4BA5-A9F7-048A4F5D55EA}"/>
    <cellStyle name="Normal 2 4 7 2 7 4" xfId="22476" xr:uid="{69662DD2-F7D9-444A-A5F3-96BD765F6F05}"/>
    <cellStyle name="Normal 2 4 7 2 8" xfId="9058" xr:uid="{FCEC438E-EF6A-4A00-BFE3-0DA309169A82}"/>
    <cellStyle name="Normal 2 4 7 2 8 2" xfId="36128" xr:uid="{D9002F94-C39A-4EB5-84FE-BF97BB01AFF4}"/>
    <cellStyle name="Normal 2 4 7 2 8 2 2" xfId="54723" xr:uid="{FECE8DB5-5CB8-4EDF-9901-3ADDDD168F20}"/>
    <cellStyle name="Normal 2 4 7 2 8 3" xfId="45426" xr:uid="{C18C55F4-2669-4F35-A1F0-E2CD3D1C3FD0}"/>
    <cellStyle name="Normal 2 4 7 2 8 4" xfId="26829" xr:uid="{B4268474-4964-49BA-A38F-D2D45FA1CCA2}"/>
    <cellStyle name="Normal 2 4 7 2 9" xfId="9812" xr:uid="{3703665D-DBAF-4F93-B18A-5BBADF6C7F8C}"/>
    <cellStyle name="Normal 2 4 7 2 9 2" xfId="46154" xr:uid="{EDD70A39-9BD0-402D-A7BE-EC7B92D5C0B9}"/>
    <cellStyle name="Normal 2 4 7 2 9 3" xfId="27558" xr:uid="{5B7BE0AB-62F1-4AD5-BE49-A6B12C9FB77A}"/>
    <cellStyle name="Normal 2 4 7 3" xfId="800" xr:uid="{00000000-0005-0000-0000-0000EA100000}"/>
    <cellStyle name="Normal 2 4 7 3 2" xfId="3039" xr:uid="{00000000-0005-0000-0000-0000EB100000}"/>
    <cellStyle name="Normal 2 4 7 3 2 2" xfId="7261" xr:uid="{00000000-0005-0000-0000-0000EC100000}"/>
    <cellStyle name="Normal 2 4 7 3 2 2 2" xfId="16587" xr:uid="{5A86CC40-F114-4F90-8072-4572B08D8735}"/>
    <cellStyle name="Normal 2 4 7 3 2 2 2 2" xfId="52929" xr:uid="{664086B6-B12A-4C80-AA1E-246553265B3F}"/>
    <cellStyle name="Normal 2 4 7 3 2 2 2 3" xfId="34333" xr:uid="{11D184B3-6297-466D-B83A-033B1D067A3D}"/>
    <cellStyle name="Normal 2 4 7 3 2 2 3" xfId="43632" xr:uid="{7E6BEDEA-9C5F-4BB3-947D-070AE18A9BDA}"/>
    <cellStyle name="Normal 2 4 7 3 2 2 4" xfId="25034" xr:uid="{34726CCB-2042-4D74-B843-8AAC9C4E3C4C}"/>
    <cellStyle name="Normal 2 4 7 3 2 3" xfId="12370" xr:uid="{97880451-713C-479C-8B5E-FB5044665181}"/>
    <cellStyle name="Normal 2 4 7 3 2 3 2" xfId="48712" xr:uid="{184DA65C-FA45-4BCE-A94A-AA8D2E228E7A}"/>
    <cellStyle name="Normal 2 4 7 3 2 3 3" xfId="30116" xr:uid="{6F2396C0-9C06-4843-A19C-18C76E808C15}"/>
    <cellStyle name="Normal 2 4 7 3 2 4" xfId="39415" xr:uid="{E0E246E8-9C9D-43C2-86AB-6368240BE201}"/>
    <cellStyle name="Normal 2 4 7 3 2 5" xfId="20817" xr:uid="{1EB68A40-F9E2-4ABF-8CF0-C14B52C4D735}"/>
    <cellStyle name="Normal 2 4 7 3 3" xfId="5116" xr:uid="{00000000-0005-0000-0000-0000ED100000}"/>
    <cellStyle name="Normal 2 4 7 3 3 2" xfId="14442" xr:uid="{FE228474-9871-49C6-AD01-91B19A01D119}"/>
    <cellStyle name="Normal 2 4 7 3 3 2 2" xfId="50784" xr:uid="{68B08BF2-2B49-4D1A-A0D8-BA53217A0C10}"/>
    <cellStyle name="Normal 2 4 7 3 3 2 3" xfId="32188" xr:uid="{5895946B-5A6B-4B07-987E-9854145B1C78}"/>
    <cellStyle name="Normal 2 4 7 3 3 3" xfId="41487" xr:uid="{28E846D0-4EF9-4C1F-89FA-3DDF2ECE677F}"/>
    <cellStyle name="Normal 2 4 7 3 3 4" xfId="22889" xr:uid="{942AFD6A-71DE-409D-84A1-E0C3E7320015}"/>
    <cellStyle name="Normal 2 4 7 3 4" xfId="9276" xr:uid="{90A81E61-1719-41E4-8673-7681E805C2E0}"/>
    <cellStyle name="Normal 2 4 7 3 4 2" xfId="36337" xr:uid="{519400DC-CB3B-41EB-8BBF-8EB4E356EB5E}"/>
    <cellStyle name="Normal 2 4 7 3 4 2 2" xfId="54931" xr:uid="{E44287D5-6AC2-4A59-8C4D-EA7847F5D43C}"/>
    <cellStyle name="Normal 2 4 7 3 4 3" xfId="45634" xr:uid="{0556A7A1-0F0C-4891-8711-536C6316779C}"/>
    <cellStyle name="Normal 2 4 7 3 4 4" xfId="27038" xr:uid="{873666D1-0CEC-450F-8742-0088CFD24EDD}"/>
    <cellStyle name="Normal 2 4 7 3 5" xfId="10225" xr:uid="{E7BEEA62-79D3-4944-A2DC-6AE1D765C1B9}"/>
    <cellStyle name="Normal 2 4 7 3 5 2" xfId="46567" xr:uid="{BC161846-198A-45F0-A713-AC3211FEDA21}"/>
    <cellStyle name="Normal 2 4 7 3 5 3" xfId="27971" xr:uid="{B515AE1E-A5AD-49BD-BD59-D0AFCC1BBA64}"/>
    <cellStyle name="Normal 2 4 7 3 6" xfId="37270" xr:uid="{9EF3F98C-6B39-4B82-AEB0-F2A9A69E83C6}"/>
    <cellStyle name="Normal 2 4 7 3 7" xfId="18672" xr:uid="{FE1210ED-B107-4DC6-9070-1654124B0975}"/>
    <cellStyle name="Normal 2 4 7 4" xfId="1222" xr:uid="{00000000-0005-0000-0000-0000EE100000}"/>
    <cellStyle name="Normal 2 4 7 4 2" xfId="3452" xr:uid="{00000000-0005-0000-0000-0000EF100000}"/>
    <cellStyle name="Normal 2 4 7 4 2 2" xfId="7674" xr:uid="{00000000-0005-0000-0000-0000F0100000}"/>
    <cellStyle name="Normal 2 4 7 4 2 2 2" xfId="17000" xr:uid="{E5940FC7-8776-436D-9B05-9CA94C9F9798}"/>
    <cellStyle name="Normal 2 4 7 4 2 2 2 2" xfId="53342" xr:uid="{59BF075C-0BF6-418B-9452-E8F75EEC10F9}"/>
    <cellStyle name="Normal 2 4 7 4 2 2 2 3" xfId="34746" xr:uid="{E97480BB-5F0D-4844-BB3B-AB8E4583320A}"/>
    <cellStyle name="Normal 2 4 7 4 2 2 3" xfId="44045" xr:uid="{0F4F6937-7358-441E-BFA7-5CA094018F13}"/>
    <cellStyle name="Normal 2 4 7 4 2 2 4" xfId="25447" xr:uid="{123DEF06-EA38-4D90-A6B1-F07964B319D6}"/>
    <cellStyle name="Normal 2 4 7 4 2 3" xfId="12783" xr:uid="{3BAC7E28-279C-4046-8F88-3969513E669F}"/>
    <cellStyle name="Normal 2 4 7 4 2 3 2" xfId="49125" xr:uid="{0AAC48EE-3F65-4EE5-B9CA-C5146E255663}"/>
    <cellStyle name="Normal 2 4 7 4 2 3 3" xfId="30529" xr:uid="{33AD86BB-1485-4104-9A79-96928DADFB2F}"/>
    <cellStyle name="Normal 2 4 7 4 2 4" xfId="39828" xr:uid="{EE66F9DC-1249-4350-8CF9-27CB01024055}"/>
    <cellStyle name="Normal 2 4 7 4 2 5" xfId="21230" xr:uid="{F99D843A-F60E-4599-88FC-ED687D66E827}"/>
    <cellStyle name="Normal 2 4 7 4 3" xfId="5529" xr:uid="{00000000-0005-0000-0000-0000F1100000}"/>
    <cellStyle name="Normal 2 4 7 4 3 2" xfId="14855" xr:uid="{1C445A29-2327-40CF-8AD6-3C21C04DAF4F}"/>
    <cellStyle name="Normal 2 4 7 4 3 2 2" xfId="51197" xr:uid="{6253B8AA-5F36-4994-88E4-CEBC9956FB75}"/>
    <cellStyle name="Normal 2 4 7 4 3 2 3" xfId="32601" xr:uid="{0DE7A3CE-5E3C-4879-87DA-05EE2BF10764}"/>
    <cellStyle name="Normal 2 4 7 4 3 3" xfId="41900" xr:uid="{33ADF968-DB90-46F8-A5AA-3B728927A231}"/>
    <cellStyle name="Normal 2 4 7 4 3 4" xfId="23302" xr:uid="{A73793A1-6FCA-4E51-9368-576325AF6E39}"/>
    <cellStyle name="Normal 2 4 7 4 4" xfId="10638" xr:uid="{4FDAB72D-A9DD-4949-8CD9-18843D5FACFF}"/>
    <cellStyle name="Normal 2 4 7 4 4 2" xfId="46980" xr:uid="{7F1FE332-4617-4B7F-A51E-4D9E6A06F7DA}"/>
    <cellStyle name="Normal 2 4 7 4 4 3" xfId="28384" xr:uid="{E43C13E7-1E79-4B8A-BA0E-E3D3878775D9}"/>
    <cellStyle name="Normal 2 4 7 4 5" xfId="37683" xr:uid="{B824B767-8189-4EF5-92BA-1532F9AA446F}"/>
    <cellStyle name="Normal 2 4 7 4 6" xfId="19085" xr:uid="{678B7F8B-1E80-4E6E-B57F-3E73A6C348FA}"/>
    <cellStyle name="Normal 2 4 7 5" xfId="1635" xr:uid="{00000000-0005-0000-0000-0000F2100000}"/>
    <cellStyle name="Normal 2 4 7 5 2" xfId="3865" xr:uid="{00000000-0005-0000-0000-0000F3100000}"/>
    <cellStyle name="Normal 2 4 7 5 2 2" xfId="8087" xr:uid="{00000000-0005-0000-0000-0000F4100000}"/>
    <cellStyle name="Normal 2 4 7 5 2 2 2" xfId="17413" xr:uid="{07AFD77B-C686-4BE4-8C8B-7E20D0B96E9D}"/>
    <cellStyle name="Normal 2 4 7 5 2 2 2 2" xfId="53755" xr:uid="{76BF89A7-639F-48CE-9A00-EA95138E7EA8}"/>
    <cellStyle name="Normal 2 4 7 5 2 2 2 3" xfId="35159" xr:uid="{4B43579C-A234-40DD-9B3C-53A7872FB038}"/>
    <cellStyle name="Normal 2 4 7 5 2 2 3" xfId="44458" xr:uid="{DA2F5C10-C0F6-474F-B1A0-46F613F1C685}"/>
    <cellStyle name="Normal 2 4 7 5 2 2 4" xfId="25860" xr:uid="{DDF9D04F-0778-43C6-9AAA-BD1F2E4E3714}"/>
    <cellStyle name="Normal 2 4 7 5 2 3" xfId="13196" xr:uid="{709A9629-A461-409F-8995-FC3E24466578}"/>
    <cellStyle name="Normal 2 4 7 5 2 3 2" xfId="49538" xr:uid="{B000F298-90C7-451F-9DB8-5E3832CB2B17}"/>
    <cellStyle name="Normal 2 4 7 5 2 3 3" xfId="30942" xr:uid="{5FA3E19A-7538-4B3B-A619-107ECAA3E4F3}"/>
    <cellStyle name="Normal 2 4 7 5 2 4" xfId="40241" xr:uid="{CD25C34C-815F-4BBB-BE81-F94AF429CECD}"/>
    <cellStyle name="Normal 2 4 7 5 2 5" xfId="21643" xr:uid="{885062C1-DBB1-46EE-8DDF-51BB57801C6C}"/>
    <cellStyle name="Normal 2 4 7 5 3" xfId="5942" xr:uid="{00000000-0005-0000-0000-0000F5100000}"/>
    <cellStyle name="Normal 2 4 7 5 3 2" xfId="15268" xr:uid="{11B932E0-DC5E-4DCA-B384-090C3E72DB2A}"/>
    <cellStyle name="Normal 2 4 7 5 3 2 2" xfId="51610" xr:uid="{555BA082-FFB7-42C5-9999-892F07C41F05}"/>
    <cellStyle name="Normal 2 4 7 5 3 2 3" xfId="33014" xr:uid="{A9C5BA48-4FAC-403E-BDC6-4529F46659A5}"/>
    <cellStyle name="Normal 2 4 7 5 3 3" xfId="42313" xr:uid="{37F677AC-A10F-4BFB-8440-4CEA42A99A74}"/>
    <cellStyle name="Normal 2 4 7 5 3 4" xfId="23715" xr:uid="{94992F5D-0380-4354-9968-4CAE024D4ADC}"/>
    <cellStyle name="Normal 2 4 7 5 4" xfId="11051" xr:uid="{A63A29A7-CEAA-4A3B-BEB3-F1A3C9CE920C}"/>
    <cellStyle name="Normal 2 4 7 5 4 2" xfId="47393" xr:uid="{16BEE1C8-01E4-409F-B25E-462C4BD5D375}"/>
    <cellStyle name="Normal 2 4 7 5 4 3" xfId="28797" xr:uid="{0C221311-B181-4C0D-A4EC-BC441B84FD0F}"/>
    <cellStyle name="Normal 2 4 7 5 5" xfId="38096" xr:uid="{2CCEF458-E1A1-4D7F-958B-068F8B687A81}"/>
    <cellStyle name="Normal 2 4 7 5 6" xfId="19498" xr:uid="{CAB50015-29AA-4C89-A259-840C8799594B}"/>
    <cellStyle name="Normal 2 4 7 6" xfId="2049" xr:uid="{00000000-0005-0000-0000-0000F6100000}"/>
    <cellStyle name="Normal 2 4 7 6 2" xfId="4278" xr:uid="{00000000-0005-0000-0000-0000F7100000}"/>
    <cellStyle name="Normal 2 4 7 6 2 2" xfId="8500" xr:uid="{00000000-0005-0000-0000-0000F8100000}"/>
    <cellStyle name="Normal 2 4 7 6 2 2 2" xfId="17826" xr:uid="{9DB922E7-2C8D-42AF-B60C-E3DE04C77B7E}"/>
    <cellStyle name="Normal 2 4 7 6 2 2 2 2" xfId="54168" xr:uid="{F72598BE-6E53-45B4-9C4B-5DC324E749F2}"/>
    <cellStyle name="Normal 2 4 7 6 2 2 2 3" xfId="35572" xr:uid="{9EADF779-DE3F-4B2F-BA70-68797D99D2B9}"/>
    <cellStyle name="Normal 2 4 7 6 2 2 3" xfId="44871" xr:uid="{F4564C93-8CC8-4222-80DD-76B6B446D38D}"/>
    <cellStyle name="Normal 2 4 7 6 2 2 4" xfId="26273" xr:uid="{EF221F2E-82FD-4D7C-BD49-6FB761CDF686}"/>
    <cellStyle name="Normal 2 4 7 6 2 3" xfId="13609" xr:uid="{245F64C6-E7F2-417D-9CC4-325184F33FAA}"/>
    <cellStyle name="Normal 2 4 7 6 2 3 2" xfId="49951" xr:uid="{B8D8DED3-121C-4F71-9E29-2424EB81A79C}"/>
    <cellStyle name="Normal 2 4 7 6 2 3 3" xfId="31355" xr:uid="{816955DA-6B1D-45FF-8F5E-35F2E10C859B}"/>
    <cellStyle name="Normal 2 4 7 6 2 4" xfId="40654" xr:uid="{591E7342-DA4D-4228-9ECD-6239BCC10171}"/>
    <cellStyle name="Normal 2 4 7 6 2 5" xfId="22056" xr:uid="{C785C3A5-7B39-460C-BC56-F76ECFA1F01D}"/>
    <cellStyle name="Normal 2 4 7 6 3" xfId="6355" xr:uid="{00000000-0005-0000-0000-0000F9100000}"/>
    <cellStyle name="Normal 2 4 7 6 3 2" xfId="15681" xr:uid="{2A5E5EB6-B9D3-458A-9B19-2CB466B5F1F9}"/>
    <cellStyle name="Normal 2 4 7 6 3 2 2" xfId="52023" xr:uid="{64CB1E43-BA84-489C-8BE0-6E6308671C8B}"/>
    <cellStyle name="Normal 2 4 7 6 3 2 3" xfId="33427" xr:uid="{27F216E2-A90A-4C55-B28B-C34D5F2A8C49}"/>
    <cellStyle name="Normal 2 4 7 6 3 3" xfId="42726" xr:uid="{8F742565-D788-496B-B966-DA18BD9E54C1}"/>
    <cellStyle name="Normal 2 4 7 6 3 4" xfId="24128" xr:uid="{545F0E0C-F603-485C-BDC7-AEE07EBB3467}"/>
    <cellStyle name="Normal 2 4 7 6 4" xfId="11464" xr:uid="{1D3F4733-E827-4DAB-B292-134F98456920}"/>
    <cellStyle name="Normal 2 4 7 6 4 2" xfId="47806" xr:uid="{21203F1A-7792-4E8D-92EB-9B8BFB5C960E}"/>
    <cellStyle name="Normal 2 4 7 6 4 3" xfId="29210" xr:uid="{A1C4725E-586B-48F4-8128-4FD85BFD181B}"/>
    <cellStyle name="Normal 2 4 7 6 5" xfId="38509" xr:uid="{DFDC83F1-8435-451B-9D31-C745F5FB2FF5}"/>
    <cellStyle name="Normal 2 4 7 6 6" xfId="19911" xr:uid="{E54D7B08-0D6F-48CF-AA67-230E1600FF48}"/>
    <cellStyle name="Normal 2 4 7 7" xfId="2485" xr:uid="{00000000-0005-0000-0000-0000FA100000}"/>
    <cellStyle name="Normal 2 4 7 7 2" xfId="6768" xr:uid="{00000000-0005-0000-0000-0000FB100000}"/>
    <cellStyle name="Normal 2 4 7 7 2 2" xfId="16094" xr:uid="{C8F29F7A-203A-4DF3-B931-EAA039237687}"/>
    <cellStyle name="Normal 2 4 7 7 2 2 2" xfId="52436" xr:uid="{1A07C10F-6D8D-4683-84C0-16224438C844}"/>
    <cellStyle name="Normal 2 4 7 7 2 2 3" xfId="33840" xr:uid="{AD95BBF7-1D66-4C2B-9292-5939A57B1943}"/>
    <cellStyle name="Normal 2 4 7 7 2 3" xfId="43139" xr:uid="{0266C54B-5FFF-49F6-A0BC-64C92B1BE622}"/>
    <cellStyle name="Normal 2 4 7 7 2 4" xfId="24541" xr:uid="{38AD4BDE-BC32-49E4-97D9-4236A4484257}"/>
    <cellStyle name="Normal 2 4 7 7 3" xfId="11877" xr:uid="{FA1BA842-73D0-4E25-AB77-64187A1E6E1C}"/>
    <cellStyle name="Normal 2 4 7 7 3 2" xfId="48219" xr:uid="{AC10541F-5026-412A-BD5B-77140D6E8F9F}"/>
    <cellStyle name="Normal 2 4 7 7 3 3" xfId="29623" xr:uid="{5320C289-F93D-4958-99D7-958CEF1B4370}"/>
    <cellStyle name="Normal 2 4 7 7 4" xfId="38922" xr:uid="{42350649-91E1-468F-A4FB-E8D425971F3D}"/>
    <cellStyle name="Normal 2 4 7 7 5" xfId="20324" xr:uid="{25902D5C-1EE5-4101-BE9A-7D225A3114DA}"/>
    <cellStyle name="Normal 2 4 7 8" xfId="4702" xr:uid="{00000000-0005-0000-0000-0000FC100000}"/>
    <cellStyle name="Normal 2 4 7 8 2" xfId="14028" xr:uid="{59BC59B5-E544-4365-BA2B-9CB662CB4E7F}"/>
    <cellStyle name="Normal 2 4 7 8 2 2" xfId="50370" xr:uid="{267B8602-5B9C-4F9A-BC6E-4F5B50A64EAD}"/>
    <cellStyle name="Normal 2 4 7 8 2 3" xfId="31774" xr:uid="{C579A051-52DD-4184-B1B7-CCAE9D614240}"/>
    <cellStyle name="Normal 2 4 7 8 3" xfId="41073" xr:uid="{21647C1D-0035-4F6F-AD2F-1183424B40ED}"/>
    <cellStyle name="Normal 2 4 7 8 4" xfId="22475" xr:uid="{249B7EE8-35E9-430C-8464-41A450A00BF9}"/>
    <cellStyle name="Normal 2 4 7 9" xfId="8851" xr:uid="{6946A6C1-9296-4D8F-B36F-8F7964FD7AC6}"/>
    <cellStyle name="Normal 2 4 7 9 2" xfId="35921" xr:uid="{88FCE401-BA5C-47EA-B257-CA2CC726EB72}"/>
    <cellStyle name="Normal 2 4 7 9 2 2" xfId="54516" xr:uid="{D522C656-A437-4C3A-85E8-A33400B9090C}"/>
    <cellStyle name="Normal 2 4 7 9 3" xfId="45219" xr:uid="{7AC89591-F7BB-414E-92DF-BF2EA1B3F057}"/>
    <cellStyle name="Normal 2 4 7 9 4" xfId="26622" xr:uid="{C7DFD5CA-EE60-4AC6-988E-023111536A8C}"/>
    <cellStyle name="Normal 2 4 8" xfId="314" xr:uid="{00000000-0005-0000-0000-0000FD100000}"/>
    <cellStyle name="Normal 2 4 8 10" xfId="36858" xr:uid="{E656F681-6D1B-4EE8-9985-AD17A7AC401F}"/>
    <cellStyle name="Normal 2 4 8 11" xfId="18260" xr:uid="{A51EFC2C-9AE3-4D0A-A70B-F9503F865188}"/>
    <cellStyle name="Normal 2 4 8 2" xfId="802" xr:uid="{00000000-0005-0000-0000-0000FE100000}"/>
    <cellStyle name="Normal 2 4 8 2 2" xfId="3041" xr:uid="{00000000-0005-0000-0000-0000FF100000}"/>
    <cellStyle name="Normal 2 4 8 2 2 2" xfId="7263" xr:uid="{00000000-0005-0000-0000-000000110000}"/>
    <cellStyle name="Normal 2 4 8 2 2 2 2" xfId="16589" xr:uid="{748778F5-9076-4D3E-8302-FD3B45397543}"/>
    <cellStyle name="Normal 2 4 8 2 2 2 2 2" xfId="52931" xr:uid="{7AAD5862-9CEC-4614-BD3D-44246021F0C5}"/>
    <cellStyle name="Normal 2 4 8 2 2 2 2 3" xfId="34335" xr:uid="{14A36367-A1EC-4124-842F-FB4E31B8A1B6}"/>
    <cellStyle name="Normal 2 4 8 2 2 2 3" xfId="43634" xr:uid="{6D4875F6-CF05-42AC-B0D2-AD2B0F1E56BA}"/>
    <cellStyle name="Normal 2 4 8 2 2 2 4" xfId="25036" xr:uid="{9C623BE6-F00C-47FD-9DE6-DE60F5B72920}"/>
    <cellStyle name="Normal 2 4 8 2 2 3" xfId="12372" xr:uid="{41CCE28C-3458-49BF-87DE-9B02E7610038}"/>
    <cellStyle name="Normal 2 4 8 2 2 3 2" xfId="48714" xr:uid="{0DAA5DAB-A7C1-4ED5-AE93-CC8AC0F1AB14}"/>
    <cellStyle name="Normal 2 4 8 2 2 3 3" xfId="30118" xr:uid="{F86934B4-242A-4B05-B3F7-3C8BE24B7461}"/>
    <cellStyle name="Normal 2 4 8 2 2 4" xfId="39417" xr:uid="{3771BFB2-9060-43DF-861A-C076ADBBFECE}"/>
    <cellStyle name="Normal 2 4 8 2 2 5" xfId="20819" xr:uid="{7517164F-EC1B-4FAC-8D68-F201CDADBA11}"/>
    <cellStyle name="Normal 2 4 8 2 3" xfId="5118" xr:uid="{00000000-0005-0000-0000-000001110000}"/>
    <cellStyle name="Normal 2 4 8 2 3 2" xfId="14444" xr:uid="{67D92842-A8C1-4347-8CE0-42656A31C4AB}"/>
    <cellStyle name="Normal 2 4 8 2 3 2 2" xfId="50786" xr:uid="{8EDDF8A0-2807-4C71-9E1B-215337D9A47A}"/>
    <cellStyle name="Normal 2 4 8 2 3 2 3" xfId="32190" xr:uid="{80AC2808-EC51-4789-B8E5-2312AE23A0A5}"/>
    <cellStyle name="Normal 2 4 8 2 3 3" xfId="41489" xr:uid="{355789A9-8FDD-4584-BB04-7530EC6CA7A6}"/>
    <cellStyle name="Normal 2 4 8 2 3 4" xfId="22891" xr:uid="{4A57EE14-C757-4AB4-87F9-378AB3E2AAA6}"/>
    <cellStyle name="Normal 2 4 8 2 4" xfId="9392" xr:uid="{812B973E-E5C9-43CD-85B0-C8CA30BD9BF3}"/>
    <cellStyle name="Normal 2 4 8 2 4 2" xfId="36453" xr:uid="{60E510DB-80FA-423F-9DBF-4E71AEC7E28B}"/>
    <cellStyle name="Normal 2 4 8 2 4 2 2" xfId="55047" xr:uid="{068D9B52-1D4C-4DD0-82E5-C0BBD6AB07D0}"/>
    <cellStyle name="Normal 2 4 8 2 4 3" xfId="45750" xr:uid="{1EEF9B10-9C3E-41EA-AF6E-0A9B7FECAD4E}"/>
    <cellStyle name="Normal 2 4 8 2 4 4" xfId="27154" xr:uid="{7EC47AD7-DCB7-4E68-BD67-FDADA717C29D}"/>
    <cellStyle name="Normal 2 4 8 2 5" xfId="10227" xr:uid="{9E1CAF9E-B43A-47D3-B963-A548735B63FA}"/>
    <cellStyle name="Normal 2 4 8 2 5 2" xfId="46569" xr:uid="{35F8614E-FA60-43A0-9E20-5F426B706B04}"/>
    <cellStyle name="Normal 2 4 8 2 5 3" xfId="27973" xr:uid="{8F9DF8B1-343F-44E6-876D-7CAB4466210A}"/>
    <cellStyle name="Normal 2 4 8 2 6" xfId="37272" xr:uid="{4222B3A8-ACE5-4AC1-88FB-4B345CDCFBCC}"/>
    <cellStyle name="Normal 2 4 8 2 7" xfId="18674" xr:uid="{9F803DD3-F2A4-4E5A-B68C-E5476E7A9DE1}"/>
    <cellStyle name="Normal 2 4 8 3" xfId="1224" xr:uid="{00000000-0005-0000-0000-000002110000}"/>
    <cellStyle name="Normal 2 4 8 3 2" xfId="3454" xr:uid="{00000000-0005-0000-0000-000003110000}"/>
    <cellStyle name="Normal 2 4 8 3 2 2" xfId="7676" xr:uid="{00000000-0005-0000-0000-000004110000}"/>
    <cellStyle name="Normal 2 4 8 3 2 2 2" xfId="17002" xr:uid="{FD13A38D-E57D-4687-8B5A-0DF1AF39AA50}"/>
    <cellStyle name="Normal 2 4 8 3 2 2 2 2" xfId="53344" xr:uid="{84ECA15B-E7DA-49D4-9FBF-A04213BC13ED}"/>
    <cellStyle name="Normal 2 4 8 3 2 2 2 3" xfId="34748" xr:uid="{45BD47CB-F4F3-4BD0-877F-1F38094B64EA}"/>
    <cellStyle name="Normal 2 4 8 3 2 2 3" xfId="44047" xr:uid="{79B623F4-CF16-4C4B-A0E0-8F36D37043EC}"/>
    <cellStyle name="Normal 2 4 8 3 2 2 4" xfId="25449" xr:uid="{945A09D1-FCF1-444B-A95B-C31A282910B9}"/>
    <cellStyle name="Normal 2 4 8 3 2 3" xfId="12785" xr:uid="{75239E14-6B33-4B5A-AA9E-F4C8F16A20E8}"/>
    <cellStyle name="Normal 2 4 8 3 2 3 2" xfId="49127" xr:uid="{BA08F9A1-2838-4C34-B3B3-FD23632818B5}"/>
    <cellStyle name="Normal 2 4 8 3 2 3 3" xfId="30531" xr:uid="{E30B12AE-07E7-44F2-8F75-A6E989F065DC}"/>
    <cellStyle name="Normal 2 4 8 3 2 4" xfId="39830" xr:uid="{6E3307FA-74F2-47FE-A42F-924157C3E483}"/>
    <cellStyle name="Normal 2 4 8 3 2 5" xfId="21232" xr:uid="{9B055469-1235-47A4-B950-FA626A265542}"/>
    <cellStyle name="Normal 2 4 8 3 3" xfId="5531" xr:uid="{00000000-0005-0000-0000-000005110000}"/>
    <cellStyle name="Normal 2 4 8 3 3 2" xfId="14857" xr:uid="{F89D5E18-87FC-44F2-A8AC-59A2477DC9D6}"/>
    <cellStyle name="Normal 2 4 8 3 3 2 2" xfId="51199" xr:uid="{DD679C82-7C23-4850-9FFC-06B4B8ABE7AF}"/>
    <cellStyle name="Normal 2 4 8 3 3 2 3" xfId="32603" xr:uid="{842D8E9D-080E-469D-8078-015B8400538A}"/>
    <cellStyle name="Normal 2 4 8 3 3 3" xfId="41902" xr:uid="{D6ECFFCD-263E-4E41-8E36-2BBED13FD06A}"/>
    <cellStyle name="Normal 2 4 8 3 3 4" xfId="23304" xr:uid="{A8C4FB8E-3726-40F9-90D2-1989954B7F15}"/>
    <cellStyle name="Normal 2 4 8 3 4" xfId="10640" xr:uid="{437C0DE3-DB1E-44A6-95ED-0DCC5F1E9531}"/>
    <cellStyle name="Normal 2 4 8 3 4 2" xfId="46982" xr:uid="{98545D6D-B9F5-4F01-A178-9159DF16EDC7}"/>
    <cellStyle name="Normal 2 4 8 3 4 3" xfId="28386" xr:uid="{017C0416-2E00-4E6D-B47F-793AEC3DF415}"/>
    <cellStyle name="Normal 2 4 8 3 5" xfId="37685" xr:uid="{C5F3A06B-E6F5-493B-8B70-5E61EE828C21}"/>
    <cellStyle name="Normal 2 4 8 3 6" xfId="19087" xr:uid="{E8306853-CBB3-401A-A161-A2D4A568BC8E}"/>
    <cellStyle name="Normal 2 4 8 4" xfId="1637" xr:uid="{00000000-0005-0000-0000-000006110000}"/>
    <cellStyle name="Normal 2 4 8 4 2" xfId="3867" xr:uid="{00000000-0005-0000-0000-000007110000}"/>
    <cellStyle name="Normal 2 4 8 4 2 2" xfId="8089" xr:uid="{00000000-0005-0000-0000-000008110000}"/>
    <cellStyle name="Normal 2 4 8 4 2 2 2" xfId="17415" xr:uid="{ABC94341-807C-4BD9-8EA6-4B656A37B812}"/>
    <cellStyle name="Normal 2 4 8 4 2 2 2 2" xfId="53757" xr:uid="{C1FBA0F4-A0F8-4FDD-AF20-F8BF270C869B}"/>
    <cellStyle name="Normal 2 4 8 4 2 2 2 3" xfId="35161" xr:uid="{E4CCEBAE-4FDD-4D54-B357-25D60570BBE4}"/>
    <cellStyle name="Normal 2 4 8 4 2 2 3" xfId="44460" xr:uid="{AFEABFC0-C8BB-4ADA-9F28-047347CF2D7F}"/>
    <cellStyle name="Normal 2 4 8 4 2 2 4" xfId="25862" xr:uid="{ABA14BCC-D90E-4819-985B-CCE3CEF3B801}"/>
    <cellStyle name="Normal 2 4 8 4 2 3" xfId="13198" xr:uid="{47413A1F-3D71-4E28-AAA9-9CF395DFEA8A}"/>
    <cellStyle name="Normal 2 4 8 4 2 3 2" xfId="49540" xr:uid="{450EC071-3707-4AA8-9C7F-E37D00B697FD}"/>
    <cellStyle name="Normal 2 4 8 4 2 3 3" xfId="30944" xr:uid="{F8499CC4-13C8-463E-8C7E-FD8848D69630}"/>
    <cellStyle name="Normal 2 4 8 4 2 4" xfId="40243" xr:uid="{CE5AB5E1-81F3-4DBF-BC78-9A8517BD769A}"/>
    <cellStyle name="Normal 2 4 8 4 2 5" xfId="21645" xr:uid="{E9FDDB6C-D778-4307-8727-4DDFC04E37CC}"/>
    <cellStyle name="Normal 2 4 8 4 3" xfId="5944" xr:uid="{00000000-0005-0000-0000-000009110000}"/>
    <cellStyle name="Normal 2 4 8 4 3 2" xfId="15270" xr:uid="{23DE8A60-1707-43E7-BFE8-FD1505F23D5D}"/>
    <cellStyle name="Normal 2 4 8 4 3 2 2" xfId="51612" xr:uid="{92067435-AD41-4F06-B9CE-FEDB651769BE}"/>
    <cellStyle name="Normal 2 4 8 4 3 2 3" xfId="33016" xr:uid="{22B5EB66-9424-40BF-B052-C8FA01D86250}"/>
    <cellStyle name="Normal 2 4 8 4 3 3" xfId="42315" xr:uid="{A76EE5C8-5503-4C4D-A31A-4647B13E67DB}"/>
    <cellStyle name="Normal 2 4 8 4 3 4" xfId="23717" xr:uid="{CE5CC3AA-53C7-49AC-ADC2-87F801FEFCCC}"/>
    <cellStyle name="Normal 2 4 8 4 4" xfId="11053" xr:uid="{F75A0909-466A-4F00-B459-047876A8FB67}"/>
    <cellStyle name="Normal 2 4 8 4 4 2" xfId="47395" xr:uid="{F43A950E-EAD4-46D7-B793-3893C65C1E7F}"/>
    <cellStyle name="Normal 2 4 8 4 4 3" xfId="28799" xr:uid="{A5F709EE-29D3-42BB-99B7-728F573EFD2C}"/>
    <cellStyle name="Normal 2 4 8 4 5" xfId="38098" xr:uid="{805DBC80-8BAE-41B6-911E-DBD5B3FC02CD}"/>
    <cellStyle name="Normal 2 4 8 4 6" xfId="19500" xr:uid="{D79AF7F2-B97D-4662-9909-2271BFA2FBD1}"/>
    <cellStyle name="Normal 2 4 8 5" xfId="2051" xr:uid="{00000000-0005-0000-0000-00000A110000}"/>
    <cellStyle name="Normal 2 4 8 5 2" xfId="4280" xr:uid="{00000000-0005-0000-0000-00000B110000}"/>
    <cellStyle name="Normal 2 4 8 5 2 2" xfId="8502" xr:uid="{00000000-0005-0000-0000-00000C110000}"/>
    <cellStyle name="Normal 2 4 8 5 2 2 2" xfId="17828" xr:uid="{8719E30F-241D-4621-B81D-27F8AF008791}"/>
    <cellStyle name="Normal 2 4 8 5 2 2 2 2" xfId="54170" xr:uid="{DF839383-1EA6-4B69-BC60-89E0F524218B}"/>
    <cellStyle name="Normal 2 4 8 5 2 2 2 3" xfId="35574" xr:uid="{B329828E-66B0-468B-A3F7-9E79F3B8ADC2}"/>
    <cellStyle name="Normal 2 4 8 5 2 2 3" xfId="44873" xr:uid="{4770EE25-E464-4108-B98C-97860B32A6BF}"/>
    <cellStyle name="Normal 2 4 8 5 2 2 4" xfId="26275" xr:uid="{97416849-F973-49B5-86DA-2104BC5DCDC6}"/>
    <cellStyle name="Normal 2 4 8 5 2 3" xfId="13611" xr:uid="{96CA468F-933D-40DB-B4CC-0E3F5AB415E7}"/>
    <cellStyle name="Normal 2 4 8 5 2 3 2" xfId="49953" xr:uid="{BA953D2E-D694-42F6-89BD-3868D854BE73}"/>
    <cellStyle name="Normal 2 4 8 5 2 3 3" xfId="31357" xr:uid="{18A8629F-C641-4958-A942-8D879410384F}"/>
    <cellStyle name="Normal 2 4 8 5 2 4" xfId="40656" xr:uid="{26C290F9-E1E4-45BE-8278-6F3E5296B9F4}"/>
    <cellStyle name="Normal 2 4 8 5 2 5" xfId="22058" xr:uid="{A6CBC8D7-5A59-4D8E-AC9D-F9DC1DD9BC1A}"/>
    <cellStyle name="Normal 2 4 8 5 3" xfId="6357" xr:uid="{00000000-0005-0000-0000-00000D110000}"/>
    <cellStyle name="Normal 2 4 8 5 3 2" xfId="15683" xr:uid="{69E1428D-4421-455D-A22A-E410D1749518}"/>
    <cellStyle name="Normal 2 4 8 5 3 2 2" xfId="52025" xr:uid="{6ED57C41-EC3C-402A-934C-CFCA65A1F570}"/>
    <cellStyle name="Normal 2 4 8 5 3 2 3" xfId="33429" xr:uid="{C08407C9-62B6-48BB-9147-7694EF6C1089}"/>
    <cellStyle name="Normal 2 4 8 5 3 3" xfId="42728" xr:uid="{1955D270-3B84-4720-B388-376BCC99FB66}"/>
    <cellStyle name="Normal 2 4 8 5 3 4" xfId="24130" xr:uid="{BBC9FD87-A66C-47DE-B715-CAFE57C513DD}"/>
    <cellStyle name="Normal 2 4 8 5 4" xfId="11466" xr:uid="{62AC741E-0E93-4D60-B95B-A45DF482B474}"/>
    <cellStyle name="Normal 2 4 8 5 4 2" xfId="47808" xr:uid="{AA6834D9-798F-4ABF-BDA9-FF95BC1F583D}"/>
    <cellStyle name="Normal 2 4 8 5 4 3" xfId="29212" xr:uid="{95070515-B675-4701-A6CB-C8898FA4F432}"/>
    <cellStyle name="Normal 2 4 8 5 5" xfId="38511" xr:uid="{6C6151C4-D729-48ED-915E-759665869BA2}"/>
    <cellStyle name="Normal 2 4 8 5 6" xfId="19913" xr:uid="{38B03810-6FF8-4398-BA0A-1E638349A528}"/>
    <cellStyle name="Normal 2 4 8 6" xfId="2487" xr:uid="{00000000-0005-0000-0000-00000E110000}"/>
    <cellStyle name="Normal 2 4 8 6 2" xfId="6770" xr:uid="{00000000-0005-0000-0000-00000F110000}"/>
    <cellStyle name="Normal 2 4 8 6 2 2" xfId="16096" xr:uid="{FC1F76F2-6DB7-498E-97DF-7980283AA934}"/>
    <cellStyle name="Normal 2 4 8 6 2 2 2" xfId="52438" xr:uid="{DC7DD44B-F1DC-46CB-A737-1DA41446A4AA}"/>
    <cellStyle name="Normal 2 4 8 6 2 2 3" xfId="33842" xr:uid="{0513A4FD-44D7-4118-9890-C3700C078587}"/>
    <cellStyle name="Normal 2 4 8 6 2 3" xfId="43141" xr:uid="{45BEA5C3-99C1-47B6-950B-A1EB08D327AC}"/>
    <cellStyle name="Normal 2 4 8 6 2 4" xfId="24543" xr:uid="{81C098DE-9E08-4317-8442-91E9C9311660}"/>
    <cellStyle name="Normal 2 4 8 6 3" xfId="11879" xr:uid="{038057BB-5AC1-4336-B16F-29B9621A0D0D}"/>
    <cellStyle name="Normal 2 4 8 6 3 2" xfId="48221" xr:uid="{C9B6917F-7F51-42FB-B924-566F5EC60175}"/>
    <cellStyle name="Normal 2 4 8 6 3 3" xfId="29625" xr:uid="{DF6D754C-3C5F-48B5-8188-563720534386}"/>
    <cellStyle name="Normal 2 4 8 6 4" xfId="38924" xr:uid="{D2EFBCB9-88B1-4100-9C41-CB3C9A74E341}"/>
    <cellStyle name="Normal 2 4 8 6 5" xfId="20326" xr:uid="{79A4CB67-DE72-4E01-B638-2717A35B6AD6}"/>
    <cellStyle name="Normal 2 4 8 7" xfId="4704" xr:uid="{00000000-0005-0000-0000-000010110000}"/>
    <cellStyle name="Normal 2 4 8 7 2" xfId="14030" xr:uid="{ED8875B9-EDDF-48B1-8AE9-1C3F23510AAC}"/>
    <cellStyle name="Normal 2 4 8 7 2 2" xfId="50372" xr:uid="{D12AA2AF-4D10-4E0E-9923-6812F052432B}"/>
    <cellStyle name="Normal 2 4 8 7 2 3" xfId="31776" xr:uid="{3EDADF9D-0179-4333-AFF0-34D250728BFD}"/>
    <cellStyle name="Normal 2 4 8 7 3" xfId="41075" xr:uid="{7D5C24ED-CB9C-4E61-9329-AEF3D3A871DD}"/>
    <cellStyle name="Normal 2 4 8 7 4" xfId="22477" xr:uid="{18949F83-483E-4917-A2CA-45E48E855DC7}"/>
    <cellStyle name="Normal 2 4 8 8" xfId="8967" xr:uid="{32AC97CD-D3FD-4AE1-A8B2-07BEA9D5DE52}"/>
    <cellStyle name="Normal 2 4 8 8 2" xfId="36037" xr:uid="{9D76044A-1F16-4C58-9537-9D59DC983BFF}"/>
    <cellStyle name="Normal 2 4 8 8 2 2" xfId="54632" xr:uid="{7E3E6ED5-F799-499D-8151-749D5EB72E7E}"/>
    <cellStyle name="Normal 2 4 8 8 3" xfId="45335" xr:uid="{BDF42311-309F-4B0E-B001-5AEAF44FAB9A}"/>
    <cellStyle name="Normal 2 4 8 8 4" xfId="26738" xr:uid="{FE588F80-3037-4A97-B6A0-FFB410642DE0}"/>
    <cellStyle name="Normal 2 4 8 9" xfId="9813" xr:uid="{EFE952D1-859E-47A9-AA2B-BA710ADE9F48}"/>
    <cellStyle name="Normal 2 4 8 9 2" xfId="46155" xr:uid="{750E954B-292C-4B8A-8A17-47AB500E1241}"/>
    <cellStyle name="Normal 2 4 8 9 3" xfId="27559" xr:uid="{C9803A69-81B7-4699-88C8-0E604E713F65}"/>
    <cellStyle name="Normal 2 4 9" xfId="9170" xr:uid="{5569C060-E090-4551-A44D-517EC3FD1834}"/>
    <cellStyle name="Normal 2 4 9 2" xfId="36234" xr:uid="{31F02512-2D4A-48B4-93CC-7BC654EE0363}"/>
    <cellStyle name="Normal 2 4 9 2 2" xfId="54828" xr:uid="{EE3C62A7-BD93-4AE9-9C90-272C4A04A7E8}"/>
    <cellStyle name="Normal 2 4 9 3" xfId="45531" xr:uid="{3263A441-0184-454C-895E-617D71C176BB}"/>
    <cellStyle name="Normal 2 4 9 4" xfId="26935" xr:uid="{7FF9731A-8AF7-4A23-837B-33FDB62C6923}"/>
    <cellStyle name="Normal 2 5" xfId="315" xr:uid="{00000000-0005-0000-0000-000011110000}"/>
    <cellStyle name="Normal 2 5 10" xfId="4705" xr:uid="{00000000-0005-0000-0000-000012110000}"/>
    <cellStyle name="Normal 2 5 10 2" xfId="14031" xr:uid="{9B1B6C97-8CA6-4669-8D2D-6C7AA18EE59B}"/>
    <cellStyle name="Normal 2 5 10 2 2" xfId="50373" xr:uid="{C3B7AF0D-55AA-497D-A4E4-4A722DDAC6BC}"/>
    <cellStyle name="Normal 2 5 10 2 3" xfId="31777" xr:uid="{A07A2305-F717-4C70-A565-A878025CB30E}"/>
    <cellStyle name="Normal 2 5 10 3" xfId="41076" xr:uid="{E2774692-4D87-4B93-B921-03C8CEAC9862}"/>
    <cellStyle name="Normal 2 5 10 4" xfId="22478" xr:uid="{C2428909-C96C-4EF2-884E-30F9819EA8E8}"/>
    <cellStyle name="Normal 2 5 11" xfId="9814" xr:uid="{7A4A3493-968D-497C-B29E-6D59C0BF6344}"/>
    <cellStyle name="Normal 2 5 11 2" xfId="46156" xr:uid="{5D818F89-F198-4331-B8C0-175A0249FC28}"/>
    <cellStyle name="Normal 2 5 11 3" xfId="27560" xr:uid="{7FD5801B-4206-49E8-86D0-30A32A3FF018}"/>
    <cellStyle name="Normal 2 5 12" xfId="36859" xr:uid="{873EA270-2112-4B71-946F-62604D9A03EC}"/>
    <cellStyle name="Normal 2 5 13" xfId="18261" xr:uid="{9D5B4493-49F4-46BB-9276-A6D3CCCF53F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10 2" xfId="35886" xr:uid="{ADCCAF71-253C-43EB-BA4D-ED3439C385A8}"/>
    <cellStyle name="Normal 2 5 4 10 2 2" xfId="54481" xr:uid="{256D3D2D-3FB6-4271-A635-5F2CCEAD411E}"/>
    <cellStyle name="Normal 2 5 4 10 3" xfId="45184" xr:uid="{44B481D4-3DC9-49B2-94D3-BCF82714EC35}"/>
    <cellStyle name="Normal 2 5 4 10 4" xfId="26587" xr:uid="{6EEFDCBB-0C29-4B7C-A3E6-69A87E950A9F}"/>
    <cellStyle name="Normal 2 5 4 11" xfId="9815" xr:uid="{6D605D97-7C8F-4745-8CC1-25E282ECB98A}"/>
    <cellStyle name="Normal 2 5 4 11 2" xfId="46157" xr:uid="{21D68085-5748-4F27-8531-A3B89DF4F4BC}"/>
    <cellStyle name="Normal 2 5 4 11 3" xfId="27561" xr:uid="{993D0F8B-963D-43B9-8477-2E9303EE106A}"/>
    <cellStyle name="Normal 2 5 4 12" xfId="36860" xr:uid="{244656BA-B89D-4373-A25F-67F0A0F70620}"/>
    <cellStyle name="Normal 2 5 4 13" xfId="18262" xr:uid="{D71AC113-F4BE-47C6-99CE-30D82882F514}"/>
    <cellStyle name="Normal 2 5 4 2" xfId="319" xr:uid="{00000000-0005-0000-0000-000016110000}"/>
    <cellStyle name="Normal 2 5 4 2 10" xfId="9816" xr:uid="{92D538AB-18BD-4E4D-9BE5-88D0E1ABFD5D}"/>
    <cellStyle name="Normal 2 5 4 2 10 2" xfId="46158" xr:uid="{1F6F2B19-D9BC-402A-8624-EADE42669F6F}"/>
    <cellStyle name="Normal 2 5 4 2 10 3" xfId="27562" xr:uid="{E0B42930-E53C-4286-BBDA-0A59EED54F14}"/>
    <cellStyle name="Normal 2 5 4 2 11" xfId="36861" xr:uid="{9161E5B8-76D9-4EAA-8A6F-D778E7E97288}"/>
    <cellStyle name="Normal 2 5 4 2 12" xfId="18263" xr:uid="{52F71270-45DD-4622-9515-56320D116191}"/>
    <cellStyle name="Normal 2 5 4 2 2" xfId="320" xr:uid="{00000000-0005-0000-0000-000017110000}"/>
    <cellStyle name="Normal 2 5 4 2 2 10" xfId="36862" xr:uid="{7AFA756E-B86A-4F89-9957-8C0C736B59E2}"/>
    <cellStyle name="Normal 2 5 4 2 2 11" xfId="18264" xr:uid="{B3697824-220E-48C1-A1A1-F2A089F243F1}"/>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16593" xr:uid="{ADAA3740-7701-4DD5-AB0F-BF83A2BF730C}"/>
    <cellStyle name="Normal 2 5 4 2 2 2 2 2 2 2" xfId="52935" xr:uid="{64BBE2DA-F61C-498C-AA9E-64FDC330E5A0}"/>
    <cellStyle name="Normal 2 5 4 2 2 2 2 2 2 3" xfId="34339" xr:uid="{D423651E-FC2C-4E06-A75F-CB3FE0DBE6D5}"/>
    <cellStyle name="Normal 2 5 4 2 2 2 2 2 3" xfId="43638" xr:uid="{68890DFF-D0C0-4971-B5B4-EA6ACD884448}"/>
    <cellStyle name="Normal 2 5 4 2 2 2 2 2 4" xfId="25040" xr:uid="{AE064146-956B-47C4-B6F5-D94C9AA08301}"/>
    <cellStyle name="Normal 2 5 4 2 2 2 2 3" xfId="12376" xr:uid="{B926247D-8A7B-4109-8895-5F3CEEF335F3}"/>
    <cellStyle name="Normal 2 5 4 2 2 2 2 3 2" xfId="48718" xr:uid="{E2B5976C-ECD2-4524-92A7-07E2974CB0FB}"/>
    <cellStyle name="Normal 2 5 4 2 2 2 2 3 3" xfId="30122" xr:uid="{D02801A9-F14C-4908-BAA1-BB87DB352AD8}"/>
    <cellStyle name="Normal 2 5 4 2 2 2 2 4" xfId="39421" xr:uid="{320F0749-EDFE-462E-B5FD-553E38E1E39E}"/>
    <cellStyle name="Normal 2 5 4 2 2 2 2 5" xfId="20823" xr:uid="{85E7D71D-7D4F-4751-8909-2998E3F21645}"/>
    <cellStyle name="Normal 2 5 4 2 2 2 3" xfId="5122" xr:uid="{00000000-0005-0000-0000-00001B110000}"/>
    <cellStyle name="Normal 2 5 4 2 2 2 3 2" xfId="14448" xr:uid="{D2FCD6C0-59EE-4312-A466-C9A7E2A7BDAE}"/>
    <cellStyle name="Normal 2 5 4 2 2 2 3 2 2" xfId="50790" xr:uid="{C0778587-0F92-4458-A707-9B174DA20ECE}"/>
    <cellStyle name="Normal 2 5 4 2 2 2 3 2 3" xfId="32194" xr:uid="{24F4A65C-04D5-4A98-B08E-8C618064F23E}"/>
    <cellStyle name="Normal 2 5 4 2 2 2 3 3" xfId="41493" xr:uid="{EAA728D6-6CB0-494B-AA52-7558F1489E12}"/>
    <cellStyle name="Normal 2 5 4 2 2 2 3 4" xfId="22895" xr:uid="{E6A40938-7B9A-4E99-A518-D1D1394AFB4D}"/>
    <cellStyle name="Normal 2 5 4 2 2 2 4" xfId="9551" xr:uid="{392D7741-6781-4EA5-9C28-040053C1B05B}"/>
    <cellStyle name="Normal 2 5 4 2 2 2 4 2" xfId="36612" xr:uid="{0D794A9B-1C99-4224-BD5B-62462BA194AC}"/>
    <cellStyle name="Normal 2 5 4 2 2 2 4 2 2" xfId="55206" xr:uid="{84AFD910-0191-44A3-BFF0-3D48116BC9B9}"/>
    <cellStyle name="Normal 2 5 4 2 2 2 4 3" xfId="45909" xr:uid="{A6BAF147-F748-4DA0-A52A-D2FD8A3E50A1}"/>
    <cellStyle name="Normal 2 5 4 2 2 2 4 4" xfId="27313" xr:uid="{F253C29B-ED6C-4E12-A660-62AD8D4AF32C}"/>
    <cellStyle name="Normal 2 5 4 2 2 2 5" xfId="10231" xr:uid="{BAD596F2-D1E5-480A-8412-E2D1498027A1}"/>
    <cellStyle name="Normal 2 5 4 2 2 2 5 2" xfId="46573" xr:uid="{7C3D7529-C7BF-4188-A00A-5EC01D819303}"/>
    <cellStyle name="Normal 2 5 4 2 2 2 5 3" xfId="27977" xr:uid="{65C5F63E-9B62-4969-A287-F7F2C27F7896}"/>
    <cellStyle name="Normal 2 5 4 2 2 2 6" xfId="37276" xr:uid="{1D3D2F99-1BA5-4479-95BE-3BAA32383EB8}"/>
    <cellStyle name="Normal 2 5 4 2 2 2 7" xfId="18678" xr:uid="{562AF54B-7D49-46A6-B8AA-CA90B3C8A0B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17006" xr:uid="{E6ED9ABF-75A3-4BA9-9EE5-713FC2D8EE72}"/>
    <cellStyle name="Normal 2 5 4 2 2 3 2 2 2 2" xfId="53348" xr:uid="{941AB260-627C-4984-A239-6E95F6B8BEC8}"/>
    <cellStyle name="Normal 2 5 4 2 2 3 2 2 2 3" xfId="34752" xr:uid="{B50180C8-F7FA-420B-A270-5AB408EF395E}"/>
    <cellStyle name="Normal 2 5 4 2 2 3 2 2 3" xfId="44051" xr:uid="{48F25426-0321-403C-A9C4-DDC33D0B898E}"/>
    <cellStyle name="Normal 2 5 4 2 2 3 2 2 4" xfId="25453" xr:uid="{90DD5C62-EAED-4166-9BF6-83556070F8A4}"/>
    <cellStyle name="Normal 2 5 4 2 2 3 2 3" xfId="12789" xr:uid="{702F8942-4B1E-40ED-84F0-ABD2333FA354}"/>
    <cellStyle name="Normal 2 5 4 2 2 3 2 3 2" xfId="49131" xr:uid="{A1447E5E-39CA-4ABC-940A-2E686D35C097}"/>
    <cellStyle name="Normal 2 5 4 2 2 3 2 3 3" xfId="30535" xr:uid="{B6B3E18D-2A9D-44EE-9D2C-4A2455AD9EA5}"/>
    <cellStyle name="Normal 2 5 4 2 2 3 2 4" xfId="39834" xr:uid="{A749374B-E122-46AC-9E82-D24C482EEEDE}"/>
    <cellStyle name="Normal 2 5 4 2 2 3 2 5" xfId="21236" xr:uid="{90301D38-E100-4E8A-AB53-1747E1E3E93C}"/>
    <cellStyle name="Normal 2 5 4 2 2 3 3" xfId="5535" xr:uid="{00000000-0005-0000-0000-00001F110000}"/>
    <cellStyle name="Normal 2 5 4 2 2 3 3 2" xfId="14861" xr:uid="{86C9F17F-8492-4123-A0F7-F3A9A59AD3F7}"/>
    <cellStyle name="Normal 2 5 4 2 2 3 3 2 2" xfId="51203" xr:uid="{3033B542-A463-440F-90C4-60EC23ECF922}"/>
    <cellStyle name="Normal 2 5 4 2 2 3 3 2 3" xfId="32607" xr:uid="{AD22411A-3AED-490B-A344-FBAB32EDCC27}"/>
    <cellStyle name="Normal 2 5 4 2 2 3 3 3" xfId="41906" xr:uid="{1BF9E0A2-07F5-4F2E-BA28-0F05161F96FD}"/>
    <cellStyle name="Normal 2 5 4 2 2 3 3 4" xfId="23308" xr:uid="{71FD0C09-4409-4A79-8A38-6E0BBD5B2770}"/>
    <cellStyle name="Normal 2 5 4 2 2 3 4" xfId="10644" xr:uid="{D6090A4A-6ECE-49A6-8A46-62340263055E}"/>
    <cellStyle name="Normal 2 5 4 2 2 3 4 2" xfId="46986" xr:uid="{49BFBC07-D735-4434-B80C-B358A605A5B8}"/>
    <cellStyle name="Normal 2 5 4 2 2 3 4 3" xfId="28390" xr:uid="{F52C9D27-C6CF-4430-9951-A9488673F8A4}"/>
    <cellStyle name="Normal 2 5 4 2 2 3 5" xfId="37689" xr:uid="{0B212553-3DC4-4A2C-86FD-62CB5E0B646E}"/>
    <cellStyle name="Normal 2 5 4 2 2 3 6" xfId="19091" xr:uid="{0E367974-67CD-412F-8E07-A507CC7EE808}"/>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17419" xr:uid="{45D41AD6-3D06-4679-AE0B-BF4AF5D5267A}"/>
    <cellStyle name="Normal 2 5 4 2 2 4 2 2 2 2" xfId="53761" xr:uid="{2BC3C062-601E-4173-8678-1957AEF1AE61}"/>
    <cellStyle name="Normal 2 5 4 2 2 4 2 2 2 3" xfId="35165" xr:uid="{102AC43B-AF8A-42D9-B5DF-578DC0A76222}"/>
    <cellStyle name="Normal 2 5 4 2 2 4 2 2 3" xfId="44464" xr:uid="{79FFD28B-1F56-4B52-BECD-A572F603F579}"/>
    <cellStyle name="Normal 2 5 4 2 2 4 2 2 4" xfId="25866" xr:uid="{ED804128-A548-44E2-8222-7FD900344316}"/>
    <cellStyle name="Normal 2 5 4 2 2 4 2 3" xfId="13202" xr:uid="{9D678A4A-EBF8-47A6-A320-8EFBABC4C038}"/>
    <cellStyle name="Normal 2 5 4 2 2 4 2 3 2" xfId="49544" xr:uid="{63C20523-6436-4F47-B5B9-0570E1CEE864}"/>
    <cellStyle name="Normal 2 5 4 2 2 4 2 3 3" xfId="30948" xr:uid="{4143DE1F-F096-4D04-A68C-6A3E23400C0B}"/>
    <cellStyle name="Normal 2 5 4 2 2 4 2 4" xfId="40247" xr:uid="{4F38A1F0-0E20-4F12-8D6A-8A3EB70D9DFD}"/>
    <cellStyle name="Normal 2 5 4 2 2 4 2 5" xfId="21649" xr:uid="{A1156F28-98C0-44A0-8A10-E64F9BC4303E}"/>
    <cellStyle name="Normal 2 5 4 2 2 4 3" xfId="5948" xr:uid="{00000000-0005-0000-0000-000023110000}"/>
    <cellStyle name="Normal 2 5 4 2 2 4 3 2" xfId="15274" xr:uid="{9410F394-2389-4F9A-9332-26D0B4E997DF}"/>
    <cellStyle name="Normal 2 5 4 2 2 4 3 2 2" xfId="51616" xr:uid="{EF7F543E-E5D3-480E-94A9-D19D0BF46455}"/>
    <cellStyle name="Normal 2 5 4 2 2 4 3 2 3" xfId="33020" xr:uid="{3DC0E693-D686-432D-A261-E40373E88E31}"/>
    <cellStyle name="Normal 2 5 4 2 2 4 3 3" xfId="42319" xr:uid="{D57DC4E9-988D-4DBF-AEFC-3FE1A361555C}"/>
    <cellStyle name="Normal 2 5 4 2 2 4 3 4" xfId="23721" xr:uid="{0C68F8B5-8EED-4FF1-94D0-2CC7316A5DDC}"/>
    <cellStyle name="Normal 2 5 4 2 2 4 4" xfId="11057" xr:uid="{275BF4F4-9AEC-4871-AF82-8A010240E54D}"/>
    <cellStyle name="Normal 2 5 4 2 2 4 4 2" xfId="47399" xr:uid="{5A84C5F4-EC41-4901-B18F-2E35A4A1FD54}"/>
    <cellStyle name="Normal 2 5 4 2 2 4 4 3" xfId="28803" xr:uid="{374BB747-A3C6-42BC-A320-AD6986BB60CF}"/>
    <cellStyle name="Normal 2 5 4 2 2 4 5" xfId="38102" xr:uid="{3BB4DCE7-D004-46C6-94A9-5F85F926075F}"/>
    <cellStyle name="Normal 2 5 4 2 2 4 6" xfId="19504" xr:uid="{DEA48499-8E56-4C53-BB6E-32EC1E647473}"/>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17832" xr:uid="{7386C9FA-A9FF-443B-BC5F-7C0583583136}"/>
    <cellStyle name="Normal 2 5 4 2 2 5 2 2 2 2" xfId="54174" xr:uid="{265EBC8A-8C56-4C95-BB24-50AF54302933}"/>
    <cellStyle name="Normal 2 5 4 2 2 5 2 2 2 3" xfId="35578" xr:uid="{441DD945-237A-4D3F-8BEA-9FBFAE46AF56}"/>
    <cellStyle name="Normal 2 5 4 2 2 5 2 2 3" xfId="44877" xr:uid="{117FA128-9B6C-4B83-B006-832C0584422A}"/>
    <cellStyle name="Normal 2 5 4 2 2 5 2 2 4" xfId="26279" xr:uid="{FF39D66A-9C98-4288-A393-523251866483}"/>
    <cellStyle name="Normal 2 5 4 2 2 5 2 3" xfId="13615" xr:uid="{46130983-E794-4D42-8D01-AF7BBE59E2F3}"/>
    <cellStyle name="Normal 2 5 4 2 2 5 2 3 2" xfId="49957" xr:uid="{45224E56-0B9C-4EB9-83EB-97EEFAA8A2B4}"/>
    <cellStyle name="Normal 2 5 4 2 2 5 2 3 3" xfId="31361" xr:uid="{4B6E682C-CD9D-4E0D-ADC3-7FCC99634071}"/>
    <cellStyle name="Normal 2 5 4 2 2 5 2 4" xfId="40660" xr:uid="{80B9D44C-2BD9-424F-A5E9-C8762B365B7A}"/>
    <cellStyle name="Normal 2 5 4 2 2 5 2 5" xfId="22062" xr:uid="{14988080-E63D-47EF-8D0A-BBD7FF87E5BE}"/>
    <cellStyle name="Normal 2 5 4 2 2 5 3" xfId="6361" xr:uid="{00000000-0005-0000-0000-000027110000}"/>
    <cellStyle name="Normal 2 5 4 2 2 5 3 2" xfId="15687" xr:uid="{6BB28B03-93E7-413C-A8FD-2C78D1534296}"/>
    <cellStyle name="Normal 2 5 4 2 2 5 3 2 2" xfId="52029" xr:uid="{9561C352-948A-4390-95DD-1FEF99C570E7}"/>
    <cellStyle name="Normal 2 5 4 2 2 5 3 2 3" xfId="33433" xr:uid="{C29D7F73-AFF4-4036-8118-5D609255C705}"/>
    <cellStyle name="Normal 2 5 4 2 2 5 3 3" xfId="42732" xr:uid="{0578EC65-7FE5-406C-A285-B7841909E28E}"/>
    <cellStyle name="Normal 2 5 4 2 2 5 3 4" xfId="24134" xr:uid="{31513AD8-4900-4913-A78E-801B3FB79494}"/>
    <cellStyle name="Normal 2 5 4 2 2 5 4" xfId="11470" xr:uid="{092A289D-9ADE-4B9C-9AD0-DF71C3AF1191}"/>
    <cellStyle name="Normal 2 5 4 2 2 5 4 2" xfId="47812" xr:uid="{3F9296D7-7FFA-4543-AA70-B70CFC6390EC}"/>
    <cellStyle name="Normal 2 5 4 2 2 5 4 3" xfId="29216" xr:uid="{331709CD-5EEA-4E7C-ADC2-8FD56A1E2A1D}"/>
    <cellStyle name="Normal 2 5 4 2 2 5 5" xfId="38515" xr:uid="{A3964542-9205-4E52-AF50-A7A275CDAB92}"/>
    <cellStyle name="Normal 2 5 4 2 2 5 6" xfId="19917" xr:uid="{CD58D1F7-0BE5-4484-8D1F-0ECE52F098B7}"/>
    <cellStyle name="Normal 2 5 4 2 2 6" xfId="2491" xr:uid="{00000000-0005-0000-0000-000028110000}"/>
    <cellStyle name="Normal 2 5 4 2 2 6 2" xfId="6774" xr:uid="{00000000-0005-0000-0000-000029110000}"/>
    <cellStyle name="Normal 2 5 4 2 2 6 2 2" xfId="16100" xr:uid="{DD387704-810B-4977-8F81-97FB4560E48A}"/>
    <cellStyle name="Normal 2 5 4 2 2 6 2 2 2" xfId="52442" xr:uid="{FBE511FA-08FA-44EB-B90E-A8C129DB4AA2}"/>
    <cellStyle name="Normal 2 5 4 2 2 6 2 2 3" xfId="33846" xr:uid="{A1E1E6F0-BD85-4CC9-AFF2-D89B5E951B32}"/>
    <cellStyle name="Normal 2 5 4 2 2 6 2 3" xfId="43145" xr:uid="{3EAA8691-A99F-4A27-9883-91167293A301}"/>
    <cellStyle name="Normal 2 5 4 2 2 6 2 4" xfId="24547" xr:uid="{7F152F89-E622-43B1-A6BB-4BAD054614BF}"/>
    <cellStyle name="Normal 2 5 4 2 2 6 3" xfId="11883" xr:uid="{E3D15B2E-EE4E-4925-8DAB-77C1E4FD628A}"/>
    <cellStyle name="Normal 2 5 4 2 2 6 3 2" xfId="48225" xr:uid="{8455B254-5C8F-414E-98C8-6BDC078B8036}"/>
    <cellStyle name="Normal 2 5 4 2 2 6 3 3" xfId="29629" xr:uid="{AF307344-DBC8-46E4-ADE8-2239D8B3D96A}"/>
    <cellStyle name="Normal 2 5 4 2 2 6 4" xfId="38928" xr:uid="{5D66F2FC-3479-4AB1-B2D3-A17344726022}"/>
    <cellStyle name="Normal 2 5 4 2 2 6 5" xfId="20330" xr:uid="{85A568C6-EF4D-40F0-A273-9DB63547B872}"/>
    <cellStyle name="Normal 2 5 4 2 2 7" xfId="4708" xr:uid="{00000000-0005-0000-0000-00002A110000}"/>
    <cellStyle name="Normal 2 5 4 2 2 7 2" xfId="14034" xr:uid="{08CA046A-BB83-4448-B21D-F8EAE7792B08}"/>
    <cellStyle name="Normal 2 5 4 2 2 7 2 2" xfId="50376" xr:uid="{3DE4AFC4-9699-4B86-A2C2-1ACF4DF33060}"/>
    <cellStyle name="Normal 2 5 4 2 2 7 2 3" xfId="31780" xr:uid="{6D626579-D7A3-479E-A58B-9A4F6042442F}"/>
    <cellStyle name="Normal 2 5 4 2 2 7 3" xfId="41079" xr:uid="{ECECB2A4-3844-4BF3-A9AE-9D2FC6D9B1FB}"/>
    <cellStyle name="Normal 2 5 4 2 2 7 4" xfId="22481" xr:uid="{B35323AD-467C-4F3A-B67D-40A6FA4180F9}"/>
    <cellStyle name="Normal 2 5 4 2 2 8" xfId="9126" xr:uid="{C2CF4AFD-4082-4555-941B-6E9759C32D63}"/>
    <cellStyle name="Normal 2 5 4 2 2 8 2" xfId="36196" xr:uid="{30454E3E-D282-414A-979A-8E55F04FFA13}"/>
    <cellStyle name="Normal 2 5 4 2 2 8 2 2" xfId="54791" xr:uid="{D260B55F-15BC-4283-90D7-9A3E9826D82F}"/>
    <cellStyle name="Normal 2 5 4 2 2 8 3" xfId="45494" xr:uid="{F7093672-9692-42A1-BCFC-F74FC9BF0E9B}"/>
    <cellStyle name="Normal 2 5 4 2 2 8 4" xfId="26897" xr:uid="{2EAA9A1F-4759-406D-B0C5-6000E26E5C23}"/>
    <cellStyle name="Normal 2 5 4 2 2 9" xfId="9817" xr:uid="{19ABBA95-A080-4040-811F-5DFFDD998454}"/>
    <cellStyle name="Normal 2 5 4 2 2 9 2" xfId="46159" xr:uid="{B4192EC5-DF0B-4C74-94B9-02B33234F9ED}"/>
    <cellStyle name="Normal 2 5 4 2 2 9 3" xfId="27563" xr:uid="{A2F474A4-2647-4395-B1B2-FC52830207DA}"/>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16592" xr:uid="{D918A560-0DD0-4231-9434-E03B1C37B912}"/>
    <cellStyle name="Normal 2 5 4 2 3 2 2 2 2" xfId="52934" xr:uid="{B2112D34-3AC3-4B4E-85F6-BA6EC960C198}"/>
    <cellStyle name="Normal 2 5 4 2 3 2 2 2 3" xfId="34338" xr:uid="{CF711548-CB58-4F22-883F-514845C581F7}"/>
    <cellStyle name="Normal 2 5 4 2 3 2 2 3" xfId="43637" xr:uid="{0882264E-7D60-471F-94A2-2404AFC5EF87}"/>
    <cellStyle name="Normal 2 5 4 2 3 2 2 4" xfId="25039" xr:uid="{7F900408-1178-41AC-8892-3BF1BF05F405}"/>
    <cellStyle name="Normal 2 5 4 2 3 2 3" xfId="12375" xr:uid="{2C94451C-2CD9-4B8A-BBFA-80F424895DD3}"/>
    <cellStyle name="Normal 2 5 4 2 3 2 3 2" xfId="48717" xr:uid="{D190A5B0-06A4-4629-8CFC-D37D1781DBD3}"/>
    <cellStyle name="Normal 2 5 4 2 3 2 3 3" xfId="30121" xr:uid="{FA6F08D1-8303-4EE8-8D40-7988AA79DE68}"/>
    <cellStyle name="Normal 2 5 4 2 3 2 4" xfId="39420" xr:uid="{5A3B7463-C8C8-46D0-A6E3-A4EF5E0B821A}"/>
    <cellStyle name="Normal 2 5 4 2 3 2 5" xfId="20822" xr:uid="{56E79B38-0675-43FC-A3AF-BBF2937042F2}"/>
    <cellStyle name="Normal 2 5 4 2 3 3" xfId="5121" xr:uid="{00000000-0005-0000-0000-00002E110000}"/>
    <cellStyle name="Normal 2 5 4 2 3 3 2" xfId="14447" xr:uid="{E8FF0817-77A4-4A37-A255-AE355AEE0F03}"/>
    <cellStyle name="Normal 2 5 4 2 3 3 2 2" xfId="50789" xr:uid="{3ABEC910-3E9B-44CF-9F9F-E1A0F01A8DE6}"/>
    <cellStyle name="Normal 2 5 4 2 3 3 2 3" xfId="32193" xr:uid="{0DD93CCB-EE08-4199-9E88-B401B4C343C3}"/>
    <cellStyle name="Normal 2 5 4 2 3 3 3" xfId="41492" xr:uid="{F3CB64C4-55D6-4B7D-978F-3701361A1ACA}"/>
    <cellStyle name="Normal 2 5 4 2 3 3 4" xfId="22894" xr:uid="{34AD81D2-F50D-4D5D-8537-7256062CB18E}"/>
    <cellStyle name="Normal 2 5 4 2 3 4" xfId="9344" xr:uid="{207B8A34-09D9-4349-A9C7-5A5A998C6B6F}"/>
    <cellStyle name="Normal 2 5 4 2 3 4 2" xfId="36405" xr:uid="{73BE07DD-BE7C-451B-A951-FE682B6F6848}"/>
    <cellStyle name="Normal 2 5 4 2 3 4 2 2" xfId="54999" xr:uid="{66528390-6C86-4DD6-A924-3CE5054F7C0A}"/>
    <cellStyle name="Normal 2 5 4 2 3 4 3" xfId="45702" xr:uid="{3461ECD5-E320-4B10-8899-CDC35DA43646}"/>
    <cellStyle name="Normal 2 5 4 2 3 4 4" xfId="27106" xr:uid="{AA1535B0-BF7A-4B54-9FAF-07617DBFA051}"/>
    <cellStyle name="Normal 2 5 4 2 3 5" xfId="10230" xr:uid="{231C4290-E113-4947-8822-C62EF5ED3C89}"/>
    <cellStyle name="Normal 2 5 4 2 3 5 2" xfId="46572" xr:uid="{BB47E9BA-B78C-4B20-97D6-5901836A33BB}"/>
    <cellStyle name="Normal 2 5 4 2 3 5 3" xfId="27976" xr:uid="{ED4EE978-22A0-43AF-A856-87D245A7AB6A}"/>
    <cellStyle name="Normal 2 5 4 2 3 6" xfId="37275" xr:uid="{7D36316C-7E55-472F-BF5D-8662F128638F}"/>
    <cellStyle name="Normal 2 5 4 2 3 7" xfId="18677" xr:uid="{3E0053B2-CA47-4C82-A478-829F5279815F}"/>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17005" xr:uid="{6ADC20D4-33FA-4169-B6A0-4530A96D1931}"/>
    <cellStyle name="Normal 2 5 4 2 4 2 2 2 2" xfId="53347" xr:uid="{3C145A1D-0843-4355-9CB7-DD58CCE92BE2}"/>
    <cellStyle name="Normal 2 5 4 2 4 2 2 2 3" xfId="34751" xr:uid="{07199EF4-E8A9-49DB-94A7-EF85352DB453}"/>
    <cellStyle name="Normal 2 5 4 2 4 2 2 3" xfId="44050" xr:uid="{1CA5CA30-B0EE-46E9-9056-F11AE6D392BB}"/>
    <cellStyle name="Normal 2 5 4 2 4 2 2 4" xfId="25452" xr:uid="{A4903768-F88A-44AB-8BC4-C2F1BFC9C2A0}"/>
    <cellStyle name="Normal 2 5 4 2 4 2 3" xfId="12788" xr:uid="{C0073A97-555F-4DEA-B77D-0E2492004ACC}"/>
    <cellStyle name="Normal 2 5 4 2 4 2 3 2" xfId="49130" xr:uid="{0F1CE3F3-4DC2-4E9A-975E-1AAB33D4C5E9}"/>
    <cellStyle name="Normal 2 5 4 2 4 2 3 3" xfId="30534" xr:uid="{4F39E1A3-B687-473C-A4C9-B600897B790D}"/>
    <cellStyle name="Normal 2 5 4 2 4 2 4" xfId="39833" xr:uid="{0D76A707-219E-4E1F-B5D6-24F7BE6921DE}"/>
    <cellStyle name="Normal 2 5 4 2 4 2 5" xfId="21235" xr:uid="{1C282FDC-8BE7-495A-9161-A3483DE28289}"/>
    <cellStyle name="Normal 2 5 4 2 4 3" xfId="5534" xr:uid="{00000000-0005-0000-0000-000032110000}"/>
    <cellStyle name="Normal 2 5 4 2 4 3 2" xfId="14860" xr:uid="{610ECA3C-E294-40C1-BDF2-B6A3CD39D821}"/>
    <cellStyle name="Normal 2 5 4 2 4 3 2 2" xfId="51202" xr:uid="{9CBD3CA3-ABC4-4033-8A25-D06B3C1107FC}"/>
    <cellStyle name="Normal 2 5 4 2 4 3 2 3" xfId="32606" xr:uid="{FF88E29F-3B23-4D0C-A972-378225AD7E0F}"/>
    <cellStyle name="Normal 2 5 4 2 4 3 3" xfId="41905" xr:uid="{79438ED6-9932-4945-B664-75B91699812C}"/>
    <cellStyle name="Normal 2 5 4 2 4 3 4" xfId="23307" xr:uid="{51E280B2-CDCF-4B00-A100-9418AA737695}"/>
    <cellStyle name="Normal 2 5 4 2 4 4" xfId="10643" xr:uid="{967CE0EA-8FB6-46D0-B01E-3540DABD9C88}"/>
    <cellStyle name="Normal 2 5 4 2 4 4 2" xfId="46985" xr:uid="{5FC48D00-F898-4255-ACA0-2961878DC5C6}"/>
    <cellStyle name="Normal 2 5 4 2 4 4 3" xfId="28389" xr:uid="{5085581A-85BA-4362-8A9D-4F2F9BC19BFA}"/>
    <cellStyle name="Normal 2 5 4 2 4 5" xfId="37688" xr:uid="{761FF6AC-D800-455F-9BE1-85132EC3CB6F}"/>
    <cellStyle name="Normal 2 5 4 2 4 6" xfId="19090" xr:uid="{D72F2D87-08F8-452C-BC4D-D1561887F6D3}"/>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17418" xr:uid="{80F1A214-D255-462C-B505-CED975182AD1}"/>
    <cellStyle name="Normal 2 5 4 2 5 2 2 2 2" xfId="53760" xr:uid="{42B94229-9278-4636-8891-31A8CDD9002B}"/>
    <cellStyle name="Normal 2 5 4 2 5 2 2 2 3" xfId="35164" xr:uid="{890B2420-9711-4DA0-8044-158AF7485475}"/>
    <cellStyle name="Normal 2 5 4 2 5 2 2 3" xfId="44463" xr:uid="{5CE995D0-5ED4-461E-941D-0492609476E0}"/>
    <cellStyle name="Normal 2 5 4 2 5 2 2 4" xfId="25865" xr:uid="{67CF696C-CF80-4D26-B719-1B74E29CA34A}"/>
    <cellStyle name="Normal 2 5 4 2 5 2 3" xfId="13201" xr:uid="{7FBB0DCD-25A5-433A-8FA7-941782D22681}"/>
    <cellStyle name="Normal 2 5 4 2 5 2 3 2" xfId="49543" xr:uid="{93AA3748-1B65-4FD3-9529-64C748A40298}"/>
    <cellStyle name="Normal 2 5 4 2 5 2 3 3" xfId="30947" xr:uid="{77D12E4B-7139-4A58-8E5E-95F6CF582F34}"/>
    <cellStyle name="Normal 2 5 4 2 5 2 4" xfId="40246" xr:uid="{A1C312C3-D5BF-43E9-84A8-DA4EF5F5C3A6}"/>
    <cellStyle name="Normal 2 5 4 2 5 2 5" xfId="21648" xr:uid="{BE8EC43E-3FEA-4EB8-A549-AF50C67E25E9}"/>
    <cellStyle name="Normal 2 5 4 2 5 3" xfId="5947" xr:uid="{00000000-0005-0000-0000-000036110000}"/>
    <cellStyle name="Normal 2 5 4 2 5 3 2" xfId="15273" xr:uid="{8FDB9C5C-FF6A-4DD1-A173-1AF57851726C}"/>
    <cellStyle name="Normal 2 5 4 2 5 3 2 2" xfId="51615" xr:uid="{012B3465-5B3D-404D-A9AD-18AAD01843C6}"/>
    <cellStyle name="Normal 2 5 4 2 5 3 2 3" xfId="33019" xr:uid="{69BA57F6-C922-4E3E-84ED-7304BBC0B884}"/>
    <cellStyle name="Normal 2 5 4 2 5 3 3" xfId="42318" xr:uid="{3BFE690F-C344-4621-9503-2430711FA301}"/>
    <cellStyle name="Normal 2 5 4 2 5 3 4" xfId="23720" xr:uid="{FBD2F7C9-E684-43FF-9BBD-41C8B8D31D32}"/>
    <cellStyle name="Normal 2 5 4 2 5 4" xfId="11056" xr:uid="{31751B5D-E70A-4CE6-BA6F-E9FBFADC601F}"/>
    <cellStyle name="Normal 2 5 4 2 5 4 2" xfId="47398" xr:uid="{6D085E6D-AB1E-4848-A9CE-9D19BD276167}"/>
    <cellStyle name="Normal 2 5 4 2 5 4 3" xfId="28802" xr:uid="{36B020A2-7560-4325-AE46-6BD538AE4EDF}"/>
    <cellStyle name="Normal 2 5 4 2 5 5" xfId="38101" xr:uid="{29C8245C-72F1-4AE6-A50F-F893034C32DB}"/>
    <cellStyle name="Normal 2 5 4 2 5 6" xfId="19503" xr:uid="{B3B778ED-2B8E-4900-B9F9-961BD10D5848}"/>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17831" xr:uid="{F94373F2-223C-4550-9F56-9A0EE083B189}"/>
    <cellStyle name="Normal 2 5 4 2 6 2 2 2 2" xfId="54173" xr:uid="{3889C50F-3EC3-476A-8ADC-BD08212E87F1}"/>
    <cellStyle name="Normal 2 5 4 2 6 2 2 2 3" xfId="35577" xr:uid="{42BADFCE-0DB8-4FC6-B01D-4707A24A11FF}"/>
    <cellStyle name="Normal 2 5 4 2 6 2 2 3" xfId="44876" xr:uid="{E1F712AA-9477-4652-A5EA-058D49FA1625}"/>
    <cellStyle name="Normal 2 5 4 2 6 2 2 4" xfId="26278" xr:uid="{6BD7DB0C-5BB5-4089-AB6F-9C1B201827CC}"/>
    <cellStyle name="Normal 2 5 4 2 6 2 3" xfId="13614" xr:uid="{AFEEF6C4-EB8C-4F18-A4B0-CB7BE9E7195F}"/>
    <cellStyle name="Normal 2 5 4 2 6 2 3 2" xfId="49956" xr:uid="{42AF3136-4B4D-490F-A1E3-95DCB1651CDA}"/>
    <cellStyle name="Normal 2 5 4 2 6 2 3 3" xfId="31360" xr:uid="{4E8C327B-E154-4BE5-BDF2-3014E2932C08}"/>
    <cellStyle name="Normal 2 5 4 2 6 2 4" xfId="40659" xr:uid="{FA6CB02C-361F-4FFA-924A-DECE7294F969}"/>
    <cellStyle name="Normal 2 5 4 2 6 2 5" xfId="22061" xr:uid="{A42B5865-7CCF-4BE8-AE68-719C44D975A8}"/>
    <cellStyle name="Normal 2 5 4 2 6 3" xfId="6360" xr:uid="{00000000-0005-0000-0000-00003A110000}"/>
    <cellStyle name="Normal 2 5 4 2 6 3 2" xfId="15686" xr:uid="{67D8EFC4-2D02-4C01-926B-A048AA7B1501}"/>
    <cellStyle name="Normal 2 5 4 2 6 3 2 2" xfId="52028" xr:uid="{19CDBA18-F204-4D25-9436-C4B9B1F3AD80}"/>
    <cellStyle name="Normal 2 5 4 2 6 3 2 3" xfId="33432" xr:uid="{B65047FD-2288-4BAC-A25B-89613770D07D}"/>
    <cellStyle name="Normal 2 5 4 2 6 3 3" xfId="42731" xr:uid="{CE38B09C-73DA-49AB-A558-F014725517EF}"/>
    <cellStyle name="Normal 2 5 4 2 6 3 4" xfId="24133" xr:uid="{FB9D2580-DF92-46EB-86F2-93377BBA7710}"/>
    <cellStyle name="Normal 2 5 4 2 6 4" xfId="11469" xr:uid="{AF036BF7-37B5-4D7B-AE02-A6FFC05DAFC6}"/>
    <cellStyle name="Normal 2 5 4 2 6 4 2" xfId="47811" xr:uid="{26C79862-65E3-4A9E-BF12-1E7FF4A083BF}"/>
    <cellStyle name="Normal 2 5 4 2 6 4 3" xfId="29215" xr:uid="{72E0E2FD-3BC7-4738-B97A-8DFD4F6D2A48}"/>
    <cellStyle name="Normal 2 5 4 2 6 5" xfId="38514" xr:uid="{6B60AC92-BFD2-4D0F-B043-66963A628013}"/>
    <cellStyle name="Normal 2 5 4 2 6 6" xfId="19916" xr:uid="{06B80790-9479-4B0B-99D5-3CA1835CE6D6}"/>
    <cellStyle name="Normal 2 5 4 2 7" xfId="2490" xr:uid="{00000000-0005-0000-0000-00003B110000}"/>
    <cellStyle name="Normal 2 5 4 2 7 2" xfId="6773" xr:uid="{00000000-0005-0000-0000-00003C110000}"/>
    <cellStyle name="Normal 2 5 4 2 7 2 2" xfId="16099" xr:uid="{19B5019E-C003-40F7-AD75-8975E8CBA139}"/>
    <cellStyle name="Normal 2 5 4 2 7 2 2 2" xfId="52441" xr:uid="{214334B0-89B5-439D-B260-07F0B4D16438}"/>
    <cellStyle name="Normal 2 5 4 2 7 2 2 3" xfId="33845" xr:uid="{1F8ACFF6-FF19-4B9F-87AF-97A6D9EAE790}"/>
    <cellStyle name="Normal 2 5 4 2 7 2 3" xfId="43144" xr:uid="{F1C5FC70-BC59-4C61-A99D-A5CF6DF51B25}"/>
    <cellStyle name="Normal 2 5 4 2 7 2 4" xfId="24546" xr:uid="{E464E8C2-73D4-47F3-9230-DE9F2E366B77}"/>
    <cellStyle name="Normal 2 5 4 2 7 3" xfId="11882" xr:uid="{1DE4F401-E7B8-41A4-8F85-17FD74E2761B}"/>
    <cellStyle name="Normal 2 5 4 2 7 3 2" xfId="48224" xr:uid="{DA9BBDEB-DE4B-4465-8B71-DCFD05C9CCB8}"/>
    <cellStyle name="Normal 2 5 4 2 7 3 3" xfId="29628" xr:uid="{B00F3E2D-9C5C-4A45-A4BE-CBDAD49EF855}"/>
    <cellStyle name="Normal 2 5 4 2 7 4" xfId="38927" xr:uid="{16298C52-73CF-4ED8-8F5B-0AD2A4B4FCC2}"/>
    <cellStyle name="Normal 2 5 4 2 7 5" xfId="20329" xr:uid="{F5010241-B8FC-43D5-B2DB-5B9D30284F54}"/>
    <cellStyle name="Normal 2 5 4 2 8" xfId="4707" xr:uid="{00000000-0005-0000-0000-00003D110000}"/>
    <cellStyle name="Normal 2 5 4 2 8 2" xfId="14033" xr:uid="{69080CED-646E-46DA-83C3-F779C68BB393}"/>
    <cellStyle name="Normal 2 5 4 2 8 2 2" xfId="50375" xr:uid="{E3C1E317-B325-433D-B9FB-73E37734EF2F}"/>
    <cellStyle name="Normal 2 5 4 2 8 2 3" xfId="31779" xr:uid="{0D90F4A4-FF57-4459-831F-8D1FC44952F3}"/>
    <cellStyle name="Normal 2 5 4 2 8 3" xfId="41078" xr:uid="{B3C49DD8-17B8-496F-A8F2-09E50B3B15D4}"/>
    <cellStyle name="Normal 2 5 4 2 8 4" xfId="22480" xr:uid="{5ADE2519-F24B-4FF2-8E43-8E1A8863B300}"/>
    <cellStyle name="Normal 2 5 4 2 9" xfId="8919" xr:uid="{2A8C96F6-0F22-4271-BCA3-7E5B2E35A54F}"/>
    <cellStyle name="Normal 2 5 4 2 9 2" xfId="35989" xr:uid="{83C0765B-D27C-46CE-9D08-ED2EA86C14BB}"/>
    <cellStyle name="Normal 2 5 4 2 9 2 2" xfId="54584" xr:uid="{40242AD6-94B7-442E-82EA-E403E40367BB}"/>
    <cellStyle name="Normal 2 5 4 2 9 3" xfId="45287" xr:uid="{0B72C230-591A-4264-BA1C-DFAD35074F92}"/>
    <cellStyle name="Normal 2 5 4 2 9 4" xfId="26690" xr:uid="{130B1ED1-5EA6-4E73-8B37-71B6D1FF05F4}"/>
    <cellStyle name="Normal 2 5 4 3" xfId="321" xr:uid="{00000000-0005-0000-0000-00003E110000}"/>
    <cellStyle name="Normal 2 5 4 3 10" xfId="36863" xr:uid="{15229338-B2BD-4670-BE36-3D9F60452F42}"/>
    <cellStyle name="Normal 2 5 4 3 11" xfId="18265" xr:uid="{54756155-3CD0-41C2-922F-E899AD6EFC14}"/>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16594" xr:uid="{49F7229D-39DE-4F86-8EB4-FC3BFA9D813A}"/>
    <cellStyle name="Normal 2 5 4 3 2 2 2 2 2" xfId="52936" xr:uid="{79151407-D1F9-41CE-8299-C01E55BD7135}"/>
    <cellStyle name="Normal 2 5 4 3 2 2 2 2 3" xfId="34340" xr:uid="{E63279AE-D623-4CE7-84D2-5444BC7C7D46}"/>
    <cellStyle name="Normal 2 5 4 3 2 2 2 3" xfId="43639" xr:uid="{A33D63EF-4950-4E9A-B3EE-962CAAE82A32}"/>
    <cellStyle name="Normal 2 5 4 3 2 2 2 4" xfId="25041" xr:uid="{2F65A67D-6423-4F27-957C-AB209C577FFB}"/>
    <cellStyle name="Normal 2 5 4 3 2 2 3" xfId="12377" xr:uid="{E436EDEE-D0B9-41D7-960D-5F107ABA9CB2}"/>
    <cellStyle name="Normal 2 5 4 3 2 2 3 2" xfId="48719" xr:uid="{DD59D3F3-28C9-4C5E-8497-F65D45B9277A}"/>
    <cellStyle name="Normal 2 5 4 3 2 2 3 3" xfId="30123" xr:uid="{689AC5DC-7456-49B3-9103-20FE470D9DEF}"/>
    <cellStyle name="Normal 2 5 4 3 2 2 4" xfId="39422" xr:uid="{CBDC98DF-F0CD-4AA9-AD4D-1DD6D08FB961}"/>
    <cellStyle name="Normal 2 5 4 3 2 2 5" xfId="20824" xr:uid="{83CFF48D-20D8-40E1-BD98-BA5AB55AEFBC}"/>
    <cellStyle name="Normal 2 5 4 3 2 3" xfId="5123" xr:uid="{00000000-0005-0000-0000-000042110000}"/>
    <cellStyle name="Normal 2 5 4 3 2 3 2" xfId="14449" xr:uid="{F8BDA657-99F6-4750-8F8E-E6E7A44BAC8E}"/>
    <cellStyle name="Normal 2 5 4 3 2 3 2 2" xfId="50791" xr:uid="{1025D873-9547-48E9-87CA-68D50CC8E806}"/>
    <cellStyle name="Normal 2 5 4 3 2 3 2 3" xfId="32195" xr:uid="{7CB9C5B2-2202-41E3-B784-24528D09D490}"/>
    <cellStyle name="Normal 2 5 4 3 2 3 3" xfId="41494" xr:uid="{7F50D9A8-313E-46A8-BA21-16BFFB5D381A}"/>
    <cellStyle name="Normal 2 5 4 3 2 3 4" xfId="22896" xr:uid="{6E0721AA-96C9-4613-8B5D-8E04E45F38BD}"/>
    <cellStyle name="Normal 2 5 4 3 2 4" xfId="9448" xr:uid="{0C1738F2-697E-4430-8A3F-E67747B3EDB0}"/>
    <cellStyle name="Normal 2 5 4 3 2 4 2" xfId="36509" xr:uid="{AA5EE5E3-B432-45AE-B0C2-58665B2E244A}"/>
    <cellStyle name="Normal 2 5 4 3 2 4 2 2" xfId="55103" xr:uid="{81D1C3BB-FEE2-470B-868A-2FEB1C5AD8BC}"/>
    <cellStyle name="Normal 2 5 4 3 2 4 3" xfId="45806" xr:uid="{C0FDEFA8-CEA8-4043-B340-62EEC5A2C8B0}"/>
    <cellStyle name="Normal 2 5 4 3 2 4 4" xfId="27210" xr:uid="{03597FAC-1B12-456A-98C5-032170734EE9}"/>
    <cellStyle name="Normal 2 5 4 3 2 5" xfId="10232" xr:uid="{AA5CCB7B-4FD8-4B4E-BC03-F491D9CE6D87}"/>
    <cellStyle name="Normal 2 5 4 3 2 5 2" xfId="46574" xr:uid="{929B8586-746E-4058-956E-A54E17D9A1FF}"/>
    <cellStyle name="Normal 2 5 4 3 2 5 3" xfId="27978" xr:uid="{6DE62521-D591-488A-AD51-78E161D3EDD4}"/>
    <cellStyle name="Normal 2 5 4 3 2 6" xfId="37277" xr:uid="{71754A63-6B79-4391-8257-C56FFBFA3652}"/>
    <cellStyle name="Normal 2 5 4 3 2 7" xfId="18679" xr:uid="{BE5CA81D-44D9-4383-9452-13E53E9EFD77}"/>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17007" xr:uid="{3D6A3EA7-A962-4903-8852-18827745012A}"/>
    <cellStyle name="Normal 2 5 4 3 3 2 2 2 2" xfId="53349" xr:uid="{8EAD15FF-D631-41C7-A13D-563F4437AB16}"/>
    <cellStyle name="Normal 2 5 4 3 3 2 2 2 3" xfId="34753" xr:uid="{7ADB819B-394A-4EED-8ECA-D5F37A59BF50}"/>
    <cellStyle name="Normal 2 5 4 3 3 2 2 3" xfId="44052" xr:uid="{8805F7F1-3AA0-46CB-980B-BBF4EE577821}"/>
    <cellStyle name="Normal 2 5 4 3 3 2 2 4" xfId="25454" xr:uid="{0FDFCD3E-A928-4C3F-A2AC-FB961F6C665E}"/>
    <cellStyle name="Normal 2 5 4 3 3 2 3" xfId="12790" xr:uid="{5D3287C2-7B73-45E3-BD4D-986535C9CAE9}"/>
    <cellStyle name="Normal 2 5 4 3 3 2 3 2" xfId="49132" xr:uid="{9F3D234C-D0BA-4E2A-B0EF-340EC70C6A1A}"/>
    <cellStyle name="Normal 2 5 4 3 3 2 3 3" xfId="30536" xr:uid="{3DFE25E6-15AA-4ADA-9C04-9561A491D829}"/>
    <cellStyle name="Normal 2 5 4 3 3 2 4" xfId="39835" xr:uid="{832ADF58-5B51-4DCA-8888-1FE1375DF988}"/>
    <cellStyle name="Normal 2 5 4 3 3 2 5" xfId="21237" xr:uid="{7213DD9D-F7B8-459B-88E9-6EB971781533}"/>
    <cellStyle name="Normal 2 5 4 3 3 3" xfId="5536" xr:uid="{00000000-0005-0000-0000-000046110000}"/>
    <cellStyle name="Normal 2 5 4 3 3 3 2" xfId="14862" xr:uid="{979D72F4-DA29-486C-A698-05977C89368E}"/>
    <cellStyle name="Normal 2 5 4 3 3 3 2 2" xfId="51204" xr:uid="{BB6AA883-817B-40D6-89D1-6DF14CF8B9F6}"/>
    <cellStyle name="Normal 2 5 4 3 3 3 2 3" xfId="32608" xr:uid="{9A160B60-F80B-43C9-BD7E-2CF4BBA229CC}"/>
    <cellStyle name="Normal 2 5 4 3 3 3 3" xfId="41907" xr:uid="{E7E686D7-99B0-4D47-A41B-85460222C298}"/>
    <cellStyle name="Normal 2 5 4 3 3 3 4" xfId="23309" xr:uid="{0528D803-459B-43A3-ABD3-60E49025BDA7}"/>
    <cellStyle name="Normal 2 5 4 3 3 4" xfId="10645" xr:uid="{91FE930C-8939-45FE-A1CA-47CCD67B5852}"/>
    <cellStyle name="Normal 2 5 4 3 3 4 2" xfId="46987" xr:uid="{BDC1B481-D33A-428C-81A0-2D527B7D089C}"/>
    <cellStyle name="Normal 2 5 4 3 3 4 3" xfId="28391" xr:uid="{1400F09B-AEAE-44BA-9366-25361AD19845}"/>
    <cellStyle name="Normal 2 5 4 3 3 5" xfId="37690" xr:uid="{56D69ADD-4EF1-4321-AA44-068CC9C2E824}"/>
    <cellStyle name="Normal 2 5 4 3 3 6" xfId="19092" xr:uid="{3E102F0E-3375-4A18-A64E-C85B27483054}"/>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17420" xr:uid="{01CA10F9-B761-42AB-85F0-630894299721}"/>
    <cellStyle name="Normal 2 5 4 3 4 2 2 2 2" xfId="53762" xr:uid="{8DAB0231-F4B8-4CA7-925B-365333990D22}"/>
    <cellStyle name="Normal 2 5 4 3 4 2 2 2 3" xfId="35166" xr:uid="{D659DB8A-4951-4CD3-9728-DBA5CF57F67D}"/>
    <cellStyle name="Normal 2 5 4 3 4 2 2 3" xfId="44465" xr:uid="{5D9E3754-456A-4AB3-AE2C-38E555CC7F94}"/>
    <cellStyle name="Normal 2 5 4 3 4 2 2 4" xfId="25867" xr:uid="{214E1618-F465-4C41-A805-F77553E816AB}"/>
    <cellStyle name="Normal 2 5 4 3 4 2 3" xfId="13203" xr:uid="{1F55B6A9-EDC2-4DC1-9E47-0711DBB3C61E}"/>
    <cellStyle name="Normal 2 5 4 3 4 2 3 2" xfId="49545" xr:uid="{0E092A6E-FE2D-42FA-9619-802C5E954EF7}"/>
    <cellStyle name="Normal 2 5 4 3 4 2 3 3" xfId="30949" xr:uid="{0346141A-FDE1-4565-8966-8F30EFE20736}"/>
    <cellStyle name="Normal 2 5 4 3 4 2 4" xfId="40248" xr:uid="{4CB38414-8D81-4364-BD1F-F6A5F536AD16}"/>
    <cellStyle name="Normal 2 5 4 3 4 2 5" xfId="21650" xr:uid="{98128705-0574-4B4B-8B36-713CCE63DA46}"/>
    <cellStyle name="Normal 2 5 4 3 4 3" xfId="5949" xr:uid="{00000000-0005-0000-0000-00004A110000}"/>
    <cellStyle name="Normal 2 5 4 3 4 3 2" xfId="15275" xr:uid="{508AB720-63D2-4668-887A-F3381E010F05}"/>
    <cellStyle name="Normal 2 5 4 3 4 3 2 2" xfId="51617" xr:uid="{000B9607-5328-4F61-8484-D342C86C2382}"/>
    <cellStyle name="Normal 2 5 4 3 4 3 2 3" xfId="33021" xr:uid="{A51238CE-C73C-48CE-B7DE-F95731EA023A}"/>
    <cellStyle name="Normal 2 5 4 3 4 3 3" xfId="42320" xr:uid="{FD8999CB-CD92-48F9-88C5-6C86CA833A70}"/>
    <cellStyle name="Normal 2 5 4 3 4 3 4" xfId="23722" xr:uid="{5A4098A6-FA8E-4A9B-B8B4-287CC994C6E4}"/>
    <cellStyle name="Normal 2 5 4 3 4 4" xfId="11058" xr:uid="{8A1F7938-2733-46F8-BE70-2F0FC9E45FF3}"/>
    <cellStyle name="Normal 2 5 4 3 4 4 2" xfId="47400" xr:uid="{87677661-04F9-453A-9A2B-5FA9E9AB71C9}"/>
    <cellStyle name="Normal 2 5 4 3 4 4 3" xfId="28804" xr:uid="{5AF70FBC-58EE-4B9E-8974-4A274E07CEC5}"/>
    <cellStyle name="Normal 2 5 4 3 4 5" xfId="38103" xr:uid="{206EDB02-2EA0-4D2E-9F51-C70B920BF0D9}"/>
    <cellStyle name="Normal 2 5 4 3 4 6" xfId="19505" xr:uid="{3EA2BA03-ED0C-4D22-B952-EE2E53F46ED5}"/>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17833" xr:uid="{EC24E70F-B87C-432B-8190-264C2235A262}"/>
    <cellStyle name="Normal 2 5 4 3 5 2 2 2 2" xfId="54175" xr:uid="{498B9D8A-774C-4702-867D-9C97500B1234}"/>
    <cellStyle name="Normal 2 5 4 3 5 2 2 2 3" xfId="35579" xr:uid="{E4AD90CF-6C09-4552-B701-18352FBEBF94}"/>
    <cellStyle name="Normal 2 5 4 3 5 2 2 3" xfId="44878" xr:uid="{3701D10D-D163-4AE3-AFD4-BC0A637D5ABC}"/>
    <cellStyle name="Normal 2 5 4 3 5 2 2 4" xfId="26280" xr:uid="{15A90F84-FF6D-4A96-A515-EEB4F213CE05}"/>
    <cellStyle name="Normal 2 5 4 3 5 2 3" xfId="13616" xr:uid="{98FFD785-A10C-41F9-90EE-E9C2D1A48F0D}"/>
    <cellStyle name="Normal 2 5 4 3 5 2 3 2" xfId="49958" xr:uid="{A2A9EC1A-EFBB-4D0F-8292-EC5855475E5C}"/>
    <cellStyle name="Normal 2 5 4 3 5 2 3 3" xfId="31362" xr:uid="{8B594CA7-20D8-43E2-90F5-F08EFBA33EEE}"/>
    <cellStyle name="Normal 2 5 4 3 5 2 4" xfId="40661" xr:uid="{CCAEEE56-BAB1-452F-B1C5-2BCB2E80E1E5}"/>
    <cellStyle name="Normal 2 5 4 3 5 2 5" xfId="22063" xr:uid="{90DCAD9E-F65A-475B-BE03-D47058A11CE3}"/>
    <cellStyle name="Normal 2 5 4 3 5 3" xfId="6362" xr:uid="{00000000-0005-0000-0000-00004E110000}"/>
    <cellStyle name="Normal 2 5 4 3 5 3 2" xfId="15688" xr:uid="{CCA1EA7F-E3A3-4290-87E1-25CAC0094C90}"/>
    <cellStyle name="Normal 2 5 4 3 5 3 2 2" xfId="52030" xr:uid="{9645F571-725F-410F-9658-6C283E1F1D15}"/>
    <cellStyle name="Normal 2 5 4 3 5 3 2 3" xfId="33434" xr:uid="{BD264399-8557-4891-ACF3-793E012DE30E}"/>
    <cellStyle name="Normal 2 5 4 3 5 3 3" xfId="42733" xr:uid="{AB3F5DA8-F1ED-4152-84C2-9330087AD0D3}"/>
    <cellStyle name="Normal 2 5 4 3 5 3 4" xfId="24135" xr:uid="{4A604936-167A-47C8-8DD1-BE298E5472C3}"/>
    <cellStyle name="Normal 2 5 4 3 5 4" xfId="11471" xr:uid="{438F3910-6F74-44BF-87B6-0BFE4C5E7F26}"/>
    <cellStyle name="Normal 2 5 4 3 5 4 2" xfId="47813" xr:uid="{167A0F3E-1B38-4E39-9482-CE2D49A1CE91}"/>
    <cellStyle name="Normal 2 5 4 3 5 4 3" xfId="29217" xr:uid="{EC83807A-B984-4FEA-9C73-6A3B6395E2CC}"/>
    <cellStyle name="Normal 2 5 4 3 5 5" xfId="38516" xr:uid="{8164BAD9-3BB9-4F95-84DC-C2FC1920C834}"/>
    <cellStyle name="Normal 2 5 4 3 5 6" xfId="19918" xr:uid="{F29D0604-88E5-45B2-9925-C6C2D8155DD2}"/>
    <cellStyle name="Normal 2 5 4 3 6" xfId="2492" xr:uid="{00000000-0005-0000-0000-00004F110000}"/>
    <cellStyle name="Normal 2 5 4 3 6 2" xfId="6775" xr:uid="{00000000-0005-0000-0000-000050110000}"/>
    <cellStyle name="Normal 2 5 4 3 6 2 2" xfId="16101" xr:uid="{197FEA72-C59B-4A79-9739-B7438ACD6600}"/>
    <cellStyle name="Normal 2 5 4 3 6 2 2 2" xfId="52443" xr:uid="{7E19A441-CEFB-483D-95F4-71300C5454C4}"/>
    <cellStyle name="Normal 2 5 4 3 6 2 2 3" xfId="33847" xr:uid="{1E87CFEC-EDBE-4C63-A976-9346CB94F514}"/>
    <cellStyle name="Normal 2 5 4 3 6 2 3" xfId="43146" xr:uid="{912DF9FB-E68D-4690-96BB-0C13AAA66636}"/>
    <cellStyle name="Normal 2 5 4 3 6 2 4" xfId="24548" xr:uid="{979D4649-3E11-4F8F-B8A5-66760602E896}"/>
    <cellStyle name="Normal 2 5 4 3 6 3" xfId="11884" xr:uid="{E8EB1828-52B3-4D59-822F-F5C496DDF41A}"/>
    <cellStyle name="Normal 2 5 4 3 6 3 2" xfId="48226" xr:uid="{A7A5185C-C035-4806-B4B4-53B25F177DE5}"/>
    <cellStyle name="Normal 2 5 4 3 6 3 3" xfId="29630" xr:uid="{4627EF6F-0229-4E56-B319-A9F9E3B3B032}"/>
    <cellStyle name="Normal 2 5 4 3 6 4" xfId="38929" xr:uid="{8C793402-5EE7-449C-B713-1C5C7FE11ABE}"/>
    <cellStyle name="Normal 2 5 4 3 6 5" xfId="20331" xr:uid="{8E78A683-FE18-4596-98B1-78B021880C1B}"/>
    <cellStyle name="Normal 2 5 4 3 7" xfId="4709" xr:uid="{00000000-0005-0000-0000-000051110000}"/>
    <cellStyle name="Normal 2 5 4 3 7 2" xfId="14035" xr:uid="{C2988BA3-82E6-45E4-B95F-5424D6702BF6}"/>
    <cellStyle name="Normal 2 5 4 3 7 2 2" xfId="50377" xr:uid="{7DF23CF6-8A00-406D-8898-6B8DD99FF574}"/>
    <cellStyle name="Normal 2 5 4 3 7 2 3" xfId="31781" xr:uid="{B793B20A-2214-406B-BC53-D36FA9B6790A}"/>
    <cellStyle name="Normal 2 5 4 3 7 3" xfId="41080" xr:uid="{7E2014C9-46B3-4DF3-BAEA-CD39DC7BEDC5}"/>
    <cellStyle name="Normal 2 5 4 3 7 4" xfId="22482" xr:uid="{5040548C-9E72-4E87-B83B-DF9DFFE61D5F}"/>
    <cellStyle name="Normal 2 5 4 3 8" xfId="9023" xr:uid="{9B869639-3DD4-4511-AD70-D5125D34938F}"/>
    <cellStyle name="Normal 2 5 4 3 8 2" xfId="36093" xr:uid="{8AEA328C-A27F-4BB2-BE02-8296B2CB9540}"/>
    <cellStyle name="Normal 2 5 4 3 8 2 2" xfId="54688" xr:uid="{AC8E9A27-1962-4492-94CD-6E39E0ED2A39}"/>
    <cellStyle name="Normal 2 5 4 3 8 3" xfId="45391" xr:uid="{34909B88-CB52-4D26-A603-A9DC6AC5DA77}"/>
    <cellStyle name="Normal 2 5 4 3 8 4" xfId="26794" xr:uid="{BE5E23BD-A7E6-4AC7-A530-059C46B0CB66}"/>
    <cellStyle name="Normal 2 5 4 3 9" xfId="9818" xr:uid="{41545265-C400-4984-965F-A461618F280F}"/>
    <cellStyle name="Normal 2 5 4 3 9 2" xfId="46160" xr:uid="{26F7BABB-9E3A-449C-94C2-F9D80B313312}"/>
    <cellStyle name="Normal 2 5 4 3 9 3" xfId="27564" xr:uid="{A79AAFAC-4BE7-4115-83D3-F1B95CBC9BA0}"/>
    <cellStyle name="Normal 2 5 4 4" xfId="804" xr:uid="{00000000-0005-0000-0000-000052110000}"/>
    <cellStyle name="Normal 2 5 4 4 2" xfId="3043" xr:uid="{00000000-0005-0000-0000-000053110000}"/>
    <cellStyle name="Normal 2 5 4 4 2 2" xfId="7265" xr:uid="{00000000-0005-0000-0000-000054110000}"/>
    <cellStyle name="Normal 2 5 4 4 2 2 2" xfId="16591" xr:uid="{E6A5F179-17C3-48C1-BCC2-0E52C1CCFB9B}"/>
    <cellStyle name="Normal 2 5 4 4 2 2 2 2" xfId="52933" xr:uid="{D25C9505-BF47-4D5E-BDD3-629EFEFCAD85}"/>
    <cellStyle name="Normal 2 5 4 4 2 2 2 3" xfId="34337" xr:uid="{C61C039F-BA08-410E-9982-AEED27142E8B}"/>
    <cellStyle name="Normal 2 5 4 4 2 2 3" xfId="43636" xr:uid="{B3452551-377D-4632-B9DA-0556FE69D355}"/>
    <cellStyle name="Normal 2 5 4 4 2 2 4" xfId="25038" xr:uid="{BC5AC9AC-C60F-4898-9730-9B720A819996}"/>
    <cellStyle name="Normal 2 5 4 4 2 3" xfId="12374" xr:uid="{B973E1A9-9B48-4D53-AEA3-D8B1131079B6}"/>
    <cellStyle name="Normal 2 5 4 4 2 3 2" xfId="48716" xr:uid="{C0B03874-21A9-4DDF-AE78-A0E6336F080F}"/>
    <cellStyle name="Normal 2 5 4 4 2 3 3" xfId="30120" xr:uid="{3E476B22-F933-464B-886D-DE7594152628}"/>
    <cellStyle name="Normal 2 5 4 4 2 4" xfId="39419" xr:uid="{65415BE1-9DCF-4243-B2E3-2923B2CB3C1C}"/>
    <cellStyle name="Normal 2 5 4 4 2 5" xfId="20821" xr:uid="{BD200AEB-FDE1-4685-9514-C533D6EBFD4B}"/>
    <cellStyle name="Normal 2 5 4 4 3" xfId="5120" xr:uid="{00000000-0005-0000-0000-000055110000}"/>
    <cellStyle name="Normal 2 5 4 4 3 2" xfId="14446" xr:uid="{31155A92-DB17-493D-B419-D1CD036A3288}"/>
    <cellStyle name="Normal 2 5 4 4 3 2 2" xfId="50788" xr:uid="{53381637-FA0C-4990-A852-77F78AB46571}"/>
    <cellStyle name="Normal 2 5 4 4 3 2 3" xfId="32192" xr:uid="{108C8B9D-6579-4474-B328-AF4999573C7C}"/>
    <cellStyle name="Normal 2 5 4 4 3 3" xfId="41491" xr:uid="{DB08A658-3288-4D61-A7AE-49826C290FB1}"/>
    <cellStyle name="Normal 2 5 4 4 3 4" xfId="22893" xr:uid="{4E6D1462-D60C-4A84-9270-99E5BCFCBA4B}"/>
    <cellStyle name="Normal 2 5 4 4 4" xfId="9241" xr:uid="{2BD2F05F-E4C9-46B4-B3C9-F0D081C1F38F}"/>
    <cellStyle name="Normal 2 5 4 4 4 2" xfId="36302" xr:uid="{2A576DF4-BDCC-4F1B-82FC-6DCF1FA3AC11}"/>
    <cellStyle name="Normal 2 5 4 4 4 2 2" xfId="54896" xr:uid="{4EEDFFC5-E5C9-48C1-9713-B82532273DE5}"/>
    <cellStyle name="Normal 2 5 4 4 4 3" xfId="45599" xr:uid="{F55CAE9E-0FCC-4AF9-B752-512C023AE76F}"/>
    <cellStyle name="Normal 2 5 4 4 4 4" xfId="27003" xr:uid="{864629E7-E5BF-4F84-B68A-EA9ACEADB4BB}"/>
    <cellStyle name="Normal 2 5 4 4 5" xfId="10229" xr:uid="{9C398195-7256-4E20-A833-31B4229B304C}"/>
    <cellStyle name="Normal 2 5 4 4 5 2" xfId="46571" xr:uid="{5558EDB4-55B6-4ED5-8820-CAEDEAD1C98D}"/>
    <cellStyle name="Normal 2 5 4 4 5 3" xfId="27975" xr:uid="{8DF8CF92-7446-429E-B588-01B0C78A2377}"/>
    <cellStyle name="Normal 2 5 4 4 6" xfId="37274" xr:uid="{1B3E7E10-0002-483E-8989-D2CD6CF2D601}"/>
    <cellStyle name="Normal 2 5 4 4 7" xfId="18676" xr:uid="{5B380EF6-8079-4090-850E-6AC6429D2EC1}"/>
    <cellStyle name="Normal 2 5 4 5" xfId="1226" xr:uid="{00000000-0005-0000-0000-000056110000}"/>
    <cellStyle name="Normal 2 5 4 5 2" xfId="3456" xr:uid="{00000000-0005-0000-0000-000057110000}"/>
    <cellStyle name="Normal 2 5 4 5 2 2" xfId="7678" xr:uid="{00000000-0005-0000-0000-000058110000}"/>
    <cellStyle name="Normal 2 5 4 5 2 2 2" xfId="17004" xr:uid="{FCE6C2C5-0BB7-4648-A09A-C644C485D43A}"/>
    <cellStyle name="Normal 2 5 4 5 2 2 2 2" xfId="53346" xr:uid="{8A4F652F-F6C5-41BF-BA0A-B26B812E7984}"/>
    <cellStyle name="Normal 2 5 4 5 2 2 2 3" xfId="34750" xr:uid="{0BC6A90C-A9A0-40D6-83E5-667DB321CF5A}"/>
    <cellStyle name="Normal 2 5 4 5 2 2 3" xfId="44049" xr:uid="{DA1660A0-64A8-4C89-A738-561D9886EDE0}"/>
    <cellStyle name="Normal 2 5 4 5 2 2 4" xfId="25451" xr:uid="{FD4ED6F0-F303-4867-91DF-95A895EC26B2}"/>
    <cellStyle name="Normal 2 5 4 5 2 3" xfId="12787" xr:uid="{0EFA7AC5-AFA8-4F7E-9F30-61C5A2196059}"/>
    <cellStyle name="Normal 2 5 4 5 2 3 2" xfId="49129" xr:uid="{B49560B6-C1EE-42E1-8933-FF33312E8813}"/>
    <cellStyle name="Normal 2 5 4 5 2 3 3" xfId="30533" xr:uid="{F194FADA-1E7A-44FF-BF7B-8EC199415B69}"/>
    <cellStyle name="Normal 2 5 4 5 2 4" xfId="39832" xr:uid="{C97057F2-2EF0-4C05-AEF8-157467F247F4}"/>
    <cellStyle name="Normal 2 5 4 5 2 5" xfId="21234" xr:uid="{A475AAF1-B3FC-4103-9FD1-038816CCB55B}"/>
    <cellStyle name="Normal 2 5 4 5 3" xfId="5533" xr:uid="{00000000-0005-0000-0000-000059110000}"/>
    <cellStyle name="Normal 2 5 4 5 3 2" xfId="14859" xr:uid="{48640ACE-DB93-4F8F-AB64-F4B8E341F3CA}"/>
    <cellStyle name="Normal 2 5 4 5 3 2 2" xfId="51201" xr:uid="{E0E3AC00-E999-4F36-AFA0-8A11C0AFD60E}"/>
    <cellStyle name="Normal 2 5 4 5 3 2 3" xfId="32605" xr:uid="{9FF125E5-F567-426E-912F-4DE15C38FC02}"/>
    <cellStyle name="Normal 2 5 4 5 3 3" xfId="41904" xr:uid="{55A917EC-9A43-4281-80BA-77988B4D6C6D}"/>
    <cellStyle name="Normal 2 5 4 5 3 4" xfId="23306" xr:uid="{E11AB222-8819-4FC9-A481-331640CC968A}"/>
    <cellStyle name="Normal 2 5 4 5 4" xfId="10642" xr:uid="{4F1FCCAA-0CE2-40BF-858B-93C8CC000AFD}"/>
    <cellStyle name="Normal 2 5 4 5 4 2" xfId="46984" xr:uid="{98EA4BE7-123A-4658-91D1-A27E8B0DB73F}"/>
    <cellStyle name="Normal 2 5 4 5 4 3" xfId="28388" xr:uid="{66DA283E-CAB1-4509-94F4-5F850BF7389C}"/>
    <cellStyle name="Normal 2 5 4 5 5" xfId="37687" xr:uid="{4E34E13A-ADA2-4628-A49D-F31644ABB669}"/>
    <cellStyle name="Normal 2 5 4 5 6" xfId="19089" xr:uid="{D31D96A8-896E-4A3D-BABE-2BA903552763}"/>
    <cellStyle name="Normal 2 5 4 6" xfId="1639" xr:uid="{00000000-0005-0000-0000-00005A110000}"/>
    <cellStyle name="Normal 2 5 4 6 2" xfId="3869" xr:uid="{00000000-0005-0000-0000-00005B110000}"/>
    <cellStyle name="Normal 2 5 4 6 2 2" xfId="8091" xr:uid="{00000000-0005-0000-0000-00005C110000}"/>
    <cellStyle name="Normal 2 5 4 6 2 2 2" xfId="17417" xr:uid="{7BF80458-2DCC-4F61-95D9-F2F5E174C5E2}"/>
    <cellStyle name="Normal 2 5 4 6 2 2 2 2" xfId="53759" xr:uid="{FB6726A8-5EBF-4772-9526-01D484F48FD8}"/>
    <cellStyle name="Normal 2 5 4 6 2 2 2 3" xfId="35163" xr:uid="{3CBE2BC1-B69A-46D4-ADA8-CDC41430D694}"/>
    <cellStyle name="Normal 2 5 4 6 2 2 3" xfId="44462" xr:uid="{30697E6E-DA59-4C88-948D-A79E7716EF49}"/>
    <cellStyle name="Normal 2 5 4 6 2 2 4" xfId="25864" xr:uid="{B2D7C3E0-B0EE-4D0A-A44C-27C3EDE55BE3}"/>
    <cellStyle name="Normal 2 5 4 6 2 3" xfId="13200" xr:uid="{C5127C3D-73DB-4FCD-B004-4C3619D63DC4}"/>
    <cellStyle name="Normal 2 5 4 6 2 3 2" xfId="49542" xr:uid="{2C2563D3-269F-49F3-A962-C86A8C77DB84}"/>
    <cellStyle name="Normal 2 5 4 6 2 3 3" xfId="30946" xr:uid="{F05A42A4-61BA-4B98-84FC-AA916F35E844}"/>
    <cellStyle name="Normal 2 5 4 6 2 4" xfId="40245" xr:uid="{3AF2AD28-1667-426D-9869-0D4B7669F1F6}"/>
    <cellStyle name="Normal 2 5 4 6 2 5" xfId="21647" xr:uid="{88A15B57-7830-4279-9374-DAEEAA2FD04C}"/>
    <cellStyle name="Normal 2 5 4 6 3" xfId="5946" xr:uid="{00000000-0005-0000-0000-00005D110000}"/>
    <cellStyle name="Normal 2 5 4 6 3 2" xfId="15272" xr:uid="{DFA6B43E-8AE2-4F71-BCC5-05A04B6533F7}"/>
    <cellStyle name="Normal 2 5 4 6 3 2 2" xfId="51614" xr:uid="{C67C9712-4FC0-4845-A256-844B7AAD7D32}"/>
    <cellStyle name="Normal 2 5 4 6 3 2 3" xfId="33018" xr:uid="{67B956D9-7163-46D6-8B25-9ECCD77E0F80}"/>
    <cellStyle name="Normal 2 5 4 6 3 3" xfId="42317" xr:uid="{92C21F5D-5991-412E-8815-000E0ABF8495}"/>
    <cellStyle name="Normal 2 5 4 6 3 4" xfId="23719" xr:uid="{02995C01-AE69-4B5D-9598-A69A1528857E}"/>
    <cellStyle name="Normal 2 5 4 6 4" xfId="11055" xr:uid="{C9F49B44-82FF-4285-B54C-318BB5C98E18}"/>
    <cellStyle name="Normal 2 5 4 6 4 2" xfId="47397" xr:uid="{75965DB7-9ACC-4A9C-95C9-56B90229481E}"/>
    <cellStyle name="Normal 2 5 4 6 4 3" xfId="28801" xr:uid="{1E9A7D60-0C24-4EC8-AFCD-2BDBA194D62C}"/>
    <cellStyle name="Normal 2 5 4 6 5" xfId="38100" xr:uid="{DABC89A7-EC22-4FEE-84A7-AC11FC5033E7}"/>
    <cellStyle name="Normal 2 5 4 6 6" xfId="19502" xr:uid="{246D8B1A-E1F5-450C-A573-144F53CBDB3D}"/>
    <cellStyle name="Normal 2 5 4 7" xfId="2053" xr:uid="{00000000-0005-0000-0000-00005E110000}"/>
    <cellStyle name="Normal 2 5 4 7 2" xfId="4282" xr:uid="{00000000-0005-0000-0000-00005F110000}"/>
    <cellStyle name="Normal 2 5 4 7 2 2" xfId="8504" xr:uid="{00000000-0005-0000-0000-000060110000}"/>
    <cellStyle name="Normal 2 5 4 7 2 2 2" xfId="17830" xr:uid="{58C39E6E-1EC0-45AE-BF94-81D4327F671E}"/>
    <cellStyle name="Normal 2 5 4 7 2 2 2 2" xfId="54172" xr:uid="{ED05C949-59D7-4357-A838-76089D6F882A}"/>
    <cellStyle name="Normal 2 5 4 7 2 2 2 3" xfId="35576" xr:uid="{5B6C84F7-F3EA-46CA-AFDF-815D8BA88C97}"/>
    <cellStyle name="Normal 2 5 4 7 2 2 3" xfId="44875" xr:uid="{796E4333-29C6-43AD-927D-AFF7A8B68804}"/>
    <cellStyle name="Normal 2 5 4 7 2 2 4" xfId="26277" xr:uid="{5555DC5F-2082-420D-B75D-778B60488537}"/>
    <cellStyle name="Normal 2 5 4 7 2 3" xfId="13613" xr:uid="{31F5E679-A36F-4EB7-A94D-C97C25F4088F}"/>
    <cellStyle name="Normal 2 5 4 7 2 3 2" xfId="49955" xr:uid="{DD2B88C9-6F91-45D0-A965-C924467F3BDE}"/>
    <cellStyle name="Normal 2 5 4 7 2 3 3" xfId="31359" xr:uid="{424347DA-2349-463E-A3A3-D23B02819414}"/>
    <cellStyle name="Normal 2 5 4 7 2 4" xfId="40658" xr:uid="{75ACB4B7-ED92-49E6-9CA1-15BAEFC625DB}"/>
    <cellStyle name="Normal 2 5 4 7 2 5" xfId="22060" xr:uid="{20FBC5A8-D8A3-4FF9-908E-E7171BE70052}"/>
    <cellStyle name="Normal 2 5 4 7 3" xfId="6359" xr:uid="{00000000-0005-0000-0000-000061110000}"/>
    <cellStyle name="Normal 2 5 4 7 3 2" xfId="15685" xr:uid="{92BFE06D-D632-4578-B7E7-4ADC4FA2981C}"/>
    <cellStyle name="Normal 2 5 4 7 3 2 2" xfId="52027" xr:uid="{54D08A06-6DEA-4183-9D71-54EBC3DBFAB8}"/>
    <cellStyle name="Normal 2 5 4 7 3 2 3" xfId="33431" xr:uid="{64B56602-79E2-47C5-96EB-97232A345916}"/>
    <cellStyle name="Normal 2 5 4 7 3 3" xfId="42730" xr:uid="{A6B9413B-1090-4BF5-BA15-0D2E72FF3966}"/>
    <cellStyle name="Normal 2 5 4 7 3 4" xfId="24132" xr:uid="{BC210AA7-B939-4A2E-8F5B-DDB4F6C7DA91}"/>
    <cellStyle name="Normal 2 5 4 7 4" xfId="11468" xr:uid="{772FB69F-4DDF-4A24-8D12-C686CF73F92C}"/>
    <cellStyle name="Normal 2 5 4 7 4 2" xfId="47810" xr:uid="{DAB064BD-0342-470B-B3F6-DC3945143114}"/>
    <cellStyle name="Normal 2 5 4 7 4 3" xfId="29214" xr:uid="{20985743-A2A2-49BC-84D4-C96AE27E9591}"/>
    <cellStyle name="Normal 2 5 4 7 5" xfId="38513" xr:uid="{571E3787-7284-4552-838C-3C4176F71BF9}"/>
    <cellStyle name="Normal 2 5 4 7 6" xfId="19915" xr:uid="{9B6C3539-503A-4BF2-9261-9C514C7165AE}"/>
    <cellStyle name="Normal 2 5 4 8" xfId="2489" xr:uid="{00000000-0005-0000-0000-000062110000}"/>
    <cellStyle name="Normal 2 5 4 8 2" xfId="6772" xr:uid="{00000000-0005-0000-0000-000063110000}"/>
    <cellStyle name="Normal 2 5 4 8 2 2" xfId="16098" xr:uid="{2E763AD3-F978-4FC4-AB33-D6430D3A37F6}"/>
    <cellStyle name="Normal 2 5 4 8 2 2 2" xfId="52440" xr:uid="{83826A74-9E72-49AC-9EF6-29B0912DA69B}"/>
    <cellStyle name="Normal 2 5 4 8 2 2 3" xfId="33844" xr:uid="{BA299CF6-0ACD-43AA-AE80-84BC8B9CEB7D}"/>
    <cellStyle name="Normal 2 5 4 8 2 3" xfId="43143" xr:uid="{4422A943-7FFE-45B3-B64A-910371F1BB23}"/>
    <cellStyle name="Normal 2 5 4 8 2 4" xfId="24545" xr:uid="{F0DF5F76-D328-4493-8CA8-D9E735847FE3}"/>
    <cellStyle name="Normal 2 5 4 8 3" xfId="11881" xr:uid="{12D8AA96-16CF-4789-9DE6-7B43C7506705}"/>
    <cellStyle name="Normal 2 5 4 8 3 2" xfId="48223" xr:uid="{09E8F806-96F2-4411-B91D-7B094593B38B}"/>
    <cellStyle name="Normal 2 5 4 8 3 3" xfId="29627" xr:uid="{E4DF3347-0373-41CC-9650-1C978A1779B4}"/>
    <cellStyle name="Normal 2 5 4 8 4" xfId="38926" xr:uid="{4482C3CA-6DAC-4F55-BA13-FC744878AB6C}"/>
    <cellStyle name="Normal 2 5 4 8 5" xfId="20328" xr:uid="{C2F34CD8-354B-42B2-AEAD-6F72B14AB5B4}"/>
    <cellStyle name="Normal 2 5 4 9" xfId="4706" xr:uid="{00000000-0005-0000-0000-000064110000}"/>
    <cellStyle name="Normal 2 5 4 9 2" xfId="14032" xr:uid="{58649F82-3FF2-4633-B5D2-623190736C65}"/>
    <cellStyle name="Normal 2 5 4 9 2 2" xfId="50374" xr:uid="{5FBD201D-77BE-4C43-834A-42DF0D33285F}"/>
    <cellStyle name="Normal 2 5 4 9 2 3" xfId="31778" xr:uid="{24AD64BB-2C10-4357-BF97-BA08DC1CD8F3}"/>
    <cellStyle name="Normal 2 5 4 9 3" xfId="41077" xr:uid="{09B68CCA-2F64-44AB-AD8D-B3A071693D08}"/>
    <cellStyle name="Normal 2 5 4 9 4" xfId="22479" xr:uid="{5C78B5CB-7792-4AF4-8355-64507C4C3076}"/>
    <cellStyle name="Normal 2 5 5" xfId="803" xr:uid="{00000000-0005-0000-0000-000065110000}"/>
    <cellStyle name="Normal 2 5 5 2" xfId="3042" xr:uid="{00000000-0005-0000-0000-000066110000}"/>
    <cellStyle name="Normal 2 5 5 2 2" xfId="7264" xr:uid="{00000000-0005-0000-0000-000067110000}"/>
    <cellStyle name="Normal 2 5 5 2 2 2" xfId="16590" xr:uid="{BD01D619-7231-4462-8BDC-D864F6200909}"/>
    <cellStyle name="Normal 2 5 5 2 2 2 2" xfId="52932" xr:uid="{A9CB4BFE-4C1C-49EA-BFB8-A6C2AA0836FE}"/>
    <cellStyle name="Normal 2 5 5 2 2 2 3" xfId="34336" xr:uid="{53C76296-A2E7-4583-82E3-B88F2887E8E7}"/>
    <cellStyle name="Normal 2 5 5 2 2 3" xfId="43635" xr:uid="{DB631337-9341-462A-A7B0-82519E7A4DEF}"/>
    <cellStyle name="Normal 2 5 5 2 2 4" xfId="25037" xr:uid="{C0C51944-9E3E-4B39-BC6E-5EB3F0B5CA4E}"/>
    <cellStyle name="Normal 2 5 5 2 3" xfId="12373" xr:uid="{3962A444-2D0D-490A-B924-21DB3F811444}"/>
    <cellStyle name="Normal 2 5 5 2 3 2" xfId="48715" xr:uid="{90B7CCE1-313D-4147-B730-BFB01C07193B}"/>
    <cellStyle name="Normal 2 5 5 2 3 3" xfId="30119" xr:uid="{1C6C338E-419A-4B5D-81BD-53B2784F106B}"/>
    <cellStyle name="Normal 2 5 5 2 4" xfId="39418" xr:uid="{E7D4B678-A2C7-40D4-9D5F-6299A75DEDF2}"/>
    <cellStyle name="Normal 2 5 5 2 5" xfId="20820" xr:uid="{8D7758D0-1106-482F-8815-DD7FF70B1F7A}"/>
    <cellStyle name="Normal 2 5 5 3" xfId="5119" xr:uid="{00000000-0005-0000-0000-000068110000}"/>
    <cellStyle name="Normal 2 5 5 3 2" xfId="14445" xr:uid="{42F1A7ED-DC52-4557-A0DA-B798C964524C}"/>
    <cellStyle name="Normal 2 5 5 3 2 2" xfId="50787" xr:uid="{8F40B73D-5EB4-4EA4-80E2-BCBBA937CB9C}"/>
    <cellStyle name="Normal 2 5 5 3 2 3" xfId="32191" xr:uid="{88847693-7D06-4EE0-B74A-E6D82E11E76A}"/>
    <cellStyle name="Normal 2 5 5 3 3" xfId="41490" xr:uid="{A79DFFCF-79FB-4A59-8665-0F6419FDD6EA}"/>
    <cellStyle name="Normal 2 5 5 3 4" xfId="22892" xr:uid="{E7F92FED-1781-4B1E-A8AE-C7DDD9284F58}"/>
    <cellStyle name="Normal 2 5 5 4" xfId="9606" xr:uid="{3AE4D77A-44EE-40C2-9F71-05FBDE2746B2}"/>
    <cellStyle name="Normal 2 5 5 4 2" xfId="36653" xr:uid="{D5B0F772-7F0A-4257-AA9C-5509F28360E6}"/>
    <cellStyle name="Normal 2 5 5 4 2 2" xfId="55247" xr:uid="{2B271B96-42BD-4720-8A36-96BCD9908D74}"/>
    <cellStyle name="Normal 2 5 5 4 3" xfId="45950" xr:uid="{B1653CF4-4866-4E1B-B93E-215A3F10A431}"/>
    <cellStyle name="Normal 2 5 5 4 4" xfId="27354" xr:uid="{3AAF1A09-B3B9-44C6-B5A2-FEBE81EECD35}"/>
    <cellStyle name="Normal 2 5 5 5" xfId="10228" xr:uid="{83E6E55E-2398-4F57-AB1A-157C709941C0}"/>
    <cellStyle name="Normal 2 5 5 5 2" xfId="46570" xr:uid="{121B058A-6114-4DF4-91DA-96C7BFF05598}"/>
    <cellStyle name="Normal 2 5 5 5 3" xfId="27974" xr:uid="{EC6DBE71-BFB2-42EB-8758-BAE21D56D103}"/>
    <cellStyle name="Normal 2 5 5 6" xfId="37273" xr:uid="{190C226E-3077-4967-88DA-B8F8FA5BFD8F}"/>
    <cellStyle name="Normal 2 5 5 7" xfId="18675" xr:uid="{C351618A-419A-4DD2-AE95-3A0B0FDF4748}"/>
    <cellStyle name="Normal 2 5 6" xfId="1225" xr:uid="{00000000-0005-0000-0000-000069110000}"/>
    <cellStyle name="Normal 2 5 6 2" xfId="3455" xr:uid="{00000000-0005-0000-0000-00006A110000}"/>
    <cellStyle name="Normal 2 5 6 2 2" xfId="7677" xr:uid="{00000000-0005-0000-0000-00006B110000}"/>
    <cellStyle name="Normal 2 5 6 2 2 2" xfId="17003" xr:uid="{34EBC392-B6B8-4ADF-9F7C-1ABDE2F11150}"/>
    <cellStyle name="Normal 2 5 6 2 2 2 2" xfId="53345" xr:uid="{441B81EF-FE4B-43C5-84CC-EE8C17A94E7B}"/>
    <cellStyle name="Normal 2 5 6 2 2 2 3" xfId="34749" xr:uid="{F04501C8-1E79-46C2-B904-59C7EE2DDC62}"/>
    <cellStyle name="Normal 2 5 6 2 2 3" xfId="44048" xr:uid="{EBAEA0AE-8929-4CF1-8148-D62267CCF3FA}"/>
    <cellStyle name="Normal 2 5 6 2 2 4" xfId="25450" xr:uid="{4CF48519-058E-4D74-B962-091B29AB9D57}"/>
    <cellStyle name="Normal 2 5 6 2 3" xfId="12786" xr:uid="{7279F6A8-8BED-4FE4-B3B6-DF6EC081F2C5}"/>
    <cellStyle name="Normal 2 5 6 2 3 2" xfId="49128" xr:uid="{0FF5A02F-4932-4C0C-B180-175AEC83821C}"/>
    <cellStyle name="Normal 2 5 6 2 3 3" xfId="30532" xr:uid="{0A210D9C-B0C0-4720-9364-4B563590F3CF}"/>
    <cellStyle name="Normal 2 5 6 2 4" xfId="39831" xr:uid="{A9AA8636-DD0E-4593-A849-CBEBEA1373F8}"/>
    <cellStyle name="Normal 2 5 6 2 5" xfId="21233" xr:uid="{2264CDC2-5FFD-4C33-8E88-FE55A645214F}"/>
    <cellStyle name="Normal 2 5 6 3" xfId="5532" xr:uid="{00000000-0005-0000-0000-00006C110000}"/>
    <cellStyle name="Normal 2 5 6 3 2" xfId="14858" xr:uid="{B77DA86D-08B3-4F91-862A-E087A29D5E1C}"/>
    <cellStyle name="Normal 2 5 6 3 2 2" xfId="51200" xr:uid="{82F8A0B9-8BFF-4CD2-A1C1-EABA47BF6408}"/>
    <cellStyle name="Normal 2 5 6 3 2 3" xfId="32604" xr:uid="{A481E66A-0949-48E1-9240-13426881F615}"/>
    <cellStyle name="Normal 2 5 6 3 3" xfId="41903" xr:uid="{1AE05F39-E539-40CC-AE8A-CE204D96ADF2}"/>
    <cellStyle name="Normal 2 5 6 3 4" xfId="23305" xr:uid="{30AD6223-FA6C-4B8F-AF13-41CA8A6B0E78}"/>
    <cellStyle name="Normal 2 5 6 4" xfId="10641" xr:uid="{A99B6CC9-5AE7-4596-A143-D9127443E2D0}"/>
    <cellStyle name="Normal 2 5 6 4 2" xfId="46983" xr:uid="{61E8A0F6-EE9F-47B1-92D6-4CFF61CCC545}"/>
    <cellStyle name="Normal 2 5 6 4 3" xfId="28387" xr:uid="{598A6DF2-1634-4341-805B-050DA3EB5DCD}"/>
    <cellStyle name="Normal 2 5 6 5" xfId="37686" xr:uid="{39C41CBB-D036-4883-9524-63A9040297E1}"/>
    <cellStyle name="Normal 2 5 6 6" xfId="19088" xr:uid="{FCC8A37A-D3D4-4920-B04E-7F31FF87C69E}"/>
    <cellStyle name="Normal 2 5 7" xfId="1638" xr:uid="{00000000-0005-0000-0000-00006D110000}"/>
    <cellStyle name="Normal 2 5 7 2" xfId="3868" xr:uid="{00000000-0005-0000-0000-00006E110000}"/>
    <cellStyle name="Normal 2 5 7 2 2" xfId="8090" xr:uid="{00000000-0005-0000-0000-00006F110000}"/>
    <cellStyle name="Normal 2 5 7 2 2 2" xfId="17416" xr:uid="{92C908B0-25EB-41D1-B3C1-EB2B726217FB}"/>
    <cellStyle name="Normal 2 5 7 2 2 2 2" xfId="53758" xr:uid="{5A61933E-C8BC-460C-AFAF-C59BEC9DB932}"/>
    <cellStyle name="Normal 2 5 7 2 2 2 3" xfId="35162" xr:uid="{9CF4E9F1-1816-44F1-ACCC-D5FEAF3C2401}"/>
    <cellStyle name="Normal 2 5 7 2 2 3" xfId="44461" xr:uid="{104525A4-86E6-4CDE-80C0-7470DCD5FABE}"/>
    <cellStyle name="Normal 2 5 7 2 2 4" xfId="25863" xr:uid="{C01714A3-CD25-43D1-A781-C020EE18DD3E}"/>
    <cellStyle name="Normal 2 5 7 2 3" xfId="13199" xr:uid="{364CA848-349B-4651-820D-7BE8CDDD68DD}"/>
    <cellStyle name="Normal 2 5 7 2 3 2" xfId="49541" xr:uid="{70D20905-B856-45E0-A80B-A4F22AE58003}"/>
    <cellStyle name="Normal 2 5 7 2 3 3" xfId="30945" xr:uid="{E9D9FFD9-27DB-4F17-B12F-2206BC16493A}"/>
    <cellStyle name="Normal 2 5 7 2 4" xfId="40244" xr:uid="{500C6871-5434-47AA-85CD-9E86AEB9D980}"/>
    <cellStyle name="Normal 2 5 7 2 5" xfId="21646" xr:uid="{445ECEDD-93DA-4A51-A441-F2B7CC5BCDCB}"/>
    <cellStyle name="Normal 2 5 7 3" xfId="5945" xr:uid="{00000000-0005-0000-0000-000070110000}"/>
    <cellStyle name="Normal 2 5 7 3 2" xfId="15271" xr:uid="{B0C83785-4925-4BC0-A995-1D2B64623969}"/>
    <cellStyle name="Normal 2 5 7 3 2 2" xfId="51613" xr:uid="{32A22E21-98E5-4EAF-903E-3E9C7DE52DE7}"/>
    <cellStyle name="Normal 2 5 7 3 2 3" xfId="33017" xr:uid="{3E151715-B7B9-49B2-A9C6-80EE213E66BA}"/>
    <cellStyle name="Normal 2 5 7 3 3" xfId="42316" xr:uid="{0A1296E9-64DD-471D-9AE2-30481C2F107D}"/>
    <cellStyle name="Normal 2 5 7 3 4" xfId="23718" xr:uid="{F83C87BF-11C7-46A2-8339-36A061139F42}"/>
    <cellStyle name="Normal 2 5 7 4" xfId="11054" xr:uid="{C0515545-7E92-403C-8D08-4A05B7DFA13B}"/>
    <cellStyle name="Normal 2 5 7 4 2" xfId="47396" xr:uid="{365B5BD8-BB2E-48E0-8223-C3B1AA717634}"/>
    <cellStyle name="Normal 2 5 7 4 3" xfId="28800" xr:uid="{C4E0F4C2-30CC-4FE7-B2AC-4A6360081AEF}"/>
    <cellStyle name="Normal 2 5 7 5" xfId="38099" xr:uid="{A6A4F4D5-9F93-4BBB-B5EF-B75F872156BB}"/>
    <cellStyle name="Normal 2 5 7 6" xfId="19501" xr:uid="{8D0BE4E1-E172-4D9C-BB62-7B798A348BC2}"/>
    <cellStyle name="Normal 2 5 8" xfId="2052" xr:uid="{00000000-0005-0000-0000-000071110000}"/>
    <cellStyle name="Normal 2 5 8 2" xfId="4281" xr:uid="{00000000-0005-0000-0000-000072110000}"/>
    <cellStyle name="Normal 2 5 8 2 2" xfId="8503" xr:uid="{00000000-0005-0000-0000-000073110000}"/>
    <cellStyle name="Normal 2 5 8 2 2 2" xfId="17829" xr:uid="{B9FBDA83-AD4D-4802-8C93-508A851EC068}"/>
    <cellStyle name="Normal 2 5 8 2 2 2 2" xfId="54171" xr:uid="{5DCA94CE-844D-4C37-8928-AB03C611052E}"/>
    <cellStyle name="Normal 2 5 8 2 2 2 3" xfId="35575" xr:uid="{0D3057B2-E267-4D8F-BA15-9BCF6C782F14}"/>
    <cellStyle name="Normal 2 5 8 2 2 3" xfId="44874" xr:uid="{E455A4DD-EACB-419F-B57F-5C76957A20BB}"/>
    <cellStyle name="Normal 2 5 8 2 2 4" xfId="26276" xr:uid="{FBC80B10-6F60-4345-A2FE-D7568769CDC9}"/>
    <cellStyle name="Normal 2 5 8 2 3" xfId="13612" xr:uid="{74994754-16E7-4B04-AFBA-B045BBF7C8ED}"/>
    <cellStyle name="Normal 2 5 8 2 3 2" xfId="49954" xr:uid="{F7C25C83-ED78-48ED-9442-F6A96CC2E02A}"/>
    <cellStyle name="Normal 2 5 8 2 3 3" xfId="31358" xr:uid="{7451131C-7B82-49A1-B5A7-85158C817592}"/>
    <cellStyle name="Normal 2 5 8 2 4" xfId="40657" xr:uid="{3CC48FA5-44EF-4084-89C8-E5AE71455B52}"/>
    <cellStyle name="Normal 2 5 8 2 5" xfId="22059" xr:uid="{87C27698-8707-48D4-B993-F3C2FEF8F85E}"/>
    <cellStyle name="Normal 2 5 8 3" xfId="6358" xr:uid="{00000000-0005-0000-0000-000074110000}"/>
    <cellStyle name="Normal 2 5 8 3 2" xfId="15684" xr:uid="{7A5DD036-80FB-484A-8754-1D47F7E41F7C}"/>
    <cellStyle name="Normal 2 5 8 3 2 2" xfId="52026" xr:uid="{9287A847-DDBA-4A6A-87DE-17C0883EFE80}"/>
    <cellStyle name="Normal 2 5 8 3 2 3" xfId="33430" xr:uid="{DED2E55A-48ED-4E78-B42D-A7567E1E5A0A}"/>
    <cellStyle name="Normal 2 5 8 3 3" xfId="42729" xr:uid="{DA8A284F-D704-4753-9BC5-F9F44CC4F350}"/>
    <cellStyle name="Normal 2 5 8 3 4" xfId="24131" xr:uid="{670A8A35-5108-4BCB-A6A0-32EE3155D6C7}"/>
    <cellStyle name="Normal 2 5 8 4" xfId="11467" xr:uid="{B25DA41D-1F8E-4842-B0FA-122BAA604EA8}"/>
    <cellStyle name="Normal 2 5 8 4 2" xfId="47809" xr:uid="{386C1A91-E956-4CEC-85C9-D0A623DD215C}"/>
    <cellStyle name="Normal 2 5 8 4 3" xfId="29213" xr:uid="{B16B890D-9953-4C31-ABF1-D29C7FBE23EF}"/>
    <cellStyle name="Normal 2 5 8 5" xfId="38512" xr:uid="{30C41CEC-6BFF-4D8E-AB4E-A15781423AB8}"/>
    <cellStyle name="Normal 2 5 8 6" xfId="19914" xr:uid="{5067F3BC-63C0-48E6-9BFF-A5B07466CAFB}"/>
    <cellStyle name="Normal 2 5 9" xfId="2488" xr:uid="{00000000-0005-0000-0000-000075110000}"/>
    <cellStyle name="Normal 2 5 9 2" xfId="6771" xr:uid="{00000000-0005-0000-0000-000076110000}"/>
    <cellStyle name="Normal 2 5 9 2 2" xfId="16097" xr:uid="{9342F129-D122-4E8B-AD62-8EBA08E0733C}"/>
    <cellStyle name="Normal 2 5 9 2 2 2" xfId="52439" xr:uid="{BCB87A1D-FB62-4B7A-A47E-ACD7B59C45C8}"/>
    <cellStyle name="Normal 2 5 9 2 2 3" xfId="33843" xr:uid="{9F4FC4AB-A8A7-4C8A-86C6-7056F098529B}"/>
    <cellStyle name="Normal 2 5 9 2 3" xfId="43142" xr:uid="{3BFD81EC-A1DD-471F-82E4-85312436BDB8}"/>
    <cellStyle name="Normal 2 5 9 2 4" xfId="24544" xr:uid="{9DEF8D79-B27E-47D9-AA3C-A38BF2F417F6}"/>
    <cellStyle name="Normal 2 5 9 3" xfId="11880" xr:uid="{19883C44-0BF0-4245-AE2C-7B09EA634572}"/>
    <cellStyle name="Normal 2 5 9 3 2" xfId="48222" xr:uid="{BEF1701F-FF32-46AA-BF24-FD1902BF761C}"/>
    <cellStyle name="Normal 2 5 9 3 3" xfId="29626" xr:uid="{50111BFB-E235-4BD1-A553-7861890642C7}"/>
    <cellStyle name="Normal 2 5 9 4" xfId="38925" xr:uid="{B3EF32FA-2354-4E8B-8168-D941CF9B6A35}"/>
    <cellStyle name="Normal 2 5 9 5" xfId="20327" xr:uid="{2F99E57C-1F3F-4CCC-B642-3F1E8B13245C}"/>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7 3 2" xfId="36225" xr:uid="{836D1E6E-2E58-4A97-A53C-FD82F8B595E5}"/>
    <cellStyle name="Normal 2 7 3 3" xfId="26926" xr:uid="{CB17D3D3-7ACD-499C-B29F-EB264A8DC1C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10" xfId="9819" xr:uid="{FD3EB03D-59B6-4129-875E-2D75175FF649}"/>
    <cellStyle name="Normal 3 2 10 2" xfId="46161" xr:uid="{DFDFD95F-3176-4301-A56B-4A5962CA7162}"/>
    <cellStyle name="Normal 3 2 10 3" xfId="27565" xr:uid="{7A55AECC-E370-4A86-A1D1-E82D46E40629}"/>
    <cellStyle name="Normal 3 2 11" xfId="36864" xr:uid="{0F0465EE-5731-4F55-98F2-B842899B5EF6}"/>
    <cellStyle name="Normal 3 2 12" xfId="18266" xr:uid="{45C87F87-9B9D-484B-8425-53604CF65ECE}"/>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10 2" xfId="35887" xr:uid="{AF6E6173-A08F-4601-994E-0CA39CDB60A6}"/>
    <cellStyle name="Normal 3 2 3 10 2 2" xfId="54482" xr:uid="{EE2F1695-5761-4A87-8615-09E754261063}"/>
    <cellStyle name="Normal 3 2 3 10 3" xfId="45185" xr:uid="{9B71DAD5-5063-4832-98FC-7909869881BB}"/>
    <cellStyle name="Normal 3 2 3 10 4" xfId="26588" xr:uid="{1F0E2A71-F71F-4D30-9952-B6FBA64546DC}"/>
    <cellStyle name="Normal 3 2 3 11" xfId="9820" xr:uid="{BE05C390-7793-44BD-99F0-6A7BA5C3E815}"/>
    <cellStyle name="Normal 3 2 3 11 2" xfId="46162" xr:uid="{20F654F4-0472-46D7-96B3-55F12381D4DB}"/>
    <cellStyle name="Normal 3 2 3 11 3" xfId="27566" xr:uid="{837E6B83-5551-404B-A563-680FE76810C0}"/>
    <cellStyle name="Normal 3 2 3 12" xfId="36865" xr:uid="{CA0BEA3C-617D-4F98-8F27-8E94A50922DB}"/>
    <cellStyle name="Normal 3 2 3 13" xfId="18267" xr:uid="{5D2F4277-89BE-4E9B-90A4-2AFEC06F15FF}"/>
    <cellStyle name="Normal 3 2 3 2" xfId="327" xr:uid="{00000000-0005-0000-0000-00007F110000}"/>
    <cellStyle name="Normal 3 2 3 2 10" xfId="9821" xr:uid="{519013A6-428C-403F-A7EE-C20544EC8E48}"/>
    <cellStyle name="Normal 3 2 3 2 10 2" xfId="46163" xr:uid="{E7E5657A-4039-498D-97F3-612F8E12F626}"/>
    <cellStyle name="Normal 3 2 3 2 10 3" xfId="27567" xr:uid="{DE75FEB7-07E1-4721-BB36-2D90C9448BC7}"/>
    <cellStyle name="Normal 3 2 3 2 11" xfId="36866" xr:uid="{7978D991-38AD-4244-B796-F976F2757002}"/>
    <cellStyle name="Normal 3 2 3 2 12" xfId="18268" xr:uid="{7CAF5CC9-4556-4183-9F8F-DFCADA11A38F}"/>
    <cellStyle name="Normal 3 2 3 2 2" xfId="328" xr:uid="{00000000-0005-0000-0000-000080110000}"/>
    <cellStyle name="Normal 3 2 3 2 2 10" xfId="36867" xr:uid="{413E0489-EC7F-475B-8FB8-0D39ACA9A7D3}"/>
    <cellStyle name="Normal 3 2 3 2 2 11" xfId="18269" xr:uid="{2BC40C00-9C64-40E3-846C-4A65BAAB8E05}"/>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16598" xr:uid="{98975910-3335-49A7-879C-0F28D8151A30}"/>
    <cellStyle name="Normal 3 2 3 2 2 2 2 2 2 2" xfId="52940" xr:uid="{285C64CC-944E-4E13-BBF9-33A4E2CA71EF}"/>
    <cellStyle name="Normal 3 2 3 2 2 2 2 2 2 3" xfId="34344" xr:uid="{F49886E9-D3D3-43C6-8177-4779575BE1CF}"/>
    <cellStyle name="Normal 3 2 3 2 2 2 2 2 3" xfId="43643" xr:uid="{C4C48A52-2EF2-47B8-AAD3-7370E7F9E54D}"/>
    <cellStyle name="Normal 3 2 3 2 2 2 2 2 4" xfId="25045" xr:uid="{B120039F-3DCA-40C1-AAEF-3DCF09E5B496}"/>
    <cellStyle name="Normal 3 2 3 2 2 2 2 3" xfId="12381" xr:uid="{03757074-2BFB-4522-8C61-0E43324743E5}"/>
    <cellStyle name="Normal 3 2 3 2 2 2 2 3 2" xfId="48723" xr:uid="{5A779DFE-55B2-41F2-B12B-89D2A8B73F1C}"/>
    <cellStyle name="Normal 3 2 3 2 2 2 2 3 3" xfId="30127" xr:uid="{39BDE959-3434-4774-8140-B80E7D6D9F31}"/>
    <cellStyle name="Normal 3 2 3 2 2 2 2 4" xfId="39426" xr:uid="{A963C06C-0B5A-457E-8FE6-57F518BE63A4}"/>
    <cellStyle name="Normal 3 2 3 2 2 2 2 5" xfId="20828" xr:uid="{E7A19F1F-5DE7-463B-BD67-4AF3C97D36D5}"/>
    <cellStyle name="Normal 3 2 3 2 2 2 3" xfId="5127" xr:uid="{00000000-0005-0000-0000-000084110000}"/>
    <cellStyle name="Normal 3 2 3 2 2 2 3 2" xfId="14453" xr:uid="{0949BFD5-8B8C-4F87-B6B2-7870313D831C}"/>
    <cellStyle name="Normal 3 2 3 2 2 2 3 2 2" xfId="50795" xr:uid="{95D4F3DA-6CB5-4BF6-AA9F-7186BF7314E4}"/>
    <cellStyle name="Normal 3 2 3 2 2 2 3 2 3" xfId="32199" xr:uid="{FC5B2B0B-325B-41C4-BEBA-0DF4BCEA5409}"/>
    <cellStyle name="Normal 3 2 3 2 2 2 3 3" xfId="41498" xr:uid="{EA01F407-3893-45AC-A3D0-74470A19713B}"/>
    <cellStyle name="Normal 3 2 3 2 2 2 3 4" xfId="22900" xr:uid="{D449D48A-CCB0-427F-9DB1-7DC16B886BA0}"/>
    <cellStyle name="Normal 3 2 3 2 2 2 4" xfId="9552" xr:uid="{54198C1B-8B77-4C07-BFED-28C4D4E00A0C}"/>
    <cellStyle name="Normal 3 2 3 2 2 2 4 2" xfId="36613" xr:uid="{8F9677DE-2047-4ECA-8193-773EA1285E3F}"/>
    <cellStyle name="Normal 3 2 3 2 2 2 4 2 2" xfId="55207" xr:uid="{F1A23F43-7663-4054-B579-289FA7BCFB6D}"/>
    <cellStyle name="Normal 3 2 3 2 2 2 4 3" xfId="45910" xr:uid="{D8EC4447-3087-4EE8-8DC9-21257F9F11B1}"/>
    <cellStyle name="Normal 3 2 3 2 2 2 4 4" xfId="27314" xr:uid="{8A1FB334-7256-43A0-B168-D4CC3CCD57B2}"/>
    <cellStyle name="Normal 3 2 3 2 2 2 5" xfId="10236" xr:uid="{BAE978A5-4B01-48A0-A804-71CBC32925EB}"/>
    <cellStyle name="Normal 3 2 3 2 2 2 5 2" xfId="46578" xr:uid="{46A972C6-EF42-44A6-9213-1A133C657662}"/>
    <cellStyle name="Normal 3 2 3 2 2 2 5 3" xfId="27982" xr:uid="{B40A4931-0910-45D2-BA98-E01D3E5B84EF}"/>
    <cellStyle name="Normal 3 2 3 2 2 2 6" xfId="37281" xr:uid="{A2F8BD3F-680A-428B-AF9E-89329E5E2548}"/>
    <cellStyle name="Normal 3 2 3 2 2 2 7" xfId="18683" xr:uid="{2554196E-C735-476B-94D0-A932F38EB7BF}"/>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17011" xr:uid="{5F631F9E-CB25-4D1A-87EA-A1DCE844567C}"/>
    <cellStyle name="Normal 3 2 3 2 2 3 2 2 2 2" xfId="53353" xr:uid="{FDB0E8CE-353F-44D4-9F4B-2DD075D950A7}"/>
    <cellStyle name="Normal 3 2 3 2 2 3 2 2 2 3" xfId="34757" xr:uid="{01932ACC-7148-46FC-8382-61C46670E421}"/>
    <cellStyle name="Normal 3 2 3 2 2 3 2 2 3" xfId="44056" xr:uid="{2A8760C9-54A5-4BAD-951A-F668222939E7}"/>
    <cellStyle name="Normal 3 2 3 2 2 3 2 2 4" xfId="25458" xr:uid="{5C5B542F-4603-4EFC-937C-BBCB815D285D}"/>
    <cellStyle name="Normal 3 2 3 2 2 3 2 3" xfId="12794" xr:uid="{4A04EB73-D8D9-4A7E-AF9A-C3ED4A45ECC9}"/>
    <cellStyle name="Normal 3 2 3 2 2 3 2 3 2" xfId="49136" xr:uid="{E4067B3C-F454-4935-B458-356181A4F03F}"/>
    <cellStyle name="Normal 3 2 3 2 2 3 2 3 3" xfId="30540" xr:uid="{27694E25-271A-4526-8872-40F476BCD153}"/>
    <cellStyle name="Normal 3 2 3 2 2 3 2 4" xfId="39839" xr:uid="{BC9E8928-D794-4A45-9B1F-0EFB2A8B10A9}"/>
    <cellStyle name="Normal 3 2 3 2 2 3 2 5" xfId="21241" xr:uid="{99C4E766-E69D-4592-8BE2-B2E2C53B37DC}"/>
    <cellStyle name="Normal 3 2 3 2 2 3 3" xfId="5540" xr:uid="{00000000-0005-0000-0000-000088110000}"/>
    <cellStyle name="Normal 3 2 3 2 2 3 3 2" xfId="14866" xr:uid="{F366D7E1-5262-4276-A7B0-993492769690}"/>
    <cellStyle name="Normal 3 2 3 2 2 3 3 2 2" xfId="51208" xr:uid="{B75B9118-D146-4466-AF81-6B5F228C01D8}"/>
    <cellStyle name="Normal 3 2 3 2 2 3 3 2 3" xfId="32612" xr:uid="{3211638B-1E71-40FB-BCA0-6F60D2DE1068}"/>
    <cellStyle name="Normal 3 2 3 2 2 3 3 3" xfId="41911" xr:uid="{545A544D-6F25-42E9-96EB-29D4C9101D40}"/>
    <cellStyle name="Normal 3 2 3 2 2 3 3 4" xfId="23313" xr:uid="{B9B9C298-8F7D-4960-AE26-86921E4D8C45}"/>
    <cellStyle name="Normal 3 2 3 2 2 3 4" xfId="10649" xr:uid="{D2DA712F-64A2-4C8E-8480-92F0BD2ABCCE}"/>
    <cellStyle name="Normal 3 2 3 2 2 3 4 2" xfId="46991" xr:uid="{1A213275-EA6F-4E92-B892-C80BA4523C06}"/>
    <cellStyle name="Normal 3 2 3 2 2 3 4 3" xfId="28395" xr:uid="{88E4C6FF-2F7A-479A-B937-5D469EFCD1C7}"/>
    <cellStyle name="Normal 3 2 3 2 2 3 5" xfId="37694" xr:uid="{57CBC8CC-7AAE-4530-A8B8-7C445FDC2FB2}"/>
    <cellStyle name="Normal 3 2 3 2 2 3 6" xfId="19096" xr:uid="{4F21680C-00AC-42C3-863D-7B3C8196EE1D}"/>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17424" xr:uid="{3269CC85-9EF1-4F9C-ABB3-68BAB96F31FB}"/>
    <cellStyle name="Normal 3 2 3 2 2 4 2 2 2 2" xfId="53766" xr:uid="{17B94EF9-9458-47A9-86A6-A5A7F034E79C}"/>
    <cellStyle name="Normal 3 2 3 2 2 4 2 2 2 3" xfId="35170" xr:uid="{E307718D-9CD5-4C41-9284-FD063D07B715}"/>
    <cellStyle name="Normal 3 2 3 2 2 4 2 2 3" xfId="44469" xr:uid="{3FC3D20F-AE76-4068-93BD-A5992F7F58B9}"/>
    <cellStyle name="Normal 3 2 3 2 2 4 2 2 4" xfId="25871" xr:uid="{45F9707C-42DD-4464-BB58-49AD3FEA8F47}"/>
    <cellStyle name="Normal 3 2 3 2 2 4 2 3" xfId="13207" xr:uid="{B54359F2-F5BE-47F1-AA8B-5A8ACBAAA98E}"/>
    <cellStyle name="Normal 3 2 3 2 2 4 2 3 2" xfId="49549" xr:uid="{B9EB74CF-3C4B-49C7-93AE-D2EB95EC18BB}"/>
    <cellStyle name="Normal 3 2 3 2 2 4 2 3 3" xfId="30953" xr:uid="{ADA06BAF-BBAD-4D63-8910-8A8FADD07E9A}"/>
    <cellStyle name="Normal 3 2 3 2 2 4 2 4" xfId="40252" xr:uid="{B8A1188A-A65A-4927-87D8-6D677F842CA2}"/>
    <cellStyle name="Normal 3 2 3 2 2 4 2 5" xfId="21654" xr:uid="{59BCD1F3-3D17-4ED6-9EB3-481F13198085}"/>
    <cellStyle name="Normal 3 2 3 2 2 4 3" xfId="5953" xr:uid="{00000000-0005-0000-0000-00008C110000}"/>
    <cellStyle name="Normal 3 2 3 2 2 4 3 2" xfId="15279" xr:uid="{3D34008A-4894-498D-8FB6-D2424FD5DD7A}"/>
    <cellStyle name="Normal 3 2 3 2 2 4 3 2 2" xfId="51621" xr:uid="{5B64B143-945A-44A1-BDEE-2F7307176248}"/>
    <cellStyle name="Normal 3 2 3 2 2 4 3 2 3" xfId="33025" xr:uid="{261707D7-F6D3-407D-ABDC-FF03541F9197}"/>
    <cellStyle name="Normal 3 2 3 2 2 4 3 3" xfId="42324" xr:uid="{964FA513-880C-4EEB-B41F-D1BDEBD22B33}"/>
    <cellStyle name="Normal 3 2 3 2 2 4 3 4" xfId="23726" xr:uid="{FF61E5D9-6CA6-4CAD-94C9-EF9848791313}"/>
    <cellStyle name="Normal 3 2 3 2 2 4 4" xfId="11062" xr:uid="{466C7D9A-B221-46EC-92DF-9E42F9ADA762}"/>
    <cellStyle name="Normal 3 2 3 2 2 4 4 2" xfId="47404" xr:uid="{92AE77FD-5D64-494F-81F2-EEF54B568224}"/>
    <cellStyle name="Normal 3 2 3 2 2 4 4 3" xfId="28808" xr:uid="{CDC21E62-9F72-4600-BCA3-C814FE144D7F}"/>
    <cellStyle name="Normal 3 2 3 2 2 4 5" xfId="38107" xr:uid="{337AE603-305A-47A6-BDAA-67EFBE46027F}"/>
    <cellStyle name="Normal 3 2 3 2 2 4 6" xfId="19509" xr:uid="{99B3F769-23FC-4C61-A132-6C21D81A9D16}"/>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17837" xr:uid="{1BF40EF7-DC3E-4FE7-A1BC-AEE1DA7E09F8}"/>
    <cellStyle name="Normal 3 2 3 2 2 5 2 2 2 2" xfId="54179" xr:uid="{059B4062-C7D8-42BD-8627-304E0A72FFD6}"/>
    <cellStyle name="Normal 3 2 3 2 2 5 2 2 2 3" xfId="35583" xr:uid="{9762AA01-F87D-4B68-9F88-B6A0B1A62227}"/>
    <cellStyle name="Normal 3 2 3 2 2 5 2 2 3" xfId="44882" xr:uid="{0FC1EFEE-5A64-4367-A1D9-1885E6A6D50C}"/>
    <cellStyle name="Normal 3 2 3 2 2 5 2 2 4" xfId="26284" xr:uid="{4098FE00-99EC-4CB8-B6CF-9832C6506E3B}"/>
    <cellStyle name="Normal 3 2 3 2 2 5 2 3" xfId="13620" xr:uid="{3BB6231F-0C87-488C-85EE-EBD0C8038FCB}"/>
    <cellStyle name="Normal 3 2 3 2 2 5 2 3 2" xfId="49962" xr:uid="{97D3107C-CF62-4408-A863-A3779D037E2C}"/>
    <cellStyle name="Normal 3 2 3 2 2 5 2 3 3" xfId="31366" xr:uid="{A9A376FF-9FCB-48EE-BAA7-16AEAD23FD25}"/>
    <cellStyle name="Normal 3 2 3 2 2 5 2 4" xfId="40665" xr:uid="{A2AF1D1B-085B-4A64-BD08-EB365C2B3D6D}"/>
    <cellStyle name="Normal 3 2 3 2 2 5 2 5" xfId="22067" xr:uid="{635E40E9-EDD0-4E00-A74B-5092BB5E26B2}"/>
    <cellStyle name="Normal 3 2 3 2 2 5 3" xfId="6366" xr:uid="{00000000-0005-0000-0000-000090110000}"/>
    <cellStyle name="Normal 3 2 3 2 2 5 3 2" xfId="15692" xr:uid="{2ED6BB1C-CD2A-4F56-B797-A6D4984FC807}"/>
    <cellStyle name="Normal 3 2 3 2 2 5 3 2 2" xfId="52034" xr:uid="{766FC76B-5629-4048-93B1-232760B2C385}"/>
    <cellStyle name="Normal 3 2 3 2 2 5 3 2 3" xfId="33438" xr:uid="{11C4F2B8-A28E-40BD-9D3B-9FD71257DD7C}"/>
    <cellStyle name="Normal 3 2 3 2 2 5 3 3" xfId="42737" xr:uid="{3B7EA1EA-3028-453E-A9C9-D76C9431B34A}"/>
    <cellStyle name="Normal 3 2 3 2 2 5 3 4" xfId="24139" xr:uid="{46FDBA4F-94A6-445A-9C25-DC992E62261C}"/>
    <cellStyle name="Normal 3 2 3 2 2 5 4" xfId="11475" xr:uid="{29D74BA0-DBB3-49DC-B1F4-B730C8A0EA10}"/>
    <cellStyle name="Normal 3 2 3 2 2 5 4 2" xfId="47817" xr:uid="{43B9D425-652C-480E-A6BF-40A9E6036262}"/>
    <cellStyle name="Normal 3 2 3 2 2 5 4 3" xfId="29221" xr:uid="{6544FAF5-8942-46FB-85A0-8CB37F7E3B77}"/>
    <cellStyle name="Normal 3 2 3 2 2 5 5" xfId="38520" xr:uid="{80938B6F-F139-4F68-8DE5-A0514E1177D3}"/>
    <cellStyle name="Normal 3 2 3 2 2 5 6" xfId="19922" xr:uid="{01222BC2-266A-4195-BC2C-9E7CE2EDD9F2}"/>
    <cellStyle name="Normal 3 2 3 2 2 6" xfId="2496" xr:uid="{00000000-0005-0000-0000-000091110000}"/>
    <cellStyle name="Normal 3 2 3 2 2 6 2" xfId="6779" xr:uid="{00000000-0005-0000-0000-000092110000}"/>
    <cellStyle name="Normal 3 2 3 2 2 6 2 2" xfId="16105" xr:uid="{3D7C28FD-1AA8-4025-9B7E-E3CCF4C71B74}"/>
    <cellStyle name="Normal 3 2 3 2 2 6 2 2 2" xfId="52447" xr:uid="{949BA8D1-2FA3-4846-A1D3-6CA83828D22A}"/>
    <cellStyle name="Normal 3 2 3 2 2 6 2 2 3" xfId="33851" xr:uid="{EEE77568-4002-4437-B6F3-F9B52D7EE55C}"/>
    <cellStyle name="Normal 3 2 3 2 2 6 2 3" xfId="43150" xr:uid="{1CD0CEFF-C003-48B5-B7A8-A582E0332437}"/>
    <cellStyle name="Normal 3 2 3 2 2 6 2 4" xfId="24552" xr:uid="{8B4A72CC-7A8F-4068-9A00-74AFF9C97C8C}"/>
    <cellStyle name="Normal 3 2 3 2 2 6 3" xfId="11888" xr:uid="{6B0E9CA3-0442-4291-BA1C-7A180FCA8857}"/>
    <cellStyle name="Normal 3 2 3 2 2 6 3 2" xfId="48230" xr:uid="{1ACE3A8B-A071-49DD-9C94-3D32D5D15F09}"/>
    <cellStyle name="Normal 3 2 3 2 2 6 3 3" xfId="29634" xr:uid="{6C162B28-9DDD-453B-B948-D4F3EE8A25E5}"/>
    <cellStyle name="Normal 3 2 3 2 2 6 4" xfId="38933" xr:uid="{39E35848-B291-4002-B5E8-86BCD713F86C}"/>
    <cellStyle name="Normal 3 2 3 2 2 6 5" xfId="20335" xr:uid="{46BB406B-DAED-4593-9B8B-212775ABE52F}"/>
    <cellStyle name="Normal 3 2 3 2 2 7" xfId="4713" xr:uid="{00000000-0005-0000-0000-000093110000}"/>
    <cellStyle name="Normal 3 2 3 2 2 7 2" xfId="14039" xr:uid="{976B635B-D16C-4B94-8EA6-A0456398ABA4}"/>
    <cellStyle name="Normal 3 2 3 2 2 7 2 2" xfId="50381" xr:uid="{98FD2363-B6D1-4C4D-9A75-1D309AFB2838}"/>
    <cellStyle name="Normal 3 2 3 2 2 7 2 3" xfId="31785" xr:uid="{F18C0E8C-A038-4199-9A39-D1C061A9DB64}"/>
    <cellStyle name="Normal 3 2 3 2 2 7 3" xfId="41084" xr:uid="{D6BB850D-9ACD-45D7-9F16-42CB08EA4393}"/>
    <cellStyle name="Normal 3 2 3 2 2 7 4" xfId="22486" xr:uid="{3ECA37D6-DC8B-4773-80D4-DA293E2AD2CE}"/>
    <cellStyle name="Normal 3 2 3 2 2 8" xfId="9127" xr:uid="{0583B12A-AAD6-4358-9C0C-42D6EBC3DFD8}"/>
    <cellStyle name="Normal 3 2 3 2 2 8 2" xfId="36197" xr:uid="{4956D2BA-FE9A-4603-8FCE-89EA5707175A}"/>
    <cellStyle name="Normal 3 2 3 2 2 8 2 2" xfId="54792" xr:uid="{991E5B51-8FC8-46FA-ACE6-4B881606DE0E}"/>
    <cellStyle name="Normal 3 2 3 2 2 8 3" xfId="45495" xr:uid="{46DDE03D-AC3E-4F69-8C92-8663E19FCD25}"/>
    <cellStyle name="Normal 3 2 3 2 2 8 4" xfId="26898" xr:uid="{DD758921-A554-4AB3-B6A2-3DE2A057809D}"/>
    <cellStyle name="Normal 3 2 3 2 2 9" xfId="9822" xr:uid="{079FE92F-9A82-473F-BADC-84197F3EC2CF}"/>
    <cellStyle name="Normal 3 2 3 2 2 9 2" xfId="46164" xr:uid="{161E4A5D-333B-4B04-AF8B-6AED8D8117D8}"/>
    <cellStyle name="Normal 3 2 3 2 2 9 3" xfId="27568" xr:uid="{E6EB9C15-8605-4EAE-9B86-5169D96313A7}"/>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16597" xr:uid="{CD09AC47-9244-4782-97AE-0148E1B27FA9}"/>
    <cellStyle name="Normal 3 2 3 2 3 2 2 2 2" xfId="52939" xr:uid="{454FD18A-777B-4230-A7C3-B8A60805E0EC}"/>
    <cellStyle name="Normal 3 2 3 2 3 2 2 2 3" xfId="34343" xr:uid="{4A4DC24E-7858-42D8-A842-C54E88243730}"/>
    <cellStyle name="Normal 3 2 3 2 3 2 2 3" xfId="43642" xr:uid="{3FB09B6B-055F-4FC3-835E-680E9AA90AB6}"/>
    <cellStyle name="Normal 3 2 3 2 3 2 2 4" xfId="25044" xr:uid="{EBB0F60C-4DE6-4B54-9AD4-0BFFF0E5CD17}"/>
    <cellStyle name="Normal 3 2 3 2 3 2 3" xfId="12380" xr:uid="{82B3ACE2-C069-483A-9F58-2B747DB5B7EA}"/>
    <cellStyle name="Normal 3 2 3 2 3 2 3 2" xfId="48722" xr:uid="{BC8286EA-FDAF-4179-9638-0D66285A9E91}"/>
    <cellStyle name="Normal 3 2 3 2 3 2 3 3" xfId="30126" xr:uid="{11310E16-4387-48DE-83F6-458C6359FA95}"/>
    <cellStyle name="Normal 3 2 3 2 3 2 4" xfId="39425" xr:uid="{1D003A09-C2E7-4329-9ABE-8F09DBAE0FA6}"/>
    <cellStyle name="Normal 3 2 3 2 3 2 5" xfId="20827" xr:uid="{5D813B91-48FA-4E88-8D97-1FEF46F1758B}"/>
    <cellStyle name="Normal 3 2 3 2 3 3" xfId="5126" xr:uid="{00000000-0005-0000-0000-000097110000}"/>
    <cellStyle name="Normal 3 2 3 2 3 3 2" xfId="14452" xr:uid="{6E6FC939-A947-4A5B-A18D-CA617C6B3766}"/>
    <cellStyle name="Normal 3 2 3 2 3 3 2 2" xfId="50794" xr:uid="{C21DF95E-A9EC-49F9-B1D9-A2A82CF248DD}"/>
    <cellStyle name="Normal 3 2 3 2 3 3 2 3" xfId="32198" xr:uid="{FE8542C8-E792-4E33-902A-98B78A5A660A}"/>
    <cellStyle name="Normal 3 2 3 2 3 3 3" xfId="41497" xr:uid="{39422ED1-9973-4368-995E-15A46A902F43}"/>
    <cellStyle name="Normal 3 2 3 2 3 3 4" xfId="22899" xr:uid="{5E942FFD-1DF4-4129-BCAE-9C5BE5628F5B}"/>
    <cellStyle name="Normal 3 2 3 2 3 4" xfId="9345" xr:uid="{C34A3811-3C7F-4E99-A17A-CCF74A426C86}"/>
    <cellStyle name="Normal 3 2 3 2 3 4 2" xfId="36406" xr:uid="{340D5661-99BC-4DC5-98B3-74C27F38FB07}"/>
    <cellStyle name="Normal 3 2 3 2 3 4 2 2" xfId="55000" xr:uid="{EFE655EB-6928-4550-BF03-F95E88537DB4}"/>
    <cellStyle name="Normal 3 2 3 2 3 4 3" xfId="45703" xr:uid="{FAD755C7-9DE7-4DC0-A009-A257158913AB}"/>
    <cellStyle name="Normal 3 2 3 2 3 4 4" xfId="27107" xr:uid="{465D19FC-3885-4D27-B6A1-B26E9CC11B67}"/>
    <cellStyle name="Normal 3 2 3 2 3 5" xfId="10235" xr:uid="{C9E5359D-5F75-47CE-9F2E-02F234B0BA89}"/>
    <cellStyle name="Normal 3 2 3 2 3 5 2" xfId="46577" xr:uid="{8CEEBBEC-FF9C-4634-A48F-8E9A1F5108D4}"/>
    <cellStyle name="Normal 3 2 3 2 3 5 3" xfId="27981" xr:uid="{B7855F81-086B-4844-AB54-5BFD87D55896}"/>
    <cellStyle name="Normal 3 2 3 2 3 6" xfId="37280" xr:uid="{E9BCC17F-1EEF-42EB-AA72-8358D2B8FF64}"/>
    <cellStyle name="Normal 3 2 3 2 3 7" xfId="18682" xr:uid="{5EC030F3-F588-4F05-9E67-2FF0BE4056FD}"/>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17010" xr:uid="{69CFF3E4-E44E-478F-9CEB-403E4DD75007}"/>
    <cellStyle name="Normal 3 2 3 2 4 2 2 2 2" xfId="53352" xr:uid="{28749F61-F143-4D18-9058-E92D60FC9D46}"/>
    <cellStyle name="Normal 3 2 3 2 4 2 2 2 3" xfId="34756" xr:uid="{A638893F-5D8F-44AC-B00E-28C8CE4E9783}"/>
    <cellStyle name="Normal 3 2 3 2 4 2 2 3" xfId="44055" xr:uid="{A62E5D2C-97E9-48D4-85E4-D40D9E8BEC45}"/>
    <cellStyle name="Normal 3 2 3 2 4 2 2 4" xfId="25457" xr:uid="{E934B61A-FFC7-4D15-BB7A-B0C46F16F5AF}"/>
    <cellStyle name="Normal 3 2 3 2 4 2 3" xfId="12793" xr:uid="{EDDCEC26-32DD-4CC0-898D-467249B8D552}"/>
    <cellStyle name="Normal 3 2 3 2 4 2 3 2" xfId="49135" xr:uid="{2C1D6668-6776-46A9-9716-B0A0C2874F6A}"/>
    <cellStyle name="Normal 3 2 3 2 4 2 3 3" xfId="30539" xr:uid="{6E81C729-BCEB-4D54-86BD-9B6068C9D404}"/>
    <cellStyle name="Normal 3 2 3 2 4 2 4" xfId="39838" xr:uid="{6E305D38-EBFE-4048-BBEB-A161B169ECF7}"/>
    <cellStyle name="Normal 3 2 3 2 4 2 5" xfId="21240" xr:uid="{1E43D937-C50A-4F54-B188-CAC18C52F617}"/>
    <cellStyle name="Normal 3 2 3 2 4 3" xfId="5539" xr:uid="{00000000-0005-0000-0000-00009B110000}"/>
    <cellStyle name="Normal 3 2 3 2 4 3 2" xfId="14865" xr:uid="{D4655AB4-2343-4941-B474-F9AD6D574F13}"/>
    <cellStyle name="Normal 3 2 3 2 4 3 2 2" xfId="51207" xr:uid="{0766940F-605A-4DB4-B34C-DF38C684FE2E}"/>
    <cellStyle name="Normal 3 2 3 2 4 3 2 3" xfId="32611" xr:uid="{197A7670-FF62-4C6E-9C2F-00303DD89FF0}"/>
    <cellStyle name="Normal 3 2 3 2 4 3 3" xfId="41910" xr:uid="{21986A36-4509-47F1-9D30-D403B5020791}"/>
    <cellStyle name="Normal 3 2 3 2 4 3 4" xfId="23312" xr:uid="{5E69EE30-619B-4B83-9090-825FB5D8A4E6}"/>
    <cellStyle name="Normal 3 2 3 2 4 4" xfId="10648" xr:uid="{1CFDFDE4-53B8-4138-91CB-9705E88222F7}"/>
    <cellStyle name="Normal 3 2 3 2 4 4 2" xfId="46990" xr:uid="{A6604D45-354B-42B0-9D7A-9FD52F30FBD8}"/>
    <cellStyle name="Normal 3 2 3 2 4 4 3" xfId="28394" xr:uid="{D01F07EA-9F4C-490B-97B3-39920501CF90}"/>
    <cellStyle name="Normal 3 2 3 2 4 5" xfId="37693" xr:uid="{EF0EA49A-F8B8-4410-BC9C-E30EDD47F1EF}"/>
    <cellStyle name="Normal 3 2 3 2 4 6" xfId="19095" xr:uid="{17BED0E6-94EB-4CF0-8C44-853F95E88AD9}"/>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17423" xr:uid="{69BAFC04-02F9-43D0-8A87-E65D3D02A33D}"/>
    <cellStyle name="Normal 3 2 3 2 5 2 2 2 2" xfId="53765" xr:uid="{00986DBC-DFBF-4F81-85C9-FBA9494C61BC}"/>
    <cellStyle name="Normal 3 2 3 2 5 2 2 2 3" xfId="35169" xr:uid="{29BA999C-FB1D-488D-AD00-C204BF5D08D6}"/>
    <cellStyle name="Normal 3 2 3 2 5 2 2 3" xfId="44468" xr:uid="{A92B986E-5938-45EA-8E30-58860726AB0E}"/>
    <cellStyle name="Normal 3 2 3 2 5 2 2 4" xfId="25870" xr:uid="{2E4C0E3B-C491-4F55-A55D-F8ECEEDB7ED1}"/>
    <cellStyle name="Normal 3 2 3 2 5 2 3" xfId="13206" xr:uid="{0231EDE6-A2BF-47FF-AE14-03FBC8B99772}"/>
    <cellStyle name="Normal 3 2 3 2 5 2 3 2" xfId="49548" xr:uid="{9E853A15-257D-4BD5-B1D0-59F6D2F769EC}"/>
    <cellStyle name="Normal 3 2 3 2 5 2 3 3" xfId="30952" xr:uid="{8327B341-DB32-4760-8D0A-0D7A13D70A0C}"/>
    <cellStyle name="Normal 3 2 3 2 5 2 4" xfId="40251" xr:uid="{34700074-25F6-4C83-B98E-3BA706721CD1}"/>
    <cellStyle name="Normal 3 2 3 2 5 2 5" xfId="21653" xr:uid="{64E3D8D6-D9D7-408C-99E3-9729B09CBCC4}"/>
    <cellStyle name="Normal 3 2 3 2 5 3" xfId="5952" xr:uid="{00000000-0005-0000-0000-00009F110000}"/>
    <cellStyle name="Normal 3 2 3 2 5 3 2" xfId="15278" xr:uid="{41F8CEE7-9112-4B08-A26D-E4CE741A8D19}"/>
    <cellStyle name="Normal 3 2 3 2 5 3 2 2" xfId="51620" xr:uid="{EA2B959C-C002-45AD-AA20-ED271321A9ED}"/>
    <cellStyle name="Normal 3 2 3 2 5 3 2 3" xfId="33024" xr:uid="{53EBF4DE-21A0-4EB9-A23D-06E9208F63BE}"/>
    <cellStyle name="Normal 3 2 3 2 5 3 3" xfId="42323" xr:uid="{3965EA8F-8672-418B-B66D-34389804114F}"/>
    <cellStyle name="Normal 3 2 3 2 5 3 4" xfId="23725" xr:uid="{875823E2-5BC1-4DB2-84D4-E77CB40F760D}"/>
    <cellStyle name="Normal 3 2 3 2 5 4" xfId="11061" xr:uid="{6695C0BB-B146-4478-ABD9-6222B2E617AE}"/>
    <cellStyle name="Normal 3 2 3 2 5 4 2" xfId="47403" xr:uid="{677B8293-1956-4D4A-B6CB-06EFB1F3DF7C}"/>
    <cellStyle name="Normal 3 2 3 2 5 4 3" xfId="28807" xr:uid="{023BDF1E-8A21-4C65-B4BE-AB13E0A46694}"/>
    <cellStyle name="Normal 3 2 3 2 5 5" xfId="38106" xr:uid="{F9DA9299-619A-4DA5-9EB3-8C5D545D5944}"/>
    <cellStyle name="Normal 3 2 3 2 5 6" xfId="19508" xr:uid="{0939B01A-BA84-4084-B79C-9EF97DBA66E7}"/>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17836" xr:uid="{300F32DC-1342-4EB4-BD50-F4220A6CD44A}"/>
    <cellStyle name="Normal 3 2 3 2 6 2 2 2 2" xfId="54178" xr:uid="{6C7D66FA-E90B-414C-931A-E024CA506116}"/>
    <cellStyle name="Normal 3 2 3 2 6 2 2 2 3" xfId="35582" xr:uid="{7022C806-5EBE-4873-890D-801AE75216A4}"/>
    <cellStyle name="Normal 3 2 3 2 6 2 2 3" xfId="44881" xr:uid="{80BB403A-29BE-4F5E-9730-912D8E8A1681}"/>
    <cellStyle name="Normal 3 2 3 2 6 2 2 4" xfId="26283" xr:uid="{9E5D72AB-3B3E-4652-9960-E4C70F7FBE0D}"/>
    <cellStyle name="Normal 3 2 3 2 6 2 3" xfId="13619" xr:uid="{13DC064B-1AC5-450C-8B61-EBE89E607D98}"/>
    <cellStyle name="Normal 3 2 3 2 6 2 3 2" xfId="49961" xr:uid="{88D72BCB-C19B-49CC-8F16-1C9DE8B0E782}"/>
    <cellStyle name="Normal 3 2 3 2 6 2 3 3" xfId="31365" xr:uid="{7D81619C-A358-49A4-B97A-83972C57BBC4}"/>
    <cellStyle name="Normal 3 2 3 2 6 2 4" xfId="40664" xr:uid="{E43BF0F8-B450-4281-B25D-EFDC8FD62EAE}"/>
    <cellStyle name="Normal 3 2 3 2 6 2 5" xfId="22066" xr:uid="{7ECCC27F-B43D-4B5D-9785-6271EC7EB7BF}"/>
    <cellStyle name="Normal 3 2 3 2 6 3" xfId="6365" xr:uid="{00000000-0005-0000-0000-0000A3110000}"/>
    <cellStyle name="Normal 3 2 3 2 6 3 2" xfId="15691" xr:uid="{471A37DC-DD05-4FE6-A28A-1741E37596C3}"/>
    <cellStyle name="Normal 3 2 3 2 6 3 2 2" xfId="52033" xr:uid="{1E4BB120-5F39-48CA-A517-D2FBB31D57E9}"/>
    <cellStyle name="Normal 3 2 3 2 6 3 2 3" xfId="33437" xr:uid="{A95D9004-D3B9-4C5F-B5C1-D86B0B1D8FD5}"/>
    <cellStyle name="Normal 3 2 3 2 6 3 3" xfId="42736" xr:uid="{F09FB2A6-B128-4E02-ABEF-34539E7D904C}"/>
    <cellStyle name="Normal 3 2 3 2 6 3 4" xfId="24138" xr:uid="{857E1DE5-D83F-49DE-9615-34CD58D88D9B}"/>
    <cellStyle name="Normal 3 2 3 2 6 4" xfId="11474" xr:uid="{15DB1416-235D-427C-97F4-E4645489E6C3}"/>
    <cellStyle name="Normal 3 2 3 2 6 4 2" xfId="47816" xr:uid="{B2B66D86-ABC9-4475-8F17-02AFBE1BF94D}"/>
    <cellStyle name="Normal 3 2 3 2 6 4 3" xfId="29220" xr:uid="{113F94B0-116C-4199-A5F8-13924F2A9C90}"/>
    <cellStyle name="Normal 3 2 3 2 6 5" xfId="38519" xr:uid="{AD8C375D-ACBC-4E5A-B13F-A7FFB905F0BE}"/>
    <cellStyle name="Normal 3 2 3 2 6 6" xfId="19921" xr:uid="{8717FEE1-A3CD-46AF-BE66-37A916DCDFC7}"/>
    <cellStyle name="Normal 3 2 3 2 7" xfId="2495" xr:uid="{00000000-0005-0000-0000-0000A4110000}"/>
    <cellStyle name="Normal 3 2 3 2 7 2" xfId="6778" xr:uid="{00000000-0005-0000-0000-0000A5110000}"/>
    <cellStyle name="Normal 3 2 3 2 7 2 2" xfId="16104" xr:uid="{8F800D23-5509-449C-9BB5-B6D9AB162887}"/>
    <cellStyle name="Normal 3 2 3 2 7 2 2 2" xfId="52446" xr:uid="{98BE7776-BEBA-4066-A802-F46F9AB12D9D}"/>
    <cellStyle name="Normal 3 2 3 2 7 2 2 3" xfId="33850" xr:uid="{895A430B-E5C9-4458-B6EE-B62B07D9CEA3}"/>
    <cellStyle name="Normal 3 2 3 2 7 2 3" xfId="43149" xr:uid="{4E5D3344-B654-44D7-8B66-5614914BADF6}"/>
    <cellStyle name="Normal 3 2 3 2 7 2 4" xfId="24551" xr:uid="{AB7BCF76-65CD-4787-ACF2-2BF4CA5E99CF}"/>
    <cellStyle name="Normal 3 2 3 2 7 3" xfId="11887" xr:uid="{1A6307BC-FE08-4420-AF10-4D46402014E4}"/>
    <cellStyle name="Normal 3 2 3 2 7 3 2" xfId="48229" xr:uid="{AE3AE6D0-5C82-421B-9F41-AB4384976D29}"/>
    <cellStyle name="Normal 3 2 3 2 7 3 3" xfId="29633" xr:uid="{0A15273C-0964-4DF9-9CB7-663120B7BB81}"/>
    <cellStyle name="Normal 3 2 3 2 7 4" xfId="38932" xr:uid="{2C8B5C33-0F1C-4957-9954-9397639F2BDA}"/>
    <cellStyle name="Normal 3 2 3 2 7 5" xfId="20334" xr:uid="{E688785E-0C52-4412-979B-C16309DF4B60}"/>
    <cellStyle name="Normal 3 2 3 2 8" xfId="4712" xr:uid="{00000000-0005-0000-0000-0000A6110000}"/>
    <cellStyle name="Normal 3 2 3 2 8 2" xfId="14038" xr:uid="{4B6A2264-1B02-44AE-ACD6-D370B7045C3F}"/>
    <cellStyle name="Normal 3 2 3 2 8 2 2" xfId="50380" xr:uid="{63CA5216-9BD3-4FF4-865B-FC5CEB99EC6F}"/>
    <cellStyle name="Normal 3 2 3 2 8 2 3" xfId="31784" xr:uid="{A8AD63ED-4D85-49E4-BD5B-32711481CD3F}"/>
    <cellStyle name="Normal 3 2 3 2 8 3" xfId="41083" xr:uid="{2143CF49-298C-425D-8DF5-F91235DF7534}"/>
    <cellStyle name="Normal 3 2 3 2 8 4" xfId="22485" xr:uid="{0BB98365-D5AA-47F0-A319-B1C3B7E6D200}"/>
    <cellStyle name="Normal 3 2 3 2 9" xfId="8920" xr:uid="{D9E0825A-068A-435C-BDBE-2C0571A11FAF}"/>
    <cellStyle name="Normal 3 2 3 2 9 2" xfId="35990" xr:uid="{FC2EF62A-457D-435C-BA60-45DAEBAFA6C0}"/>
    <cellStyle name="Normal 3 2 3 2 9 2 2" xfId="54585" xr:uid="{AE1A921F-C93B-41A4-B43C-A1AA2194B89D}"/>
    <cellStyle name="Normal 3 2 3 2 9 3" xfId="45288" xr:uid="{1F33DE04-299A-465D-BB23-408E5FB2F923}"/>
    <cellStyle name="Normal 3 2 3 2 9 4" xfId="26691" xr:uid="{272187AF-06DE-41FC-AB41-0E6171E949F8}"/>
    <cellStyle name="Normal 3 2 3 3" xfId="329" xr:uid="{00000000-0005-0000-0000-0000A7110000}"/>
    <cellStyle name="Normal 3 2 3 3 10" xfId="36868" xr:uid="{E822E872-A6DB-4DAC-9823-4F692446E736}"/>
    <cellStyle name="Normal 3 2 3 3 11" xfId="18270" xr:uid="{CE097E9C-3196-430E-A07A-E9DF853F83A2}"/>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16599" xr:uid="{DDE1968C-E4F9-45A0-ABD1-E6490E0B3338}"/>
    <cellStyle name="Normal 3 2 3 3 2 2 2 2 2" xfId="52941" xr:uid="{9783EE5E-0011-4EF2-8276-15B41540C167}"/>
    <cellStyle name="Normal 3 2 3 3 2 2 2 2 3" xfId="34345" xr:uid="{8E2F68D2-73C3-467C-BC8E-B34AB14BA7FC}"/>
    <cellStyle name="Normal 3 2 3 3 2 2 2 3" xfId="43644" xr:uid="{90092E9A-DA03-432D-A0DF-475CEEA41860}"/>
    <cellStyle name="Normal 3 2 3 3 2 2 2 4" xfId="25046" xr:uid="{33DBDFD8-8F27-458B-AE0E-8F70EDF1D5D8}"/>
    <cellStyle name="Normal 3 2 3 3 2 2 3" xfId="12382" xr:uid="{D7E62EC2-4C5C-4027-BCBC-D21EFB726679}"/>
    <cellStyle name="Normal 3 2 3 3 2 2 3 2" xfId="48724" xr:uid="{D5755DBA-D56D-453D-8904-CB8E455E0BF2}"/>
    <cellStyle name="Normal 3 2 3 3 2 2 3 3" xfId="30128" xr:uid="{1DC6F713-2CA0-4453-B627-0B2C838C1E50}"/>
    <cellStyle name="Normal 3 2 3 3 2 2 4" xfId="39427" xr:uid="{CD2E5DDD-41CA-4427-97C9-9E81D8D1BDA6}"/>
    <cellStyle name="Normal 3 2 3 3 2 2 5" xfId="20829" xr:uid="{66E1ABAC-1662-4D6B-8C9A-75C875D17C11}"/>
    <cellStyle name="Normal 3 2 3 3 2 3" xfId="5128" xr:uid="{00000000-0005-0000-0000-0000AB110000}"/>
    <cellStyle name="Normal 3 2 3 3 2 3 2" xfId="14454" xr:uid="{8BA25952-37D3-4899-BA67-0424102B0D2C}"/>
    <cellStyle name="Normal 3 2 3 3 2 3 2 2" xfId="50796" xr:uid="{B247C23B-12B5-43B8-A598-12BB5C27B5DF}"/>
    <cellStyle name="Normal 3 2 3 3 2 3 2 3" xfId="32200" xr:uid="{BD7D633D-0194-47B4-8BF6-C9CB9B8BE673}"/>
    <cellStyle name="Normal 3 2 3 3 2 3 3" xfId="41499" xr:uid="{002032A0-DCFB-4274-B9DD-459C1DE39758}"/>
    <cellStyle name="Normal 3 2 3 3 2 3 4" xfId="22901" xr:uid="{7E1C52D9-C7C9-47EC-8B13-C7258DD98156}"/>
    <cellStyle name="Normal 3 2 3 3 2 4" xfId="9449" xr:uid="{7F58A2DC-DF16-44D1-8D09-04DD41EF4468}"/>
    <cellStyle name="Normal 3 2 3 3 2 4 2" xfId="36510" xr:uid="{B993A544-943F-4585-9657-79BFA08755B6}"/>
    <cellStyle name="Normal 3 2 3 3 2 4 2 2" xfId="55104" xr:uid="{76AF4136-ACD9-4A2C-AF6E-F05137D09E2E}"/>
    <cellStyle name="Normal 3 2 3 3 2 4 3" xfId="45807" xr:uid="{EBB40C26-BDFD-4F10-8791-45AFB27A2DA1}"/>
    <cellStyle name="Normal 3 2 3 3 2 4 4" xfId="27211" xr:uid="{D2355255-AE67-45EC-8B66-0E6EE69C6DAA}"/>
    <cellStyle name="Normal 3 2 3 3 2 5" xfId="10237" xr:uid="{25DEA613-261C-47FD-886F-F2D3EB109BAE}"/>
    <cellStyle name="Normal 3 2 3 3 2 5 2" xfId="46579" xr:uid="{6BBFA5E7-7EDE-4915-81AD-48E6FD1790C9}"/>
    <cellStyle name="Normal 3 2 3 3 2 5 3" xfId="27983" xr:uid="{3B39717C-FA79-4594-B649-9417D39A541B}"/>
    <cellStyle name="Normal 3 2 3 3 2 6" xfId="37282" xr:uid="{0E0A3947-9042-4E96-BA1F-CF99C998719C}"/>
    <cellStyle name="Normal 3 2 3 3 2 7" xfId="18684" xr:uid="{B98E5586-3A16-4155-A264-37ABA41C1255}"/>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17012" xr:uid="{147A92A0-00B8-4369-93F7-73B3DE3AB250}"/>
    <cellStyle name="Normal 3 2 3 3 3 2 2 2 2" xfId="53354" xr:uid="{54ABDC81-F5B5-4271-B81F-0FF0C0BEA012}"/>
    <cellStyle name="Normal 3 2 3 3 3 2 2 2 3" xfId="34758" xr:uid="{87D2C74D-F725-4B05-8BEB-EDF2CD26E605}"/>
    <cellStyle name="Normal 3 2 3 3 3 2 2 3" xfId="44057" xr:uid="{7E757935-EFB6-4776-878C-6C19267932B0}"/>
    <cellStyle name="Normal 3 2 3 3 3 2 2 4" xfId="25459" xr:uid="{9EFE6904-9102-44A5-923C-A2BBACD42CD1}"/>
    <cellStyle name="Normal 3 2 3 3 3 2 3" xfId="12795" xr:uid="{FC3E10F7-A029-409C-A01E-9FE2086080EF}"/>
    <cellStyle name="Normal 3 2 3 3 3 2 3 2" xfId="49137" xr:uid="{DB2A2B6F-99B1-4A5D-B2F4-E1FE95D5C861}"/>
    <cellStyle name="Normal 3 2 3 3 3 2 3 3" xfId="30541" xr:uid="{BD081254-F8D2-413B-B778-1C6947143330}"/>
    <cellStyle name="Normal 3 2 3 3 3 2 4" xfId="39840" xr:uid="{37A1674E-23C7-4EFC-A44A-B860B30FCBD8}"/>
    <cellStyle name="Normal 3 2 3 3 3 2 5" xfId="21242" xr:uid="{835EABE1-3CD6-4B9D-840F-E0BDF4255099}"/>
    <cellStyle name="Normal 3 2 3 3 3 3" xfId="5541" xr:uid="{00000000-0005-0000-0000-0000AF110000}"/>
    <cellStyle name="Normal 3 2 3 3 3 3 2" xfId="14867" xr:uid="{E82631B9-BA73-4F34-A106-56ED43A48D87}"/>
    <cellStyle name="Normal 3 2 3 3 3 3 2 2" xfId="51209" xr:uid="{91D6F580-D5D4-4A2F-A6B4-121080DAA0E8}"/>
    <cellStyle name="Normal 3 2 3 3 3 3 2 3" xfId="32613" xr:uid="{5CA4993C-3A1D-48BA-9B13-FA2F9EC3BDF7}"/>
    <cellStyle name="Normal 3 2 3 3 3 3 3" xfId="41912" xr:uid="{E1A5BFB0-1DB0-4BAD-B719-716568BED4BC}"/>
    <cellStyle name="Normal 3 2 3 3 3 3 4" xfId="23314" xr:uid="{23AEA42A-332A-4BFC-A1FB-77B804FA1830}"/>
    <cellStyle name="Normal 3 2 3 3 3 4" xfId="10650" xr:uid="{43F98449-5F92-48DA-A41C-73FFB8D6F2DE}"/>
    <cellStyle name="Normal 3 2 3 3 3 4 2" xfId="46992" xr:uid="{AE591881-436E-4F4D-9B03-F0736366D1D0}"/>
    <cellStyle name="Normal 3 2 3 3 3 4 3" xfId="28396" xr:uid="{3472B290-7875-47FD-95ED-F4E02A2D13A2}"/>
    <cellStyle name="Normal 3 2 3 3 3 5" xfId="37695" xr:uid="{24680A40-5064-48FB-AF74-814A7C4D13BD}"/>
    <cellStyle name="Normal 3 2 3 3 3 6" xfId="19097" xr:uid="{8BF4BE66-E9F6-4485-9DF6-0D45A10091EB}"/>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17425" xr:uid="{E7AB33AD-C474-43FA-A652-2FAB68A8F998}"/>
    <cellStyle name="Normal 3 2 3 3 4 2 2 2 2" xfId="53767" xr:uid="{B4345362-0004-48C8-8616-F621E716D8BD}"/>
    <cellStyle name="Normal 3 2 3 3 4 2 2 2 3" xfId="35171" xr:uid="{306053F5-EEA8-4DD4-8D65-C8D55D652BBF}"/>
    <cellStyle name="Normal 3 2 3 3 4 2 2 3" xfId="44470" xr:uid="{0EAE17F2-A6C9-4543-B431-D361E38FCA81}"/>
    <cellStyle name="Normal 3 2 3 3 4 2 2 4" xfId="25872" xr:uid="{0039031C-3906-498C-8123-C1DB3E93EFDA}"/>
    <cellStyle name="Normal 3 2 3 3 4 2 3" xfId="13208" xr:uid="{9A9B5068-62B1-4538-8154-1BDF4DF5FFD6}"/>
    <cellStyle name="Normal 3 2 3 3 4 2 3 2" xfId="49550" xr:uid="{615E6EF0-2CE1-4092-9E7A-8828DB4299F6}"/>
    <cellStyle name="Normal 3 2 3 3 4 2 3 3" xfId="30954" xr:uid="{ED87D06C-9D03-4CEF-BD27-1780294BF965}"/>
    <cellStyle name="Normal 3 2 3 3 4 2 4" xfId="40253" xr:uid="{E385B098-91E3-4EB6-87BD-E0848C3732F2}"/>
    <cellStyle name="Normal 3 2 3 3 4 2 5" xfId="21655" xr:uid="{6BA1534B-E35B-4F20-A64B-9EFAB049C631}"/>
    <cellStyle name="Normal 3 2 3 3 4 3" xfId="5954" xr:uid="{00000000-0005-0000-0000-0000B3110000}"/>
    <cellStyle name="Normal 3 2 3 3 4 3 2" xfId="15280" xr:uid="{D1E5DD9A-C964-4041-B6D7-BE97F7AF7C83}"/>
    <cellStyle name="Normal 3 2 3 3 4 3 2 2" xfId="51622" xr:uid="{1562B035-6957-4719-B0F5-4FEF617AAD17}"/>
    <cellStyle name="Normal 3 2 3 3 4 3 2 3" xfId="33026" xr:uid="{2F8DC5DC-C0C7-44AC-83C7-354A61EADAF9}"/>
    <cellStyle name="Normal 3 2 3 3 4 3 3" xfId="42325" xr:uid="{4FE24F06-A88D-4BB4-8AD7-0C9510D8C5B6}"/>
    <cellStyle name="Normal 3 2 3 3 4 3 4" xfId="23727" xr:uid="{4B698D7B-FB4D-4292-B805-0D209C983559}"/>
    <cellStyle name="Normal 3 2 3 3 4 4" xfId="11063" xr:uid="{ADF1A8D1-6BEE-4F75-8229-F574F1687FF8}"/>
    <cellStyle name="Normal 3 2 3 3 4 4 2" xfId="47405" xr:uid="{992F37A7-BEB0-4005-98BB-8F143F69E8E5}"/>
    <cellStyle name="Normal 3 2 3 3 4 4 3" xfId="28809" xr:uid="{04E07096-1796-4382-9569-6932F9D717B3}"/>
    <cellStyle name="Normal 3 2 3 3 4 5" xfId="38108" xr:uid="{E8C8AD27-5440-48A2-BEB4-18DD2DEB7142}"/>
    <cellStyle name="Normal 3 2 3 3 4 6" xfId="19510" xr:uid="{FF90D4AC-19FD-406C-8577-EBBB54B1B9A0}"/>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17838" xr:uid="{81B3E145-EA0B-4218-B258-7331A388D5DA}"/>
    <cellStyle name="Normal 3 2 3 3 5 2 2 2 2" xfId="54180" xr:uid="{273082C2-22DA-4683-9729-4F700AF123E0}"/>
    <cellStyle name="Normal 3 2 3 3 5 2 2 2 3" xfId="35584" xr:uid="{E471A986-7BEE-4062-9B2D-51A5468DE550}"/>
    <cellStyle name="Normal 3 2 3 3 5 2 2 3" xfId="44883" xr:uid="{68205DA9-DE53-47FA-BC61-CC5C4D3F2E53}"/>
    <cellStyle name="Normal 3 2 3 3 5 2 2 4" xfId="26285" xr:uid="{3F09BACB-B6DB-491F-B3A7-083243AD264A}"/>
    <cellStyle name="Normal 3 2 3 3 5 2 3" xfId="13621" xr:uid="{978EC476-B419-4281-997B-F6458023098F}"/>
    <cellStyle name="Normal 3 2 3 3 5 2 3 2" xfId="49963" xr:uid="{343BCA12-E5E2-4AC9-BB50-B462E1E9B634}"/>
    <cellStyle name="Normal 3 2 3 3 5 2 3 3" xfId="31367" xr:uid="{E85694FA-F7AF-4B5C-8E10-16D454EAE898}"/>
    <cellStyle name="Normal 3 2 3 3 5 2 4" xfId="40666" xr:uid="{3775E285-3F87-44CC-B9A9-0768E36EA662}"/>
    <cellStyle name="Normal 3 2 3 3 5 2 5" xfId="22068" xr:uid="{91F72A27-EFC6-441E-B14B-D2C91751EC93}"/>
    <cellStyle name="Normal 3 2 3 3 5 3" xfId="6367" xr:uid="{00000000-0005-0000-0000-0000B7110000}"/>
    <cellStyle name="Normal 3 2 3 3 5 3 2" xfId="15693" xr:uid="{3FB4CD0F-8BFB-4C8F-910A-F349B182053B}"/>
    <cellStyle name="Normal 3 2 3 3 5 3 2 2" xfId="52035" xr:uid="{CD1D8096-48BF-453A-A7B2-D957886BBC70}"/>
    <cellStyle name="Normal 3 2 3 3 5 3 2 3" xfId="33439" xr:uid="{6980B4C7-34D5-4155-9AA5-B53EE7D5EAE0}"/>
    <cellStyle name="Normal 3 2 3 3 5 3 3" xfId="42738" xr:uid="{52A58817-CA4B-4BF4-91A9-1C17C1FB507D}"/>
    <cellStyle name="Normal 3 2 3 3 5 3 4" xfId="24140" xr:uid="{422B24F5-090B-4C3B-8C17-DAF7B38FBD6C}"/>
    <cellStyle name="Normal 3 2 3 3 5 4" xfId="11476" xr:uid="{D001F717-8AE1-4D13-BF97-911C08CB9885}"/>
    <cellStyle name="Normal 3 2 3 3 5 4 2" xfId="47818" xr:uid="{1F4F018D-AA8E-4645-84B8-F755B04E160E}"/>
    <cellStyle name="Normal 3 2 3 3 5 4 3" xfId="29222" xr:uid="{4DAA167B-F869-4FC7-AC60-2620994A819F}"/>
    <cellStyle name="Normal 3 2 3 3 5 5" xfId="38521" xr:uid="{35EBA3DD-5BC7-41E7-9E23-39C54F8C7F6A}"/>
    <cellStyle name="Normal 3 2 3 3 5 6" xfId="19923" xr:uid="{5D454002-F148-4FDA-892F-677DC79DA3B8}"/>
    <cellStyle name="Normal 3 2 3 3 6" xfId="2497" xr:uid="{00000000-0005-0000-0000-0000B8110000}"/>
    <cellStyle name="Normal 3 2 3 3 6 2" xfId="6780" xr:uid="{00000000-0005-0000-0000-0000B9110000}"/>
    <cellStyle name="Normal 3 2 3 3 6 2 2" xfId="16106" xr:uid="{95CEC9EE-2F0B-456B-A3A4-FC6B3665FC1C}"/>
    <cellStyle name="Normal 3 2 3 3 6 2 2 2" xfId="52448" xr:uid="{39A0B8DA-E766-46B3-8A6A-32773E433A9D}"/>
    <cellStyle name="Normal 3 2 3 3 6 2 2 3" xfId="33852" xr:uid="{9C2B0272-7902-4D82-BE57-68F0EA23981E}"/>
    <cellStyle name="Normal 3 2 3 3 6 2 3" xfId="43151" xr:uid="{F90D3525-72A3-4921-A3D6-EA25FAFA8C93}"/>
    <cellStyle name="Normal 3 2 3 3 6 2 4" xfId="24553" xr:uid="{0C23BADF-10BE-47E0-A9B8-221CA04A60C9}"/>
    <cellStyle name="Normal 3 2 3 3 6 3" xfId="11889" xr:uid="{1DA4ABCB-4669-442A-A15E-E1E3F7F46DB3}"/>
    <cellStyle name="Normal 3 2 3 3 6 3 2" xfId="48231" xr:uid="{536C5969-672A-4F22-A882-47EF653A923B}"/>
    <cellStyle name="Normal 3 2 3 3 6 3 3" xfId="29635" xr:uid="{D7AE9262-DC4F-49B3-8F1C-C0671C98AFA6}"/>
    <cellStyle name="Normal 3 2 3 3 6 4" xfId="38934" xr:uid="{88F28029-1BF8-41F4-B41D-EF752EDFCE1D}"/>
    <cellStyle name="Normal 3 2 3 3 6 5" xfId="20336" xr:uid="{F7C71984-B956-4475-A45C-095C92B60817}"/>
    <cellStyle name="Normal 3 2 3 3 7" xfId="4714" xr:uid="{00000000-0005-0000-0000-0000BA110000}"/>
    <cellStyle name="Normal 3 2 3 3 7 2" xfId="14040" xr:uid="{70055C2F-9686-4923-AD06-7B33357C804D}"/>
    <cellStyle name="Normal 3 2 3 3 7 2 2" xfId="50382" xr:uid="{4A930509-DAA2-4EE0-9E8C-3E9488FFB23B}"/>
    <cellStyle name="Normal 3 2 3 3 7 2 3" xfId="31786" xr:uid="{84D8A03E-07CC-458E-86B2-BE36A2E9EF30}"/>
    <cellStyle name="Normal 3 2 3 3 7 3" xfId="41085" xr:uid="{F004EA36-4BD3-4F5D-9F74-867AF57BFDDB}"/>
    <cellStyle name="Normal 3 2 3 3 7 4" xfId="22487" xr:uid="{B299CA62-B075-43F9-811E-97701F79805B}"/>
    <cellStyle name="Normal 3 2 3 3 8" xfId="9024" xr:uid="{AE2F680F-18A3-47B5-ADCF-6BEAD71D50CE}"/>
    <cellStyle name="Normal 3 2 3 3 8 2" xfId="36094" xr:uid="{6C91B525-C6E4-4ED1-B0AC-1DF48861E63F}"/>
    <cellStyle name="Normal 3 2 3 3 8 2 2" xfId="54689" xr:uid="{D81B35DE-0118-41E8-B54F-C39D1A07ACB7}"/>
    <cellStyle name="Normal 3 2 3 3 8 3" xfId="45392" xr:uid="{76F42237-3AAA-4471-AE90-200F2D4A8CE9}"/>
    <cellStyle name="Normal 3 2 3 3 8 4" xfId="26795" xr:uid="{9117C0AB-8B71-4874-A07A-166BE357F54F}"/>
    <cellStyle name="Normal 3 2 3 3 9" xfId="9823" xr:uid="{35C904E6-A78E-4A9B-958D-B03EFF416A02}"/>
    <cellStyle name="Normal 3 2 3 3 9 2" xfId="46165" xr:uid="{E03D2C49-5CB2-4C45-9D4E-BC2C0F1FA873}"/>
    <cellStyle name="Normal 3 2 3 3 9 3" xfId="27569" xr:uid="{6BD84A88-286A-4909-AFBD-2A9AC8A969BB}"/>
    <cellStyle name="Normal 3 2 3 4" xfId="811" xr:uid="{00000000-0005-0000-0000-0000BB110000}"/>
    <cellStyle name="Normal 3 2 3 4 2" xfId="3048" xr:uid="{00000000-0005-0000-0000-0000BC110000}"/>
    <cellStyle name="Normal 3 2 3 4 2 2" xfId="7270" xr:uid="{00000000-0005-0000-0000-0000BD110000}"/>
    <cellStyle name="Normal 3 2 3 4 2 2 2" xfId="16596" xr:uid="{7D56351A-6FBA-4578-86BF-C16DCF50C740}"/>
    <cellStyle name="Normal 3 2 3 4 2 2 2 2" xfId="52938" xr:uid="{4795DC25-DC4C-4B25-9FE6-1BA8A76F3929}"/>
    <cellStyle name="Normal 3 2 3 4 2 2 2 3" xfId="34342" xr:uid="{08A4825F-AFEC-487F-9934-D9B9E60414EA}"/>
    <cellStyle name="Normal 3 2 3 4 2 2 3" xfId="43641" xr:uid="{09E2ADA5-58C5-402D-907B-4591E3B7187C}"/>
    <cellStyle name="Normal 3 2 3 4 2 2 4" xfId="25043" xr:uid="{52CE17B0-30CF-490A-A663-1030E1F576A3}"/>
    <cellStyle name="Normal 3 2 3 4 2 3" xfId="12379" xr:uid="{3CDDEBCA-C80F-4A70-9BB8-B860EC3E969E}"/>
    <cellStyle name="Normal 3 2 3 4 2 3 2" xfId="48721" xr:uid="{EBD0DACE-474A-4B8D-A5C8-99020F1A1646}"/>
    <cellStyle name="Normal 3 2 3 4 2 3 3" xfId="30125" xr:uid="{363FA81C-CEDD-4F24-B2D4-1B9F709243B0}"/>
    <cellStyle name="Normal 3 2 3 4 2 4" xfId="39424" xr:uid="{F900A065-5378-4C74-A881-9EC46785BE1A}"/>
    <cellStyle name="Normal 3 2 3 4 2 5" xfId="20826" xr:uid="{890E7B60-0C63-4FE2-8C6D-5E651E98942B}"/>
    <cellStyle name="Normal 3 2 3 4 3" xfId="5125" xr:uid="{00000000-0005-0000-0000-0000BE110000}"/>
    <cellStyle name="Normal 3 2 3 4 3 2" xfId="14451" xr:uid="{0D23447D-0A20-4531-A2B7-850A5376308D}"/>
    <cellStyle name="Normal 3 2 3 4 3 2 2" xfId="50793" xr:uid="{BD345CEE-0371-4313-AF30-84853848D0E7}"/>
    <cellStyle name="Normal 3 2 3 4 3 2 3" xfId="32197" xr:uid="{C215E3DB-96DB-4AC9-83DD-77E6FF40E04B}"/>
    <cellStyle name="Normal 3 2 3 4 3 3" xfId="41496" xr:uid="{D218E95F-B120-41A9-9ED5-7857F5CD6477}"/>
    <cellStyle name="Normal 3 2 3 4 3 4" xfId="22898" xr:uid="{844AC75B-8F7E-40CF-AAD3-92671DA571DF}"/>
    <cellStyle name="Normal 3 2 3 4 4" xfId="9242" xr:uid="{05AEEDFF-7EEB-40DB-B13D-145C971A771B}"/>
    <cellStyle name="Normal 3 2 3 4 4 2" xfId="36303" xr:uid="{B98CA154-D89B-4990-9609-F86E38ECC11C}"/>
    <cellStyle name="Normal 3 2 3 4 4 2 2" xfId="54897" xr:uid="{D05DE955-8EAB-49C5-8ECC-86025DED4FD1}"/>
    <cellStyle name="Normal 3 2 3 4 4 3" xfId="45600" xr:uid="{28C256A7-3784-4B79-9BD0-825AEDEDDCCF}"/>
    <cellStyle name="Normal 3 2 3 4 4 4" xfId="27004" xr:uid="{AE55111F-61D6-4CDC-B338-D3ECB073BE8B}"/>
    <cellStyle name="Normal 3 2 3 4 5" xfId="10234" xr:uid="{0E2ADA1E-1309-4CDD-989E-F06095070B53}"/>
    <cellStyle name="Normal 3 2 3 4 5 2" xfId="46576" xr:uid="{FA8EE187-B492-4F98-884D-CAA0AF26CD49}"/>
    <cellStyle name="Normal 3 2 3 4 5 3" xfId="27980" xr:uid="{F98B0FF0-4F1E-4A41-9548-6A2DB262CABF}"/>
    <cellStyle name="Normal 3 2 3 4 6" xfId="37279" xr:uid="{2150AA26-550E-47BD-9AAB-499169FE5058}"/>
    <cellStyle name="Normal 3 2 3 4 7" xfId="18681" xr:uid="{83073F65-D23B-4A4B-BD9D-632963EEF48F}"/>
    <cellStyle name="Normal 3 2 3 5" xfId="1231" xr:uid="{00000000-0005-0000-0000-0000BF110000}"/>
    <cellStyle name="Normal 3 2 3 5 2" xfId="3461" xr:uid="{00000000-0005-0000-0000-0000C0110000}"/>
    <cellStyle name="Normal 3 2 3 5 2 2" xfId="7683" xr:uid="{00000000-0005-0000-0000-0000C1110000}"/>
    <cellStyle name="Normal 3 2 3 5 2 2 2" xfId="17009" xr:uid="{A1E8926B-90CD-4D40-9BC6-A1F82CCF9ADF}"/>
    <cellStyle name="Normal 3 2 3 5 2 2 2 2" xfId="53351" xr:uid="{06F93E5D-AAD6-4415-B0C3-C1B36CE8FBEE}"/>
    <cellStyle name="Normal 3 2 3 5 2 2 2 3" xfId="34755" xr:uid="{462509EB-587E-482C-B5F7-B160BC809033}"/>
    <cellStyle name="Normal 3 2 3 5 2 2 3" xfId="44054" xr:uid="{8A20DF88-2A98-4F85-8BE3-B917B4D374CE}"/>
    <cellStyle name="Normal 3 2 3 5 2 2 4" xfId="25456" xr:uid="{B6543125-4FA3-464D-AF6F-93F38E32E5A3}"/>
    <cellStyle name="Normal 3 2 3 5 2 3" xfId="12792" xr:uid="{62645C1C-1BB2-4868-AA20-B204D7960E9D}"/>
    <cellStyle name="Normal 3 2 3 5 2 3 2" xfId="49134" xr:uid="{6E17E162-B0FE-4711-B19F-8CBFA05AF14F}"/>
    <cellStyle name="Normal 3 2 3 5 2 3 3" xfId="30538" xr:uid="{BDBCC32F-5B59-4DB5-B1E0-79EABD85A01C}"/>
    <cellStyle name="Normal 3 2 3 5 2 4" xfId="39837" xr:uid="{75B9219D-1800-458A-B434-C225F2476D01}"/>
    <cellStyle name="Normal 3 2 3 5 2 5" xfId="21239" xr:uid="{7814888A-37F4-4323-AEBB-AC712E02E231}"/>
    <cellStyle name="Normal 3 2 3 5 3" xfId="5538" xr:uid="{00000000-0005-0000-0000-0000C2110000}"/>
    <cellStyle name="Normal 3 2 3 5 3 2" xfId="14864" xr:uid="{6C663AD7-9956-4D6D-9DFE-AEE90BCD08F7}"/>
    <cellStyle name="Normal 3 2 3 5 3 2 2" xfId="51206" xr:uid="{8D87D417-E7A4-4322-A0E9-AF4A05978AEF}"/>
    <cellStyle name="Normal 3 2 3 5 3 2 3" xfId="32610" xr:uid="{B0C1E587-27AE-45A3-8A79-511C25FA8B3A}"/>
    <cellStyle name="Normal 3 2 3 5 3 3" xfId="41909" xr:uid="{C748B73D-7CDA-41B8-A5A0-35C37F3E738D}"/>
    <cellStyle name="Normal 3 2 3 5 3 4" xfId="23311" xr:uid="{AC9C070A-5EBC-487D-8043-65103E3C7EEF}"/>
    <cellStyle name="Normal 3 2 3 5 4" xfId="10647" xr:uid="{B23AD721-F554-43A7-8C02-712E43740000}"/>
    <cellStyle name="Normal 3 2 3 5 4 2" xfId="46989" xr:uid="{64480377-B8A4-4E7D-BEEF-86CA5F67F74A}"/>
    <cellStyle name="Normal 3 2 3 5 4 3" xfId="28393" xr:uid="{8A3D5B97-7A02-49EF-8F3C-92B0F88DB022}"/>
    <cellStyle name="Normal 3 2 3 5 5" xfId="37692" xr:uid="{ED855554-D203-4536-9F98-56F39293F106}"/>
    <cellStyle name="Normal 3 2 3 5 6" xfId="19094" xr:uid="{098B7D48-1437-44F9-8852-24762D19A197}"/>
    <cellStyle name="Normal 3 2 3 6" xfId="1644" xr:uid="{00000000-0005-0000-0000-0000C3110000}"/>
    <cellStyle name="Normal 3 2 3 6 2" xfId="3874" xr:uid="{00000000-0005-0000-0000-0000C4110000}"/>
    <cellStyle name="Normal 3 2 3 6 2 2" xfId="8096" xr:uid="{00000000-0005-0000-0000-0000C5110000}"/>
    <cellStyle name="Normal 3 2 3 6 2 2 2" xfId="17422" xr:uid="{075F866B-D491-4F3D-BF70-0BF73F06205A}"/>
    <cellStyle name="Normal 3 2 3 6 2 2 2 2" xfId="53764" xr:uid="{9ABBB1C9-D975-4B4F-8743-E116B08F1FB9}"/>
    <cellStyle name="Normal 3 2 3 6 2 2 2 3" xfId="35168" xr:uid="{B0EF0D08-4F91-4A3D-9CAB-5FFC1C9413D9}"/>
    <cellStyle name="Normal 3 2 3 6 2 2 3" xfId="44467" xr:uid="{3453F998-6486-4730-A270-41B0A253985C}"/>
    <cellStyle name="Normal 3 2 3 6 2 2 4" xfId="25869" xr:uid="{04C78909-1A16-40B9-8C93-3022CF0261DB}"/>
    <cellStyle name="Normal 3 2 3 6 2 3" xfId="13205" xr:uid="{79EAABA6-1CE0-4F0F-AB06-BEBBBE49A33B}"/>
    <cellStyle name="Normal 3 2 3 6 2 3 2" xfId="49547" xr:uid="{B06946F3-66BF-4DC3-9DCA-2863A024AF69}"/>
    <cellStyle name="Normal 3 2 3 6 2 3 3" xfId="30951" xr:uid="{D3E24F43-2D99-4897-BD9C-5D2955B6F591}"/>
    <cellStyle name="Normal 3 2 3 6 2 4" xfId="40250" xr:uid="{D4D6FF65-8F52-4F6E-80E9-DC29F416F196}"/>
    <cellStyle name="Normal 3 2 3 6 2 5" xfId="21652" xr:uid="{4E97A471-6E2A-4276-8D48-4C07944DEFED}"/>
    <cellStyle name="Normal 3 2 3 6 3" xfId="5951" xr:uid="{00000000-0005-0000-0000-0000C6110000}"/>
    <cellStyle name="Normal 3 2 3 6 3 2" xfId="15277" xr:uid="{89EDDFEC-47B5-458A-955B-39684F6E4DCC}"/>
    <cellStyle name="Normal 3 2 3 6 3 2 2" xfId="51619" xr:uid="{0ED01B1E-1CDE-4E0F-9D3D-93BA31586257}"/>
    <cellStyle name="Normal 3 2 3 6 3 2 3" xfId="33023" xr:uid="{E31D5E6A-7236-48EE-8572-0DF2339A3A14}"/>
    <cellStyle name="Normal 3 2 3 6 3 3" xfId="42322" xr:uid="{952986DD-F4E8-4213-8621-DA14CFD6CA6E}"/>
    <cellStyle name="Normal 3 2 3 6 3 4" xfId="23724" xr:uid="{7A23A6BF-9ECF-45F8-81A5-BED265AD6411}"/>
    <cellStyle name="Normal 3 2 3 6 4" xfId="11060" xr:uid="{B61FE7B4-1388-4677-B9DB-4C237D554DC9}"/>
    <cellStyle name="Normal 3 2 3 6 4 2" xfId="47402" xr:uid="{4CF6D0B7-D40F-45CA-8161-D7D0AE15E338}"/>
    <cellStyle name="Normal 3 2 3 6 4 3" xfId="28806" xr:uid="{B8FDE8C4-1D0E-4A09-B034-DC2C5A297A01}"/>
    <cellStyle name="Normal 3 2 3 6 5" xfId="38105" xr:uid="{5DDCB2A3-1FEC-4F85-8BAA-2B6384877231}"/>
    <cellStyle name="Normal 3 2 3 6 6" xfId="19507" xr:uid="{2ABDD867-E343-4EAA-A21C-2D0E9561C946}"/>
    <cellStyle name="Normal 3 2 3 7" xfId="2058" xr:uid="{00000000-0005-0000-0000-0000C7110000}"/>
    <cellStyle name="Normal 3 2 3 7 2" xfId="4287" xr:uid="{00000000-0005-0000-0000-0000C8110000}"/>
    <cellStyle name="Normal 3 2 3 7 2 2" xfId="8509" xr:uid="{00000000-0005-0000-0000-0000C9110000}"/>
    <cellStyle name="Normal 3 2 3 7 2 2 2" xfId="17835" xr:uid="{703B6A6D-F97F-42BE-BABB-C53162440F1D}"/>
    <cellStyle name="Normal 3 2 3 7 2 2 2 2" xfId="54177" xr:uid="{462525DF-1784-49BD-A2B6-AEA6DE3D7903}"/>
    <cellStyle name="Normal 3 2 3 7 2 2 2 3" xfId="35581" xr:uid="{5188F84D-4494-4D18-BB0E-637288943B29}"/>
    <cellStyle name="Normal 3 2 3 7 2 2 3" xfId="44880" xr:uid="{16009564-74C2-4104-8148-443AA386A1BE}"/>
    <cellStyle name="Normal 3 2 3 7 2 2 4" xfId="26282" xr:uid="{CB7AFBF2-48A4-43EC-9430-C68695648DC5}"/>
    <cellStyle name="Normal 3 2 3 7 2 3" xfId="13618" xr:uid="{981C97B0-D301-469D-BA1C-D0FC9477D147}"/>
    <cellStyle name="Normal 3 2 3 7 2 3 2" xfId="49960" xr:uid="{5E793454-4B3D-4191-8EA3-1AA3AF61B3AC}"/>
    <cellStyle name="Normal 3 2 3 7 2 3 3" xfId="31364" xr:uid="{9D3A6F4C-0C9E-4B57-8097-8F85553974C4}"/>
    <cellStyle name="Normal 3 2 3 7 2 4" xfId="40663" xr:uid="{FADF36BC-2970-44D0-B954-300DE195A4D2}"/>
    <cellStyle name="Normal 3 2 3 7 2 5" xfId="22065" xr:uid="{662C8ACF-7EF9-4FAE-91F6-26AEA0526BE8}"/>
    <cellStyle name="Normal 3 2 3 7 3" xfId="6364" xr:uid="{00000000-0005-0000-0000-0000CA110000}"/>
    <cellStyle name="Normal 3 2 3 7 3 2" xfId="15690" xr:uid="{7D184A49-3B59-463A-BFD3-552BAEFE2BD2}"/>
    <cellStyle name="Normal 3 2 3 7 3 2 2" xfId="52032" xr:uid="{BC6ABA75-3F75-4809-8416-1F7CCCF43A06}"/>
    <cellStyle name="Normal 3 2 3 7 3 2 3" xfId="33436" xr:uid="{E2BBECAB-1F74-4410-AFFA-8E5C428541FA}"/>
    <cellStyle name="Normal 3 2 3 7 3 3" xfId="42735" xr:uid="{628ACDE0-FC0C-49D7-ADCA-D89B25DEB1CE}"/>
    <cellStyle name="Normal 3 2 3 7 3 4" xfId="24137" xr:uid="{98929CB9-9FF0-484C-9753-E6326D99C58E}"/>
    <cellStyle name="Normal 3 2 3 7 4" xfId="11473" xr:uid="{413E9A48-F440-44A2-B4B6-8D729539354E}"/>
    <cellStyle name="Normal 3 2 3 7 4 2" xfId="47815" xr:uid="{BF7FD8FD-CB65-4985-A4B3-8D8A562DF761}"/>
    <cellStyle name="Normal 3 2 3 7 4 3" xfId="29219" xr:uid="{0D74A536-DB09-4E90-867D-E9E8B944E777}"/>
    <cellStyle name="Normal 3 2 3 7 5" xfId="38518" xr:uid="{6159BDE4-3BE5-4FAF-9E39-2FACC180D0EE}"/>
    <cellStyle name="Normal 3 2 3 7 6" xfId="19920" xr:uid="{A6DE8ED8-40C8-4992-B784-D8A105C1C9B5}"/>
    <cellStyle name="Normal 3 2 3 8" xfId="2494" xr:uid="{00000000-0005-0000-0000-0000CB110000}"/>
    <cellStyle name="Normal 3 2 3 8 2" xfId="6777" xr:uid="{00000000-0005-0000-0000-0000CC110000}"/>
    <cellStyle name="Normal 3 2 3 8 2 2" xfId="16103" xr:uid="{BB191BF5-192E-4585-9D92-A791C01FD21C}"/>
    <cellStyle name="Normal 3 2 3 8 2 2 2" xfId="52445" xr:uid="{8B72592A-C79D-4397-B63E-26D13B2E3BC2}"/>
    <cellStyle name="Normal 3 2 3 8 2 2 3" xfId="33849" xr:uid="{A2F54475-6CE5-4436-A4BB-5AFC8C5ABBE4}"/>
    <cellStyle name="Normal 3 2 3 8 2 3" xfId="43148" xr:uid="{69081C7B-4457-45FC-85D7-5E617281D5EF}"/>
    <cellStyle name="Normal 3 2 3 8 2 4" xfId="24550" xr:uid="{39186C84-38A9-4EA0-A6E2-BBD9C818D5E8}"/>
    <cellStyle name="Normal 3 2 3 8 3" xfId="11886" xr:uid="{4D1C98ED-23E8-4E18-A934-F9E380F9179B}"/>
    <cellStyle name="Normal 3 2 3 8 3 2" xfId="48228" xr:uid="{2FFDB968-95B0-46E9-B800-D311016F6C6D}"/>
    <cellStyle name="Normal 3 2 3 8 3 3" xfId="29632" xr:uid="{4A56A3B9-2EF8-4D7B-9A1A-1FA86386487E}"/>
    <cellStyle name="Normal 3 2 3 8 4" xfId="38931" xr:uid="{95DAD3DE-0E34-4754-A412-2CDA951E1980}"/>
    <cellStyle name="Normal 3 2 3 8 5" xfId="20333" xr:uid="{83BB1C2B-B0A0-463F-812A-D29DF344A6F9}"/>
    <cellStyle name="Normal 3 2 3 9" xfId="4711" xr:uid="{00000000-0005-0000-0000-0000CD110000}"/>
    <cellStyle name="Normal 3 2 3 9 2" xfId="14037" xr:uid="{5F6CB6A5-C0BD-4B0A-903F-D091E298D28A}"/>
    <cellStyle name="Normal 3 2 3 9 2 2" xfId="50379" xr:uid="{1D3F6B69-81D9-435A-89E6-3B7AA214D4A4}"/>
    <cellStyle name="Normal 3 2 3 9 2 3" xfId="31783" xr:uid="{3817CF92-BCAB-4D30-B800-16BE0E71B9E6}"/>
    <cellStyle name="Normal 3 2 3 9 3" xfId="41082" xr:uid="{8E0516C2-3CE7-4FA2-9609-2EA8BB087351}"/>
    <cellStyle name="Normal 3 2 3 9 4" xfId="22484" xr:uid="{3E012FD5-404A-47E2-BE01-2E758BC8C175}"/>
    <cellStyle name="Normal 3 2 4" xfId="809" xr:uid="{00000000-0005-0000-0000-0000CE110000}"/>
    <cellStyle name="Normal 3 2 4 2" xfId="3047" xr:uid="{00000000-0005-0000-0000-0000CF110000}"/>
    <cellStyle name="Normal 3 2 4 2 2" xfId="7269" xr:uid="{00000000-0005-0000-0000-0000D0110000}"/>
    <cellStyle name="Normal 3 2 4 2 2 2" xfId="16595" xr:uid="{0BD0875B-7FAD-4C3F-BC6B-68F4A72D2BB7}"/>
    <cellStyle name="Normal 3 2 4 2 2 2 2" xfId="52937" xr:uid="{60B619B4-7B6E-41B5-A35D-38CE40ECC37F}"/>
    <cellStyle name="Normal 3 2 4 2 2 2 3" xfId="34341" xr:uid="{7583C4D9-A36F-4F1F-930B-1E23949AB187}"/>
    <cellStyle name="Normal 3 2 4 2 2 3" xfId="43640" xr:uid="{69727DC2-2ECD-4AA2-BFB9-3888F4AC79D8}"/>
    <cellStyle name="Normal 3 2 4 2 2 4" xfId="25042" xr:uid="{ACA5CEA2-64F3-446B-9DA3-DBF05F47B76D}"/>
    <cellStyle name="Normal 3 2 4 2 3" xfId="12378" xr:uid="{08CDAD93-D31B-494D-8AF6-6E7A79996FC2}"/>
    <cellStyle name="Normal 3 2 4 2 3 2" xfId="48720" xr:uid="{30380769-BAB8-401A-940C-D4770C22A1A3}"/>
    <cellStyle name="Normal 3 2 4 2 3 3" xfId="30124" xr:uid="{DBF5AEB9-248F-4620-9466-161024A0E819}"/>
    <cellStyle name="Normal 3 2 4 2 4" xfId="39423" xr:uid="{B849FF0F-A4C5-4F50-9995-FF70BC11DE27}"/>
    <cellStyle name="Normal 3 2 4 2 5" xfId="20825" xr:uid="{DB43345A-F4CC-49C8-8452-B25AE9D021AB}"/>
    <cellStyle name="Normal 3 2 4 3" xfId="5124" xr:uid="{00000000-0005-0000-0000-0000D1110000}"/>
    <cellStyle name="Normal 3 2 4 3 2" xfId="14450" xr:uid="{11E618DF-821D-48F3-8397-9F2FE073B069}"/>
    <cellStyle name="Normal 3 2 4 3 2 2" xfId="50792" xr:uid="{02EAC72F-6BBD-466D-99AF-76478C1176DB}"/>
    <cellStyle name="Normal 3 2 4 3 2 3" xfId="32196" xr:uid="{08233446-8137-45BE-A5CB-70F2C1E8D829}"/>
    <cellStyle name="Normal 3 2 4 3 3" xfId="41495" xr:uid="{2DD1248A-5BC7-4020-9FD0-8BE5DD8E94A6}"/>
    <cellStyle name="Normal 3 2 4 3 4" xfId="22897" xr:uid="{AEE8E87D-7F50-42F2-874C-1C267AD16DEA}"/>
    <cellStyle name="Normal 3 2 4 4" xfId="9607" xr:uid="{7D769806-7069-4B8D-8CAC-B3B91BBA8D64}"/>
    <cellStyle name="Normal 3 2 4 4 2" xfId="36654" xr:uid="{9DB5173E-6928-4CC6-A838-65D4249D1FE5}"/>
    <cellStyle name="Normal 3 2 4 4 2 2" xfId="55248" xr:uid="{EF1DFAAB-E8C9-4D59-9130-A851EF9E642A}"/>
    <cellStyle name="Normal 3 2 4 4 3" xfId="45951" xr:uid="{D1706606-6256-4930-8903-B764DCF78643}"/>
    <cellStyle name="Normal 3 2 4 4 4" xfId="27355" xr:uid="{8F3D82CC-57A8-4E3C-9DBC-4A370D51844E}"/>
    <cellStyle name="Normal 3 2 4 5" xfId="10233" xr:uid="{FD6069A8-D191-47DE-AFB0-DDA8DEA4FA2A}"/>
    <cellStyle name="Normal 3 2 4 5 2" xfId="46575" xr:uid="{304ED28C-5953-4CD2-84E9-48B45FC72F32}"/>
    <cellStyle name="Normal 3 2 4 5 3" xfId="27979" xr:uid="{DD448F44-50CC-4B97-9FC6-15FF15783B8B}"/>
    <cellStyle name="Normal 3 2 4 6" xfId="37278" xr:uid="{46D66727-E8C4-46D8-9FD3-B50A34083BB3}"/>
    <cellStyle name="Normal 3 2 4 7" xfId="18680" xr:uid="{DCD31B54-7CD8-46B0-B479-170D646F7A0C}"/>
    <cellStyle name="Normal 3 2 5" xfId="1230" xr:uid="{00000000-0005-0000-0000-0000D2110000}"/>
    <cellStyle name="Normal 3 2 5 2" xfId="3460" xr:uid="{00000000-0005-0000-0000-0000D3110000}"/>
    <cellStyle name="Normal 3 2 5 2 2" xfId="7682" xr:uid="{00000000-0005-0000-0000-0000D4110000}"/>
    <cellStyle name="Normal 3 2 5 2 2 2" xfId="17008" xr:uid="{A8BD6B22-AB2C-4708-8440-D82DA73E64F3}"/>
    <cellStyle name="Normal 3 2 5 2 2 2 2" xfId="53350" xr:uid="{6E3F5B96-0ACA-47FF-8385-5DD227CD54A3}"/>
    <cellStyle name="Normal 3 2 5 2 2 2 3" xfId="34754" xr:uid="{A0E12D87-90A6-4D98-B8BB-2CF83567138A}"/>
    <cellStyle name="Normal 3 2 5 2 2 3" xfId="44053" xr:uid="{2F8A5761-4149-464A-A2F0-2E925568CE02}"/>
    <cellStyle name="Normal 3 2 5 2 2 4" xfId="25455" xr:uid="{3226A07A-E4DF-4D0E-B05E-352943265EE4}"/>
    <cellStyle name="Normal 3 2 5 2 3" xfId="12791" xr:uid="{C1CB6A23-61EE-46A6-BA29-4D4E68FA4AC7}"/>
    <cellStyle name="Normal 3 2 5 2 3 2" xfId="49133" xr:uid="{0E47B29B-1582-45BE-812E-2C1EC47D9E30}"/>
    <cellStyle name="Normal 3 2 5 2 3 3" xfId="30537" xr:uid="{14EDCBF4-031E-4413-A389-E4882148211C}"/>
    <cellStyle name="Normal 3 2 5 2 4" xfId="39836" xr:uid="{934C2504-1AA8-470E-B2C8-B61A8FFEB127}"/>
    <cellStyle name="Normal 3 2 5 2 5" xfId="21238" xr:uid="{85013AB0-08CC-4E76-A400-1CD36E7DAE33}"/>
    <cellStyle name="Normal 3 2 5 3" xfId="5537" xr:uid="{00000000-0005-0000-0000-0000D5110000}"/>
    <cellStyle name="Normal 3 2 5 3 2" xfId="14863" xr:uid="{D6017953-0738-4CD1-B1CC-4CF4B7E86748}"/>
    <cellStyle name="Normal 3 2 5 3 2 2" xfId="51205" xr:uid="{5A4C1202-D11D-4441-8446-94B6A1166562}"/>
    <cellStyle name="Normal 3 2 5 3 2 3" xfId="32609" xr:uid="{7D8B67D0-A1BE-4930-9B68-429C8032BE21}"/>
    <cellStyle name="Normal 3 2 5 3 3" xfId="41908" xr:uid="{C59089A5-8C77-4FE5-85F0-A528341291A7}"/>
    <cellStyle name="Normal 3 2 5 3 4" xfId="23310" xr:uid="{D892B55B-2A40-4395-9C57-A8D68ABC0588}"/>
    <cellStyle name="Normal 3 2 5 4" xfId="10646" xr:uid="{FB8A9659-01F8-47E0-8DCA-6C07E6F34384}"/>
    <cellStyle name="Normal 3 2 5 4 2" xfId="46988" xr:uid="{840B609A-AB08-416C-9002-1DD814973B15}"/>
    <cellStyle name="Normal 3 2 5 4 3" xfId="28392" xr:uid="{0DA0454F-3286-45FD-B81A-0C73A9054AD1}"/>
    <cellStyle name="Normal 3 2 5 5" xfId="37691" xr:uid="{EB9AA965-3461-487C-8720-9E25954347BA}"/>
    <cellStyle name="Normal 3 2 5 6" xfId="19093" xr:uid="{5A9838A2-040B-464B-9D79-E5BFA51A01BA}"/>
    <cellStyle name="Normal 3 2 6" xfId="1643" xr:uid="{00000000-0005-0000-0000-0000D6110000}"/>
    <cellStyle name="Normal 3 2 6 2" xfId="3873" xr:uid="{00000000-0005-0000-0000-0000D7110000}"/>
    <cellStyle name="Normal 3 2 6 2 2" xfId="8095" xr:uid="{00000000-0005-0000-0000-0000D8110000}"/>
    <cellStyle name="Normal 3 2 6 2 2 2" xfId="17421" xr:uid="{AADB6450-C982-465E-85FF-8CE3665CFB57}"/>
    <cellStyle name="Normal 3 2 6 2 2 2 2" xfId="53763" xr:uid="{891D878D-488D-46DB-9275-6EE79374D444}"/>
    <cellStyle name="Normal 3 2 6 2 2 2 3" xfId="35167" xr:uid="{2A64E5FC-9529-4401-87C9-EA190638F8C5}"/>
    <cellStyle name="Normal 3 2 6 2 2 3" xfId="44466" xr:uid="{AD2E6DB6-538D-496C-AE82-9D6010887E47}"/>
    <cellStyle name="Normal 3 2 6 2 2 4" xfId="25868" xr:uid="{03E90F80-D81D-42D4-8B26-12EB93547FB1}"/>
    <cellStyle name="Normal 3 2 6 2 3" xfId="13204" xr:uid="{72F4B466-3151-42EA-BC46-858EC3BC95D0}"/>
    <cellStyle name="Normal 3 2 6 2 3 2" xfId="49546" xr:uid="{BB1DE730-21D7-42DE-9055-D21146E6F155}"/>
    <cellStyle name="Normal 3 2 6 2 3 3" xfId="30950" xr:uid="{97FD13BC-577E-4DB9-9468-7DF5EDF56C18}"/>
    <cellStyle name="Normal 3 2 6 2 4" xfId="40249" xr:uid="{48728D0A-6FE2-4B56-96CA-72E8BA153A71}"/>
    <cellStyle name="Normal 3 2 6 2 5" xfId="21651" xr:uid="{9AC77C97-61D0-4D7C-9361-BC1347040DC9}"/>
    <cellStyle name="Normal 3 2 6 3" xfId="5950" xr:uid="{00000000-0005-0000-0000-0000D9110000}"/>
    <cellStyle name="Normal 3 2 6 3 2" xfId="15276" xr:uid="{BE4BC61E-F0A2-4B56-9ACE-F0205C54D074}"/>
    <cellStyle name="Normal 3 2 6 3 2 2" xfId="51618" xr:uid="{66DD531F-D363-416A-BA37-1D25379C94A8}"/>
    <cellStyle name="Normal 3 2 6 3 2 3" xfId="33022" xr:uid="{7DC3AB27-E242-4D3F-B634-96598AEE0FA8}"/>
    <cellStyle name="Normal 3 2 6 3 3" xfId="42321" xr:uid="{88C76CEB-F42F-4049-B30B-2C3883AB5323}"/>
    <cellStyle name="Normal 3 2 6 3 4" xfId="23723" xr:uid="{08A503DA-BF18-4407-AD93-CE0AA8E289DF}"/>
    <cellStyle name="Normal 3 2 6 4" xfId="11059" xr:uid="{56688CC5-D2E8-46CE-B789-1811880858BB}"/>
    <cellStyle name="Normal 3 2 6 4 2" xfId="47401" xr:uid="{3932C1A9-F1F0-42A6-A67D-B3ABFA54DC1E}"/>
    <cellStyle name="Normal 3 2 6 4 3" xfId="28805" xr:uid="{6834DEBD-2CC2-493A-9FB8-7AC3CE4E8C7A}"/>
    <cellStyle name="Normal 3 2 6 5" xfId="38104" xr:uid="{0F3D96C5-555D-4EE0-BDA1-0394AEB65890}"/>
    <cellStyle name="Normal 3 2 6 6" xfId="19506" xr:uid="{9211DF52-E820-432F-82BE-D9C87D4891A5}"/>
    <cellStyle name="Normal 3 2 7" xfId="2057" xr:uid="{00000000-0005-0000-0000-0000DA110000}"/>
    <cellStyle name="Normal 3 2 7 2" xfId="4286" xr:uid="{00000000-0005-0000-0000-0000DB110000}"/>
    <cellStyle name="Normal 3 2 7 2 2" xfId="8508" xr:uid="{00000000-0005-0000-0000-0000DC110000}"/>
    <cellStyle name="Normal 3 2 7 2 2 2" xfId="17834" xr:uid="{C457639D-CDD5-4CCF-B741-046AE6B79C79}"/>
    <cellStyle name="Normal 3 2 7 2 2 2 2" xfId="54176" xr:uid="{8C729D4D-4A61-4496-AEBF-A48C27DE76FB}"/>
    <cellStyle name="Normal 3 2 7 2 2 2 3" xfId="35580" xr:uid="{10CA8A4D-102A-42B5-987F-A924333FFB9F}"/>
    <cellStyle name="Normal 3 2 7 2 2 3" xfId="44879" xr:uid="{C9FCBFBA-D90B-4ED0-AF9F-3EA2F981425F}"/>
    <cellStyle name="Normal 3 2 7 2 2 4" xfId="26281" xr:uid="{B914B32A-16DB-48F3-9C5C-2DCF59DA6B10}"/>
    <cellStyle name="Normal 3 2 7 2 3" xfId="13617" xr:uid="{EBDC917A-CC30-46E0-8191-C1BC26081C66}"/>
    <cellStyle name="Normal 3 2 7 2 3 2" xfId="49959" xr:uid="{08F5BE27-35B9-42A4-B439-6F32B949C396}"/>
    <cellStyle name="Normal 3 2 7 2 3 3" xfId="31363" xr:uid="{A5860CBA-8C40-4FFD-B116-95B826A38739}"/>
    <cellStyle name="Normal 3 2 7 2 4" xfId="40662" xr:uid="{FE20601F-8846-4F38-90A5-ED420E0CFCF4}"/>
    <cellStyle name="Normal 3 2 7 2 5" xfId="22064" xr:uid="{676AEACD-062A-4185-97FC-93CB9DB1CD74}"/>
    <cellStyle name="Normal 3 2 7 3" xfId="6363" xr:uid="{00000000-0005-0000-0000-0000DD110000}"/>
    <cellStyle name="Normal 3 2 7 3 2" xfId="15689" xr:uid="{605818B6-6F80-451C-AABB-4CA53344BCD5}"/>
    <cellStyle name="Normal 3 2 7 3 2 2" xfId="52031" xr:uid="{DD013280-DEED-4AE4-9DA6-2507B9BD0632}"/>
    <cellStyle name="Normal 3 2 7 3 2 3" xfId="33435" xr:uid="{CD334E8C-2273-45A6-A5C1-64AB14D38D58}"/>
    <cellStyle name="Normal 3 2 7 3 3" xfId="42734" xr:uid="{79CEA7EB-19C9-4ACB-83D7-75835550EC0C}"/>
    <cellStyle name="Normal 3 2 7 3 4" xfId="24136" xr:uid="{6ED6BA69-4889-4F4D-95CB-38E5D633061C}"/>
    <cellStyle name="Normal 3 2 7 4" xfId="11472" xr:uid="{74E91751-7D00-4E3A-88D7-8207F66B53C7}"/>
    <cellStyle name="Normal 3 2 7 4 2" xfId="47814" xr:uid="{79D0B88B-B4B9-4A3F-BBB7-07E1E565969A}"/>
    <cellStyle name="Normal 3 2 7 4 3" xfId="29218" xr:uid="{66434FC3-61BC-4031-9071-06D6F0D2D68D}"/>
    <cellStyle name="Normal 3 2 7 5" xfId="38517" xr:uid="{AE8676A3-16EC-41C5-B654-B84A2164C3E0}"/>
    <cellStyle name="Normal 3 2 7 6" xfId="19919" xr:uid="{C9AECB22-8F05-4C66-AEF3-56AD8EA63F66}"/>
    <cellStyle name="Normal 3 2 8" xfId="2493" xr:uid="{00000000-0005-0000-0000-0000DE110000}"/>
    <cellStyle name="Normal 3 2 8 2" xfId="6776" xr:uid="{00000000-0005-0000-0000-0000DF110000}"/>
    <cellStyle name="Normal 3 2 8 2 2" xfId="16102" xr:uid="{76CA3F3E-4979-4179-B8E1-4C62B24249EC}"/>
    <cellStyle name="Normal 3 2 8 2 2 2" xfId="52444" xr:uid="{A08D2441-4320-4430-B63B-024F1FA1E771}"/>
    <cellStyle name="Normal 3 2 8 2 2 3" xfId="33848" xr:uid="{8446A955-F776-4FC4-9610-A1998DE05893}"/>
    <cellStyle name="Normal 3 2 8 2 3" xfId="43147" xr:uid="{3D8D6521-B28A-4676-8374-F96A2348B32E}"/>
    <cellStyle name="Normal 3 2 8 2 4" xfId="24549" xr:uid="{8FD9F522-87E8-4103-A9BA-60FF30FDCD37}"/>
    <cellStyle name="Normal 3 2 8 3" xfId="11885" xr:uid="{95250B25-2B2A-4B4A-8B97-96E657D99517}"/>
    <cellStyle name="Normal 3 2 8 3 2" xfId="48227" xr:uid="{DE550087-B702-45AE-A5AE-A349398271E4}"/>
    <cellStyle name="Normal 3 2 8 3 3" xfId="29631" xr:uid="{45E5CCF1-1226-4B75-8033-B34F20915C83}"/>
    <cellStyle name="Normal 3 2 8 4" xfId="38930" xr:uid="{33E6FA63-C9D4-48E6-8B06-08F529B7B041}"/>
    <cellStyle name="Normal 3 2 8 5" xfId="20332" xr:uid="{14A6F7CA-B230-41FA-B373-63EE9A98E6FF}"/>
    <cellStyle name="Normal 3 2 9" xfId="4710" xr:uid="{00000000-0005-0000-0000-0000E0110000}"/>
    <cellStyle name="Normal 3 2 9 2" xfId="14036" xr:uid="{CB0F255F-0A09-4E4B-9A9D-CCC670E78BB3}"/>
    <cellStyle name="Normal 3 2 9 2 2" xfId="50378" xr:uid="{3226B347-3204-476D-A161-FF7E2F7BE5B9}"/>
    <cellStyle name="Normal 3 2 9 2 3" xfId="31782" xr:uid="{8BD919FA-465F-4EBC-A5D6-4E5DD3404509}"/>
    <cellStyle name="Normal 3 2 9 3" xfId="41081" xr:uid="{DA8312F2-7512-47B7-B19C-28E2E044A20D}"/>
    <cellStyle name="Normal 3 2 9 4" xfId="22483" xr:uid="{44786222-CE8D-4921-B7D8-5DC80697E1DA}"/>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10 2" xfId="35810" xr:uid="{46A31364-8DF1-4755-B344-623E71E67299}"/>
    <cellStyle name="Normal 4 10 2 2" xfId="54405" xr:uid="{A035FE5D-EAA4-41EC-BDFC-DF4A6B2021E3}"/>
    <cellStyle name="Normal 4 10 3" xfId="45108" xr:uid="{2C078ACB-B173-4EE4-800A-5DC214A42621}"/>
    <cellStyle name="Normal 4 10 4" xfId="26511" xr:uid="{CECC2D49-5D0D-4D0F-A4D9-E7A16B31B065}"/>
    <cellStyle name="Normal 4 11" xfId="9824" xr:uid="{80B311AA-8FD2-4E3E-A877-F53EDB13C877}"/>
    <cellStyle name="Normal 4 11 2" xfId="46166" xr:uid="{9E108CF5-2CAC-4FEC-AAB0-DAB2185C5FA2}"/>
    <cellStyle name="Normal 4 11 3" xfId="27570" xr:uid="{465D347B-DF32-40F8-A9CE-5EEAC9E24A04}"/>
    <cellStyle name="Normal 4 12" xfId="36869" xr:uid="{03CA1A2C-01CE-4F00-A77B-A8FC8FD14BD0}"/>
    <cellStyle name="Normal 4 13" xfId="18271" xr:uid="{D6F9FDAF-8AD7-4CEF-84EB-F2C277A8403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17839" xr:uid="{0CC5593B-4B85-4D5B-B70D-5E1FC20774E5}"/>
    <cellStyle name="Normal 4 2 2 10 2 2 2 2" xfId="54181" xr:uid="{2D48E8D9-F0E8-4929-A39B-4E9F49DD43DB}"/>
    <cellStyle name="Normal 4 2 2 10 2 2 2 3" xfId="35585" xr:uid="{30A82E72-63F2-4A81-8FEF-4838EAE00221}"/>
    <cellStyle name="Normal 4 2 2 10 2 2 3" xfId="44884" xr:uid="{54C01057-B89B-48E1-9065-8147E0CD9B9D}"/>
    <cellStyle name="Normal 4 2 2 10 2 2 4" xfId="26286" xr:uid="{3C96A3F9-46ED-488D-AF16-F2ED918EC92A}"/>
    <cellStyle name="Normal 4 2 2 10 2 3" xfId="13622" xr:uid="{22535BD8-20F8-41AB-A613-445591C54572}"/>
    <cellStyle name="Normal 4 2 2 10 2 3 2" xfId="49964" xr:uid="{C6E8DDC5-630A-4716-85AB-91513A904A10}"/>
    <cellStyle name="Normal 4 2 2 10 2 3 3" xfId="31368" xr:uid="{77F95978-C958-4BBC-9912-F9A92B4B134C}"/>
    <cellStyle name="Normal 4 2 2 10 2 4" xfId="40667" xr:uid="{D3AD699B-3DCF-4F0A-BD69-627CFD1099DC}"/>
    <cellStyle name="Normal 4 2 2 10 2 5" xfId="22069" xr:uid="{4877B786-27F1-48AB-AE4D-F5611FB927FB}"/>
    <cellStyle name="Normal 4 2 2 10 3" xfId="6368" xr:uid="{00000000-0005-0000-0000-0000ED110000}"/>
    <cellStyle name="Normal 4 2 2 10 3 2" xfId="15694" xr:uid="{9912D09B-E5CF-45BD-9634-98F69D4C8FFE}"/>
    <cellStyle name="Normal 4 2 2 10 3 2 2" xfId="52036" xr:uid="{75EB2ED0-9F96-40BC-865A-0C1FC0F7F44D}"/>
    <cellStyle name="Normal 4 2 2 10 3 2 3" xfId="33440" xr:uid="{4F5D5841-8BE5-474B-A4F2-EE6AB627FF91}"/>
    <cellStyle name="Normal 4 2 2 10 3 3" xfId="42739" xr:uid="{5A1D1E27-76CC-4E66-A1F4-97844E6422D1}"/>
    <cellStyle name="Normal 4 2 2 10 3 4" xfId="24141" xr:uid="{55FFED03-08D4-431A-9307-DF39588643CE}"/>
    <cellStyle name="Normal 4 2 2 10 4" xfId="11477" xr:uid="{0C92C269-0B2B-41E4-A277-FB4617EF3502}"/>
    <cellStyle name="Normal 4 2 2 10 4 2" xfId="47819" xr:uid="{0715D522-7CB4-40DE-8871-B82EC0824F46}"/>
    <cellStyle name="Normal 4 2 2 10 4 3" xfId="29223" xr:uid="{FD67C388-3AAD-4712-B17B-415F67556353}"/>
    <cellStyle name="Normal 4 2 2 10 5" xfId="38522" xr:uid="{5D8ADC7F-087B-4DA0-A1D3-C14EB28F7BCC}"/>
    <cellStyle name="Normal 4 2 2 10 6" xfId="19924" xr:uid="{466B680D-1191-4A4F-A99C-117CFABFF02F}"/>
    <cellStyle name="Normal 4 2 2 11" xfId="2498" xr:uid="{00000000-0005-0000-0000-0000EE110000}"/>
    <cellStyle name="Normal 4 2 2 11 2" xfId="6781" xr:uid="{00000000-0005-0000-0000-0000EF110000}"/>
    <cellStyle name="Normal 4 2 2 11 2 2" xfId="16107" xr:uid="{D8B9CF7C-EA05-4FEA-BF7D-EFBB597CF4C1}"/>
    <cellStyle name="Normal 4 2 2 11 2 2 2" xfId="52449" xr:uid="{0DDFA094-E21A-47DD-8C35-B0497E5D427A}"/>
    <cellStyle name="Normal 4 2 2 11 2 2 3" xfId="33853" xr:uid="{D331A964-9268-4BAB-A5BE-6543CEBBC7E2}"/>
    <cellStyle name="Normal 4 2 2 11 2 3" xfId="43152" xr:uid="{767D7E01-638D-49D4-9C4D-BD4BD9FF8749}"/>
    <cellStyle name="Normal 4 2 2 11 2 4" xfId="24554" xr:uid="{549F967E-7FF7-46E3-9064-C5B2AC569FFA}"/>
    <cellStyle name="Normal 4 2 2 11 3" xfId="11890" xr:uid="{68C3A138-238D-4C0B-9CAB-6E6A52D153AD}"/>
    <cellStyle name="Normal 4 2 2 11 3 2" xfId="48232" xr:uid="{F1EA8160-E7BE-411C-B72E-0F060EA37C58}"/>
    <cellStyle name="Normal 4 2 2 11 3 3" xfId="29636" xr:uid="{33A94549-C44E-42F8-AB3C-10CBF9BF7082}"/>
    <cellStyle name="Normal 4 2 2 11 4" xfId="38935" xr:uid="{47A852D8-B011-4293-A344-6A2E8808E056}"/>
    <cellStyle name="Normal 4 2 2 11 5" xfId="20337" xr:uid="{659E20AA-A330-4898-8F0C-D5DE54B171EA}"/>
    <cellStyle name="Normal 4 2 2 12" xfId="4716" xr:uid="{00000000-0005-0000-0000-0000F0110000}"/>
    <cellStyle name="Normal 4 2 2 12 2" xfId="14042" xr:uid="{35539015-6558-4F6F-AA3C-1E8CCC3D34D9}"/>
    <cellStyle name="Normal 4 2 2 12 2 2" xfId="50384" xr:uid="{0A2E9503-ED37-4D8C-BD21-DA5FD1EC67E3}"/>
    <cellStyle name="Normal 4 2 2 12 2 3" xfId="31788" xr:uid="{8262B0BD-0AD7-488D-B169-A52259B8FFE8}"/>
    <cellStyle name="Normal 4 2 2 12 3" xfId="41087" xr:uid="{E38AAF22-4EBB-4C19-9F2C-96E01D82B984}"/>
    <cellStyle name="Normal 4 2 2 12 4" xfId="22489" xr:uid="{A48CAF33-EE6E-43B1-A4E1-D38F16F7C049}"/>
    <cellStyle name="Normal 4 2 2 13" xfId="8752" xr:uid="{7B61EFAC-4165-4615-9A47-7AF5DAE027C9}"/>
    <cellStyle name="Normal 4 2 2 13 2" xfId="35822" xr:uid="{58DA9B45-E504-4B25-A34F-C617088A0134}"/>
    <cellStyle name="Normal 4 2 2 13 2 2" xfId="54417" xr:uid="{8C2042E2-A10A-4CC6-B1AC-98EDC3307FA3}"/>
    <cellStyle name="Normal 4 2 2 13 3" xfId="45120" xr:uid="{E2AAD4D3-192E-4F86-905C-A18BAF0157A7}"/>
    <cellStyle name="Normal 4 2 2 13 4" xfId="26523" xr:uid="{4E88D825-F1A2-4FC1-9363-E487719255E4}"/>
    <cellStyle name="Normal 4 2 2 14" xfId="9825" xr:uid="{F5E87763-7485-420E-89DF-27D2510D59B5}"/>
    <cellStyle name="Normal 4 2 2 14 2" xfId="46167" xr:uid="{393D2355-9F62-49C4-BFFE-20E6F32AEC8D}"/>
    <cellStyle name="Normal 4 2 2 14 3" xfId="27571" xr:uid="{84BCE6E3-BC25-428A-8C9A-F21012A08404}"/>
    <cellStyle name="Normal 4 2 2 15" xfId="36870" xr:uid="{0413DB6A-530C-47E7-8482-B2D8EBA1CE50}"/>
    <cellStyle name="Normal 4 2 2 16" xfId="18272" xr:uid="{76BC32DC-7E73-4E0A-9F30-3E5718DFCE76}"/>
    <cellStyle name="Normal 4 2 2 2" xfId="338" xr:uid="{00000000-0005-0000-0000-0000F1110000}"/>
    <cellStyle name="Normal 4 2 2 3" xfId="339" xr:uid="{00000000-0005-0000-0000-0000F2110000}"/>
    <cellStyle name="Normal 4 2 2 3 10" xfId="4717" xr:uid="{00000000-0005-0000-0000-0000F3110000}"/>
    <cellStyle name="Normal 4 2 2 3 10 2" xfId="14043" xr:uid="{B73199B3-DBFA-4713-A05C-00750CBBFF33}"/>
    <cellStyle name="Normal 4 2 2 3 10 2 2" xfId="50385" xr:uid="{BEB4B367-9584-48B7-AFB9-BF3ACFDFB97B}"/>
    <cellStyle name="Normal 4 2 2 3 10 2 3" xfId="31789" xr:uid="{C2001CA5-0E1D-4ECA-A2BD-E5400B906795}"/>
    <cellStyle name="Normal 4 2 2 3 10 3" xfId="41088" xr:uid="{12E12385-BC42-4E42-9939-74B808C54E5D}"/>
    <cellStyle name="Normal 4 2 2 3 10 4" xfId="22490" xr:uid="{CF7ACB8B-8B7F-430D-A147-A489713221CD}"/>
    <cellStyle name="Normal 4 2 2 3 11" xfId="8784" xr:uid="{8AA3A883-811C-4C4A-AFFF-9AAED56BF228}"/>
    <cellStyle name="Normal 4 2 2 3 11 2" xfId="35854" xr:uid="{67B60E7D-4408-4FF3-AB17-351871F3E999}"/>
    <cellStyle name="Normal 4 2 2 3 11 2 2" xfId="54449" xr:uid="{971F7BEB-94C7-49FD-AB79-5F59D7F5E8DA}"/>
    <cellStyle name="Normal 4 2 2 3 11 3" xfId="45152" xr:uid="{D411F2DB-C328-4E43-901B-6B33E2AECC69}"/>
    <cellStyle name="Normal 4 2 2 3 11 4" xfId="26555" xr:uid="{576CE597-1901-4F09-90B8-6F2BC8FC6842}"/>
    <cellStyle name="Normal 4 2 2 3 12" xfId="9826" xr:uid="{CFC00C73-6553-49D3-A495-9B357D426956}"/>
    <cellStyle name="Normal 4 2 2 3 12 2" xfId="46168" xr:uid="{C067EC61-8A05-4E7E-8AAA-58A668683705}"/>
    <cellStyle name="Normal 4 2 2 3 12 3" xfId="27572" xr:uid="{2075C265-54B8-404B-B9C7-300EB7E1FC85}"/>
    <cellStyle name="Normal 4 2 2 3 13" xfId="36871" xr:uid="{5D7F7056-1D0B-487B-9414-7E44C203F299}"/>
    <cellStyle name="Normal 4 2 2 3 14" xfId="18273" xr:uid="{134F7DD0-4AB6-4B6A-8766-34356DC96CC0}"/>
    <cellStyle name="Normal 4 2 2 3 2" xfId="340" xr:uid="{00000000-0005-0000-0000-0000F4110000}"/>
    <cellStyle name="Normal 4 2 2 3 2 10" xfId="8819" xr:uid="{16629302-3759-4242-B07E-BB5D034B10E8}"/>
    <cellStyle name="Normal 4 2 2 3 2 10 2" xfId="35889" xr:uid="{EF7A47B3-6CA9-4F90-9838-73F75D77CA9D}"/>
    <cellStyle name="Normal 4 2 2 3 2 10 2 2" xfId="54484" xr:uid="{F864B24A-BCA6-43E9-83B4-20933979E5E1}"/>
    <cellStyle name="Normal 4 2 2 3 2 10 3" xfId="45187" xr:uid="{5591DDA9-3726-4A45-841E-2E5553562F51}"/>
    <cellStyle name="Normal 4 2 2 3 2 10 4" xfId="26590" xr:uid="{FF9C7750-0EE1-488B-B41E-07C95ED4F2A9}"/>
    <cellStyle name="Normal 4 2 2 3 2 11" xfId="9827" xr:uid="{73D68F60-460A-4C45-954D-5BA847E5230A}"/>
    <cellStyle name="Normal 4 2 2 3 2 11 2" xfId="46169" xr:uid="{A64B48FA-F643-419E-B148-5B5F67373DE2}"/>
    <cellStyle name="Normal 4 2 2 3 2 11 3" xfId="27573" xr:uid="{099862F1-1C60-4D6A-8CE5-048D50844997}"/>
    <cellStyle name="Normal 4 2 2 3 2 12" xfId="36872" xr:uid="{4AC59673-3D72-4C12-B44F-DBF050367EB0}"/>
    <cellStyle name="Normal 4 2 2 3 2 13" xfId="18274" xr:uid="{29CE2F46-491E-41E6-815C-A58937699A8B}"/>
    <cellStyle name="Normal 4 2 2 3 2 2" xfId="341" xr:uid="{00000000-0005-0000-0000-0000F5110000}"/>
    <cellStyle name="Normal 4 2 2 3 2 2 10" xfId="9828" xr:uid="{1ED5A156-3A0A-4FC3-8F00-3CE71C834427}"/>
    <cellStyle name="Normal 4 2 2 3 2 2 10 2" xfId="46170" xr:uid="{3177A9B2-F3F6-4FF7-B7C4-0E838EDC0C39}"/>
    <cellStyle name="Normal 4 2 2 3 2 2 10 3" xfId="27574" xr:uid="{F2DB30FB-4A9C-439A-9C6E-9ED25ACE214E}"/>
    <cellStyle name="Normal 4 2 2 3 2 2 11" xfId="36873" xr:uid="{C0713C8C-CB9E-44D3-A80C-B6AC1DABFD2F}"/>
    <cellStyle name="Normal 4 2 2 3 2 2 12" xfId="18275" xr:uid="{9B3B343F-01A3-45BC-AFC7-CCFC171DA14F}"/>
    <cellStyle name="Normal 4 2 2 3 2 2 2" xfId="342" xr:uid="{00000000-0005-0000-0000-0000F6110000}"/>
    <cellStyle name="Normal 4 2 2 3 2 2 2 10" xfId="36874" xr:uid="{1D73A145-6349-41E3-A614-65093CF5D61D}"/>
    <cellStyle name="Normal 4 2 2 3 2 2 2 11" xfId="18276" xr:uid="{D5C8E770-7EF4-4C22-9DA0-A70F554DB018}"/>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16604" xr:uid="{6EC87B56-E28B-4ACD-9E0D-FB8570E0C45D}"/>
    <cellStyle name="Normal 4 2 2 3 2 2 2 2 2 2 2 2" xfId="52946" xr:uid="{068DBE05-9CD4-4DDA-B062-AC9764BC3DF5}"/>
    <cellStyle name="Normal 4 2 2 3 2 2 2 2 2 2 2 3" xfId="34350" xr:uid="{5D529128-EB89-4ABC-8E26-EC7D79B97577}"/>
    <cellStyle name="Normal 4 2 2 3 2 2 2 2 2 2 3" xfId="43649" xr:uid="{5892C497-7C77-4FA2-B829-A95B1813BBDC}"/>
    <cellStyle name="Normal 4 2 2 3 2 2 2 2 2 2 4" xfId="25051" xr:uid="{0EDE6B19-F414-48A3-985C-CC0CDC09F226}"/>
    <cellStyle name="Normal 4 2 2 3 2 2 2 2 2 3" xfId="12387" xr:uid="{CBE4D7F6-DA14-41EF-8E9E-BEC4301E9D07}"/>
    <cellStyle name="Normal 4 2 2 3 2 2 2 2 2 3 2" xfId="48729" xr:uid="{4D416626-3088-4DE2-93CF-981303CC1C4E}"/>
    <cellStyle name="Normal 4 2 2 3 2 2 2 2 2 3 3" xfId="30133" xr:uid="{9A07C719-5E39-46CE-B97F-7EBA4382B4D6}"/>
    <cellStyle name="Normal 4 2 2 3 2 2 2 2 2 4" xfId="39432" xr:uid="{7148DAF1-6CC9-4B16-B2DE-DD6616963F53}"/>
    <cellStyle name="Normal 4 2 2 3 2 2 2 2 2 5" xfId="20834" xr:uid="{06C619F3-9184-4C4D-9FAD-EB9D6B79986A}"/>
    <cellStyle name="Normal 4 2 2 3 2 2 2 2 3" xfId="5133" xr:uid="{00000000-0005-0000-0000-0000FA110000}"/>
    <cellStyle name="Normal 4 2 2 3 2 2 2 2 3 2" xfId="14459" xr:uid="{4F1D4B99-F7CF-43F3-A27C-90416B802E56}"/>
    <cellStyle name="Normal 4 2 2 3 2 2 2 2 3 2 2" xfId="50801" xr:uid="{A1B6BDFD-E331-4B58-B401-C1665196C7E5}"/>
    <cellStyle name="Normal 4 2 2 3 2 2 2 2 3 2 3" xfId="32205" xr:uid="{E703BD7D-80B4-4BD9-A70D-85B190F644F5}"/>
    <cellStyle name="Normal 4 2 2 3 2 2 2 2 3 3" xfId="41504" xr:uid="{3E64659D-CE03-441A-A7F0-38459C6ADB60}"/>
    <cellStyle name="Normal 4 2 2 3 2 2 2 2 3 4" xfId="22906" xr:uid="{54EB9FC0-E010-46F4-B2BA-3B419851C640}"/>
    <cellStyle name="Normal 4 2 2 3 2 2 2 2 4" xfId="9554" xr:uid="{BAC669EC-8948-4716-90C3-0688F03300CE}"/>
    <cellStyle name="Normal 4 2 2 3 2 2 2 2 4 2" xfId="36615" xr:uid="{EB47D3E0-ECDA-4F68-96C5-870A5A28D4F3}"/>
    <cellStyle name="Normal 4 2 2 3 2 2 2 2 4 2 2" xfId="55209" xr:uid="{163FF594-F39B-46C5-A152-1C0BEA20E2EA}"/>
    <cellStyle name="Normal 4 2 2 3 2 2 2 2 4 3" xfId="45912" xr:uid="{DEE0AE3A-E40D-4A84-8617-7F0C79D3CAAA}"/>
    <cellStyle name="Normal 4 2 2 3 2 2 2 2 4 4" xfId="27316" xr:uid="{180C1210-601B-4474-AFF6-07F54EF21524}"/>
    <cellStyle name="Normal 4 2 2 3 2 2 2 2 5" xfId="10242" xr:uid="{FE029BC4-58DF-4795-8A5A-17311A394421}"/>
    <cellStyle name="Normal 4 2 2 3 2 2 2 2 5 2" xfId="46584" xr:uid="{1D08CA22-ED60-4803-B680-5714898F71E7}"/>
    <cellStyle name="Normal 4 2 2 3 2 2 2 2 5 3" xfId="27988" xr:uid="{2A66CA8A-EE9D-4F07-9FF2-A59A1F35501C}"/>
    <cellStyle name="Normal 4 2 2 3 2 2 2 2 6" xfId="37287" xr:uid="{FF500337-2684-4C7D-A633-7D692A230FDA}"/>
    <cellStyle name="Normal 4 2 2 3 2 2 2 2 7" xfId="18689" xr:uid="{ED299131-4EC1-48BF-B341-12D453D3986F}"/>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17017" xr:uid="{7B10265B-5315-4A65-B014-FDA492A31B26}"/>
    <cellStyle name="Normal 4 2 2 3 2 2 2 3 2 2 2 2" xfId="53359" xr:uid="{E8E9E9A9-7145-4FF3-AABF-B639F2D8DC3F}"/>
    <cellStyle name="Normal 4 2 2 3 2 2 2 3 2 2 2 3" xfId="34763" xr:uid="{67BC3640-63BB-47C9-9983-596E37C335A2}"/>
    <cellStyle name="Normal 4 2 2 3 2 2 2 3 2 2 3" xfId="44062" xr:uid="{8DB174F6-38C0-4E65-8514-23A9812E840D}"/>
    <cellStyle name="Normal 4 2 2 3 2 2 2 3 2 2 4" xfId="25464" xr:uid="{03679688-A902-4337-8EE6-2E0925FE64B5}"/>
    <cellStyle name="Normal 4 2 2 3 2 2 2 3 2 3" xfId="12800" xr:uid="{367BE602-F511-4358-BDE2-303EF6D0310B}"/>
    <cellStyle name="Normal 4 2 2 3 2 2 2 3 2 3 2" xfId="49142" xr:uid="{1196C5F1-E72F-4B2A-914C-C9527EF904AE}"/>
    <cellStyle name="Normal 4 2 2 3 2 2 2 3 2 3 3" xfId="30546" xr:uid="{E35B864D-D6BB-4BF7-BFA8-2FE899AF78FE}"/>
    <cellStyle name="Normal 4 2 2 3 2 2 2 3 2 4" xfId="39845" xr:uid="{C0A0FA60-6EC8-4DB3-8601-9CA805F65C4A}"/>
    <cellStyle name="Normal 4 2 2 3 2 2 2 3 2 5" xfId="21247" xr:uid="{F8D5A99D-1A5D-4839-81CC-8EFAEC4875F8}"/>
    <cellStyle name="Normal 4 2 2 3 2 2 2 3 3" xfId="5546" xr:uid="{00000000-0005-0000-0000-0000FE110000}"/>
    <cellStyle name="Normal 4 2 2 3 2 2 2 3 3 2" xfId="14872" xr:uid="{C2E75245-CF4F-4E0F-8014-0C32C9835921}"/>
    <cellStyle name="Normal 4 2 2 3 2 2 2 3 3 2 2" xfId="51214" xr:uid="{45D44B5D-3A7C-401E-9E4C-D383FF3DAD68}"/>
    <cellStyle name="Normal 4 2 2 3 2 2 2 3 3 2 3" xfId="32618" xr:uid="{ACDE109C-6EDF-47ED-BABD-BE60E667C4B4}"/>
    <cellStyle name="Normal 4 2 2 3 2 2 2 3 3 3" xfId="41917" xr:uid="{B1C95BB6-2B6F-4056-B8DD-39BD633DBA42}"/>
    <cellStyle name="Normal 4 2 2 3 2 2 2 3 3 4" xfId="23319" xr:uid="{4009BBEB-8D4C-41AE-9C05-3899521B1B82}"/>
    <cellStyle name="Normal 4 2 2 3 2 2 2 3 4" xfId="10655" xr:uid="{F03D2FBA-BE90-4EDC-8617-4DE89EBACE78}"/>
    <cellStyle name="Normal 4 2 2 3 2 2 2 3 4 2" xfId="46997" xr:uid="{D704F1DC-0A62-42ED-996F-E61DAB21231E}"/>
    <cellStyle name="Normal 4 2 2 3 2 2 2 3 4 3" xfId="28401" xr:uid="{BE6378B0-76F9-4BAA-AD6C-5472B5D716E9}"/>
    <cellStyle name="Normal 4 2 2 3 2 2 2 3 5" xfId="37700" xr:uid="{18C82FA1-81A6-40AA-837C-EC0EE9727D44}"/>
    <cellStyle name="Normal 4 2 2 3 2 2 2 3 6" xfId="19102" xr:uid="{C5E2FBE0-F44E-4EB1-BFA1-4FA6455E35A9}"/>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17430" xr:uid="{374DAE57-8668-479F-8F11-F8F15D5934BF}"/>
    <cellStyle name="Normal 4 2 2 3 2 2 2 4 2 2 2 2" xfId="53772" xr:uid="{E9C67CCA-74D6-479B-9ED4-19728B1BCEB6}"/>
    <cellStyle name="Normal 4 2 2 3 2 2 2 4 2 2 2 3" xfId="35176" xr:uid="{F510FE21-12CD-4C5C-9EE5-8AB84F81D2CD}"/>
    <cellStyle name="Normal 4 2 2 3 2 2 2 4 2 2 3" xfId="44475" xr:uid="{AD537A7B-BFD3-4858-8074-4B30FEE71BFE}"/>
    <cellStyle name="Normal 4 2 2 3 2 2 2 4 2 2 4" xfId="25877" xr:uid="{A1C0FC23-910A-4163-B114-E9A3AF2D9A21}"/>
    <cellStyle name="Normal 4 2 2 3 2 2 2 4 2 3" xfId="13213" xr:uid="{F8C87411-1989-4382-9187-C86A0FB2BCBF}"/>
    <cellStyle name="Normal 4 2 2 3 2 2 2 4 2 3 2" xfId="49555" xr:uid="{4272B847-6F00-4162-AD7C-89239680EDC5}"/>
    <cellStyle name="Normal 4 2 2 3 2 2 2 4 2 3 3" xfId="30959" xr:uid="{D737C871-BC49-4E38-9401-CA254E017154}"/>
    <cellStyle name="Normal 4 2 2 3 2 2 2 4 2 4" xfId="40258" xr:uid="{4DE9AC33-8EAE-4DF6-ACDD-2A573E6AC8AB}"/>
    <cellStyle name="Normal 4 2 2 3 2 2 2 4 2 5" xfId="21660" xr:uid="{ACCAC023-B1B1-4B76-A5D2-E97587623A7E}"/>
    <cellStyle name="Normal 4 2 2 3 2 2 2 4 3" xfId="5959" xr:uid="{00000000-0005-0000-0000-000002120000}"/>
    <cellStyle name="Normal 4 2 2 3 2 2 2 4 3 2" xfId="15285" xr:uid="{25E4A5AF-6ED7-4117-9223-A4A70B9284C4}"/>
    <cellStyle name="Normal 4 2 2 3 2 2 2 4 3 2 2" xfId="51627" xr:uid="{82FE43A5-B320-48A5-B8D6-20D257968444}"/>
    <cellStyle name="Normal 4 2 2 3 2 2 2 4 3 2 3" xfId="33031" xr:uid="{886CF5F2-353A-47F1-B920-1FEC364EDBA8}"/>
    <cellStyle name="Normal 4 2 2 3 2 2 2 4 3 3" xfId="42330" xr:uid="{A374F46D-764D-41FF-A9E4-996F9B7F87F6}"/>
    <cellStyle name="Normal 4 2 2 3 2 2 2 4 3 4" xfId="23732" xr:uid="{2781800C-233A-4DFF-B1D5-014784FABA15}"/>
    <cellStyle name="Normal 4 2 2 3 2 2 2 4 4" xfId="11068" xr:uid="{6BCF0BF0-C8E5-464F-8903-2A2E3D9A6A8D}"/>
    <cellStyle name="Normal 4 2 2 3 2 2 2 4 4 2" xfId="47410" xr:uid="{380AC820-C261-4FFF-B720-CA523034B3D6}"/>
    <cellStyle name="Normal 4 2 2 3 2 2 2 4 4 3" xfId="28814" xr:uid="{735D9DB4-38AE-4A3B-A020-C22D825CB4DD}"/>
    <cellStyle name="Normal 4 2 2 3 2 2 2 4 5" xfId="38113" xr:uid="{2107CD4D-5AE8-40A0-B98B-22CCB1187265}"/>
    <cellStyle name="Normal 4 2 2 3 2 2 2 4 6" xfId="19515" xr:uid="{2F655EC0-D2AD-487A-A1D0-BEDDBE19B094}"/>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17843" xr:uid="{40ABFB78-B95A-4A1D-A632-80E8C0DBCAA1}"/>
    <cellStyle name="Normal 4 2 2 3 2 2 2 5 2 2 2 2" xfId="54185" xr:uid="{E9543559-E2FD-4DA2-85B0-9A20401E2E90}"/>
    <cellStyle name="Normal 4 2 2 3 2 2 2 5 2 2 2 3" xfId="35589" xr:uid="{E598168C-CD8F-4A31-BC6A-9C07E7CFC033}"/>
    <cellStyle name="Normal 4 2 2 3 2 2 2 5 2 2 3" xfId="44888" xr:uid="{E6D8303C-3ACE-487D-9C7A-9F8931D8BB06}"/>
    <cellStyle name="Normal 4 2 2 3 2 2 2 5 2 2 4" xfId="26290" xr:uid="{D67F59A0-B88F-4F5A-AA45-A52A42D38D3A}"/>
    <cellStyle name="Normal 4 2 2 3 2 2 2 5 2 3" xfId="13626" xr:uid="{47861E65-14F2-4288-B923-C52AAC7731F2}"/>
    <cellStyle name="Normal 4 2 2 3 2 2 2 5 2 3 2" xfId="49968" xr:uid="{A9222B10-6F3D-447A-8337-FABCF396A695}"/>
    <cellStyle name="Normal 4 2 2 3 2 2 2 5 2 3 3" xfId="31372" xr:uid="{9B60614D-7FEC-4124-B096-7C65D045F4C2}"/>
    <cellStyle name="Normal 4 2 2 3 2 2 2 5 2 4" xfId="40671" xr:uid="{D393CC7C-A56C-4A6B-BC81-7DA112251D89}"/>
    <cellStyle name="Normal 4 2 2 3 2 2 2 5 2 5" xfId="22073" xr:uid="{7944280B-8372-4B0F-A3B5-C1DFA8E40078}"/>
    <cellStyle name="Normal 4 2 2 3 2 2 2 5 3" xfId="6372" xr:uid="{00000000-0005-0000-0000-000006120000}"/>
    <cellStyle name="Normal 4 2 2 3 2 2 2 5 3 2" xfId="15698" xr:uid="{2AFBE9C3-9BE4-4C85-A9D1-F8456D76A063}"/>
    <cellStyle name="Normal 4 2 2 3 2 2 2 5 3 2 2" xfId="52040" xr:uid="{CC55387A-BC13-48AB-BBF7-BBB9341CC871}"/>
    <cellStyle name="Normal 4 2 2 3 2 2 2 5 3 2 3" xfId="33444" xr:uid="{D5ACCE88-CDC6-4919-8B57-07B736A4054A}"/>
    <cellStyle name="Normal 4 2 2 3 2 2 2 5 3 3" xfId="42743" xr:uid="{3593D7C5-0074-495E-B3E6-ECEA039F8974}"/>
    <cellStyle name="Normal 4 2 2 3 2 2 2 5 3 4" xfId="24145" xr:uid="{04513BE8-92B6-4400-94C0-0D29ED982CF7}"/>
    <cellStyle name="Normal 4 2 2 3 2 2 2 5 4" xfId="11481" xr:uid="{A0F344C3-6ADD-4D18-84D8-4275CF09F49B}"/>
    <cellStyle name="Normal 4 2 2 3 2 2 2 5 4 2" xfId="47823" xr:uid="{A5F6F34B-30E4-4AAF-A58D-F278BE4B6B92}"/>
    <cellStyle name="Normal 4 2 2 3 2 2 2 5 4 3" xfId="29227" xr:uid="{456ABB9E-EBE1-44AB-9E16-1A9BD3D8C26B}"/>
    <cellStyle name="Normal 4 2 2 3 2 2 2 5 5" xfId="38526" xr:uid="{726F5425-2727-41CF-89A2-BAC11DF478A1}"/>
    <cellStyle name="Normal 4 2 2 3 2 2 2 5 6" xfId="19928" xr:uid="{5CB73AB3-7D52-4C1E-918B-FF63D7FD716E}"/>
    <cellStyle name="Normal 4 2 2 3 2 2 2 6" xfId="2502" xr:uid="{00000000-0005-0000-0000-000007120000}"/>
    <cellStyle name="Normal 4 2 2 3 2 2 2 6 2" xfId="6785" xr:uid="{00000000-0005-0000-0000-000008120000}"/>
    <cellStyle name="Normal 4 2 2 3 2 2 2 6 2 2" xfId="16111" xr:uid="{CEC28537-55A0-44FA-9577-BCB3BAA4D90A}"/>
    <cellStyle name="Normal 4 2 2 3 2 2 2 6 2 2 2" xfId="52453" xr:uid="{A725DC75-2D94-490D-8320-4F79F0E9B71B}"/>
    <cellStyle name="Normal 4 2 2 3 2 2 2 6 2 2 3" xfId="33857" xr:uid="{A0ADB9E2-A162-45CC-B41A-6174196EB408}"/>
    <cellStyle name="Normal 4 2 2 3 2 2 2 6 2 3" xfId="43156" xr:uid="{B188CC1D-A305-403F-A5B5-62E482E9FE19}"/>
    <cellStyle name="Normal 4 2 2 3 2 2 2 6 2 4" xfId="24558" xr:uid="{5305D15E-518E-4919-9332-5892CFD1EBA3}"/>
    <cellStyle name="Normal 4 2 2 3 2 2 2 6 3" xfId="11894" xr:uid="{C6F879E3-B439-4026-8824-CB2015B690C1}"/>
    <cellStyle name="Normal 4 2 2 3 2 2 2 6 3 2" xfId="48236" xr:uid="{18EECE46-E28C-4747-A495-A069241D287A}"/>
    <cellStyle name="Normal 4 2 2 3 2 2 2 6 3 3" xfId="29640" xr:uid="{63256D66-560E-4A4C-A496-1B923D6038F7}"/>
    <cellStyle name="Normal 4 2 2 3 2 2 2 6 4" xfId="38939" xr:uid="{3927E364-B527-4D63-940C-36170013A10B}"/>
    <cellStyle name="Normal 4 2 2 3 2 2 2 6 5" xfId="20341" xr:uid="{913DFB10-4E55-457E-8A3B-951AFB5DDE16}"/>
    <cellStyle name="Normal 4 2 2 3 2 2 2 7" xfId="4720" xr:uid="{00000000-0005-0000-0000-000009120000}"/>
    <cellStyle name="Normal 4 2 2 3 2 2 2 7 2" xfId="14046" xr:uid="{AA7F0725-BDC3-4040-88B1-BB4BFF05578C}"/>
    <cellStyle name="Normal 4 2 2 3 2 2 2 7 2 2" xfId="50388" xr:uid="{F1FCEF92-9DA3-4CE5-8D1E-0E60693EC4E2}"/>
    <cellStyle name="Normal 4 2 2 3 2 2 2 7 2 3" xfId="31792" xr:uid="{5AF804B9-8F37-4649-9607-C32FD2B6D727}"/>
    <cellStyle name="Normal 4 2 2 3 2 2 2 7 3" xfId="41091" xr:uid="{877A0BF9-FFD2-48BE-B5CC-602F27C2B8F6}"/>
    <cellStyle name="Normal 4 2 2 3 2 2 2 7 4" xfId="22493" xr:uid="{97AD694F-D46A-41AF-9808-933618C93664}"/>
    <cellStyle name="Normal 4 2 2 3 2 2 2 8" xfId="9129" xr:uid="{970F8072-C8D6-4D17-95D6-EBF431EAD262}"/>
    <cellStyle name="Normal 4 2 2 3 2 2 2 8 2" xfId="36199" xr:uid="{9429DAA6-B829-409B-AF4D-4C44CE25072C}"/>
    <cellStyle name="Normal 4 2 2 3 2 2 2 8 2 2" xfId="54794" xr:uid="{9762BEC0-B381-4A3A-975A-0D2077414D3E}"/>
    <cellStyle name="Normal 4 2 2 3 2 2 2 8 3" xfId="45497" xr:uid="{80AD3F0F-440D-44F7-9BDA-DE4BB28227AD}"/>
    <cellStyle name="Normal 4 2 2 3 2 2 2 8 4" xfId="26900" xr:uid="{E773F2E6-AC29-4A79-9FD3-A3AF021487BF}"/>
    <cellStyle name="Normal 4 2 2 3 2 2 2 9" xfId="9829" xr:uid="{7526A61D-EC61-4D05-B947-70E870AF4DC7}"/>
    <cellStyle name="Normal 4 2 2 3 2 2 2 9 2" xfId="46171" xr:uid="{E4AFC5FC-3EF4-4BDD-BD9F-CCCBA672F101}"/>
    <cellStyle name="Normal 4 2 2 3 2 2 2 9 3" xfId="27575" xr:uid="{8C77D9BD-B353-4D42-87C9-5EC8869A0F48}"/>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16603" xr:uid="{3AFC83F8-0AFC-4C20-BF79-B363484E69C2}"/>
    <cellStyle name="Normal 4 2 2 3 2 2 3 2 2 2 2" xfId="52945" xr:uid="{17CC8B20-9E67-4BBB-932F-6CB1F9C89B0C}"/>
    <cellStyle name="Normal 4 2 2 3 2 2 3 2 2 2 3" xfId="34349" xr:uid="{FC8CCB5C-A5D9-481A-94FD-9BABA41D7FAA}"/>
    <cellStyle name="Normal 4 2 2 3 2 2 3 2 2 3" xfId="43648" xr:uid="{646074F2-6484-4D33-9FAD-0761A145B76A}"/>
    <cellStyle name="Normal 4 2 2 3 2 2 3 2 2 4" xfId="25050" xr:uid="{E7E2D3EF-4295-4C8B-9A4B-4018017CD46E}"/>
    <cellStyle name="Normal 4 2 2 3 2 2 3 2 3" xfId="12386" xr:uid="{491F1AF0-5FBA-4BCA-939C-8F8E81048B38}"/>
    <cellStyle name="Normal 4 2 2 3 2 2 3 2 3 2" xfId="48728" xr:uid="{39574F19-74CC-4DD9-8FB5-D5F09368CCFB}"/>
    <cellStyle name="Normal 4 2 2 3 2 2 3 2 3 3" xfId="30132" xr:uid="{407ADD7F-8579-4500-93AB-3F0B83F991F4}"/>
    <cellStyle name="Normal 4 2 2 3 2 2 3 2 4" xfId="39431" xr:uid="{5BA5F863-284E-4C8F-9BBD-0935D3FDC72C}"/>
    <cellStyle name="Normal 4 2 2 3 2 2 3 2 5" xfId="20833" xr:uid="{D83D0D02-C8CA-4C4D-820C-6D710EA064F3}"/>
    <cellStyle name="Normal 4 2 2 3 2 2 3 3" xfId="5132" xr:uid="{00000000-0005-0000-0000-00000D120000}"/>
    <cellStyle name="Normal 4 2 2 3 2 2 3 3 2" xfId="14458" xr:uid="{53A122B8-9CF2-4A7F-ACE7-4BF8DAC69D2A}"/>
    <cellStyle name="Normal 4 2 2 3 2 2 3 3 2 2" xfId="50800" xr:uid="{F53EBE29-7FA6-4B50-BBD2-150A86666595}"/>
    <cellStyle name="Normal 4 2 2 3 2 2 3 3 2 3" xfId="32204" xr:uid="{F7EC62DE-E5E5-49BD-890D-A3D51781D1A9}"/>
    <cellStyle name="Normal 4 2 2 3 2 2 3 3 3" xfId="41503" xr:uid="{3DC46D6D-CBEB-4275-A1E2-BD0C2A471351}"/>
    <cellStyle name="Normal 4 2 2 3 2 2 3 3 4" xfId="22905" xr:uid="{B19B76EC-81E5-4C44-BF2D-C1FF5388B7C3}"/>
    <cellStyle name="Normal 4 2 2 3 2 2 3 4" xfId="9347" xr:uid="{8C9012CB-19BB-4242-9F43-373358B13B52}"/>
    <cellStyle name="Normal 4 2 2 3 2 2 3 4 2" xfId="36408" xr:uid="{DAAC22CA-98E3-424D-8E25-E8A8EF23F5FE}"/>
    <cellStyle name="Normal 4 2 2 3 2 2 3 4 2 2" xfId="55002" xr:uid="{79656BFA-08BD-434C-B8F1-403B6A65B6B5}"/>
    <cellStyle name="Normal 4 2 2 3 2 2 3 4 3" xfId="45705" xr:uid="{84714B1C-7342-46FA-B471-0C0EFAC0A9C1}"/>
    <cellStyle name="Normal 4 2 2 3 2 2 3 4 4" xfId="27109" xr:uid="{60A1BA3E-62E0-49A2-8234-C6C53011413B}"/>
    <cellStyle name="Normal 4 2 2 3 2 2 3 5" xfId="10241" xr:uid="{30B0D20F-649A-4CC8-B18D-7F15949456B6}"/>
    <cellStyle name="Normal 4 2 2 3 2 2 3 5 2" xfId="46583" xr:uid="{DA5B52A9-9C1E-4DE1-9FA7-9CD8C2DFC3BB}"/>
    <cellStyle name="Normal 4 2 2 3 2 2 3 5 3" xfId="27987" xr:uid="{547E45A3-A035-4483-8353-46B5DA19BC10}"/>
    <cellStyle name="Normal 4 2 2 3 2 2 3 6" xfId="37286" xr:uid="{22BAA2C7-C983-4AF4-8C3B-EA099B680E89}"/>
    <cellStyle name="Normal 4 2 2 3 2 2 3 7" xfId="18688" xr:uid="{CA009CA0-B4A9-4C99-9AEE-A41A107A307D}"/>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17016" xr:uid="{69C72542-D07F-4184-B8CF-966D686C7C67}"/>
    <cellStyle name="Normal 4 2 2 3 2 2 4 2 2 2 2" xfId="53358" xr:uid="{458E2237-030D-44CE-88B7-FD524C037DB9}"/>
    <cellStyle name="Normal 4 2 2 3 2 2 4 2 2 2 3" xfId="34762" xr:uid="{43CF090F-C693-478F-8984-D65035ED95AA}"/>
    <cellStyle name="Normal 4 2 2 3 2 2 4 2 2 3" xfId="44061" xr:uid="{7E46F8FE-D025-4C93-94E9-EE1EFCB1EB99}"/>
    <cellStyle name="Normal 4 2 2 3 2 2 4 2 2 4" xfId="25463" xr:uid="{E8334978-68AE-451A-90C9-B8096672C485}"/>
    <cellStyle name="Normal 4 2 2 3 2 2 4 2 3" xfId="12799" xr:uid="{F3E0D040-A36E-483A-B907-837CFE933E59}"/>
    <cellStyle name="Normal 4 2 2 3 2 2 4 2 3 2" xfId="49141" xr:uid="{FAE3CAE2-2253-4E84-B38C-B8B1C78BBAC8}"/>
    <cellStyle name="Normal 4 2 2 3 2 2 4 2 3 3" xfId="30545" xr:uid="{B768F175-F62A-4679-B3AA-E08CF5937577}"/>
    <cellStyle name="Normal 4 2 2 3 2 2 4 2 4" xfId="39844" xr:uid="{DF816057-C27E-4D16-A7F7-BB3DA7389FAB}"/>
    <cellStyle name="Normal 4 2 2 3 2 2 4 2 5" xfId="21246" xr:uid="{057D8AF4-B744-4E5E-91C6-ADA430049EE8}"/>
    <cellStyle name="Normal 4 2 2 3 2 2 4 3" xfId="5545" xr:uid="{00000000-0005-0000-0000-000011120000}"/>
    <cellStyle name="Normal 4 2 2 3 2 2 4 3 2" xfId="14871" xr:uid="{7C445DB7-1C30-4F24-9B4E-A1C4B671D2C7}"/>
    <cellStyle name="Normal 4 2 2 3 2 2 4 3 2 2" xfId="51213" xr:uid="{B643BF00-B8D5-4107-8408-0D67F85834D9}"/>
    <cellStyle name="Normal 4 2 2 3 2 2 4 3 2 3" xfId="32617" xr:uid="{F0C13CCA-B4D1-4F69-99FE-AF4EB54A031D}"/>
    <cellStyle name="Normal 4 2 2 3 2 2 4 3 3" xfId="41916" xr:uid="{FAF68E1B-4917-49C0-9859-ADF6C3D84BD2}"/>
    <cellStyle name="Normal 4 2 2 3 2 2 4 3 4" xfId="23318" xr:uid="{206EF740-3931-42D9-8C90-91E605B41602}"/>
    <cellStyle name="Normal 4 2 2 3 2 2 4 4" xfId="10654" xr:uid="{AAEA3BDF-86CB-4C96-8B45-F5858AB513B8}"/>
    <cellStyle name="Normal 4 2 2 3 2 2 4 4 2" xfId="46996" xr:uid="{61947F79-78FA-4EE0-AF0E-0132AB87E514}"/>
    <cellStyle name="Normal 4 2 2 3 2 2 4 4 3" xfId="28400" xr:uid="{B480B6E1-24CA-4B33-918D-5E3EC5CF1B66}"/>
    <cellStyle name="Normal 4 2 2 3 2 2 4 5" xfId="37699" xr:uid="{E484CAF3-9285-4D25-9BBC-F7DE2630ED60}"/>
    <cellStyle name="Normal 4 2 2 3 2 2 4 6" xfId="19101" xr:uid="{383221D6-F31E-4162-B2B4-9268FF2F1197}"/>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17429" xr:uid="{778446E3-419A-4899-9873-785E3908B042}"/>
    <cellStyle name="Normal 4 2 2 3 2 2 5 2 2 2 2" xfId="53771" xr:uid="{5A7BFC33-6FBC-498E-91AF-C1ED3C74CD9A}"/>
    <cellStyle name="Normal 4 2 2 3 2 2 5 2 2 2 3" xfId="35175" xr:uid="{0472AFA9-9F98-430D-BE3A-0DC3E0944773}"/>
    <cellStyle name="Normal 4 2 2 3 2 2 5 2 2 3" xfId="44474" xr:uid="{C5573D93-C533-4470-8009-CD1DD8815137}"/>
    <cellStyle name="Normal 4 2 2 3 2 2 5 2 2 4" xfId="25876" xr:uid="{6A95CE1D-7121-470A-8FF5-9E8BC678137B}"/>
    <cellStyle name="Normal 4 2 2 3 2 2 5 2 3" xfId="13212" xr:uid="{0D9DDD96-77B5-4FB3-A496-53FD8E8DB744}"/>
    <cellStyle name="Normal 4 2 2 3 2 2 5 2 3 2" xfId="49554" xr:uid="{77A061DF-F67F-421C-BE0E-29F115E1D9DF}"/>
    <cellStyle name="Normal 4 2 2 3 2 2 5 2 3 3" xfId="30958" xr:uid="{A5F4BAFD-B472-4D0D-A6E2-5C563B6CCC3A}"/>
    <cellStyle name="Normal 4 2 2 3 2 2 5 2 4" xfId="40257" xr:uid="{4B4D7791-EEBE-4FA5-A9A2-C36A64DC5536}"/>
    <cellStyle name="Normal 4 2 2 3 2 2 5 2 5" xfId="21659" xr:uid="{AC6E5A0D-C66F-49A0-8550-9A7A41A90054}"/>
    <cellStyle name="Normal 4 2 2 3 2 2 5 3" xfId="5958" xr:uid="{00000000-0005-0000-0000-000015120000}"/>
    <cellStyle name="Normal 4 2 2 3 2 2 5 3 2" xfId="15284" xr:uid="{70E452FF-1C38-439C-B88D-487DB72A58CC}"/>
    <cellStyle name="Normal 4 2 2 3 2 2 5 3 2 2" xfId="51626" xr:uid="{A1F735CF-6FE2-4ECA-8660-FB94CD7621DC}"/>
    <cellStyle name="Normal 4 2 2 3 2 2 5 3 2 3" xfId="33030" xr:uid="{7E38FA75-AE26-465D-802F-C219FCF07039}"/>
    <cellStyle name="Normal 4 2 2 3 2 2 5 3 3" xfId="42329" xr:uid="{A744B43C-7567-4344-9987-6271D7FC2538}"/>
    <cellStyle name="Normal 4 2 2 3 2 2 5 3 4" xfId="23731" xr:uid="{1416EA3B-7161-4249-82D3-124A9E53C1B0}"/>
    <cellStyle name="Normal 4 2 2 3 2 2 5 4" xfId="11067" xr:uid="{2A6C2528-0A36-4306-9A4D-C825C330E7E1}"/>
    <cellStyle name="Normal 4 2 2 3 2 2 5 4 2" xfId="47409" xr:uid="{07DA8346-C39A-4D35-8621-8C58E53E51C0}"/>
    <cellStyle name="Normal 4 2 2 3 2 2 5 4 3" xfId="28813" xr:uid="{2C08D0E0-A1E1-4D3D-B6B0-CE6BE8C14611}"/>
    <cellStyle name="Normal 4 2 2 3 2 2 5 5" xfId="38112" xr:uid="{11F7207C-E26A-43FC-9084-12C7D38E78D9}"/>
    <cellStyle name="Normal 4 2 2 3 2 2 5 6" xfId="19514" xr:uid="{C8825466-151E-4801-B74C-4480F46199B7}"/>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17842" xr:uid="{2B5D6340-6E27-4E16-B68D-5806893361F8}"/>
    <cellStyle name="Normal 4 2 2 3 2 2 6 2 2 2 2" xfId="54184" xr:uid="{29451D54-208F-474D-ABDA-7EB1E1068F7A}"/>
    <cellStyle name="Normal 4 2 2 3 2 2 6 2 2 2 3" xfId="35588" xr:uid="{6766DF3D-B774-4DD2-A2BA-5A3D25FB0CFF}"/>
    <cellStyle name="Normal 4 2 2 3 2 2 6 2 2 3" xfId="44887" xr:uid="{33FA269E-6CEC-47F0-B3D4-E53E9A95942B}"/>
    <cellStyle name="Normal 4 2 2 3 2 2 6 2 2 4" xfId="26289" xr:uid="{BC824789-95BA-4C25-9A03-9C2B81687906}"/>
    <cellStyle name="Normal 4 2 2 3 2 2 6 2 3" xfId="13625" xr:uid="{D009ADB0-C614-4021-BA1E-E2F2FB82325E}"/>
    <cellStyle name="Normal 4 2 2 3 2 2 6 2 3 2" xfId="49967" xr:uid="{E8BC8907-97A7-4D6C-B460-0CAF1AFD2797}"/>
    <cellStyle name="Normal 4 2 2 3 2 2 6 2 3 3" xfId="31371" xr:uid="{71FC9025-5408-463F-B34F-6E48F215E72B}"/>
    <cellStyle name="Normal 4 2 2 3 2 2 6 2 4" xfId="40670" xr:uid="{421F08D9-AF07-44C6-8FE0-04DA5879A28F}"/>
    <cellStyle name="Normal 4 2 2 3 2 2 6 2 5" xfId="22072" xr:uid="{394476DC-9168-4E70-A3E1-A4C0DA59BEB1}"/>
    <cellStyle name="Normal 4 2 2 3 2 2 6 3" xfId="6371" xr:uid="{00000000-0005-0000-0000-000019120000}"/>
    <cellStyle name="Normal 4 2 2 3 2 2 6 3 2" xfId="15697" xr:uid="{1772BB48-F85E-40E0-BDFF-4D95A29B67D8}"/>
    <cellStyle name="Normal 4 2 2 3 2 2 6 3 2 2" xfId="52039" xr:uid="{B358FA39-F7A4-4FE7-8CCC-6D53A014D793}"/>
    <cellStyle name="Normal 4 2 2 3 2 2 6 3 2 3" xfId="33443" xr:uid="{CFE98933-1234-4119-8EFD-CA56DB289E83}"/>
    <cellStyle name="Normal 4 2 2 3 2 2 6 3 3" xfId="42742" xr:uid="{E25C8893-9FBC-49CE-81FE-FEC5E381FD19}"/>
    <cellStyle name="Normal 4 2 2 3 2 2 6 3 4" xfId="24144" xr:uid="{A2E00072-8153-42BB-B48B-F0933C973EC0}"/>
    <cellStyle name="Normal 4 2 2 3 2 2 6 4" xfId="11480" xr:uid="{986576DC-3E85-4598-B3EF-2A30EC9461E8}"/>
    <cellStyle name="Normal 4 2 2 3 2 2 6 4 2" xfId="47822" xr:uid="{E57CD054-D27A-4104-B6AA-C80E3BADD312}"/>
    <cellStyle name="Normal 4 2 2 3 2 2 6 4 3" xfId="29226" xr:uid="{3AEBD0D6-8E03-4FCC-AA0B-BD9E3C310AEB}"/>
    <cellStyle name="Normal 4 2 2 3 2 2 6 5" xfId="38525" xr:uid="{28AE01CC-22EA-472B-B5D8-A83D86E68AE4}"/>
    <cellStyle name="Normal 4 2 2 3 2 2 6 6" xfId="19927" xr:uid="{C4E8162E-F091-4768-89ED-65C0505E80EA}"/>
    <cellStyle name="Normal 4 2 2 3 2 2 7" xfId="2501" xr:uid="{00000000-0005-0000-0000-00001A120000}"/>
    <cellStyle name="Normal 4 2 2 3 2 2 7 2" xfId="6784" xr:uid="{00000000-0005-0000-0000-00001B120000}"/>
    <cellStyle name="Normal 4 2 2 3 2 2 7 2 2" xfId="16110" xr:uid="{5554B70F-5A5A-4F1B-B34D-AB039C47302B}"/>
    <cellStyle name="Normal 4 2 2 3 2 2 7 2 2 2" xfId="52452" xr:uid="{91BC2C54-E476-4910-939F-3EABA4B866DB}"/>
    <cellStyle name="Normal 4 2 2 3 2 2 7 2 2 3" xfId="33856" xr:uid="{325A69D2-BF04-4B96-8CA5-DAA9F52D2723}"/>
    <cellStyle name="Normal 4 2 2 3 2 2 7 2 3" xfId="43155" xr:uid="{DEA43444-7B81-44E1-B923-B0CD83E6A485}"/>
    <cellStyle name="Normal 4 2 2 3 2 2 7 2 4" xfId="24557" xr:uid="{7D18DA07-AB39-4490-A2DD-4AE4EA77F5F3}"/>
    <cellStyle name="Normal 4 2 2 3 2 2 7 3" xfId="11893" xr:uid="{9651409D-D9EE-4A9F-8832-5716F2B0854A}"/>
    <cellStyle name="Normal 4 2 2 3 2 2 7 3 2" xfId="48235" xr:uid="{445DBD63-BD97-4353-9182-9A0270A86DA3}"/>
    <cellStyle name="Normal 4 2 2 3 2 2 7 3 3" xfId="29639" xr:uid="{7D41025E-4D2E-41CC-A323-86E4827E97D5}"/>
    <cellStyle name="Normal 4 2 2 3 2 2 7 4" xfId="38938" xr:uid="{4E43832B-3CAC-4D09-85B9-6C6EBC00D4EC}"/>
    <cellStyle name="Normal 4 2 2 3 2 2 7 5" xfId="20340" xr:uid="{66C09673-6B2B-421A-A08E-084E61BFF407}"/>
    <cellStyle name="Normal 4 2 2 3 2 2 8" xfId="4719" xr:uid="{00000000-0005-0000-0000-00001C120000}"/>
    <cellStyle name="Normal 4 2 2 3 2 2 8 2" xfId="14045" xr:uid="{10BFF03A-D56C-4B12-9D24-B356F01BACA5}"/>
    <cellStyle name="Normal 4 2 2 3 2 2 8 2 2" xfId="50387" xr:uid="{91F0FDFB-D6DE-4605-9A14-B7943F10EA14}"/>
    <cellStyle name="Normal 4 2 2 3 2 2 8 2 3" xfId="31791" xr:uid="{2AB1EA2B-128A-4B81-AD1D-1F72F0442CEE}"/>
    <cellStyle name="Normal 4 2 2 3 2 2 8 3" xfId="41090" xr:uid="{812D8853-923E-45A8-8BE3-D425A437694D}"/>
    <cellStyle name="Normal 4 2 2 3 2 2 8 4" xfId="22492" xr:uid="{0DB80558-5492-4AA7-9142-F5E487770F0E}"/>
    <cellStyle name="Normal 4 2 2 3 2 2 9" xfId="8922" xr:uid="{32C9E21B-8C85-4874-B28C-82BF39BA84E2}"/>
    <cellStyle name="Normal 4 2 2 3 2 2 9 2" xfId="35992" xr:uid="{95AC0CAD-9355-4B50-B689-252E12C8E6A3}"/>
    <cellStyle name="Normal 4 2 2 3 2 2 9 2 2" xfId="54587" xr:uid="{A5440839-6DB7-4059-A469-214C4EF2824C}"/>
    <cellStyle name="Normal 4 2 2 3 2 2 9 3" xfId="45290" xr:uid="{D7B328D1-FD05-415C-8290-93C7E4847762}"/>
    <cellStyle name="Normal 4 2 2 3 2 2 9 4" xfId="26693" xr:uid="{6AD225EB-F7DC-46D8-B50D-97BA78FB4D72}"/>
    <cellStyle name="Normal 4 2 2 3 2 3" xfId="343" xr:uid="{00000000-0005-0000-0000-00001D120000}"/>
    <cellStyle name="Normal 4 2 2 3 2 3 10" xfId="36875" xr:uid="{14A632EC-8805-47D1-BBF5-96FF7159E683}"/>
    <cellStyle name="Normal 4 2 2 3 2 3 11" xfId="18277" xr:uid="{1FF4076F-262A-43A6-AEBB-1512E2601A5A}"/>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16605" xr:uid="{3BCEF057-3BDB-4AC8-8DC0-8558AD67CEF5}"/>
    <cellStyle name="Normal 4 2 2 3 2 3 2 2 2 2 2" xfId="52947" xr:uid="{A239DA8D-FA90-49B8-82D4-8E5FC189B6B1}"/>
    <cellStyle name="Normal 4 2 2 3 2 3 2 2 2 2 3" xfId="34351" xr:uid="{377304AB-C13E-4F36-B751-8BA014FBFBB3}"/>
    <cellStyle name="Normal 4 2 2 3 2 3 2 2 2 3" xfId="43650" xr:uid="{E6A811D1-1FE4-41C6-A49C-FD33BAC3D489}"/>
    <cellStyle name="Normal 4 2 2 3 2 3 2 2 2 4" xfId="25052" xr:uid="{A6376978-FF5E-49D2-9D62-786C2356DA20}"/>
    <cellStyle name="Normal 4 2 2 3 2 3 2 2 3" xfId="12388" xr:uid="{C53EDA8B-8A9F-4228-8072-CEC5DA30C012}"/>
    <cellStyle name="Normal 4 2 2 3 2 3 2 2 3 2" xfId="48730" xr:uid="{42EE7232-1969-4209-A875-4D96A6EAB847}"/>
    <cellStyle name="Normal 4 2 2 3 2 3 2 2 3 3" xfId="30134" xr:uid="{483A5626-5B12-4E74-8C93-7AE3457A66AA}"/>
    <cellStyle name="Normal 4 2 2 3 2 3 2 2 4" xfId="39433" xr:uid="{5369B916-69D5-4A7C-8B9B-0269A0329886}"/>
    <cellStyle name="Normal 4 2 2 3 2 3 2 2 5" xfId="20835" xr:uid="{06A534A2-322C-4C3F-88EC-EDC9F542A854}"/>
    <cellStyle name="Normal 4 2 2 3 2 3 2 3" xfId="5134" xr:uid="{00000000-0005-0000-0000-000021120000}"/>
    <cellStyle name="Normal 4 2 2 3 2 3 2 3 2" xfId="14460" xr:uid="{8DE109AD-1515-4690-A63E-3E27F7EFE8A9}"/>
    <cellStyle name="Normal 4 2 2 3 2 3 2 3 2 2" xfId="50802" xr:uid="{D6757800-9AB1-4E28-980F-555798822D93}"/>
    <cellStyle name="Normal 4 2 2 3 2 3 2 3 2 3" xfId="32206" xr:uid="{B064B36F-311E-42A1-8931-D354F96E17B7}"/>
    <cellStyle name="Normal 4 2 2 3 2 3 2 3 3" xfId="41505" xr:uid="{01DF9B2E-7908-45F4-B73F-630A746F86DE}"/>
    <cellStyle name="Normal 4 2 2 3 2 3 2 3 4" xfId="22907" xr:uid="{89A902AE-5ADB-493F-BBF6-F08EA6E84DF1}"/>
    <cellStyle name="Normal 4 2 2 3 2 3 2 4" xfId="9451" xr:uid="{85AA9164-95F1-48F2-907A-54AD445D074F}"/>
    <cellStyle name="Normal 4 2 2 3 2 3 2 4 2" xfId="36512" xr:uid="{7AC5D1E1-C29C-49D8-BBC0-C97623A83388}"/>
    <cellStyle name="Normal 4 2 2 3 2 3 2 4 2 2" xfId="55106" xr:uid="{7C178E10-6682-4A2D-8E21-73255F6C284A}"/>
    <cellStyle name="Normal 4 2 2 3 2 3 2 4 3" xfId="45809" xr:uid="{8BE2447C-651E-4E3C-9D53-0A3A21BC7450}"/>
    <cellStyle name="Normal 4 2 2 3 2 3 2 4 4" xfId="27213" xr:uid="{52932AC6-82B0-49CA-9234-9D17DDA1B40B}"/>
    <cellStyle name="Normal 4 2 2 3 2 3 2 5" xfId="10243" xr:uid="{7D8AC0B9-14F5-4CCE-A7FB-02358C07FBC9}"/>
    <cellStyle name="Normal 4 2 2 3 2 3 2 5 2" xfId="46585" xr:uid="{86629839-289A-4EF3-9C79-B2395B461C58}"/>
    <cellStyle name="Normal 4 2 2 3 2 3 2 5 3" xfId="27989" xr:uid="{198A8925-174F-4CE1-94C0-314CE9548E5C}"/>
    <cellStyle name="Normal 4 2 2 3 2 3 2 6" xfId="37288" xr:uid="{3C35094D-1A20-4C8E-986B-B9C7F61C57E0}"/>
    <cellStyle name="Normal 4 2 2 3 2 3 2 7" xfId="18690" xr:uid="{13F1E720-4FF6-46B8-B82E-7510E07E62CE}"/>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17018" xr:uid="{87B4BED2-7A34-47CF-A270-D039CD864C9E}"/>
    <cellStyle name="Normal 4 2 2 3 2 3 3 2 2 2 2" xfId="53360" xr:uid="{C3B7E653-C81E-48CF-8D85-D52F3233C991}"/>
    <cellStyle name="Normal 4 2 2 3 2 3 3 2 2 2 3" xfId="34764" xr:uid="{03897A4C-A48E-47B1-8BFC-D688D1B29E3A}"/>
    <cellStyle name="Normal 4 2 2 3 2 3 3 2 2 3" xfId="44063" xr:uid="{10D112FF-B579-42EE-9B06-59D4FA1C2609}"/>
    <cellStyle name="Normal 4 2 2 3 2 3 3 2 2 4" xfId="25465" xr:uid="{8FC0555D-4E7C-4D32-B522-5DC3F28DF9A6}"/>
    <cellStyle name="Normal 4 2 2 3 2 3 3 2 3" xfId="12801" xr:uid="{D0D27D9C-B6E3-4FE2-9E3E-18DA0C21B4DD}"/>
    <cellStyle name="Normal 4 2 2 3 2 3 3 2 3 2" xfId="49143" xr:uid="{7EC54549-EA9F-4FC3-A074-8C625000450B}"/>
    <cellStyle name="Normal 4 2 2 3 2 3 3 2 3 3" xfId="30547" xr:uid="{291E8AAF-BB44-47F0-B6C8-3F501564E210}"/>
    <cellStyle name="Normal 4 2 2 3 2 3 3 2 4" xfId="39846" xr:uid="{15377967-E6A6-4047-B51A-A992A3DD4E1B}"/>
    <cellStyle name="Normal 4 2 2 3 2 3 3 2 5" xfId="21248" xr:uid="{9B1C9CE0-8450-4D2C-80E6-4F7E6B6851DC}"/>
    <cellStyle name="Normal 4 2 2 3 2 3 3 3" xfId="5547" xr:uid="{00000000-0005-0000-0000-000025120000}"/>
    <cellStyle name="Normal 4 2 2 3 2 3 3 3 2" xfId="14873" xr:uid="{D469C065-518A-4837-9D14-09609D932B41}"/>
    <cellStyle name="Normal 4 2 2 3 2 3 3 3 2 2" xfId="51215" xr:uid="{18EFCB0D-D4A1-40E1-911D-966DD147CE56}"/>
    <cellStyle name="Normal 4 2 2 3 2 3 3 3 2 3" xfId="32619" xr:uid="{6AF562D1-07A5-48A8-A08E-21512D393DEF}"/>
    <cellStyle name="Normal 4 2 2 3 2 3 3 3 3" xfId="41918" xr:uid="{16657333-D878-4516-848F-B2F88FECC77F}"/>
    <cellStyle name="Normal 4 2 2 3 2 3 3 3 4" xfId="23320" xr:uid="{0E821C00-2297-4B50-B43D-BB56489506A3}"/>
    <cellStyle name="Normal 4 2 2 3 2 3 3 4" xfId="10656" xr:uid="{B85538D7-57D7-41AC-9BBD-ED5CF2C37012}"/>
    <cellStyle name="Normal 4 2 2 3 2 3 3 4 2" xfId="46998" xr:uid="{1D4C8AF1-465E-4D58-B495-CBF7B4F3086A}"/>
    <cellStyle name="Normal 4 2 2 3 2 3 3 4 3" xfId="28402" xr:uid="{31463181-476C-4D4E-B1BB-7FB4A8DD8040}"/>
    <cellStyle name="Normal 4 2 2 3 2 3 3 5" xfId="37701" xr:uid="{BD37B311-3770-47B6-888D-3CBAF3DA3364}"/>
    <cellStyle name="Normal 4 2 2 3 2 3 3 6" xfId="19103" xr:uid="{3B133D36-4724-4117-9DBA-90B2363186A1}"/>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17431" xr:uid="{F7231C6B-EB54-43EE-A7B3-F75D5A3C16EC}"/>
    <cellStyle name="Normal 4 2 2 3 2 3 4 2 2 2 2" xfId="53773" xr:uid="{B273D9A3-C31E-4D51-8AA4-D2AE894C7D6A}"/>
    <cellStyle name="Normal 4 2 2 3 2 3 4 2 2 2 3" xfId="35177" xr:uid="{B7EA5A22-659B-4AAC-9F46-B6438176E852}"/>
    <cellStyle name="Normal 4 2 2 3 2 3 4 2 2 3" xfId="44476" xr:uid="{8C782B72-8643-46DF-A71F-A91866F553F3}"/>
    <cellStyle name="Normal 4 2 2 3 2 3 4 2 2 4" xfId="25878" xr:uid="{55FF0B9B-FC4E-48DE-99A5-0D49197F81AD}"/>
    <cellStyle name="Normal 4 2 2 3 2 3 4 2 3" xfId="13214" xr:uid="{80B19645-E9EF-4939-AECC-B73E3CA7610E}"/>
    <cellStyle name="Normal 4 2 2 3 2 3 4 2 3 2" xfId="49556" xr:uid="{AD221EA2-5111-4FF2-933E-61C838470708}"/>
    <cellStyle name="Normal 4 2 2 3 2 3 4 2 3 3" xfId="30960" xr:uid="{AB0DF1CF-610B-4C5A-B152-64680337240A}"/>
    <cellStyle name="Normal 4 2 2 3 2 3 4 2 4" xfId="40259" xr:uid="{16527013-A513-4370-81D4-42F0FF30BB8B}"/>
    <cellStyle name="Normal 4 2 2 3 2 3 4 2 5" xfId="21661" xr:uid="{BDC339DA-DA92-48FA-BF2F-E6E5E8FD390C}"/>
    <cellStyle name="Normal 4 2 2 3 2 3 4 3" xfId="5960" xr:uid="{00000000-0005-0000-0000-000029120000}"/>
    <cellStyle name="Normal 4 2 2 3 2 3 4 3 2" xfId="15286" xr:uid="{E018DE9F-34F3-4EA5-902D-1E6651270500}"/>
    <cellStyle name="Normal 4 2 2 3 2 3 4 3 2 2" xfId="51628" xr:uid="{CE679B90-A318-478B-A968-032ED01B1558}"/>
    <cellStyle name="Normal 4 2 2 3 2 3 4 3 2 3" xfId="33032" xr:uid="{70BFEE3F-5106-4FAE-A5CA-A6FE0D02E87B}"/>
    <cellStyle name="Normal 4 2 2 3 2 3 4 3 3" xfId="42331" xr:uid="{61B7B423-F7B0-41A9-8EDA-196296EB0D1A}"/>
    <cellStyle name="Normal 4 2 2 3 2 3 4 3 4" xfId="23733" xr:uid="{4C4D6C4F-3F97-4D70-B461-1E5604A2FD38}"/>
    <cellStyle name="Normal 4 2 2 3 2 3 4 4" xfId="11069" xr:uid="{CC3FF968-A025-4E15-910B-9548ADA4F410}"/>
    <cellStyle name="Normal 4 2 2 3 2 3 4 4 2" xfId="47411" xr:uid="{5EBBF6AE-47B1-4445-BC60-9E4E3AFE5C9A}"/>
    <cellStyle name="Normal 4 2 2 3 2 3 4 4 3" xfId="28815" xr:uid="{B9EF8A4C-1164-46A2-AF84-0CAAF0736F72}"/>
    <cellStyle name="Normal 4 2 2 3 2 3 4 5" xfId="38114" xr:uid="{52187A67-20E3-45CD-86CA-6F561D3A3755}"/>
    <cellStyle name="Normal 4 2 2 3 2 3 4 6" xfId="19516" xr:uid="{B90E4B04-2D76-4E1C-915A-CB58BB7BCE5B}"/>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17844" xr:uid="{1860AFB1-24FD-4258-B090-9FA45DEBBE8D}"/>
    <cellStyle name="Normal 4 2 2 3 2 3 5 2 2 2 2" xfId="54186" xr:uid="{5C00BFEA-4790-4545-8CEE-F7D95C08683F}"/>
    <cellStyle name="Normal 4 2 2 3 2 3 5 2 2 2 3" xfId="35590" xr:uid="{0542768C-1C25-4C29-8F32-084811A01AAB}"/>
    <cellStyle name="Normal 4 2 2 3 2 3 5 2 2 3" xfId="44889" xr:uid="{8A757C12-34DA-4A55-9210-E0B436AA98B9}"/>
    <cellStyle name="Normal 4 2 2 3 2 3 5 2 2 4" xfId="26291" xr:uid="{46E213B0-2D43-4084-9B85-DB4AF0C33673}"/>
    <cellStyle name="Normal 4 2 2 3 2 3 5 2 3" xfId="13627" xr:uid="{27467E9E-83C4-4C08-B61A-1D346FE3E541}"/>
    <cellStyle name="Normal 4 2 2 3 2 3 5 2 3 2" xfId="49969" xr:uid="{DAE26877-75CD-436F-A111-8C1CEC0EA45D}"/>
    <cellStyle name="Normal 4 2 2 3 2 3 5 2 3 3" xfId="31373" xr:uid="{E4C2CC89-3D29-433C-A0A4-EB66B39F2A4A}"/>
    <cellStyle name="Normal 4 2 2 3 2 3 5 2 4" xfId="40672" xr:uid="{135E635D-D4D6-44B0-8002-FFEFF1BCF8DF}"/>
    <cellStyle name="Normal 4 2 2 3 2 3 5 2 5" xfId="22074" xr:uid="{7898DA86-54DC-4048-B0C7-3EF55FFDBC8C}"/>
    <cellStyle name="Normal 4 2 2 3 2 3 5 3" xfId="6373" xr:uid="{00000000-0005-0000-0000-00002D120000}"/>
    <cellStyle name="Normal 4 2 2 3 2 3 5 3 2" xfId="15699" xr:uid="{577476EE-12D1-4CB9-8EB2-AE68D77E9CA6}"/>
    <cellStyle name="Normal 4 2 2 3 2 3 5 3 2 2" xfId="52041" xr:uid="{11E7A9F9-3564-4AD6-9CBF-4D0B874353FB}"/>
    <cellStyle name="Normal 4 2 2 3 2 3 5 3 2 3" xfId="33445" xr:uid="{826F17A8-FE55-4C06-B619-010B7D48C135}"/>
    <cellStyle name="Normal 4 2 2 3 2 3 5 3 3" xfId="42744" xr:uid="{A42DDB65-D28A-4E63-ADEE-22C32E68AD78}"/>
    <cellStyle name="Normal 4 2 2 3 2 3 5 3 4" xfId="24146" xr:uid="{E293EECD-D09A-453E-8638-7C7B243D200B}"/>
    <cellStyle name="Normal 4 2 2 3 2 3 5 4" xfId="11482" xr:uid="{BF051C51-6F44-4AED-ACA4-1D773D2F4E4A}"/>
    <cellStyle name="Normal 4 2 2 3 2 3 5 4 2" xfId="47824" xr:uid="{6D614935-06E9-400A-B8F6-83E9CCA8025E}"/>
    <cellStyle name="Normal 4 2 2 3 2 3 5 4 3" xfId="29228" xr:uid="{6D9BD418-103D-416E-82B2-FA0B437C7BDC}"/>
    <cellStyle name="Normal 4 2 2 3 2 3 5 5" xfId="38527" xr:uid="{BE1975D3-2CE4-4764-B44C-3D724B745338}"/>
    <cellStyle name="Normal 4 2 2 3 2 3 5 6" xfId="19929" xr:uid="{BFCB4E54-37F0-49FF-965F-C34B7F48F8F2}"/>
    <cellStyle name="Normal 4 2 2 3 2 3 6" xfId="2503" xr:uid="{00000000-0005-0000-0000-00002E120000}"/>
    <cellStyle name="Normal 4 2 2 3 2 3 6 2" xfId="6786" xr:uid="{00000000-0005-0000-0000-00002F120000}"/>
    <cellStyle name="Normal 4 2 2 3 2 3 6 2 2" xfId="16112" xr:uid="{ECF2BBA9-D9AA-4ECB-9986-474FFF9A6ADE}"/>
    <cellStyle name="Normal 4 2 2 3 2 3 6 2 2 2" xfId="52454" xr:uid="{498EDF69-B087-498C-967D-1F9E23FFBEDA}"/>
    <cellStyle name="Normal 4 2 2 3 2 3 6 2 2 3" xfId="33858" xr:uid="{6D586E0C-35FC-4F63-8783-B23531D76086}"/>
    <cellStyle name="Normal 4 2 2 3 2 3 6 2 3" xfId="43157" xr:uid="{45B09F7E-54C4-41E3-8BCC-404CE218119B}"/>
    <cellStyle name="Normal 4 2 2 3 2 3 6 2 4" xfId="24559" xr:uid="{D005FEBE-B941-4FE8-A087-EFF44C9252D6}"/>
    <cellStyle name="Normal 4 2 2 3 2 3 6 3" xfId="11895" xr:uid="{AEFBA3BD-6360-44F1-ADBC-456C06EE7C1F}"/>
    <cellStyle name="Normal 4 2 2 3 2 3 6 3 2" xfId="48237" xr:uid="{DD89ED07-FB2A-4516-BEB6-CBDC2A5EBE0F}"/>
    <cellStyle name="Normal 4 2 2 3 2 3 6 3 3" xfId="29641" xr:uid="{17B6153F-DDF0-4166-80D7-E9613769BDF1}"/>
    <cellStyle name="Normal 4 2 2 3 2 3 6 4" xfId="38940" xr:uid="{B2CEAFFE-97C1-428B-86C9-F24780C64239}"/>
    <cellStyle name="Normal 4 2 2 3 2 3 6 5" xfId="20342" xr:uid="{F38114EB-66AC-43B2-8E19-DDBA47C19A8E}"/>
    <cellStyle name="Normal 4 2 2 3 2 3 7" xfId="4721" xr:uid="{00000000-0005-0000-0000-000030120000}"/>
    <cellStyle name="Normal 4 2 2 3 2 3 7 2" xfId="14047" xr:uid="{840567FB-3D85-4527-B4F3-5A514F390627}"/>
    <cellStyle name="Normal 4 2 2 3 2 3 7 2 2" xfId="50389" xr:uid="{995EE1B5-3D0D-4F8A-BF09-90F78F136787}"/>
    <cellStyle name="Normal 4 2 2 3 2 3 7 2 3" xfId="31793" xr:uid="{B44D8189-EBA2-4745-ADDE-2FD73A14FF07}"/>
    <cellStyle name="Normal 4 2 2 3 2 3 7 3" xfId="41092" xr:uid="{C687D9A4-DEF9-4816-AA8C-6CF60F1D0A5A}"/>
    <cellStyle name="Normal 4 2 2 3 2 3 7 4" xfId="22494" xr:uid="{DF77A812-DDA5-4DB8-AF9B-617A216C7601}"/>
    <cellStyle name="Normal 4 2 2 3 2 3 8" xfId="9026" xr:uid="{319D63D3-F71C-4F99-9FD1-E3D0665567E8}"/>
    <cellStyle name="Normal 4 2 2 3 2 3 8 2" xfId="36096" xr:uid="{2FCD56EF-5CFA-4C71-9C34-15F2C241D7C8}"/>
    <cellStyle name="Normal 4 2 2 3 2 3 8 2 2" xfId="54691" xr:uid="{C32A6FAC-3781-4558-949C-882D4A79917A}"/>
    <cellStyle name="Normal 4 2 2 3 2 3 8 3" xfId="45394" xr:uid="{ACE4C64C-275B-4288-8382-73B7E5F4EBE5}"/>
    <cellStyle name="Normal 4 2 2 3 2 3 8 4" xfId="26797" xr:uid="{6191AC70-7CB2-40CE-9FA2-C16FC411E3A2}"/>
    <cellStyle name="Normal 4 2 2 3 2 3 9" xfId="9830" xr:uid="{B1B217F2-6BFB-45D3-8F48-5871E3995EDE}"/>
    <cellStyle name="Normal 4 2 2 3 2 3 9 2" xfId="46172" xr:uid="{A8EE0826-A59F-465E-8DB4-4AEDB3AFBE9D}"/>
    <cellStyle name="Normal 4 2 2 3 2 3 9 3" xfId="27576" xr:uid="{23787670-C3AE-4967-B48E-641F40297119}"/>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16602" xr:uid="{38DBE672-4B22-4A15-BA48-E5406BF086B2}"/>
    <cellStyle name="Normal 4 2 2 3 2 4 2 2 2 2" xfId="52944" xr:uid="{99B1921E-8CCE-4019-923B-354732872D1B}"/>
    <cellStyle name="Normal 4 2 2 3 2 4 2 2 2 3" xfId="34348" xr:uid="{77B712FF-458B-47B2-AA76-26C3BB53EDCF}"/>
    <cellStyle name="Normal 4 2 2 3 2 4 2 2 3" xfId="43647" xr:uid="{81833870-58A4-42AD-9B1A-492E0D06F66E}"/>
    <cellStyle name="Normal 4 2 2 3 2 4 2 2 4" xfId="25049" xr:uid="{9CB19A23-3130-4C58-BEBD-C3DEE3CBB9F6}"/>
    <cellStyle name="Normal 4 2 2 3 2 4 2 3" xfId="12385" xr:uid="{62887E53-581E-408C-97C2-9C45BBCF4026}"/>
    <cellStyle name="Normal 4 2 2 3 2 4 2 3 2" xfId="48727" xr:uid="{AAA522B0-BF0F-49BA-8E02-532F393FC40B}"/>
    <cellStyle name="Normal 4 2 2 3 2 4 2 3 3" xfId="30131" xr:uid="{95085130-5C9E-4AED-9BF3-2A23E6571F09}"/>
    <cellStyle name="Normal 4 2 2 3 2 4 2 4" xfId="39430" xr:uid="{69F4090B-5BD5-4CE1-B70C-657D2F73F7AC}"/>
    <cellStyle name="Normal 4 2 2 3 2 4 2 5" xfId="20832" xr:uid="{6F9E12DA-7D64-4284-9642-D22B092EDC39}"/>
    <cellStyle name="Normal 4 2 2 3 2 4 3" xfId="5131" xr:uid="{00000000-0005-0000-0000-000034120000}"/>
    <cellStyle name="Normal 4 2 2 3 2 4 3 2" xfId="14457" xr:uid="{4170DAE5-5188-4C9D-8E96-039F1FBA897C}"/>
    <cellStyle name="Normal 4 2 2 3 2 4 3 2 2" xfId="50799" xr:uid="{173088CB-91BA-464E-9B02-36B1BC1A5BD5}"/>
    <cellStyle name="Normal 4 2 2 3 2 4 3 2 3" xfId="32203" xr:uid="{284307B1-ACAC-456C-AAF6-0F3CF7EBEDA4}"/>
    <cellStyle name="Normal 4 2 2 3 2 4 3 3" xfId="41502" xr:uid="{D0814CF6-1CB2-4B47-B356-5DD0AC02CB79}"/>
    <cellStyle name="Normal 4 2 2 3 2 4 3 4" xfId="22904" xr:uid="{00FA9B54-8565-4A9F-B838-06511FFFB5C8}"/>
    <cellStyle name="Normal 4 2 2 3 2 4 4" xfId="9244" xr:uid="{98623F27-324A-40DE-AA2B-56E1FCE087EE}"/>
    <cellStyle name="Normal 4 2 2 3 2 4 4 2" xfId="36305" xr:uid="{9A43D916-3AD1-4280-AB1D-E7DCFC710863}"/>
    <cellStyle name="Normal 4 2 2 3 2 4 4 2 2" xfId="54899" xr:uid="{1F3AF2FE-CAAB-40FD-97F7-655588D9DFDB}"/>
    <cellStyle name="Normal 4 2 2 3 2 4 4 3" xfId="45602" xr:uid="{C5C2D446-59EC-4F65-ADF8-A6002FDAC78E}"/>
    <cellStyle name="Normal 4 2 2 3 2 4 4 4" xfId="27006" xr:uid="{3732E315-9785-4722-BC62-C64F7F70E4C0}"/>
    <cellStyle name="Normal 4 2 2 3 2 4 5" xfId="10240" xr:uid="{E0AD50CC-A4F0-4FF3-AC64-DE7FB6638E23}"/>
    <cellStyle name="Normal 4 2 2 3 2 4 5 2" xfId="46582" xr:uid="{C8E78963-DEBA-4F1D-88D3-47B5EBFC0011}"/>
    <cellStyle name="Normal 4 2 2 3 2 4 5 3" xfId="27986" xr:uid="{980EB458-A820-4A1F-86C5-DA717EC5319D}"/>
    <cellStyle name="Normal 4 2 2 3 2 4 6" xfId="37285" xr:uid="{FEAA2DB2-DE87-4461-BC18-138D8660CE1D}"/>
    <cellStyle name="Normal 4 2 2 3 2 4 7" xfId="18687" xr:uid="{67132C92-1B3C-42CC-AA1C-401FF674BD7C}"/>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17015" xr:uid="{B3846B01-C910-4ACE-B873-51B4832AA382}"/>
    <cellStyle name="Normal 4 2 2 3 2 5 2 2 2 2" xfId="53357" xr:uid="{128E29B4-A0B7-4FE2-87FF-3932B0AE6102}"/>
    <cellStyle name="Normal 4 2 2 3 2 5 2 2 2 3" xfId="34761" xr:uid="{9753F3C6-A084-48E1-9C76-426BACA4998B}"/>
    <cellStyle name="Normal 4 2 2 3 2 5 2 2 3" xfId="44060" xr:uid="{50F49794-2CC3-4116-95E2-4104AD2D4663}"/>
    <cellStyle name="Normal 4 2 2 3 2 5 2 2 4" xfId="25462" xr:uid="{C9007BF1-1A6A-49DE-B1D8-EEA318CC996B}"/>
    <cellStyle name="Normal 4 2 2 3 2 5 2 3" xfId="12798" xr:uid="{06F8B55E-E3C1-49D6-9A93-2F13E7372939}"/>
    <cellStyle name="Normal 4 2 2 3 2 5 2 3 2" xfId="49140" xr:uid="{B338CEC4-8A6E-40C3-B18C-4143A00227A9}"/>
    <cellStyle name="Normal 4 2 2 3 2 5 2 3 3" xfId="30544" xr:uid="{D7991890-15B0-4E91-8E3F-C19C6443AA99}"/>
    <cellStyle name="Normal 4 2 2 3 2 5 2 4" xfId="39843" xr:uid="{CE0D18BE-4F07-41B1-B7DB-10AACC11A86F}"/>
    <cellStyle name="Normal 4 2 2 3 2 5 2 5" xfId="21245" xr:uid="{3594EF53-F714-446D-8452-D2093A517C57}"/>
    <cellStyle name="Normal 4 2 2 3 2 5 3" xfId="5544" xr:uid="{00000000-0005-0000-0000-000038120000}"/>
    <cellStyle name="Normal 4 2 2 3 2 5 3 2" xfId="14870" xr:uid="{D78D529B-063C-4E7F-AA7A-54AAEB748ED9}"/>
    <cellStyle name="Normal 4 2 2 3 2 5 3 2 2" xfId="51212" xr:uid="{5B5EBA03-ABC6-46C1-9C2F-3C906C2906E6}"/>
    <cellStyle name="Normal 4 2 2 3 2 5 3 2 3" xfId="32616" xr:uid="{77EE95A2-BE8A-4331-98AA-CBC2559119E4}"/>
    <cellStyle name="Normal 4 2 2 3 2 5 3 3" xfId="41915" xr:uid="{27D3E624-F633-4F6D-B42D-C2F4D6117B41}"/>
    <cellStyle name="Normal 4 2 2 3 2 5 3 4" xfId="23317" xr:uid="{B8FD50AC-20B9-4A50-9C88-A0C5A7AE75D0}"/>
    <cellStyle name="Normal 4 2 2 3 2 5 4" xfId="10653" xr:uid="{65C180F6-6587-4E08-9C2D-AE6D9B2730FA}"/>
    <cellStyle name="Normal 4 2 2 3 2 5 4 2" xfId="46995" xr:uid="{A543DD14-11BB-4C3D-8EF1-681F5EF69200}"/>
    <cellStyle name="Normal 4 2 2 3 2 5 4 3" xfId="28399" xr:uid="{9652AFFC-F3D0-46B1-A2FA-22749D421470}"/>
    <cellStyle name="Normal 4 2 2 3 2 5 5" xfId="37698" xr:uid="{08EC33AA-CB97-47BF-9AAC-E5B43B848CD9}"/>
    <cellStyle name="Normal 4 2 2 3 2 5 6" xfId="19100" xr:uid="{79B0CCD1-2905-4F0F-A131-0251044CAD37}"/>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17428" xr:uid="{E93B1B4C-3CA3-4141-BB4B-94892F0E4644}"/>
    <cellStyle name="Normal 4 2 2 3 2 6 2 2 2 2" xfId="53770" xr:uid="{F7C62806-9D01-49AE-B948-21E8F5BAE7F5}"/>
    <cellStyle name="Normal 4 2 2 3 2 6 2 2 2 3" xfId="35174" xr:uid="{FF9BAF0C-E276-49CE-981B-B14B8E26FABA}"/>
    <cellStyle name="Normal 4 2 2 3 2 6 2 2 3" xfId="44473" xr:uid="{E2B75DF0-0435-43D5-AFCC-351A8B1004CF}"/>
    <cellStyle name="Normal 4 2 2 3 2 6 2 2 4" xfId="25875" xr:uid="{2AA9CBB6-7F65-465C-AFC1-8E6EA2C68EF8}"/>
    <cellStyle name="Normal 4 2 2 3 2 6 2 3" xfId="13211" xr:uid="{44101266-7B18-4B5C-8DF8-54E249146FCA}"/>
    <cellStyle name="Normal 4 2 2 3 2 6 2 3 2" xfId="49553" xr:uid="{8D5AFEFB-1DFD-47C6-90E5-3D55E70CE8CD}"/>
    <cellStyle name="Normal 4 2 2 3 2 6 2 3 3" xfId="30957" xr:uid="{0C7B7A9B-99C3-48A1-AF36-D6B78B90B623}"/>
    <cellStyle name="Normal 4 2 2 3 2 6 2 4" xfId="40256" xr:uid="{029A8178-B168-485D-B40A-9E6EF90B18D9}"/>
    <cellStyle name="Normal 4 2 2 3 2 6 2 5" xfId="21658" xr:uid="{756E3DFD-427D-4FD8-A513-EF8D38949D25}"/>
    <cellStyle name="Normal 4 2 2 3 2 6 3" xfId="5957" xr:uid="{00000000-0005-0000-0000-00003C120000}"/>
    <cellStyle name="Normal 4 2 2 3 2 6 3 2" xfId="15283" xr:uid="{B9F32C84-1B4A-4B83-A3E8-F445D2569669}"/>
    <cellStyle name="Normal 4 2 2 3 2 6 3 2 2" xfId="51625" xr:uid="{6D6196D1-5099-450F-8AA7-3B287CAF6F19}"/>
    <cellStyle name="Normal 4 2 2 3 2 6 3 2 3" xfId="33029" xr:uid="{2910534C-11FE-4529-A54B-D26B8C388F41}"/>
    <cellStyle name="Normal 4 2 2 3 2 6 3 3" xfId="42328" xr:uid="{9B806804-A781-43D5-833B-E560E380780C}"/>
    <cellStyle name="Normal 4 2 2 3 2 6 3 4" xfId="23730" xr:uid="{6A36E192-3765-407D-8DF5-49AC32224832}"/>
    <cellStyle name="Normal 4 2 2 3 2 6 4" xfId="11066" xr:uid="{7854E376-7918-4080-BBE3-2B313BF4C06D}"/>
    <cellStyle name="Normal 4 2 2 3 2 6 4 2" xfId="47408" xr:uid="{09FBD263-9563-47B4-9309-24F9AE638674}"/>
    <cellStyle name="Normal 4 2 2 3 2 6 4 3" xfId="28812" xr:uid="{83147BA7-C485-4263-BE6F-6ED09022A9F1}"/>
    <cellStyle name="Normal 4 2 2 3 2 6 5" xfId="38111" xr:uid="{32516EB2-D6A9-41A9-B14A-054E27D64B51}"/>
    <cellStyle name="Normal 4 2 2 3 2 6 6" xfId="19513" xr:uid="{93D67F73-754A-47A1-9B96-20115A6F3DD1}"/>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17841" xr:uid="{73B04979-1FEE-4870-B8E5-E2921A7C2A23}"/>
    <cellStyle name="Normal 4 2 2 3 2 7 2 2 2 2" xfId="54183" xr:uid="{8AB8092A-A730-4DA7-A596-1B2B990901E9}"/>
    <cellStyle name="Normal 4 2 2 3 2 7 2 2 2 3" xfId="35587" xr:uid="{93A218AE-F6B8-4776-84AB-92AD3EF246D8}"/>
    <cellStyle name="Normal 4 2 2 3 2 7 2 2 3" xfId="44886" xr:uid="{61F3660F-6892-42E8-909E-8AFFAED1AC83}"/>
    <cellStyle name="Normal 4 2 2 3 2 7 2 2 4" xfId="26288" xr:uid="{3D49320F-F4DB-4A93-A384-519017EF5CFC}"/>
    <cellStyle name="Normal 4 2 2 3 2 7 2 3" xfId="13624" xr:uid="{EB80DCDD-46CD-4403-B707-E467ABE81FD8}"/>
    <cellStyle name="Normal 4 2 2 3 2 7 2 3 2" xfId="49966" xr:uid="{6464D69F-F2ED-471D-9320-563359A4A838}"/>
    <cellStyle name="Normal 4 2 2 3 2 7 2 3 3" xfId="31370" xr:uid="{9867D958-41EA-4496-8EE2-34250D868146}"/>
    <cellStyle name="Normal 4 2 2 3 2 7 2 4" xfId="40669" xr:uid="{D535BD52-C66B-44A1-AB3E-0833029C234D}"/>
    <cellStyle name="Normal 4 2 2 3 2 7 2 5" xfId="22071" xr:uid="{4F58FB0E-7BCF-4758-B44E-F0E583AF79C3}"/>
    <cellStyle name="Normal 4 2 2 3 2 7 3" xfId="6370" xr:uid="{00000000-0005-0000-0000-000040120000}"/>
    <cellStyle name="Normal 4 2 2 3 2 7 3 2" xfId="15696" xr:uid="{CB9B670B-AA62-45D5-B812-7CFD42CDB61F}"/>
    <cellStyle name="Normal 4 2 2 3 2 7 3 2 2" xfId="52038" xr:uid="{5BC522A2-7414-4584-BF1F-D06F86817D7C}"/>
    <cellStyle name="Normal 4 2 2 3 2 7 3 2 3" xfId="33442" xr:uid="{D7007E65-396C-4AD9-9F84-364D4D013BBE}"/>
    <cellStyle name="Normal 4 2 2 3 2 7 3 3" xfId="42741" xr:uid="{A00101D9-B389-4C85-888E-952B8E23C550}"/>
    <cellStyle name="Normal 4 2 2 3 2 7 3 4" xfId="24143" xr:uid="{BAA0337A-21E4-4B8C-A1F3-3CC61F6AB992}"/>
    <cellStyle name="Normal 4 2 2 3 2 7 4" xfId="11479" xr:uid="{16F6FCBC-153C-4E27-B9A1-2E71D189F36A}"/>
    <cellStyle name="Normal 4 2 2 3 2 7 4 2" xfId="47821" xr:uid="{11B8823E-00AB-4E39-AECA-759A89DFDF57}"/>
    <cellStyle name="Normal 4 2 2 3 2 7 4 3" xfId="29225" xr:uid="{5B5F992D-E36E-4F1C-855E-8599242EA239}"/>
    <cellStyle name="Normal 4 2 2 3 2 7 5" xfId="38524" xr:uid="{BC1F1840-08DA-4586-8813-A17D041FAE73}"/>
    <cellStyle name="Normal 4 2 2 3 2 7 6" xfId="19926" xr:uid="{A26DD75D-0E5F-4EE5-BA2E-9D4B3FD1817E}"/>
    <cellStyle name="Normal 4 2 2 3 2 8" xfId="2500" xr:uid="{00000000-0005-0000-0000-000041120000}"/>
    <cellStyle name="Normal 4 2 2 3 2 8 2" xfId="6783" xr:uid="{00000000-0005-0000-0000-000042120000}"/>
    <cellStyle name="Normal 4 2 2 3 2 8 2 2" xfId="16109" xr:uid="{A985D763-70C8-47B1-AB17-1AFB32BE7E97}"/>
    <cellStyle name="Normal 4 2 2 3 2 8 2 2 2" xfId="52451" xr:uid="{1D85CDEA-323F-44C6-9EAF-EFF2D79B6512}"/>
    <cellStyle name="Normal 4 2 2 3 2 8 2 2 3" xfId="33855" xr:uid="{BB44411F-BA8C-49C2-AE8A-BE7E83D1DC32}"/>
    <cellStyle name="Normal 4 2 2 3 2 8 2 3" xfId="43154" xr:uid="{511D42CF-FE25-4EB3-992B-505B7D428CA1}"/>
    <cellStyle name="Normal 4 2 2 3 2 8 2 4" xfId="24556" xr:uid="{6A917D4A-0465-4763-BA3B-6E964C6E3751}"/>
    <cellStyle name="Normal 4 2 2 3 2 8 3" xfId="11892" xr:uid="{674AEC49-25E4-4713-A27C-BB5D87D10E48}"/>
    <cellStyle name="Normal 4 2 2 3 2 8 3 2" xfId="48234" xr:uid="{F82B0E9F-8A08-48D5-8891-F4A114D4CFF4}"/>
    <cellStyle name="Normal 4 2 2 3 2 8 3 3" xfId="29638" xr:uid="{A5085856-6500-437D-A862-1E69344D2722}"/>
    <cellStyle name="Normal 4 2 2 3 2 8 4" xfId="38937" xr:uid="{7015F15D-39F2-4092-A777-F34FA2791691}"/>
    <cellStyle name="Normal 4 2 2 3 2 8 5" xfId="20339" xr:uid="{59168E9E-171F-4047-80D8-C5966C5DEBFB}"/>
    <cellStyle name="Normal 4 2 2 3 2 9" xfId="4718" xr:uid="{00000000-0005-0000-0000-000043120000}"/>
    <cellStyle name="Normal 4 2 2 3 2 9 2" xfId="14044" xr:uid="{18B49BAD-C62F-4263-ACE5-74723BDCB607}"/>
    <cellStyle name="Normal 4 2 2 3 2 9 2 2" xfId="50386" xr:uid="{437E0A64-CC6E-45E4-93AB-157D2D5DA099}"/>
    <cellStyle name="Normal 4 2 2 3 2 9 2 3" xfId="31790" xr:uid="{7B280067-F452-4060-8561-00F96FD5BFE4}"/>
    <cellStyle name="Normal 4 2 2 3 2 9 3" xfId="41089" xr:uid="{7B784909-55B2-4151-B643-5B321C29AA12}"/>
    <cellStyle name="Normal 4 2 2 3 2 9 4" xfId="22491" xr:uid="{4DAF3AC0-E3BA-4A37-853C-6A82B63CA8A6}"/>
    <cellStyle name="Normal 4 2 2 3 3" xfId="344" xr:uid="{00000000-0005-0000-0000-000044120000}"/>
    <cellStyle name="Normal 4 2 2 3 3 10" xfId="9831" xr:uid="{59E244A4-834A-4272-B9C7-31E7EBB1BD7B}"/>
    <cellStyle name="Normal 4 2 2 3 3 10 2" xfId="46173" xr:uid="{11C6C0ED-AAF0-4E54-AF53-0FD3E1670C48}"/>
    <cellStyle name="Normal 4 2 2 3 3 10 3" xfId="27577" xr:uid="{0F978EB0-62F1-41C3-9CF7-4153D77B5301}"/>
    <cellStyle name="Normal 4 2 2 3 3 11" xfId="36876" xr:uid="{57605E7E-2375-44E6-97E7-A4C054B90C29}"/>
    <cellStyle name="Normal 4 2 2 3 3 12" xfId="18278" xr:uid="{B32A194A-D068-4501-A179-BC1F27B242B2}"/>
    <cellStyle name="Normal 4 2 2 3 3 2" xfId="345" xr:uid="{00000000-0005-0000-0000-000045120000}"/>
    <cellStyle name="Normal 4 2 2 3 3 2 10" xfId="36877" xr:uid="{5346540E-84CF-4B50-ADB6-4F7B96B5E648}"/>
    <cellStyle name="Normal 4 2 2 3 3 2 11" xfId="18279" xr:uid="{125ECBC6-6CEC-4EC3-B2D6-FF3448F171D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16607" xr:uid="{7BE71C90-8FF1-41F0-B5C8-FF0D7D4905F7}"/>
    <cellStyle name="Normal 4 2 2 3 3 2 2 2 2 2 2" xfId="52949" xr:uid="{53AD00A8-5C85-4DE7-B859-9699E223AB7A}"/>
    <cellStyle name="Normal 4 2 2 3 3 2 2 2 2 2 3" xfId="34353" xr:uid="{B6CB887B-9F69-42B2-BA8B-BA56D58BAF75}"/>
    <cellStyle name="Normal 4 2 2 3 3 2 2 2 2 3" xfId="43652" xr:uid="{2BCAB83F-3643-4611-9294-768ECD408DD3}"/>
    <cellStyle name="Normal 4 2 2 3 3 2 2 2 2 4" xfId="25054" xr:uid="{8FB73BC2-232D-4CDC-917C-13E1F91B5314}"/>
    <cellStyle name="Normal 4 2 2 3 3 2 2 2 3" xfId="12390" xr:uid="{F2D5BBCE-7E74-4DBD-AD18-F8A49E167D12}"/>
    <cellStyle name="Normal 4 2 2 3 3 2 2 2 3 2" xfId="48732" xr:uid="{2203C5D3-3070-423B-8FAB-DB6D2DC185ED}"/>
    <cellStyle name="Normal 4 2 2 3 3 2 2 2 3 3" xfId="30136" xr:uid="{6EC1EA9F-AF1D-4EFA-AE95-EE99104F63FC}"/>
    <cellStyle name="Normal 4 2 2 3 3 2 2 2 4" xfId="39435" xr:uid="{F043373A-5E65-4D6D-81A6-FB2AB9C64097}"/>
    <cellStyle name="Normal 4 2 2 3 3 2 2 2 5" xfId="20837" xr:uid="{777B1F81-6317-4051-9600-ED2F88B48A9F}"/>
    <cellStyle name="Normal 4 2 2 3 3 2 2 3" xfId="5136" xr:uid="{00000000-0005-0000-0000-000049120000}"/>
    <cellStyle name="Normal 4 2 2 3 3 2 2 3 2" xfId="14462" xr:uid="{8FDDBCBC-CEC5-4490-8432-4728917B8072}"/>
    <cellStyle name="Normal 4 2 2 3 3 2 2 3 2 2" xfId="50804" xr:uid="{EC869F36-3D53-4DFF-8FEA-35F463252FCB}"/>
    <cellStyle name="Normal 4 2 2 3 3 2 2 3 2 3" xfId="32208" xr:uid="{BAADF1E1-4386-4F79-9821-029B20EEA4CD}"/>
    <cellStyle name="Normal 4 2 2 3 3 2 2 3 3" xfId="41507" xr:uid="{EC80A3C2-161C-45D6-9B55-5119D9C68520}"/>
    <cellStyle name="Normal 4 2 2 3 3 2 2 3 4" xfId="22909" xr:uid="{9FA9F4F9-6B09-476D-91E3-D905A78FE01C}"/>
    <cellStyle name="Normal 4 2 2 3 3 2 2 4" xfId="9519" xr:uid="{FB4BBD6E-D73B-4ABD-8656-6C15D7932E02}"/>
    <cellStyle name="Normal 4 2 2 3 3 2 2 4 2" xfId="36580" xr:uid="{C81049E5-0A2E-49EA-AD1A-876E4F53E516}"/>
    <cellStyle name="Normal 4 2 2 3 3 2 2 4 2 2" xfId="55174" xr:uid="{803BD681-CFAA-41D4-B815-92E04746720E}"/>
    <cellStyle name="Normal 4 2 2 3 3 2 2 4 3" xfId="45877" xr:uid="{D4629ED0-63BF-48F5-BCCA-7EF1BD901546}"/>
    <cellStyle name="Normal 4 2 2 3 3 2 2 4 4" xfId="27281" xr:uid="{CBDC6348-1948-4763-9008-D05D0E024F1A}"/>
    <cellStyle name="Normal 4 2 2 3 3 2 2 5" xfId="10245" xr:uid="{406738AA-CC37-46BE-971B-528CE0545722}"/>
    <cellStyle name="Normal 4 2 2 3 3 2 2 5 2" xfId="46587" xr:uid="{ED8F9A10-FF87-470A-8360-CF9905179A89}"/>
    <cellStyle name="Normal 4 2 2 3 3 2 2 5 3" xfId="27991" xr:uid="{13953888-C9FC-4209-8D8A-C5F312B84C62}"/>
    <cellStyle name="Normal 4 2 2 3 3 2 2 6" xfId="37290" xr:uid="{2154E301-E4D1-4ACD-8787-8B5DF0E087DE}"/>
    <cellStyle name="Normal 4 2 2 3 3 2 2 7" xfId="18692" xr:uid="{D5F13030-C4DB-4212-8707-DF171223B0C5}"/>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17020" xr:uid="{4F8A001C-3FBA-483F-A815-B91D28768E29}"/>
    <cellStyle name="Normal 4 2 2 3 3 2 3 2 2 2 2" xfId="53362" xr:uid="{80CBA0ED-533F-466E-BBCB-54818619166F}"/>
    <cellStyle name="Normal 4 2 2 3 3 2 3 2 2 2 3" xfId="34766" xr:uid="{844A07CD-59D1-4EFB-A9D2-20F77A677804}"/>
    <cellStyle name="Normal 4 2 2 3 3 2 3 2 2 3" xfId="44065" xr:uid="{BB4DBF8E-74A9-4C0B-8C56-6BDD5C4A2091}"/>
    <cellStyle name="Normal 4 2 2 3 3 2 3 2 2 4" xfId="25467" xr:uid="{6066561E-40CA-4778-92FA-BA1B6A52FBE2}"/>
    <cellStyle name="Normal 4 2 2 3 3 2 3 2 3" xfId="12803" xr:uid="{AB818AB5-A208-4AA3-A60C-8D5A9F57DACE}"/>
    <cellStyle name="Normal 4 2 2 3 3 2 3 2 3 2" xfId="49145" xr:uid="{716ED4BB-571A-4B13-A4E8-A552DE0F036D}"/>
    <cellStyle name="Normal 4 2 2 3 3 2 3 2 3 3" xfId="30549" xr:uid="{0050C6FB-F40F-41C4-9A48-9C9957F50ED1}"/>
    <cellStyle name="Normal 4 2 2 3 3 2 3 2 4" xfId="39848" xr:uid="{61FEF25D-9638-440A-BA4B-9D7B844BCA3A}"/>
    <cellStyle name="Normal 4 2 2 3 3 2 3 2 5" xfId="21250" xr:uid="{723422A2-0E76-49D3-AAF3-384212B136A1}"/>
    <cellStyle name="Normal 4 2 2 3 3 2 3 3" xfId="5549" xr:uid="{00000000-0005-0000-0000-00004D120000}"/>
    <cellStyle name="Normal 4 2 2 3 3 2 3 3 2" xfId="14875" xr:uid="{4219AA44-5490-4756-AA8A-5D1C059032AB}"/>
    <cellStyle name="Normal 4 2 2 3 3 2 3 3 2 2" xfId="51217" xr:uid="{88889065-08DE-43DE-B6E1-73572C52E0B4}"/>
    <cellStyle name="Normal 4 2 2 3 3 2 3 3 2 3" xfId="32621" xr:uid="{71D017DF-26B7-4296-9CA4-EE2A29B1D1DE}"/>
    <cellStyle name="Normal 4 2 2 3 3 2 3 3 3" xfId="41920" xr:uid="{4880DF89-B6B4-4CB3-AABA-706E5A79546E}"/>
    <cellStyle name="Normal 4 2 2 3 3 2 3 3 4" xfId="23322" xr:uid="{39D10B98-26E0-4692-9338-7DEFBE07E645}"/>
    <cellStyle name="Normal 4 2 2 3 3 2 3 4" xfId="10658" xr:uid="{C970BFD6-3C32-4920-BAA4-D2574382C661}"/>
    <cellStyle name="Normal 4 2 2 3 3 2 3 4 2" xfId="47000" xr:uid="{B1FC5BCA-FE61-4477-9E5A-D5EC5881170E}"/>
    <cellStyle name="Normal 4 2 2 3 3 2 3 4 3" xfId="28404" xr:uid="{7DCEE8E2-B651-4066-846B-E982395DB73E}"/>
    <cellStyle name="Normal 4 2 2 3 3 2 3 5" xfId="37703" xr:uid="{9234F612-87A3-4040-A47C-3681D9E4858F}"/>
    <cellStyle name="Normal 4 2 2 3 3 2 3 6" xfId="19105" xr:uid="{751E1BD3-96D5-4FA9-867F-9E0DD72D1044}"/>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17433" xr:uid="{BD9FEF65-67EE-4550-9DB1-4AB7D1BE66B9}"/>
    <cellStyle name="Normal 4 2 2 3 3 2 4 2 2 2 2" xfId="53775" xr:uid="{7E906444-27A0-494A-B51C-9FF9D9C33BEC}"/>
    <cellStyle name="Normal 4 2 2 3 3 2 4 2 2 2 3" xfId="35179" xr:uid="{5C3C8256-43C2-42D9-89CE-0CBC251A0962}"/>
    <cellStyle name="Normal 4 2 2 3 3 2 4 2 2 3" xfId="44478" xr:uid="{2087B0B4-A816-4FBC-B4F1-D6BDF85A4CD6}"/>
    <cellStyle name="Normal 4 2 2 3 3 2 4 2 2 4" xfId="25880" xr:uid="{065A775B-9B9E-434B-ACC5-21E0436FBDC0}"/>
    <cellStyle name="Normal 4 2 2 3 3 2 4 2 3" xfId="13216" xr:uid="{5C4A82E9-3F46-4E1F-BC11-576333FB7AA2}"/>
    <cellStyle name="Normal 4 2 2 3 3 2 4 2 3 2" xfId="49558" xr:uid="{030A8C1F-F8E8-4190-9127-2B920281076D}"/>
    <cellStyle name="Normal 4 2 2 3 3 2 4 2 3 3" xfId="30962" xr:uid="{32E206F1-6DB9-4C8B-AD17-5F58020CF80B}"/>
    <cellStyle name="Normal 4 2 2 3 3 2 4 2 4" xfId="40261" xr:uid="{3665FC48-CFE3-4EC3-974B-EA58507809B2}"/>
    <cellStyle name="Normal 4 2 2 3 3 2 4 2 5" xfId="21663" xr:uid="{77959EE0-1530-4418-AC24-198CC80C6E53}"/>
    <cellStyle name="Normal 4 2 2 3 3 2 4 3" xfId="5962" xr:uid="{00000000-0005-0000-0000-000051120000}"/>
    <cellStyle name="Normal 4 2 2 3 3 2 4 3 2" xfId="15288" xr:uid="{F74850CF-6B83-49A7-8F25-5DFFDFD56D08}"/>
    <cellStyle name="Normal 4 2 2 3 3 2 4 3 2 2" xfId="51630" xr:uid="{835259C1-D2CB-4728-BDB0-7C8D57649A9A}"/>
    <cellStyle name="Normal 4 2 2 3 3 2 4 3 2 3" xfId="33034" xr:uid="{588B3693-E81F-431A-8087-37B54BF63C1C}"/>
    <cellStyle name="Normal 4 2 2 3 3 2 4 3 3" xfId="42333" xr:uid="{DE43E70C-6BEE-4185-B1E0-DBF2F1F19004}"/>
    <cellStyle name="Normal 4 2 2 3 3 2 4 3 4" xfId="23735" xr:uid="{4B618D55-9E4F-46F6-9A25-BBA43E8D5046}"/>
    <cellStyle name="Normal 4 2 2 3 3 2 4 4" xfId="11071" xr:uid="{B5C7B224-901A-4AA6-9237-3E64B36A116F}"/>
    <cellStyle name="Normal 4 2 2 3 3 2 4 4 2" xfId="47413" xr:uid="{C6722297-E83F-4261-A5FB-86A03A0DF358}"/>
    <cellStyle name="Normal 4 2 2 3 3 2 4 4 3" xfId="28817" xr:uid="{060E36B3-178F-424B-9C01-5964613B6D5B}"/>
    <cellStyle name="Normal 4 2 2 3 3 2 4 5" xfId="38116" xr:uid="{B0248BB3-3899-4AC3-BF37-2A042CE6CB62}"/>
    <cellStyle name="Normal 4 2 2 3 3 2 4 6" xfId="19518" xr:uid="{2FC7CE8C-13B5-4CA9-B2D4-75455B807EA1}"/>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17846" xr:uid="{7F8B0936-374A-475A-AAD2-A8614040D08E}"/>
    <cellStyle name="Normal 4 2 2 3 3 2 5 2 2 2 2" xfId="54188" xr:uid="{D404E8B9-A8E4-4225-AA76-270F12DA8CE6}"/>
    <cellStyle name="Normal 4 2 2 3 3 2 5 2 2 2 3" xfId="35592" xr:uid="{C74C0B02-83AE-4239-9A91-A7A26A415601}"/>
    <cellStyle name="Normal 4 2 2 3 3 2 5 2 2 3" xfId="44891" xr:uid="{66F7AA52-9BFA-4B24-BC5E-774226F06715}"/>
    <cellStyle name="Normal 4 2 2 3 3 2 5 2 2 4" xfId="26293" xr:uid="{88D1DB65-7B42-4317-9884-40725AE6FC68}"/>
    <cellStyle name="Normal 4 2 2 3 3 2 5 2 3" xfId="13629" xr:uid="{A5918E4C-6D3D-44B8-941C-DBE0EA73B702}"/>
    <cellStyle name="Normal 4 2 2 3 3 2 5 2 3 2" xfId="49971" xr:uid="{59D5A3C6-6AFB-4266-94A4-9BCBEC23457E}"/>
    <cellStyle name="Normal 4 2 2 3 3 2 5 2 3 3" xfId="31375" xr:uid="{95C9BA12-4E86-4F40-951B-02D13D6A6BEA}"/>
    <cellStyle name="Normal 4 2 2 3 3 2 5 2 4" xfId="40674" xr:uid="{A5992AC1-8E62-4E45-ACD2-A90BFB5B84A5}"/>
    <cellStyle name="Normal 4 2 2 3 3 2 5 2 5" xfId="22076" xr:uid="{000FE2CF-9952-47BB-8B25-2363567A185C}"/>
    <cellStyle name="Normal 4 2 2 3 3 2 5 3" xfId="6375" xr:uid="{00000000-0005-0000-0000-000055120000}"/>
    <cellStyle name="Normal 4 2 2 3 3 2 5 3 2" xfId="15701" xr:uid="{DD501D19-A165-4DA1-A32D-7B9C12895016}"/>
    <cellStyle name="Normal 4 2 2 3 3 2 5 3 2 2" xfId="52043" xr:uid="{ACEFBFF7-5ADF-4BFC-A08C-48CF2E690E29}"/>
    <cellStyle name="Normal 4 2 2 3 3 2 5 3 2 3" xfId="33447" xr:uid="{15FFB89A-7102-4FE5-BD0A-949541A46AE8}"/>
    <cellStyle name="Normal 4 2 2 3 3 2 5 3 3" xfId="42746" xr:uid="{ED7B0421-A196-413D-8630-657C88E01C72}"/>
    <cellStyle name="Normal 4 2 2 3 3 2 5 3 4" xfId="24148" xr:uid="{4A288127-0497-459E-BADE-7197F3665247}"/>
    <cellStyle name="Normal 4 2 2 3 3 2 5 4" xfId="11484" xr:uid="{56A43270-4FDF-4A1F-9F1D-14273C68D952}"/>
    <cellStyle name="Normal 4 2 2 3 3 2 5 4 2" xfId="47826" xr:uid="{F62E00B8-55F7-47F8-8C0E-F3CBBFE8410C}"/>
    <cellStyle name="Normal 4 2 2 3 3 2 5 4 3" xfId="29230" xr:uid="{5F77A71C-1FF2-48ED-9F9A-C639B46DE4C4}"/>
    <cellStyle name="Normal 4 2 2 3 3 2 5 5" xfId="38529" xr:uid="{186276D1-231B-43AB-8F21-763F95671F6D}"/>
    <cellStyle name="Normal 4 2 2 3 3 2 5 6" xfId="19931" xr:uid="{F1264B49-BEB3-4858-B15A-939384CF17F2}"/>
    <cellStyle name="Normal 4 2 2 3 3 2 6" xfId="2505" xr:uid="{00000000-0005-0000-0000-000056120000}"/>
    <cellStyle name="Normal 4 2 2 3 3 2 6 2" xfId="6788" xr:uid="{00000000-0005-0000-0000-000057120000}"/>
    <cellStyle name="Normal 4 2 2 3 3 2 6 2 2" xfId="16114" xr:uid="{4E766E36-7B13-4A65-B3EB-0EC7B1EC8116}"/>
    <cellStyle name="Normal 4 2 2 3 3 2 6 2 2 2" xfId="52456" xr:uid="{08AC9863-E889-462E-BD29-D2CDD156C354}"/>
    <cellStyle name="Normal 4 2 2 3 3 2 6 2 2 3" xfId="33860" xr:uid="{71DA3667-085C-4BA7-87DB-35F8C53B229F}"/>
    <cellStyle name="Normal 4 2 2 3 3 2 6 2 3" xfId="43159" xr:uid="{D52AA584-01CE-4180-861E-9C8D4B35273D}"/>
    <cellStyle name="Normal 4 2 2 3 3 2 6 2 4" xfId="24561" xr:uid="{00AC4849-A911-4685-A2C2-5723B8ED9028}"/>
    <cellStyle name="Normal 4 2 2 3 3 2 6 3" xfId="11897" xr:uid="{4D56AE32-00E1-40E1-8B73-3FDAB8488800}"/>
    <cellStyle name="Normal 4 2 2 3 3 2 6 3 2" xfId="48239" xr:uid="{3FCE9DE1-E504-4C68-AE19-267BC7D42383}"/>
    <cellStyle name="Normal 4 2 2 3 3 2 6 3 3" xfId="29643" xr:uid="{16DE40A9-984F-4739-8C31-62F1A264BBE6}"/>
    <cellStyle name="Normal 4 2 2 3 3 2 6 4" xfId="38942" xr:uid="{CCBB0285-6944-4276-B6F2-84FA7145D554}"/>
    <cellStyle name="Normal 4 2 2 3 3 2 6 5" xfId="20344" xr:uid="{529C0A46-7D9C-4045-BE9C-55EA286D156A}"/>
    <cellStyle name="Normal 4 2 2 3 3 2 7" xfId="4723" xr:uid="{00000000-0005-0000-0000-000058120000}"/>
    <cellStyle name="Normal 4 2 2 3 3 2 7 2" xfId="14049" xr:uid="{892652F5-2F94-4126-AE36-4F1364969DC6}"/>
    <cellStyle name="Normal 4 2 2 3 3 2 7 2 2" xfId="50391" xr:uid="{1A955AB4-4BE9-4977-B6D8-0007228AE115}"/>
    <cellStyle name="Normal 4 2 2 3 3 2 7 2 3" xfId="31795" xr:uid="{E1F540F6-0FB5-47CB-BC6B-9C780B8F8BFC}"/>
    <cellStyle name="Normal 4 2 2 3 3 2 7 3" xfId="41094" xr:uid="{B14F93EB-CE3E-4C12-85E8-F24C29003334}"/>
    <cellStyle name="Normal 4 2 2 3 3 2 7 4" xfId="22496" xr:uid="{E90B0A59-8923-4495-B9D1-6F12F9BAB79B}"/>
    <cellStyle name="Normal 4 2 2 3 3 2 8" xfId="9094" xr:uid="{1333D468-E252-4686-88C1-38A56B910A8E}"/>
    <cellStyle name="Normal 4 2 2 3 3 2 8 2" xfId="36164" xr:uid="{9855D699-6D86-4ED0-BD1E-1766604471F1}"/>
    <cellStyle name="Normal 4 2 2 3 3 2 8 2 2" xfId="54759" xr:uid="{6ABD82CD-92AB-488B-B7F2-00ACBFBAC973}"/>
    <cellStyle name="Normal 4 2 2 3 3 2 8 3" xfId="45462" xr:uid="{56EB2B35-1ADD-4564-80D1-B18E0D7DA023}"/>
    <cellStyle name="Normal 4 2 2 3 3 2 8 4" xfId="26865" xr:uid="{1738FAF2-0BC2-4DE8-932A-AAF0D6B7D920}"/>
    <cellStyle name="Normal 4 2 2 3 3 2 9" xfId="9832" xr:uid="{A1242061-CF0F-4EE5-BD79-AF184232104B}"/>
    <cellStyle name="Normal 4 2 2 3 3 2 9 2" xfId="46174" xr:uid="{760A4275-2014-4AA8-A1FE-7237BBF06838}"/>
    <cellStyle name="Normal 4 2 2 3 3 2 9 3" xfId="27578" xr:uid="{EA35FF19-AC5D-4548-A601-8D5439E30F27}"/>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16606" xr:uid="{BFB99890-50A4-4C4B-A462-8CC886A4431E}"/>
    <cellStyle name="Normal 4 2 2 3 3 3 2 2 2 2" xfId="52948" xr:uid="{4B61AD44-A23E-4B84-A33B-D8E25A0DE21C}"/>
    <cellStyle name="Normal 4 2 2 3 3 3 2 2 2 3" xfId="34352" xr:uid="{AEEF73C3-DE6D-4A70-A495-A4F19AF8521E}"/>
    <cellStyle name="Normal 4 2 2 3 3 3 2 2 3" xfId="43651" xr:uid="{BA93D73C-2950-46B8-8E15-975B6B384DFB}"/>
    <cellStyle name="Normal 4 2 2 3 3 3 2 2 4" xfId="25053" xr:uid="{85C60CFE-FC42-41C1-AABB-BEA0BCA3CAB7}"/>
    <cellStyle name="Normal 4 2 2 3 3 3 2 3" xfId="12389" xr:uid="{4B49021D-923E-4454-B616-8777D7F17751}"/>
    <cellStyle name="Normal 4 2 2 3 3 3 2 3 2" xfId="48731" xr:uid="{8F5FC208-84BA-4E37-99FD-3556E798737A}"/>
    <cellStyle name="Normal 4 2 2 3 3 3 2 3 3" xfId="30135" xr:uid="{78BF11FC-6BA4-4EBD-8D05-9DBD50DBD110}"/>
    <cellStyle name="Normal 4 2 2 3 3 3 2 4" xfId="39434" xr:uid="{CA27FDDE-12F0-4541-B57F-28931014320A}"/>
    <cellStyle name="Normal 4 2 2 3 3 3 2 5" xfId="20836" xr:uid="{62C04920-EA52-44FE-8330-61165D76CD2B}"/>
    <cellStyle name="Normal 4 2 2 3 3 3 3" xfId="5135" xr:uid="{00000000-0005-0000-0000-00005C120000}"/>
    <cellStyle name="Normal 4 2 2 3 3 3 3 2" xfId="14461" xr:uid="{2647434F-EF9B-423C-A2AB-2036A2E91010}"/>
    <cellStyle name="Normal 4 2 2 3 3 3 3 2 2" xfId="50803" xr:uid="{C5BCCC60-025B-4172-B8E9-1BA2F0A46E2D}"/>
    <cellStyle name="Normal 4 2 2 3 3 3 3 2 3" xfId="32207" xr:uid="{8448DB5E-9E68-4847-8456-80B3AB973687}"/>
    <cellStyle name="Normal 4 2 2 3 3 3 3 3" xfId="41506" xr:uid="{FA55B85F-3B3F-4E08-8523-F04C18ED271E}"/>
    <cellStyle name="Normal 4 2 2 3 3 3 3 4" xfId="22908" xr:uid="{61946E9C-742B-46CB-AB6F-607C5647963F}"/>
    <cellStyle name="Normal 4 2 2 3 3 3 4" xfId="9312" xr:uid="{0065946C-778C-4913-8F8B-68BBB1A30769}"/>
    <cellStyle name="Normal 4 2 2 3 3 3 4 2" xfId="36373" xr:uid="{EC29903E-46DE-4D24-A032-31FD2E523DA1}"/>
    <cellStyle name="Normal 4 2 2 3 3 3 4 2 2" xfId="54967" xr:uid="{BED1F931-7DED-43C2-95A8-BF280A5376FA}"/>
    <cellStyle name="Normal 4 2 2 3 3 3 4 3" xfId="45670" xr:uid="{E2681508-C046-4AFD-A2C9-A3A001025777}"/>
    <cellStyle name="Normal 4 2 2 3 3 3 4 4" xfId="27074" xr:uid="{A8257E31-9CBA-4054-8F65-B42A910D034C}"/>
    <cellStyle name="Normal 4 2 2 3 3 3 5" xfId="10244" xr:uid="{0FD28F10-7CCD-4CB6-9E87-616BF619ACDA}"/>
    <cellStyle name="Normal 4 2 2 3 3 3 5 2" xfId="46586" xr:uid="{4577133C-177B-4877-84FE-5162C006F9E2}"/>
    <cellStyle name="Normal 4 2 2 3 3 3 5 3" xfId="27990" xr:uid="{DE9EBA55-872C-44CC-BA17-7AE04DF4DC2E}"/>
    <cellStyle name="Normal 4 2 2 3 3 3 6" xfId="37289" xr:uid="{77D704A1-C3CC-4F3A-8DD3-705B7089183B}"/>
    <cellStyle name="Normal 4 2 2 3 3 3 7" xfId="18691" xr:uid="{C8502BC2-638E-4EF9-AF4C-7B1B9EC7A165}"/>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17019" xr:uid="{CDDD114E-9566-47CB-A1B7-D9E73C4A3E51}"/>
    <cellStyle name="Normal 4 2 2 3 3 4 2 2 2 2" xfId="53361" xr:uid="{F537C397-46ED-4638-9C6A-A3A79C670F4E}"/>
    <cellStyle name="Normal 4 2 2 3 3 4 2 2 2 3" xfId="34765" xr:uid="{29CE5340-219B-4972-8E0E-B8BAFC30C12F}"/>
    <cellStyle name="Normal 4 2 2 3 3 4 2 2 3" xfId="44064" xr:uid="{9F410FEE-7DB9-4B9B-B698-4F62E46DA2AF}"/>
    <cellStyle name="Normal 4 2 2 3 3 4 2 2 4" xfId="25466" xr:uid="{C3949DC5-950E-43D3-A1FE-754365D4AA68}"/>
    <cellStyle name="Normal 4 2 2 3 3 4 2 3" xfId="12802" xr:uid="{30231B85-A71C-4652-B169-7DC7F01DCDDA}"/>
    <cellStyle name="Normal 4 2 2 3 3 4 2 3 2" xfId="49144" xr:uid="{01AF2A92-27F7-4041-9959-484782EB4BFA}"/>
    <cellStyle name="Normal 4 2 2 3 3 4 2 3 3" xfId="30548" xr:uid="{2ADBC3F6-826D-4FCF-AA5A-75F1C2BC8024}"/>
    <cellStyle name="Normal 4 2 2 3 3 4 2 4" xfId="39847" xr:uid="{B7C361E6-6E33-4FD6-9829-AFB3B6C4B7E4}"/>
    <cellStyle name="Normal 4 2 2 3 3 4 2 5" xfId="21249" xr:uid="{0B1334C0-FB43-4F9C-8D02-E26E76210CA3}"/>
    <cellStyle name="Normal 4 2 2 3 3 4 3" xfId="5548" xr:uid="{00000000-0005-0000-0000-000060120000}"/>
    <cellStyle name="Normal 4 2 2 3 3 4 3 2" xfId="14874" xr:uid="{4D4F9868-D861-4639-95EB-04A916F80DB6}"/>
    <cellStyle name="Normal 4 2 2 3 3 4 3 2 2" xfId="51216" xr:uid="{EC905E71-1508-4946-85A2-711C5D41FDCC}"/>
    <cellStyle name="Normal 4 2 2 3 3 4 3 2 3" xfId="32620" xr:uid="{68195445-5C70-4F7E-9FF6-0831098219EB}"/>
    <cellStyle name="Normal 4 2 2 3 3 4 3 3" xfId="41919" xr:uid="{83D65B14-E6A2-4BEE-B9C1-59A59492A6A4}"/>
    <cellStyle name="Normal 4 2 2 3 3 4 3 4" xfId="23321" xr:uid="{5EFE1CC5-5084-4012-8F07-C27C29300705}"/>
    <cellStyle name="Normal 4 2 2 3 3 4 4" xfId="10657" xr:uid="{5A3DC20E-E4F9-4C4A-B7FA-4A2E6736F266}"/>
    <cellStyle name="Normal 4 2 2 3 3 4 4 2" xfId="46999" xr:uid="{659E4645-14DB-436A-862D-E986AB327D3E}"/>
    <cellStyle name="Normal 4 2 2 3 3 4 4 3" xfId="28403" xr:uid="{2E1C26FC-DB2A-4CBF-8C01-68486FFD7D30}"/>
    <cellStyle name="Normal 4 2 2 3 3 4 5" xfId="37702" xr:uid="{A6CF1D29-AB16-46FF-8714-04071F15D1DD}"/>
    <cellStyle name="Normal 4 2 2 3 3 4 6" xfId="19104" xr:uid="{51DA2605-D898-4DC5-B5F3-833DC7C2F801}"/>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17432" xr:uid="{BDBE4E52-BD4E-4F6E-A7BF-F12B3246CECC}"/>
    <cellStyle name="Normal 4 2 2 3 3 5 2 2 2 2" xfId="53774" xr:uid="{2FC0A1BB-C859-412C-94F0-DD7591852FD7}"/>
    <cellStyle name="Normal 4 2 2 3 3 5 2 2 2 3" xfId="35178" xr:uid="{02DAFBFE-F0C2-4E11-A941-24553448EBD2}"/>
    <cellStyle name="Normal 4 2 2 3 3 5 2 2 3" xfId="44477" xr:uid="{56C5FFC8-3058-4A3F-97C1-255D1FF356BB}"/>
    <cellStyle name="Normal 4 2 2 3 3 5 2 2 4" xfId="25879" xr:uid="{9FEE9577-97DB-45A0-974B-29CF710995CC}"/>
    <cellStyle name="Normal 4 2 2 3 3 5 2 3" xfId="13215" xr:uid="{69C50D77-403B-433D-B555-31DBFD009559}"/>
    <cellStyle name="Normal 4 2 2 3 3 5 2 3 2" xfId="49557" xr:uid="{0E6D4603-72A8-42BE-9CB1-C5F0EBA2C725}"/>
    <cellStyle name="Normal 4 2 2 3 3 5 2 3 3" xfId="30961" xr:uid="{1BB6E8C0-3731-487C-A98E-3C7103F7BB2D}"/>
    <cellStyle name="Normal 4 2 2 3 3 5 2 4" xfId="40260" xr:uid="{7B8FFA48-9B47-41EA-9420-C86FF6A1C318}"/>
    <cellStyle name="Normal 4 2 2 3 3 5 2 5" xfId="21662" xr:uid="{D4D2E367-26CD-42D6-8D8A-F0893FE48089}"/>
    <cellStyle name="Normal 4 2 2 3 3 5 3" xfId="5961" xr:uid="{00000000-0005-0000-0000-000064120000}"/>
    <cellStyle name="Normal 4 2 2 3 3 5 3 2" xfId="15287" xr:uid="{264C5FF7-BF8F-4D95-B00B-3832640FB7CD}"/>
    <cellStyle name="Normal 4 2 2 3 3 5 3 2 2" xfId="51629" xr:uid="{94CF510E-EB1C-4EB7-ADA6-226BD72100BF}"/>
    <cellStyle name="Normal 4 2 2 3 3 5 3 2 3" xfId="33033" xr:uid="{CADD7AA5-FF45-481E-95D6-6E16615B978B}"/>
    <cellStyle name="Normal 4 2 2 3 3 5 3 3" xfId="42332" xr:uid="{9F281EEC-2712-4D14-8DFD-6F5F551F7C1D}"/>
    <cellStyle name="Normal 4 2 2 3 3 5 3 4" xfId="23734" xr:uid="{CF7155BA-75CF-4991-8A89-8AFFCE577F47}"/>
    <cellStyle name="Normal 4 2 2 3 3 5 4" xfId="11070" xr:uid="{6482D1A7-51D6-44E9-BEA7-46E089D49238}"/>
    <cellStyle name="Normal 4 2 2 3 3 5 4 2" xfId="47412" xr:uid="{94C5190E-C720-4D8E-8870-B96BE57A0D56}"/>
    <cellStyle name="Normal 4 2 2 3 3 5 4 3" xfId="28816" xr:uid="{50155A01-AA6F-4745-A009-027947A50C2F}"/>
    <cellStyle name="Normal 4 2 2 3 3 5 5" xfId="38115" xr:uid="{27B43C13-B56E-4C68-A83B-DBB5ED375E2D}"/>
    <cellStyle name="Normal 4 2 2 3 3 5 6" xfId="19517" xr:uid="{C9523B9B-0642-4A65-AADE-CCA39D8797D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17845" xr:uid="{97F1406D-7FE4-48BE-8A97-FDD37B1CCAFB}"/>
    <cellStyle name="Normal 4 2 2 3 3 6 2 2 2 2" xfId="54187" xr:uid="{9F186FC1-A2E8-48C5-B72C-B13AFE4F0D43}"/>
    <cellStyle name="Normal 4 2 2 3 3 6 2 2 2 3" xfId="35591" xr:uid="{D5A5C156-EED0-41C3-80D2-3B00A383D0D0}"/>
    <cellStyle name="Normal 4 2 2 3 3 6 2 2 3" xfId="44890" xr:uid="{41736052-C0D0-4064-B42E-BEE3BEB2C419}"/>
    <cellStyle name="Normal 4 2 2 3 3 6 2 2 4" xfId="26292" xr:uid="{31F51C67-9F76-44BF-A8AE-82A52DE15BC3}"/>
    <cellStyle name="Normal 4 2 2 3 3 6 2 3" xfId="13628" xr:uid="{460539D5-DDF2-47DA-AE3D-F28745A8B6FA}"/>
    <cellStyle name="Normal 4 2 2 3 3 6 2 3 2" xfId="49970" xr:uid="{ABAA63E2-B08E-4142-8B89-D191F33A8700}"/>
    <cellStyle name="Normal 4 2 2 3 3 6 2 3 3" xfId="31374" xr:uid="{FDC87996-A2A0-492E-BB3D-61FE180A4D42}"/>
    <cellStyle name="Normal 4 2 2 3 3 6 2 4" xfId="40673" xr:uid="{3F1AE819-7E44-4F4B-A562-3CEA1697400B}"/>
    <cellStyle name="Normal 4 2 2 3 3 6 2 5" xfId="22075" xr:uid="{169F32AE-D06C-46D8-886A-91C6E7B838F5}"/>
    <cellStyle name="Normal 4 2 2 3 3 6 3" xfId="6374" xr:uid="{00000000-0005-0000-0000-000068120000}"/>
    <cellStyle name="Normal 4 2 2 3 3 6 3 2" xfId="15700" xr:uid="{B431D427-7B0D-4FED-9185-F06CA8E9987F}"/>
    <cellStyle name="Normal 4 2 2 3 3 6 3 2 2" xfId="52042" xr:uid="{8692CA39-5CAF-4528-9270-52EC856B98E3}"/>
    <cellStyle name="Normal 4 2 2 3 3 6 3 2 3" xfId="33446" xr:uid="{788EC720-ACDB-41EA-A829-0BDA1AC43D80}"/>
    <cellStyle name="Normal 4 2 2 3 3 6 3 3" xfId="42745" xr:uid="{7BF50C7E-F7F5-4132-93E7-67E0A1ED3584}"/>
    <cellStyle name="Normal 4 2 2 3 3 6 3 4" xfId="24147" xr:uid="{783B5664-D981-4419-BACE-9A887A3FEDF5}"/>
    <cellStyle name="Normal 4 2 2 3 3 6 4" xfId="11483" xr:uid="{9ADD83FF-95C3-4269-B305-31957C1D6576}"/>
    <cellStyle name="Normal 4 2 2 3 3 6 4 2" xfId="47825" xr:uid="{3C806F3F-A2DC-45DD-87A9-FB66C2513EAC}"/>
    <cellStyle name="Normal 4 2 2 3 3 6 4 3" xfId="29229" xr:uid="{24012290-F8E9-4840-92FC-F86F7A1DF107}"/>
    <cellStyle name="Normal 4 2 2 3 3 6 5" xfId="38528" xr:uid="{E8FCA323-0E67-4519-8B71-A4E71EDE3AA7}"/>
    <cellStyle name="Normal 4 2 2 3 3 6 6" xfId="19930" xr:uid="{2D0ACB0D-5A12-459E-BF26-1668FC57F1B1}"/>
    <cellStyle name="Normal 4 2 2 3 3 7" xfId="2504" xr:uid="{00000000-0005-0000-0000-000069120000}"/>
    <cellStyle name="Normal 4 2 2 3 3 7 2" xfId="6787" xr:uid="{00000000-0005-0000-0000-00006A120000}"/>
    <cellStyle name="Normal 4 2 2 3 3 7 2 2" xfId="16113" xr:uid="{CD14D88B-972B-42B9-93F9-1DD36BFFE6B3}"/>
    <cellStyle name="Normal 4 2 2 3 3 7 2 2 2" xfId="52455" xr:uid="{439DC9BB-DCDA-486B-9712-45D5A149B7FF}"/>
    <cellStyle name="Normal 4 2 2 3 3 7 2 2 3" xfId="33859" xr:uid="{9D740381-6F02-4551-A0AD-D8436143FE96}"/>
    <cellStyle name="Normal 4 2 2 3 3 7 2 3" xfId="43158" xr:uid="{6CC52AC2-972B-4081-998F-47D6BD4CC677}"/>
    <cellStyle name="Normal 4 2 2 3 3 7 2 4" xfId="24560" xr:uid="{B940CDD9-9931-404C-88E3-F1DDB25F9116}"/>
    <cellStyle name="Normal 4 2 2 3 3 7 3" xfId="11896" xr:uid="{C111870C-4DA7-4DA8-9B42-97070F9ACFDC}"/>
    <cellStyle name="Normal 4 2 2 3 3 7 3 2" xfId="48238" xr:uid="{C211C0F7-FFE4-4F47-98DA-AD65E83DE29C}"/>
    <cellStyle name="Normal 4 2 2 3 3 7 3 3" xfId="29642" xr:uid="{E6587437-E921-4AA3-B416-34075CE601B3}"/>
    <cellStyle name="Normal 4 2 2 3 3 7 4" xfId="38941" xr:uid="{A1CAD0F2-84C9-4076-A814-DDF98157900B}"/>
    <cellStyle name="Normal 4 2 2 3 3 7 5" xfId="20343" xr:uid="{356458D8-C1E4-43FA-987E-E78411EEFF59}"/>
    <cellStyle name="Normal 4 2 2 3 3 8" xfId="4722" xr:uid="{00000000-0005-0000-0000-00006B120000}"/>
    <cellStyle name="Normal 4 2 2 3 3 8 2" xfId="14048" xr:uid="{43F1C6BA-2364-4374-8EC9-534522CADA0A}"/>
    <cellStyle name="Normal 4 2 2 3 3 8 2 2" xfId="50390" xr:uid="{4755CEDF-DAEC-47A3-8CDA-CB24F5914818}"/>
    <cellStyle name="Normal 4 2 2 3 3 8 2 3" xfId="31794" xr:uid="{568F8F0E-0D32-4A0B-9D67-A21452961233}"/>
    <cellStyle name="Normal 4 2 2 3 3 8 3" xfId="41093" xr:uid="{13D582E1-FDCD-4F2F-99F6-29FCEB25F6D2}"/>
    <cellStyle name="Normal 4 2 2 3 3 8 4" xfId="22495" xr:uid="{1103238E-7C40-49CD-9B67-733D71550116}"/>
    <cellStyle name="Normal 4 2 2 3 3 9" xfId="8887" xr:uid="{FD79599D-FD4F-44F4-A7A6-B948A2C15DD2}"/>
    <cellStyle name="Normal 4 2 2 3 3 9 2" xfId="35957" xr:uid="{98A0C84A-469D-4F14-960B-5E568B304E47}"/>
    <cellStyle name="Normal 4 2 2 3 3 9 2 2" xfId="54552" xr:uid="{079DF0B2-BB7D-4147-831F-7ED81FCB5A91}"/>
    <cellStyle name="Normal 4 2 2 3 3 9 3" xfId="45255" xr:uid="{D3F59E74-0DE1-4511-9D1D-972ADFDA87F9}"/>
    <cellStyle name="Normal 4 2 2 3 3 9 4" xfId="26658" xr:uid="{AD70FC3B-BEC3-458B-93D0-177048DCC690}"/>
    <cellStyle name="Normal 4 2 2 3 4" xfId="346" xr:uid="{00000000-0005-0000-0000-00006C120000}"/>
    <cellStyle name="Normal 4 2 2 3 4 10" xfId="36878" xr:uid="{EB37C094-9692-4151-A18D-AE8D87F80DF9}"/>
    <cellStyle name="Normal 4 2 2 3 4 11" xfId="18280" xr:uid="{1C083E46-2DA2-4B8B-BB7A-11B34DF6C946}"/>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16608" xr:uid="{D0FC8FD3-3511-4604-9629-CE8FAE2ABF6A}"/>
    <cellStyle name="Normal 4 2 2 3 4 2 2 2 2 2" xfId="52950" xr:uid="{2E7692C8-9BC0-439C-B18A-DB6A04BC7AFC}"/>
    <cellStyle name="Normal 4 2 2 3 4 2 2 2 2 3" xfId="34354" xr:uid="{B7ADF3EB-ACBF-4799-BBED-9D1BBB9B1A52}"/>
    <cellStyle name="Normal 4 2 2 3 4 2 2 2 3" xfId="43653" xr:uid="{2C7B6CD5-1F9B-40B4-AB35-7664C36EB7BF}"/>
    <cellStyle name="Normal 4 2 2 3 4 2 2 2 4" xfId="25055" xr:uid="{4078391B-45C7-4B42-A24B-F3CECF3B41E2}"/>
    <cellStyle name="Normal 4 2 2 3 4 2 2 3" xfId="12391" xr:uid="{49C4D4DA-DD3B-4858-A595-01B4271833A1}"/>
    <cellStyle name="Normal 4 2 2 3 4 2 2 3 2" xfId="48733" xr:uid="{D7CB0207-B743-4891-8436-BAD683110892}"/>
    <cellStyle name="Normal 4 2 2 3 4 2 2 3 3" xfId="30137" xr:uid="{835DF686-17F4-417D-82D4-3B96E9FDC10B}"/>
    <cellStyle name="Normal 4 2 2 3 4 2 2 4" xfId="39436" xr:uid="{0D4682BA-C524-4049-ABDF-E936A7270003}"/>
    <cellStyle name="Normal 4 2 2 3 4 2 2 5" xfId="20838" xr:uid="{7109D76B-2E75-4267-ABC8-11802DB38F25}"/>
    <cellStyle name="Normal 4 2 2 3 4 2 3" xfId="5137" xr:uid="{00000000-0005-0000-0000-000070120000}"/>
    <cellStyle name="Normal 4 2 2 3 4 2 3 2" xfId="14463" xr:uid="{04D796CB-02A9-45CF-B5B5-8A56D9BEE883}"/>
    <cellStyle name="Normal 4 2 2 3 4 2 3 2 2" xfId="50805" xr:uid="{32B635E2-55D4-4815-BF52-20207EFDAA39}"/>
    <cellStyle name="Normal 4 2 2 3 4 2 3 2 3" xfId="32209" xr:uid="{2E32CB71-EEE6-490C-AD47-1859688A5483}"/>
    <cellStyle name="Normal 4 2 2 3 4 2 3 3" xfId="41508" xr:uid="{30AD23E4-31F4-4F2E-92F1-17E661E37F83}"/>
    <cellStyle name="Normal 4 2 2 3 4 2 3 4" xfId="22910" xr:uid="{F8B40285-C739-4D8B-B32F-E76EE08E35F2}"/>
    <cellStyle name="Normal 4 2 2 3 4 2 4" xfId="9416" xr:uid="{B0F1A5CD-0EDE-48A7-9669-6902681F696C}"/>
    <cellStyle name="Normal 4 2 2 3 4 2 4 2" xfId="36477" xr:uid="{54AD2F50-D1A9-452E-A86C-62076286ED18}"/>
    <cellStyle name="Normal 4 2 2 3 4 2 4 2 2" xfId="55071" xr:uid="{F39586C5-9EE0-4AB2-A9B1-57A7034E2E74}"/>
    <cellStyle name="Normal 4 2 2 3 4 2 4 3" xfId="45774" xr:uid="{54047DB5-4F1B-4D05-9048-5F30354D0C39}"/>
    <cellStyle name="Normal 4 2 2 3 4 2 4 4" xfId="27178" xr:uid="{175C8CD0-D092-404D-BF27-2362CA9322C5}"/>
    <cellStyle name="Normal 4 2 2 3 4 2 5" xfId="10246" xr:uid="{B35CB2D1-D917-4F45-8A71-F11FEB662454}"/>
    <cellStyle name="Normal 4 2 2 3 4 2 5 2" xfId="46588" xr:uid="{8AEB6294-949C-4EF3-A6D9-232B183DDC96}"/>
    <cellStyle name="Normal 4 2 2 3 4 2 5 3" xfId="27992" xr:uid="{EC9B37D0-FFE0-4607-9FA2-080EF61108E3}"/>
    <cellStyle name="Normal 4 2 2 3 4 2 6" xfId="37291" xr:uid="{9E4C9C7B-D1C5-479B-8E17-7A2A77A67B30}"/>
    <cellStyle name="Normal 4 2 2 3 4 2 7" xfId="18693" xr:uid="{E490CCD5-7176-4163-BE4F-E77839EA62DF}"/>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17021" xr:uid="{6AE34F6B-09AE-4309-B5CE-6000462D3DA3}"/>
    <cellStyle name="Normal 4 2 2 3 4 3 2 2 2 2" xfId="53363" xr:uid="{BC9280DB-C05C-4028-879B-AFC89934F956}"/>
    <cellStyle name="Normal 4 2 2 3 4 3 2 2 2 3" xfId="34767" xr:uid="{BB55BC2A-477C-48F1-8F6A-46907CAD02F7}"/>
    <cellStyle name="Normal 4 2 2 3 4 3 2 2 3" xfId="44066" xr:uid="{3599DEF5-E603-4886-8BC9-A1AB039F8609}"/>
    <cellStyle name="Normal 4 2 2 3 4 3 2 2 4" xfId="25468" xr:uid="{5C804E7B-7BA0-4168-8DE6-60A7CEC21615}"/>
    <cellStyle name="Normal 4 2 2 3 4 3 2 3" xfId="12804" xr:uid="{6CA734DC-48B6-490B-9FB7-F238D948A1F8}"/>
    <cellStyle name="Normal 4 2 2 3 4 3 2 3 2" xfId="49146" xr:uid="{8FCF5F66-83E1-4444-A472-0392C71B168E}"/>
    <cellStyle name="Normal 4 2 2 3 4 3 2 3 3" xfId="30550" xr:uid="{A0E5D709-ABD9-461E-9349-848B7547E46B}"/>
    <cellStyle name="Normal 4 2 2 3 4 3 2 4" xfId="39849" xr:uid="{E96578BA-629F-4FDF-8BC5-470B4F82C5D6}"/>
    <cellStyle name="Normal 4 2 2 3 4 3 2 5" xfId="21251" xr:uid="{23263AF0-0288-47CA-BFE8-4B11E8331BA4}"/>
    <cellStyle name="Normal 4 2 2 3 4 3 3" xfId="5550" xr:uid="{00000000-0005-0000-0000-000074120000}"/>
    <cellStyle name="Normal 4 2 2 3 4 3 3 2" xfId="14876" xr:uid="{A4C67375-C26B-4073-8773-45A35F3A5848}"/>
    <cellStyle name="Normal 4 2 2 3 4 3 3 2 2" xfId="51218" xr:uid="{5E9DE022-DBDE-413B-ABE9-78E00D25DB94}"/>
    <cellStyle name="Normal 4 2 2 3 4 3 3 2 3" xfId="32622" xr:uid="{4B97FBE9-2209-410D-8586-125071A5B9F4}"/>
    <cellStyle name="Normal 4 2 2 3 4 3 3 3" xfId="41921" xr:uid="{109D35AC-8CBC-4B9E-BFDB-890188B9A91D}"/>
    <cellStyle name="Normal 4 2 2 3 4 3 3 4" xfId="23323" xr:uid="{95B21053-7CF7-4D71-BB1B-E6C51F7C840D}"/>
    <cellStyle name="Normal 4 2 2 3 4 3 4" xfId="10659" xr:uid="{F595F0DD-DAA1-4A3C-B4AC-EEB807B921FE}"/>
    <cellStyle name="Normal 4 2 2 3 4 3 4 2" xfId="47001" xr:uid="{F9E58130-A91F-427C-986D-3B4D8170285F}"/>
    <cellStyle name="Normal 4 2 2 3 4 3 4 3" xfId="28405" xr:uid="{67D940E4-6638-4698-B050-FFFFCF162DB5}"/>
    <cellStyle name="Normal 4 2 2 3 4 3 5" xfId="37704" xr:uid="{3E17975B-0588-41B0-8ECC-FFD3F09225AD}"/>
    <cellStyle name="Normal 4 2 2 3 4 3 6" xfId="19106" xr:uid="{C03811A6-4F9F-4884-B7D0-CE7B1FFDDE19}"/>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17434" xr:uid="{75BF6EE3-0306-46B1-AA8E-05CBE9948FFD}"/>
    <cellStyle name="Normal 4 2 2 3 4 4 2 2 2 2" xfId="53776" xr:uid="{58989799-77F8-4692-9988-8928142D489D}"/>
    <cellStyle name="Normal 4 2 2 3 4 4 2 2 2 3" xfId="35180" xr:uid="{D48F8284-BE75-44E5-8D68-AA4F196593C7}"/>
    <cellStyle name="Normal 4 2 2 3 4 4 2 2 3" xfId="44479" xr:uid="{89FE9343-B875-4BE0-A939-05949FC5EA89}"/>
    <cellStyle name="Normal 4 2 2 3 4 4 2 2 4" xfId="25881" xr:uid="{BFDD4D56-3764-4337-BF2B-5869BD637F46}"/>
    <cellStyle name="Normal 4 2 2 3 4 4 2 3" xfId="13217" xr:uid="{D04FC9A5-3495-4320-AE2F-AFA18CCDAEE4}"/>
    <cellStyle name="Normal 4 2 2 3 4 4 2 3 2" xfId="49559" xr:uid="{468F723A-FA44-4DD2-A9DA-1CA42ADBC79A}"/>
    <cellStyle name="Normal 4 2 2 3 4 4 2 3 3" xfId="30963" xr:uid="{B9A633FC-B5A7-4977-809C-A4C8DD51CB5D}"/>
    <cellStyle name="Normal 4 2 2 3 4 4 2 4" xfId="40262" xr:uid="{BB314691-F569-4D72-B26D-91B03E0F20B3}"/>
    <cellStyle name="Normal 4 2 2 3 4 4 2 5" xfId="21664" xr:uid="{5F7C2264-E947-4E74-B447-BF6014A1420D}"/>
    <cellStyle name="Normal 4 2 2 3 4 4 3" xfId="5963" xr:uid="{00000000-0005-0000-0000-000078120000}"/>
    <cellStyle name="Normal 4 2 2 3 4 4 3 2" xfId="15289" xr:uid="{DAE557A6-2797-48DD-AE03-3D747C09E85F}"/>
    <cellStyle name="Normal 4 2 2 3 4 4 3 2 2" xfId="51631" xr:uid="{A060C7D6-1028-4018-8BDC-3785377D0EF0}"/>
    <cellStyle name="Normal 4 2 2 3 4 4 3 2 3" xfId="33035" xr:uid="{E32C61A3-2602-45B1-AA9E-EAD8E20E3996}"/>
    <cellStyle name="Normal 4 2 2 3 4 4 3 3" xfId="42334" xr:uid="{5B4D6355-094C-4151-9D5E-A662D8D6BD42}"/>
    <cellStyle name="Normal 4 2 2 3 4 4 3 4" xfId="23736" xr:uid="{D7AB5BD4-5605-4124-B2CE-735674DB6FD2}"/>
    <cellStyle name="Normal 4 2 2 3 4 4 4" xfId="11072" xr:uid="{E80208AE-9AEB-4061-AB54-1FD40B528335}"/>
    <cellStyle name="Normal 4 2 2 3 4 4 4 2" xfId="47414" xr:uid="{F56660E3-FE2D-4A50-9363-BE028A513B04}"/>
    <cellStyle name="Normal 4 2 2 3 4 4 4 3" xfId="28818" xr:uid="{0D23F5DA-DE41-4E4B-AEAA-9EFE57CD3C59}"/>
    <cellStyle name="Normal 4 2 2 3 4 4 5" xfId="38117" xr:uid="{36927F18-85A6-4B06-B531-C9AFA4B87120}"/>
    <cellStyle name="Normal 4 2 2 3 4 4 6" xfId="19519" xr:uid="{C2723DE4-5F39-43AA-8EAA-B18130220B9F}"/>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17847" xr:uid="{FF25129B-74CD-4329-8D1C-69EED84A4A08}"/>
    <cellStyle name="Normal 4 2 2 3 4 5 2 2 2 2" xfId="54189" xr:uid="{854B648D-E222-4044-A021-38F153BD8EB3}"/>
    <cellStyle name="Normal 4 2 2 3 4 5 2 2 2 3" xfId="35593" xr:uid="{A534F7D3-E4F3-46EC-A292-A1A2D65970C4}"/>
    <cellStyle name="Normal 4 2 2 3 4 5 2 2 3" xfId="44892" xr:uid="{DA8E28F6-B908-47AE-8AC5-A136BDD8067F}"/>
    <cellStyle name="Normal 4 2 2 3 4 5 2 2 4" xfId="26294" xr:uid="{D59EB69A-7B17-474B-9F1F-BAEF23843114}"/>
    <cellStyle name="Normal 4 2 2 3 4 5 2 3" xfId="13630" xr:uid="{725D3B10-58D1-4273-8592-EDF5B42D4CFC}"/>
    <cellStyle name="Normal 4 2 2 3 4 5 2 3 2" xfId="49972" xr:uid="{A311A70C-530D-48B5-ACFE-B84D9E3E879F}"/>
    <cellStyle name="Normal 4 2 2 3 4 5 2 3 3" xfId="31376" xr:uid="{C39D4130-6C7B-4E35-AFF0-7C093965D0E2}"/>
    <cellStyle name="Normal 4 2 2 3 4 5 2 4" xfId="40675" xr:uid="{50AC6EFD-900D-4C45-85BC-5315B4142ED2}"/>
    <cellStyle name="Normal 4 2 2 3 4 5 2 5" xfId="22077" xr:uid="{080F233C-BD41-4565-8CA1-58909A706611}"/>
    <cellStyle name="Normal 4 2 2 3 4 5 3" xfId="6376" xr:uid="{00000000-0005-0000-0000-00007C120000}"/>
    <cellStyle name="Normal 4 2 2 3 4 5 3 2" xfId="15702" xr:uid="{93F7CFFA-1AB7-4C74-AD89-0FCCB793D120}"/>
    <cellStyle name="Normal 4 2 2 3 4 5 3 2 2" xfId="52044" xr:uid="{93B219B2-6351-493E-8B31-FFC07F2DD44D}"/>
    <cellStyle name="Normal 4 2 2 3 4 5 3 2 3" xfId="33448" xr:uid="{8B75B076-FE26-4BF6-AB6D-0D5B55C4042C}"/>
    <cellStyle name="Normal 4 2 2 3 4 5 3 3" xfId="42747" xr:uid="{87306DA9-12F9-479B-BD9D-C950979B2F25}"/>
    <cellStyle name="Normal 4 2 2 3 4 5 3 4" xfId="24149" xr:uid="{C4FCB1A8-5629-484C-85AF-804344E7DD00}"/>
    <cellStyle name="Normal 4 2 2 3 4 5 4" xfId="11485" xr:uid="{39312D0D-0BA8-4117-BD17-FF39C338793D}"/>
    <cellStyle name="Normal 4 2 2 3 4 5 4 2" xfId="47827" xr:uid="{AC290F30-41EE-41D7-A500-2E0D813745A6}"/>
    <cellStyle name="Normal 4 2 2 3 4 5 4 3" xfId="29231" xr:uid="{03105C20-B050-430C-8A09-FA641CF65559}"/>
    <cellStyle name="Normal 4 2 2 3 4 5 5" xfId="38530" xr:uid="{5A7692EE-F3B9-43EF-9B0B-B5B188ADCBEB}"/>
    <cellStyle name="Normal 4 2 2 3 4 5 6" xfId="19932" xr:uid="{2B6F6F14-9973-44ED-ABF4-9E9648ACF56B}"/>
    <cellStyle name="Normal 4 2 2 3 4 6" xfId="2506" xr:uid="{00000000-0005-0000-0000-00007D120000}"/>
    <cellStyle name="Normal 4 2 2 3 4 6 2" xfId="6789" xr:uid="{00000000-0005-0000-0000-00007E120000}"/>
    <cellStyle name="Normal 4 2 2 3 4 6 2 2" xfId="16115" xr:uid="{36EC7088-BAE2-4D72-ABCA-461AFC22F44F}"/>
    <cellStyle name="Normal 4 2 2 3 4 6 2 2 2" xfId="52457" xr:uid="{A000452E-9AFC-42F6-A738-CDDB38141940}"/>
    <cellStyle name="Normal 4 2 2 3 4 6 2 2 3" xfId="33861" xr:uid="{A8FBE45B-7DBC-4B20-AC76-B0D89923E806}"/>
    <cellStyle name="Normal 4 2 2 3 4 6 2 3" xfId="43160" xr:uid="{661709B4-9C2A-494F-BC98-8D3F3D463020}"/>
    <cellStyle name="Normal 4 2 2 3 4 6 2 4" xfId="24562" xr:uid="{AB035039-9A99-4410-BB63-75C43927AD9B}"/>
    <cellStyle name="Normal 4 2 2 3 4 6 3" xfId="11898" xr:uid="{B341BA47-6D7B-4255-816C-B90CAFB8BA4C}"/>
    <cellStyle name="Normal 4 2 2 3 4 6 3 2" xfId="48240" xr:uid="{54BDD5F1-83BE-4178-AFEF-EA24B673AE94}"/>
    <cellStyle name="Normal 4 2 2 3 4 6 3 3" xfId="29644" xr:uid="{EE39A1B4-D0CC-4B45-A696-F624E320A15F}"/>
    <cellStyle name="Normal 4 2 2 3 4 6 4" xfId="38943" xr:uid="{6D176CC2-FCBC-47B0-A3F6-D3D12DDD6C41}"/>
    <cellStyle name="Normal 4 2 2 3 4 6 5" xfId="20345" xr:uid="{C9F8F347-423B-4939-9F76-705B0F931875}"/>
    <cellStyle name="Normal 4 2 2 3 4 7" xfId="4724" xr:uid="{00000000-0005-0000-0000-00007F120000}"/>
    <cellStyle name="Normal 4 2 2 3 4 7 2" xfId="14050" xr:uid="{7FE15587-7E12-4D45-B15C-4238CB159D10}"/>
    <cellStyle name="Normal 4 2 2 3 4 7 2 2" xfId="50392" xr:uid="{A2C51C13-B0B6-4F3C-82DF-46E8CA38B66D}"/>
    <cellStyle name="Normal 4 2 2 3 4 7 2 3" xfId="31796" xr:uid="{E7F6FF72-A3F9-49A0-BBEC-17A6FE69F686}"/>
    <cellStyle name="Normal 4 2 2 3 4 7 3" xfId="41095" xr:uid="{814BACC3-B0FB-48E5-A48E-723CA42DB66A}"/>
    <cellStyle name="Normal 4 2 2 3 4 7 4" xfId="22497" xr:uid="{892DAEF3-4C4E-4193-ACA9-6140A767F733}"/>
    <cellStyle name="Normal 4 2 2 3 4 8" xfId="8991" xr:uid="{84464EC3-90C2-4B18-8399-135C935528F7}"/>
    <cellStyle name="Normal 4 2 2 3 4 8 2" xfId="36061" xr:uid="{909129A9-0C89-442A-A0EB-52945028D7CD}"/>
    <cellStyle name="Normal 4 2 2 3 4 8 2 2" xfId="54656" xr:uid="{EB365114-A9B3-4A37-8C4D-216A587D06DC}"/>
    <cellStyle name="Normal 4 2 2 3 4 8 3" xfId="45359" xr:uid="{B403FEAB-3175-42FD-9EAA-B2C9E8CFEFF7}"/>
    <cellStyle name="Normal 4 2 2 3 4 8 4" xfId="26762" xr:uid="{54BB1A20-5F76-4A6A-AC70-D42C8B1F240F}"/>
    <cellStyle name="Normal 4 2 2 3 4 9" xfId="9833" xr:uid="{1639D47E-70DE-434B-AFCB-1F493FF96ADF}"/>
    <cellStyle name="Normal 4 2 2 3 4 9 2" xfId="46175" xr:uid="{2EEC19C9-9846-4B7E-808A-3AE1EF3318AB}"/>
    <cellStyle name="Normal 4 2 2 3 4 9 3" xfId="27579" xr:uid="{C6215FD4-6341-4067-A86D-3DA5463CA78E}"/>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16601" xr:uid="{6A23C497-6054-430F-B584-5609D4763D64}"/>
    <cellStyle name="Normal 4 2 2 3 5 2 2 2 2" xfId="52943" xr:uid="{069E0140-42FA-4EA0-A282-AE3B9717B564}"/>
    <cellStyle name="Normal 4 2 2 3 5 2 2 2 3" xfId="34347" xr:uid="{492654F5-D630-4987-9C0F-166280EF39EA}"/>
    <cellStyle name="Normal 4 2 2 3 5 2 2 3" xfId="43646" xr:uid="{62B326DA-6552-44AC-BCD5-09ED4ACA14FC}"/>
    <cellStyle name="Normal 4 2 2 3 5 2 2 4" xfId="25048" xr:uid="{B8F97039-896A-4E3E-8B7E-301F8B891E51}"/>
    <cellStyle name="Normal 4 2 2 3 5 2 3" xfId="12384" xr:uid="{27EF291F-7ACD-4913-BF83-1B219751CD12}"/>
    <cellStyle name="Normal 4 2 2 3 5 2 3 2" xfId="48726" xr:uid="{713AECB2-8CE4-47AC-B54C-D6640F6CAC8A}"/>
    <cellStyle name="Normal 4 2 2 3 5 2 3 3" xfId="30130" xr:uid="{077813F7-1004-42A4-A504-C8BFFEA6BFE5}"/>
    <cellStyle name="Normal 4 2 2 3 5 2 4" xfId="39429" xr:uid="{DA827B33-0D4E-47A3-AD62-C2DF7B80FD85}"/>
    <cellStyle name="Normal 4 2 2 3 5 2 5" xfId="20831" xr:uid="{2129D614-4BC6-4ABB-9BC1-1927BA384626}"/>
    <cellStyle name="Normal 4 2 2 3 5 3" xfId="5130" xr:uid="{00000000-0005-0000-0000-000083120000}"/>
    <cellStyle name="Normal 4 2 2 3 5 3 2" xfId="14456" xr:uid="{7CE004D9-BD97-4A3E-9E13-927D77AB352D}"/>
    <cellStyle name="Normal 4 2 2 3 5 3 2 2" xfId="50798" xr:uid="{C38816C3-E3D1-4FF3-8D6C-7671600E1990}"/>
    <cellStyle name="Normal 4 2 2 3 5 3 2 3" xfId="32202" xr:uid="{0F1673D8-C1AD-4BA9-B6F2-EFE7740D1299}"/>
    <cellStyle name="Normal 4 2 2 3 5 3 3" xfId="41501" xr:uid="{627B878D-EC97-4007-9180-B1305FE9F5D6}"/>
    <cellStyle name="Normal 4 2 2 3 5 3 4" xfId="22903" xr:uid="{D00BAE87-AAED-44E8-B8F7-6B1ED9369C2B}"/>
    <cellStyle name="Normal 4 2 2 3 5 4" xfId="9208" xr:uid="{7BF9CD11-B90D-42F2-928D-A8BE344C6F46}"/>
    <cellStyle name="Normal 4 2 2 3 5 4 2" xfId="36270" xr:uid="{D1DC0AAF-57AB-4CD0-839D-303D1332FECD}"/>
    <cellStyle name="Normal 4 2 2 3 5 4 2 2" xfId="54864" xr:uid="{70C98440-4667-4D28-9A50-C7FCC761117E}"/>
    <cellStyle name="Normal 4 2 2 3 5 4 3" xfId="45567" xr:uid="{F5335B86-3350-4AE7-9265-BA1070A90DAE}"/>
    <cellStyle name="Normal 4 2 2 3 5 4 4" xfId="26971" xr:uid="{2BB02D9F-E7D6-46A2-ABAC-E80FCED9E4E3}"/>
    <cellStyle name="Normal 4 2 2 3 5 5" xfId="10239" xr:uid="{4BEA45E7-C5CF-4144-A9ED-99CAAE10355B}"/>
    <cellStyle name="Normal 4 2 2 3 5 5 2" xfId="46581" xr:uid="{F811C75A-09D1-459A-9B18-E562097B3BD6}"/>
    <cellStyle name="Normal 4 2 2 3 5 5 3" xfId="27985" xr:uid="{CAC0668E-C97E-44AB-B44A-04D45C8C6DE4}"/>
    <cellStyle name="Normal 4 2 2 3 5 6" xfId="37284" xr:uid="{A70DA20A-D77A-4986-A3FE-6FB08C215A6C}"/>
    <cellStyle name="Normal 4 2 2 3 5 7" xfId="18686" xr:uid="{E5754FE8-FADC-430E-9DF4-AA276ADB4935}"/>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17014" xr:uid="{DC5DFAF5-A036-4DEA-9DA6-0F5008E2803D}"/>
    <cellStyle name="Normal 4 2 2 3 6 2 2 2 2" xfId="53356" xr:uid="{06AED9B1-E528-4BC3-B3A1-69BC53D2433A}"/>
    <cellStyle name="Normal 4 2 2 3 6 2 2 2 3" xfId="34760" xr:uid="{36FFA0F7-7217-4632-9700-9CA8DE76AE8D}"/>
    <cellStyle name="Normal 4 2 2 3 6 2 2 3" xfId="44059" xr:uid="{E3AC28EA-6F6A-4E90-98F3-85A1DA401975}"/>
    <cellStyle name="Normal 4 2 2 3 6 2 2 4" xfId="25461" xr:uid="{DF82DFF3-0763-4E5A-83DE-CACA4978E632}"/>
    <cellStyle name="Normal 4 2 2 3 6 2 3" xfId="12797" xr:uid="{EC34767D-3B1E-4D02-8A34-F418024293A7}"/>
    <cellStyle name="Normal 4 2 2 3 6 2 3 2" xfId="49139" xr:uid="{686A445C-E80F-4D7B-B8FD-52DFA806E7F1}"/>
    <cellStyle name="Normal 4 2 2 3 6 2 3 3" xfId="30543" xr:uid="{1931701B-1347-490E-A38B-2CB9DCD5E762}"/>
    <cellStyle name="Normal 4 2 2 3 6 2 4" xfId="39842" xr:uid="{1D5CB321-94FC-4291-A3E6-8910A34FFB23}"/>
    <cellStyle name="Normal 4 2 2 3 6 2 5" xfId="21244" xr:uid="{8C8409AB-0D13-485B-8001-200B34BD907C}"/>
    <cellStyle name="Normal 4 2 2 3 6 3" xfId="5543" xr:uid="{00000000-0005-0000-0000-000087120000}"/>
    <cellStyle name="Normal 4 2 2 3 6 3 2" xfId="14869" xr:uid="{88368464-66E6-4E27-A1C1-815FE0EBD9FF}"/>
    <cellStyle name="Normal 4 2 2 3 6 3 2 2" xfId="51211" xr:uid="{EFC4503C-370B-41FE-82D6-74C420951F9B}"/>
    <cellStyle name="Normal 4 2 2 3 6 3 2 3" xfId="32615" xr:uid="{FBF5371F-8E7E-4D0B-BD37-0949EDF9717C}"/>
    <cellStyle name="Normal 4 2 2 3 6 3 3" xfId="41914" xr:uid="{9901559A-F6C5-4BB8-93FE-9E7B98D7CB80}"/>
    <cellStyle name="Normal 4 2 2 3 6 3 4" xfId="23316" xr:uid="{A9DF528B-6709-4D95-B207-447590E05DAA}"/>
    <cellStyle name="Normal 4 2 2 3 6 4" xfId="10652" xr:uid="{F0E61D38-33DD-422F-ADCE-C63FBE73DFEE}"/>
    <cellStyle name="Normal 4 2 2 3 6 4 2" xfId="46994" xr:uid="{AFA2C87D-B407-4402-AE44-1359F425C92E}"/>
    <cellStyle name="Normal 4 2 2 3 6 4 3" xfId="28398" xr:uid="{5AE70ADB-28FF-4B6E-8D13-4B22B09A024B}"/>
    <cellStyle name="Normal 4 2 2 3 6 5" xfId="37697" xr:uid="{447E07D5-A965-4AC1-B71B-A4A5368FAEDC}"/>
    <cellStyle name="Normal 4 2 2 3 6 6" xfId="19099" xr:uid="{03E139C8-EC18-42D9-B4DA-1740CAD2C794}"/>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17427" xr:uid="{CAB60EB0-498C-4987-8024-3B31C6FABD37}"/>
    <cellStyle name="Normal 4 2 2 3 7 2 2 2 2" xfId="53769" xr:uid="{2CF22555-F906-4677-A069-9DE70EE39E93}"/>
    <cellStyle name="Normal 4 2 2 3 7 2 2 2 3" xfId="35173" xr:uid="{4DE18760-1F28-4D16-A65D-65BD456C7773}"/>
    <cellStyle name="Normal 4 2 2 3 7 2 2 3" xfId="44472" xr:uid="{EF38371C-01F6-412A-ADC0-C101D972AA65}"/>
    <cellStyle name="Normal 4 2 2 3 7 2 2 4" xfId="25874" xr:uid="{AEE6A7E7-99CA-452B-83AA-263149A94684}"/>
    <cellStyle name="Normal 4 2 2 3 7 2 3" xfId="13210" xr:uid="{39472693-F153-479C-89E9-8145F7FF6B42}"/>
    <cellStyle name="Normal 4 2 2 3 7 2 3 2" xfId="49552" xr:uid="{33B5F564-E9E6-493A-BC05-A65888A5AAC6}"/>
    <cellStyle name="Normal 4 2 2 3 7 2 3 3" xfId="30956" xr:uid="{5BFEB184-A628-453E-9BB0-74A5C932B762}"/>
    <cellStyle name="Normal 4 2 2 3 7 2 4" xfId="40255" xr:uid="{8D2205E4-6271-4EF3-A716-55BE08676FD2}"/>
    <cellStyle name="Normal 4 2 2 3 7 2 5" xfId="21657" xr:uid="{41C693F8-CD09-4820-A673-ED57410F8880}"/>
    <cellStyle name="Normal 4 2 2 3 7 3" xfId="5956" xr:uid="{00000000-0005-0000-0000-00008B120000}"/>
    <cellStyle name="Normal 4 2 2 3 7 3 2" xfId="15282" xr:uid="{5B62B531-85AE-4944-AD40-04611F3D3F92}"/>
    <cellStyle name="Normal 4 2 2 3 7 3 2 2" xfId="51624" xr:uid="{9C7AB239-CB3E-41A9-9C19-2E0AEF91208D}"/>
    <cellStyle name="Normal 4 2 2 3 7 3 2 3" xfId="33028" xr:uid="{F706C7B0-B54A-4D0F-9953-EF1119132845}"/>
    <cellStyle name="Normal 4 2 2 3 7 3 3" xfId="42327" xr:uid="{19C5A888-92E7-4CB7-841E-62E0FEADC19C}"/>
    <cellStyle name="Normal 4 2 2 3 7 3 4" xfId="23729" xr:uid="{7596F9B3-4DC3-46F2-8394-A0F3D4CCD8E2}"/>
    <cellStyle name="Normal 4 2 2 3 7 4" xfId="11065" xr:uid="{0B71A69F-065D-42C9-BCF1-CB31DD4AB283}"/>
    <cellStyle name="Normal 4 2 2 3 7 4 2" xfId="47407" xr:uid="{C61D9671-45BF-41C8-A6C4-47F5D0A9F164}"/>
    <cellStyle name="Normal 4 2 2 3 7 4 3" xfId="28811" xr:uid="{DB03F341-9E5A-4139-95B4-E589B909A07B}"/>
    <cellStyle name="Normal 4 2 2 3 7 5" xfId="38110" xr:uid="{71644F86-D9A4-4DCF-AF27-42E1112FCFEA}"/>
    <cellStyle name="Normal 4 2 2 3 7 6" xfId="19512" xr:uid="{412D7BDB-D802-469C-A067-949DF6AF1CC0}"/>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17840" xr:uid="{056218F5-B9A1-4B4D-B690-0E456989898B}"/>
    <cellStyle name="Normal 4 2 2 3 8 2 2 2 2" xfId="54182" xr:uid="{47232667-1A82-48ED-B8E4-2CB0B781F803}"/>
    <cellStyle name="Normal 4 2 2 3 8 2 2 2 3" xfId="35586" xr:uid="{0DFA481E-E544-486D-87D9-91D605575E95}"/>
    <cellStyle name="Normal 4 2 2 3 8 2 2 3" xfId="44885" xr:uid="{798D14AA-1001-4014-8DDF-C9F982E0C8C2}"/>
    <cellStyle name="Normal 4 2 2 3 8 2 2 4" xfId="26287" xr:uid="{D55556E7-AF5B-406D-A64D-07525AF9A8BF}"/>
    <cellStyle name="Normal 4 2 2 3 8 2 3" xfId="13623" xr:uid="{946B69CC-B6D0-456A-A26B-7B0B09022387}"/>
    <cellStyle name="Normal 4 2 2 3 8 2 3 2" xfId="49965" xr:uid="{F149BF52-30A2-4771-A87E-D8B48B5ADF13}"/>
    <cellStyle name="Normal 4 2 2 3 8 2 3 3" xfId="31369" xr:uid="{AC09AD06-A869-4826-ACD4-7B9D010D9607}"/>
    <cellStyle name="Normal 4 2 2 3 8 2 4" xfId="40668" xr:uid="{D261E281-4DF8-441E-9173-AFCF769E0FEC}"/>
    <cellStyle name="Normal 4 2 2 3 8 2 5" xfId="22070" xr:uid="{F15D2D27-2744-4CF3-A758-B6282FA7121D}"/>
    <cellStyle name="Normal 4 2 2 3 8 3" xfId="6369" xr:uid="{00000000-0005-0000-0000-00008F120000}"/>
    <cellStyle name="Normal 4 2 2 3 8 3 2" xfId="15695" xr:uid="{86945079-D030-4101-A162-E51ADCFB2658}"/>
    <cellStyle name="Normal 4 2 2 3 8 3 2 2" xfId="52037" xr:uid="{FA0F7E5B-7444-459E-9B2A-4F8C9838412D}"/>
    <cellStyle name="Normal 4 2 2 3 8 3 2 3" xfId="33441" xr:uid="{E72F4FFF-1B1E-4648-9A16-F71E0BBF92A0}"/>
    <cellStyle name="Normal 4 2 2 3 8 3 3" xfId="42740" xr:uid="{54A49EF5-0280-46F0-AE85-FA690A01A1E1}"/>
    <cellStyle name="Normal 4 2 2 3 8 3 4" xfId="24142" xr:uid="{4816FBE0-654D-4123-86B3-AB2C04F8CC40}"/>
    <cellStyle name="Normal 4 2 2 3 8 4" xfId="11478" xr:uid="{E13B50A6-67CC-4BAD-8ED7-7E52604D31C9}"/>
    <cellStyle name="Normal 4 2 2 3 8 4 2" xfId="47820" xr:uid="{2D18DF63-900D-400D-AD30-FD71AA0005DF}"/>
    <cellStyle name="Normal 4 2 2 3 8 4 3" xfId="29224" xr:uid="{384B70DE-87CC-407A-ADBC-EC73BC8EB633}"/>
    <cellStyle name="Normal 4 2 2 3 8 5" xfId="38523" xr:uid="{04079F49-77C6-4C47-A761-B7A4AE488F32}"/>
    <cellStyle name="Normal 4 2 2 3 8 6" xfId="19925" xr:uid="{6463543D-D84D-4972-9F07-5B902FEFBC91}"/>
    <cellStyle name="Normal 4 2 2 3 9" xfId="2499" xr:uid="{00000000-0005-0000-0000-000090120000}"/>
    <cellStyle name="Normal 4 2 2 3 9 2" xfId="6782" xr:uid="{00000000-0005-0000-0000-000091120000}"/>
    <cellStyle name="Normal 4 2 2 3 9 2 2" xfId="16108" xr:uid="{CED5137E-AEB5-406F-96CC-9FBB0BE5038B}"/>
    <cellStyle name="Normal 4 2 2 3 9 2 2 2" xfId="52450" xr:uid="{65062B06-141D-49EF-BCE6-120561104DBF}"/>
    <cellStyle name="Normal 4 2 2 3 9 2 2 3" xfId="33854" xr:uid="{F993F6B8-9F5C-4151-97D4-CF68D39C1D28}"/>
    <cellStyle name="Normal 4 2 2 3 9 2 3" xfId="43153" xr:uid="{A0867A60-D3E0-4D8D-9DFF-0AF2C1DC61A0}"/>
    <cellStyle name="Normal 4 2 2 3 9 2 4" xfId="24555" xr:uid="{B05E6F7B-640C-4CDD-917D-433FAAE014C9}"/>
    <cellStyle name="Normal 4 2 2 3 9 3" xfId="11891" xr:uid="{51C8A3FD-802E-4A6F-8B1F-78876E00543B}"/>
    <cellStyle name="Normal 4 2 2 3 9 3 2" xfId="48233" xr:uid="{EAD2CB73-E14F-45A6-8F4D-FCC5AA8F3CA4}"/>
    <cellStyle name="Normal 4 2 2 3 9 3 3" xfId="29637" xr:uid="{FFC64E30-04ED-430D-9F05-9456F76AA11A}"/>
    <cellStyle name="Normal 4 2 2 3 9 4" xfId="38936" xr:uid="{D2961552-9898-445E-8CF1-6E06BADF0E06}"/>
    <cellStyle name="Normal 4 2 2 3 9 5" xfId="20338" xr:uid="{B4712111-C5A6-4D79-B0E6-9FF4681F40EF}"/>
    <cellStyle name="Normal 4 2 2 4" xfId="347" xr:uid="{00000000-0005-0000-0000-000092120000}"/>
    <cellStyle name="Normal 4 2 2 4 10" xfId="8818" xr:uid="{A73977A7-52C6-4368-9F59-166E1B99BBDE}"/>
    <cellStyle name="Normal 4 2 2 4 10 2" xfId="35888" xr:uid="{BC3268D9-1731-44A6-AF68-A689AEF10D92}"/>
    <cellStyle name="Normal 4 2 2 4 10 2 2" xfId="54483" xr:uid="{8692598C-CE1E-4080-94F4-C984A2592BD3}"/>
    <cellStyle name="Normal 4 2 2 4 10 3" xfId="45186" xr:uid="{B694717C-7DCB-44A7-ACD4-BD465D9CD0BD}"/>
    <cellStyle name="Normal 4 2 2 4 10 4" xfId="26589" xr:uid="{502EC14F-5174-4388-8E34-C33E7E943FB5}"/>
    <cellStyle name="Normal 4 2 2 4 11" xfId="9834" xr:uid="{6646971F-A58B-42B0-9356-CCCC1A4C4808}"/>
    <cellStyle name="Normal 4 2 2 4 11 2" xfId="46176" xr:uid="{6426C439-0B97-48A9-8D7A-87E91B3A66D1}"/>
    <cellStyle name="Normal 4 2 2 4 11 3" xfId="27580" xr:uid="{409C0384-2BB9-486D-AB18-B93A9FA54DD0}"/>
    <cellStyle name="Normal 4 2 2 4 12" xfId="36879" xr:uid="{596A97D2-521B-4435-94B8-00B47261531C}"/>
    <cellStyle name="Normal 4 2 2 4 13" xfId="18281" xr:uid="{DDF384BB-8E67-4548-92F8-9B3500E565EC}"/>
    <cellStyle name="Normal 4 2 2 4 2" xfId="348" xr:uid="{00000000-0005-0000-0000-000093120000}"/>
    <cellStyle name="Normal 4 2 2 4 2 10" xfId="9835" xr:uid="{A5BAC677-36B3-4311-861F-734298714242}"/>
    <cellStyle name="Normal 4 2 2 4 2 10 2" xfId="46177" xr:uid="{2E55B580-AA01-4282-A16A-0367A18BBD10}"/>
    <cellStyle name="Normal 4 2 2 4 2 10 3" xfId="27581" xr:uid="{A6B8C087-D79C-4405-87BD-48E7DADFBD58}"/>
    <cellStyle name="Normal 4 2 2 4 2 11" xfId="36880" xr:uid="{0CFE7D63-6B6F-49C0-9D06-944D794834CD}"/>
    <cellStyle name="Normal 4 2 2 4 2 12" xfId="18282" xr:uid="{9EC5635E-F790-4006-9A91-DC03DDB6F44A}"/>
    <cellStyle name="Normal 4 2 2 4 2 2" xfId="349" xr:uid="{00000000-0005-0000-0000-000094120000}"/>
    <cellStyle name="Normal 4 2 2 4 2 2 10" xfId="36881" xr:uid="{8FB1754E-A918-41F5-B481-6FCC6DEC95FF}"/>
    <cellStyle name="Normal 4 2 2 4 2 2 11" xfId="18283" xr:uid="{9F4C01C8-196B-486E-8E27-78FB611EF238}"/>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16611" xr:uid="{3C24532E-2CE2-4BDF-A78C-4ED7AA7CC471}"/>
    <cellStyle name="Normal 4 2 2 4 2 2 2 2 2 2 2" xfId="52953" xr:uid="{4F21C56D-C064-436F-8AEA-F3FFD43F1489}"/>
    <cellStyle name="Normal 4 2 2 4 2 2 2 2 2 2 3" xfId="34357" xr:uid="{FAE50D7A-E29D-47BD-8243-64803B90534B}"/>
    <cellStyle name="Normal 4 2 2 4 2 2 2 2 2 3" xfId="43656" xr:uid="{26FC43CB-8620-41B6-B9E5-720CD8115A36}"/>
    <cellStyle name="Normal 4 2 2 4 2 2 2 2 2 4" xfId="25058" xr:uid="{BD95AE90-8086-47D3-ABED-99986E9C75AD}"/>
    <cellStyle name="Normal 4 2 2 4 2 2 2 2 3" xfId="12394" xr:uid="{99F0B9C1-476E-46B0-AEA0-E15D6A4F6E77}"/>
    <cellStyle name="Normal 4 2 2 4 2 2 2 2 3 2" xfId="48736" xr:uid="{46ED8B47-9C6B-4FF8-AB6D-FA9EBC64733F}"/>
    <cellStyle name="Normal 4 2 2 4 2 2 2 2 3 3" xfId="30140" xr:uid="{6E488510-D9E0-4191-BF29-0E1E2013AEEB}"/>
    <cellStyle name="Normal 4 2 2 4 2 2 2 2 4" xfId="39439" xr:uid="{B4862D05-5EDA-4E3D-BD16-77B83C271E80}"/>
    <cellStyle name="Normal 4 2 2 4 2 2 2 2 5" xfId="20841" xr:uid="{35C8566F-AB33-491D-8748-78C7E02F1528}"/>
    <cellStyle name="Normal 4 2 2 4 2 2 2 3" xfId="5140" xr:uid="{00000000-0005-0000-0000-000098120000}"/>
    <cellStyle name="Normal 4 2 2 4 2 2 2 3 2" xfId="14466" xr:uid="{89587498-2FB7-4055-95A2-DBE0E589ADB0}"/>
    <cellStyle name="Normal 4 2 2 4 2 2 2 3 2 2" xfId="50808" xr:uid="{3AE5C552-C261-4DBC-9344-1A81ACA08D87}"/>
    <cellStyle name="Normal 4 2 2 4 2 2 2 3 2 3" xfId="32212" xr:uid="{1EF7AEDD-D5E5-49CD-83F2-1CFCC1E3F580}"/>
    <cellStyle name="Normal 4 2 2 4 2 2 2 3 3" xfId="41511" xr:uid="{F8A60C60-AFB2-4FB7-A646-87E00134E483}"/>
    <cellStyle name="Normal 4 2 2 4 2 2 2 3 4" xfId="22913" xr:uid="{28446F45-47F8-483F-9119-EBA57C4D70D4}"/>
    <cellStyle name="Normal 4 2 2 4 2 2 2 4" xfId="9553" xr:uid="{7FCAF883-2374-4470-BA95-AD8EB054639C}"/>
    <cellStyle name="Normal 4 2 2 4 2 2 2 4 2" xfId="36614" xr:uid="{43ED93A3-910C-4E73-9578-9558E497F658}"/>
    <cellStyle name="Normal 4 2 2 4 2 2 2 4 2 2" xfId="55208" xr:uid="{89384141-2493-4C3A-AA76-1A49C10DC156}"/>
    <cellStyle name="Normal 4 2 2 4 2 2 2 4 3" xfId="45911" xr:uid="{EC26CE87-FECA-4110-B6DC-42B7F75F352F}"/>
    <cellStyle name="Normal 4 2 2 4 2 2 2 4 4" xfId="27315" xr:uid="{AC747091-3E3B-4166-B847-8AB092510CFF}"/>
    <cellStyle name="Normal 4 2 2 4 2 2 2 5" xfId="10249" xr:uid="{833E5A2E-FD5D-4537-BCBE-4BF03EF248B9}"/>
    <cellStyle name="Normal 4 2 2 4 2 2 2 5 2" xfId="46591" xr:uid="{87EFC82F-C53D-4280-971D-6472249A698C}"/>
    <cellStyle name="Normal 4 2 2 4 2 2 2 5 3" xfId="27995" xr:uid="{41932EBF-2D95-46FA-A21F-EA9649D74848}"/>
    <cellStyle name="Normal 4 2 2 4 2 2 2 6" xfId="37294" xr:uid="{5548E2D2-559E-44E4-9398-AD8284E64C22}"/>
    <cellStyle name="Normal 4 2 2 4 2 2 2 7" xfId="18696" xr:uid="{CC7D1FA3-0B78-4D89-A1AE-7A39E2C18832}"/>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17024" xr:uid="{0B969DE9-F86C-478E-92A5-68C600FA4418}"/>
    <cellStyle name="Normal 4 2 2 4 2 2 3 2 2 2 2" xfId="53366" xr:uid="{0509EF07-C740-4E90-BAB2-86E211D8446D}"/>
    <cellStyle name="Normal 4 2 2 4 2 2 3 2 2 2 3" xfId="34770" xr:uid="{91B2FE87-6CBD-4511-9060-89F6564975F6}"/>
    <cellStyle name="Normal 4 2 2 4 2 2 3 2 2 3" xfId="44069" xr:uid="{93415637-957D-4BF0-98B5-3A245E2349CC}"/>
    <cellStyle name="Normal 4 2 2 4 2 2 3 2 2 4" xfId="25471" xr:uid="{23D06D74-F7F8-49A6-9E15-F6CE52607035}"/>
    <cellStyle name="Normal 4 2 2 4 2 2 3 2 3" xfId="12807" xr:uid="{084F07D2-32DE-4F9B-A579-DC79EB822E93}"/>
    <cellStyle name="Normal 4 2 2 4 2 2 3 2 3 2" xfId="49149" xr:uid="{C997C613-4FF4-47AF-8969-1ABBF3BDAA65}"/>
    <cellStyle name="Normal 4 2 2 4 2 2 3 2 3 3" xfId="30553" xr:uid="{ACD08279-4D88-44B0-91B4-D1D7E3254C24}"/>
    <cellStyle name="Normal 4 2 2 4 2 2 3 2 4" xfId="39852" xr:uid="{FF6B0E46-5F94-40D9-94A5-78A332A49EE8}"/>
    <cellStyle name="Normal 4 2 2 4 2 2 3 2 5" xfId="21254" xr:uid="{78CCB470-CF9E-4AE7-A12D-7092B5DE07E5}"/>
    <cellStyle name="Normal 4 2 2 4 2 2 3 3" xfId="5553" xr:uid="{00000000-0005-0000-0000-00009C120000}"/>
    <cellStyle name="Normal 4 2 2 4 2 2 3 3 2" xfId="14879" xr:uid="{F232CC16-C098-416B-BEBD-A6195E8A9FC2}"/>
    <cellStyle name="Normal 4 2 2 4 2 2 3 3 2 2" xfId="51221" xr:uid="{420118C7-5F18-4873-8092-34DCC4CB7751}"/>
    <cellStyle name="Normal 4 2 2 4 2 2 3 3 2 3" xfId="32625" xr:uid="{636E2A8C-0232-4D5C-99E1-40778EFC17DD}"/>
    <cellStyle name="Normal 4 2 2 4 2 2 3 3 3" xfId="41924" xr:uid="{328E1728-B288-482A-B33D-58E256629548}"/>
    <cellStyle name="Normal 4 2 2 4 2 2 3 3 4" xfId="23326" xr:uid="{1A857CFF-1850-43C6-BCDB-6093EA4AC448}"/>
    <cellStyle name="Normal 4 2 2 4 2 2 3 4" xfId="10662" xr:uid="{4D50CE4A-2CA5-4C45-AB9D-4F3043E50012}"/>
    <cellStyle name="Normal 4 2 2 4 2 2 3 4 2" xfId="47004" xr:uid="{03A92EBD-672F-4DDF-8FEE-5F7B0B4625FC}"/>
    <cellStyle name="Normal 4 2 2 4 2 2 3 4 3" xfId="28408" xr:uid="{FF42F32E-2FC5-4B91-BF2A-203FAE13ACC0}"/>
    <cellStyle name="Normal 4 2 2 4 2 2 3 5" xfId="37707" xr:uid="{51CEF0EE-B613-44D6-ABDB-9AB5D99C7E91}"/>
    <cellStyle name="Normal 4 2 2 4 2 2 3 6" xfId="19109" xr:uid="{53A53C03-76EC-419A-B009-D32C13E2DF0E}"/>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17437" xr:uid="{8184133A-1962-4684-961B-C8FF5F2BB380}"/>
    <cellStyle name="Normal 4 2 2 4 2 2 4 2 2 2 2" xfId="53779" xr:uid="{B9DA4854-E684-4C65-A2A5-9EA9915C3FE1}"/>
    <cellStyle name="Normal 4 2 2 4 2 2 4 2 2 2 3" xfId="35183" xr:uid="{8B1B3C84-8AC9-4DA0-8AEF-F73644D20D1D}"/>
    <cellStyle name="Normal 4 2 2 4 2 2 4 2 2 3" xfId="44482" xr:uid="{ED3673AC-A89C-4944-9D31-F70789D2B600}"/>
    <cellStyle name="Normal 4 2 2 4 2 2 4 2 2 4" xfId="25884" xr:uid="{458FF582-CB61-41D5-B4D7-A0ABA6F14A5E}"/>
    <cellStyle name="Normal 4 2 2 4 2 2 4 2 3" xfId="13220" xr:uid="{9F517730-337D-440A-8117-571A0FABE4E5}"/>
    <cellStyle name="Normal 4 2 2 4 2 2 4 2 3 2" xfId="49562" xr:uid="{DAA0B0A7-D556-4A7A-9540-861D078E40E3}"/>
    <cellStyle name="Normal 4 2 2 4 2 2 4 2 3 3" xfId="30966" xr:uid="{960D17E8-A576-4DC6-9F3F-8C488EA4358D}"/>
    <cellStyle name="Normal 4 2 2 4 2 2 4 2 4" xfId="40265" xr:uid="{6EEBDF37-265D-4DD8-86C5-28B12C2DC06B}"/>
    <cellStyle name="Normal 4 2 2 4 2 2 4 2 5" xfId="21667" xr:uid="{E393D3D4-E380-457C-BBBF-1264F404A2A6}"/>
    <cellStyle name="Normal 4 2 2 4 2 2 4 3" xfId="5966" xr:uid="{00000000-0005-0000-0000-0000A0120000}"/>
    <cellStyle name="Normal 4 2 2 4 2 2 4 3 2" xfId="15292" xr:uid="{4AF52183-6461-4375-A4B3-77F57AC767CD}"/>
    <cellStyle name="Normal 4 2 2 4 2 2 4 3 2 2" xfId="51634" xr:uid="{B4BE2373-6FE1-49F9-8389-DCE4D9430588}"/>
    <cellStyle name="Normal 4 2 2 4 2 2 4 3 2 3" xfId="33038" xr:uid="{A2EBBE3D-F6A3-4BAF-87A0-976B11D96794}"/>
    <cellStyle name="Normal 4 2 2 4 2 2 4 3 3" xfId="42337" xr:uid="{B2C2A375-CF58-4799-912F-604140FFE8C3}"/>
    <cellStyle name="Normal 4 2 2 4 2 2 4 3 4" xfId="23739" xr:uid="{A7C38DB2-9A09-4593-A364-87539DF895F8}"/>
    <cellStyle name="Normal 4 2 2 4 2 2 4 4" xfId="11075" xr:uid="{2F8F46F5-C6FE-4F82-9243-5654729B1A56}"/>
    <cellStyle name="Normal 4 2 2 4 2 2 4 4 2" xfId="47417" xr:uid="{4A637E6B-8722-4EF1-8215-34CF5230C4AC}"/>
    <cellStyle name="Normal 4 2 2 4 2 2 4 4 3" xfId="28821" xr:uid="{88431B32-B970-44C5-81EF-7D8C6F854684}"/>
    <cellStyle name="Normal 4 2 2 4 2 2 4 5" xfId="38120" xr:uid="{B2FE47EF-A30E-4971-AEB7-8E5818B1E00D}"/>
    <cellStyle name="Normal 4 2 2 4 2 2 4 6" xfId="19522" xr:uid="{B0A4A672-CFA9-4357-A655-94B28EA39233}"/>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17850" xr:uid="{755E540C-0BD6-4DED-A2A1-F92B3E5D1C08}"/>
    <cellStyle name="Normal 4 2 2 4 2 2 5 2 2 2 2" xfId="54192" xr:uid="{28AC7F8B-805C-453B-AF00-733DFBE6297B}"/>
    <cellStyle name="Normal 4 2 2 4 2 2 5 2 2 2 3" xfId="35596" xr:uid="{96680692-D208-475A-92AB-9BD32AEFE39C}"/>
    <cellStyle name="Normal 4 2 2 4 2 2 5 2 2 3" xfId="44895" xr:uid="{EC455ACC-47A3-482F-AAAF-AD2FDC8D4788}"/>
    <cellStyle name="Normal 4 2 2 4 2 2 5 2 2 4" xfId="26297" xr:uid="{16018248-4081-4E9C-9903-8D8F8C0EDA41}"/>
    <cellStyle name="Normal 4 2 2 4 2 2 5 2 3" xfId="13633" xr:uid="{5CED1692-FC5B-4FF1-A5C0-99D0A1B32E08}"/>
    <cellStyle name="Normal 4 2 2 4 2 2 5 2 3 2" xfId="49975" xr:uid="{27B3642E-D34A-4B4F-8270-DA5B4835B018}"/>
    <cellStyle name="Normal 4 2 2 4 2 2 5 2 3 3" xfId="31379" xr:uid="{55C6C8EF-AE85-444F-A35A-784CC73D993B}"/>
    <cellStyle name="Normal 4 2 2 4 2 2 5 2 4" xfId="40678" xr:uid="{32F4F283-A1A6-48A7-84CA-1DCE39820C1F}"/>
    <cellStyle name="Normal 4 2 2 4 2 2 5 2 5" xfId="22080" xr:uid="{C804739C-4606-43DB-A481-592F2755D1BC}"/>
    <cellStyle name="Normal 4 2 2 4 2 2 5 3" xfId="6379" xr:uid="{00000000-0005-0000-0000-0000A4120000}"/>
    <cellStyle name="Normal 4 2 2 4 2 2 5 3 2" xfId="15705" xr:uid="{E1C2835F-5108-444E-B00B-921403D79ABE}"/>
    <cellStyle name="Normal 4 2 2 4 2 2 5 3 2 2" xfId="52047" xr:uid="{D706BCFD-0BBC-4639-B39C-D67F836AE97F}"/>
    <cellStyle name="Normal 4 2 2 4 2 2 5 3 2 3" xfId="33451" xr:uid="{51AF86F3-153C-457D-8139-6C08F1484415}"/>
    <cellStyle name="Normal 4 2 2 4 2 2 5 3 3" xfId="42750" xr:uid="{6E0F6A62-7103-48DB-B771-23EB5FF3C69A}"/>
    <cellStyle name="Normal 4 2 2 4 2 2 5 3 4" xfId="24152" xr:uid="{2E5C9174-8B40-4684-A4AE-01367AF061F7}"/>
    <cellStyle name="Normal 4 2 2 4 2 2 5 4" xfId="11488" xr:uid="{48F5D81A-B1C1-44CB-A91D-479C59AC649B}"/>
    <cellStyle name="Normal 4 2 2 4 2 2 5 4 2" xfId="47830" xr:uid="{786E49B0-275C-47ED-B635-E78125AA8177}"/>
    <cellStyle name="Normal 4 2 2 4 2 2 5 4 3" xfId="29234" xr:uid="{0FF9D80E-2662-400D-9A52-9A319ACCB7FC}"/>
    <cellStyle name="Normal 4 2 2 4 2 2 5 5" xfId="38533" xr:uid="{D4F4BD95-E742-4CA0-803F-9A902E4DD19F}"/>
    <cellStyle name="Normal 4 2 2 4 2 2 5 6" xfId="19935" xr:uid="{B8686F13-E819-4889-BC2B-75EC7E84D7B5}"/>
    <cellStyle name="Normal 4 2 2 4 2 2 6" xfId="2509" xr:uid="{00000000-0005-0000-0000-0000A5120000}"/>
    <cellStyle name="Normal 4 2 2 4 2 2 6 2" xfId="6792" xr:uid="{00000000-0005-0000-0000-0000A6120000}"/>
    <cellStyle name="Normal 4 2 2 4 2 2 6 2 2" xfId="16118" xr:uid="{05EEAC5D-C375-4B24-95DF-EEB6E1D921F1}"/>
    <cellStyle name="Normal 4 2 2 4 2 2 6 2 2 2" xfId="52460" xr:uid="{4925F064-070C-4883-94F5-0AC1FC13531D}"/>
    <cellStyle name="Normal 4 2 2 4 2 2 6 2 2 3" xfId="33864" xr:uid="{C02D7E7B-75CA-40CC-A588-8EB22C8D8519}"/>
    <cellStyle name="Normal 4 2 2 4 2 2 6 2 3" xfId="43163" xr:uid="{E9E4BF87-DFC8-45E9-8BBD-561A3326BB6E}"/>
    <cellStyle name="Normal 4 2 2 4 2 2 6 2 4" xfId="24565" xr:uid="{3C788B1A-8388-43A4-8B48-073A18F9C881}"/>
    <cellStyle name="Normal 4 2 2 4 2 2 6 3" xfId="11901" xr:uid="{0AFF5D94-2D7E-4B1A-88A5-59F24BF9D062}"/>
    <cellStyle name="Normal 4 2 2 4 2 2 6 3 2" xfId="48243" xr:uid="{73C75952-A164-4B12-9058-77BAD62032ED}"/>
    <cellStyle name="Normal 4 2 2 4 2 2 6 3 3" xfId="29647" xr:uid="{F5BD714D-909A-4BE0-98FD-2416E6D56D11}"/>
    <cellStyle name="Normal 4 2 2 4 2 2 6 4" xfId="38946" xr:uid="{1FA44F09-5994-4696-938F-0B5D77AA1FF4}"/>
    <cellStyle name="Normal 4 2 2 4 2 2 6 5" xfId="20348" xr:uid="{BF41CA1A-F02E-43CA-B21A-DBEE3D7F0DE8}"/>
    <cellStyle name="Normal 4 2 2 4 2 2 7" xfId="4727" xr:uid="{00000000-0005-0000-0000-0000A7120000}"/>
    <cellStyle name="Normal 4 2 2 4 2 2 7 2" xfId="14053" xr:uid="{0B7176EB-BF28-46D0-A71C-25A912C6D987}"/>
    <cellStyle name="Normal 4 2 2 4 2 2 7 2 2" xfId="50395" xr:uid="{5275F2F2-4492-4742-B11E-9386541F7744}"/>
    <cellStyle name="Normal 4 2 2 4 2 2 7 2 3" xfId="31799" xr:uid="{29AE3576-E97E-43C5-92FC-4A94062D7A8F}"/>
    <cellStyle name="Normal 4 2 2 4 2 2 7 3" xfId="41098" xr:uid="{335D6A1D-82E9-4ECD-B64C-B091023689B6}"/>
    <cellStyle name="Normal 4 2 2 4 2 2 7 4" xfId="22500" xr:uid="{A06FC5B5-68F2-46B7-8BEB-BB1D63D39100}"/>
    <cellStyle name="Normal 4 2 2 4 2 2 8" xfId="9128" xr:uid="{3D9AD2A4-E3D1-4BAF-8F43-BFB1FE8E222D}"/>
    <cellStyle name="Normal 4 2 2 4 2 2 8 2" xfId="36198" xr:uid="{D17385CE-CECD-4821-A37D-F9F1C45781F1}"/>
    <cellStyle name="Normal 4 2 2 4 2 2 8 2 2" xfId="54793" xr:uid="{4448E842-1625-46FA-A230-D477B0A8B675}"/>
    <cellStyle name="Normal 4 2 2 4 2 2 8 3" xfId="45496" xr:uid="{1C537429-0810-4442-9F71-03BCBDE14C36}"/>
    <cellStyle name="Normal 4 2 2 4 2 2 8 4" xfId="26899" xr:uid="{1C7C29EA-1037-4DC8-860E-F4AB15990EA4}"/>
    <cellStyle name="Normal 4 2 2 4 2 2 9" xfId="9836" xr:uid="{5AF4E6AA-F1C3-4DF9-BB9A-1C5FB2075A88}"/>
    <cellStyle name="Normal 4 2 2 4 2 2 9 2" xfId="46178" xr:uid="{E649F8E4-25D0-4136-89EF-2003FACCBB35}"/>
    <cellStyle name="Normal 4 2 2 4 2 2 9 3" xfId="27582" xr:uid="{F3B04775-339D-4F15-B8A1-3807DCD12562}"/>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16610" xr:uid="{BE3432F2-314B-4398-94D6-F69374DFF621}"/>
    <cellStyle name="Normal 4 2 2 4 2 3 2 2 2 2" xfId="52952" xr:uid="{628F8536-2D3B-4ADD-8C53-64C1DCEDF874}"/>
    <cellStyle name="Normal 4 2 2 4 2 3 2 2 2 3" xfId="34356" xr:uid="{CE8A08DD-76B9-4611-88A9-1E8B4A926CE7}"/>
    <cellStyle name="Normal 4 2 2 4 2 3 2 2 3" xfId="43655" xr:uid="{481C83EA-3CB6-4E61-B5D5-BE87AAFC9C1A}"/>
    <cellStyle name="Normal 4 2 2 4 2 3 2 2 4" xfId="25057" xr:uid="{48C41A33-8262-472A-A106-3CFB40F64899}"/>
    <cellStyle name="Normal 4 2 2 4 2 3 2 3" xfId="12393" xr:uid="{A3A23239-2A66-4113-963A-04D2F340D80C}"/>
    <cellStyle name="Normal 4 2 2 4 2 3 2 3 2" xfId="48735" xr:uid="{2E7E8C59-6C37-4E35-A8EA-7A33398A17F6}"/>
    <cellStyle name="Normal 4 2 2 4 2 3 2 3 3" xfId="30139" xr:uid="{76CD2BB8-B699-4596-B733-450E5C5249AE}"/>
    <cellStyle name="Normal 4 2 2 4 2 3 2 4" xfId="39438" xr:uid="{458FBC3F-C3BD-4D93-99A2-F7A5856CC8F6}"/>
    <cellStyle name="Normal 4 2 2 4 2 3 2 5" xfId="20840" xr:uid="{CEBD9464-23D2-462C-A6FE-A6B5BF132441}"/>
    <cellStyle name="Normal 4 2 2 4 2 3 3" xfId="5139" xr:uid="{00000000-0005-0000-0000-0000AB120000}"/>
    <cellStyle name="Normal 4 2 2 4 2 3 3 2" xfId="14465" xr:uid="{42A4F3B1-ECC8-4C27-858E-3CBB8C05D33C}"/>
    <cellStyle name="Normal 4 2 2 4 2 3 3 2 2" xfId="50807" xr:uid="{2B6C27D4-BE73-4679-9390-0E37F7FAA1E0}"/>
    <cellStyle name="Normal 4 2 2 4 2 3 3 2 3" xfId="32211" xr:uid="{11C064A4-F2A4-4C92-8172-0B3C547778EE}"/>
    <cellStyle name="Normal 4 2 2 4 2 3 3 3" xfId="41510" xr:uid="{9AD4B44C-06D7-4E78-911F-CCC1E623C59A}"/>
    <cellStyle name="Normal 4 2 2 4 2 3 3 4" xfId="22912" xr:uid="{9CEEA601-847E-4E23-AADA-F042A63A1FF1}"/>
    <cellStyle name="Normal 4 2 2 4 2 3 4" xfId="9346" xr:uid="{11110DEC-01F5-467C-B0F9-3286FF7E57CB}"/>
    <cellStyle name="Normal 4 2 2 4 2 3 4 2" xfId="36407" xr:uid="{636AA001-489A-4237-8E98-5E717526DA27}"/>
    <cellStyle name="Normal 4 2 2 4 2 3 4 2 2" xfId="55001" xr:uid="{ED250859-B20C-4A16-9C3C-4A311D5879AA}"/>
    <cellStyle name="Normal 4 2 2 4 2 3 4 3" xfId="45704" xr:uid="{F4333B3E-4098-42C9-A17E-4F19B48A424A}"/>
    <cellStyle name="Normal 4 2 2 4 2 3 4 4" xfId="27108" xr:uid="{307CF31F-FFFA-4230-AE70-F3E56FCE10C9}"/>
    <cellStyle name="Normal 4 2 2 4 2 3 5" xfId="10248" xr:uid="{BD26D49A-F25E-4ED8-B37F-38AD60C85F2F}"/>
    <cellStyle name="Normal 4 2 2 4 2 3 5 2" xfId="46590" xr:uid="{3732F6BF-11D8-4E96-BBF0-269761BF923F}"/>
    <cellStyle name="Normal 4 2 2 4 2 3 5 3" xfId="27994" xr:uid="{90808483-B859-4780-8687-B2170FFD88B0}"/>
    <cellStyle name="Normal 4 2 2 4 2 3 6" xfId="37293" xr:uid="{A7F6EAB2-43A0-49FF-8A79-45376DF625C7}"/>
    <cellStyle name="Normal 4 2 2 4 2 3 7" xfId="18695" xr:uid="{FFEEDE06-0930-4516-A7F6-431A9C3070B8}"/>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17023" xr:uid="{AD9CE0E7-0541-4A27-BD8C-9460D834D0F2}"/>
    <cellStyle name="Normal 4 2 2 4 2 4 2 2 2 2" xfId="53365" xr:uid="{26BC1C40-B159-4851-8FB2-7EF260EDE8B0}"/>
    <cellStyle name="Normal 4 2 2 4 2 4 2 2 2 3" xfId="34769" xr:uid="{8832013D-D3AA-4C1F-B0F5-DCE53468D009}"/>
    <cellStyle name="Normal 4 2 2 4 2 4 2 2 3" xfId="44068" xr:uid="{3C1F51F4-CD0C-4A43-9697-988726B6CE3B}"/>
    <cellStyle name="Normal 4 2 2 4 2 4 2 2 4" xfId="25470" xr:uid="{A5B42DEB-D18D-4C97-A5DC-77AB93A2FE83}"/>
    <cellStyle name="Normal 4 2 2 4 2 4 2 3" xfId="12806" xr:uid="{C3854C94-8F1E-4A9B-8697-B7FB57BD6446}"/>
    <cellStyle name="Normal 4 2 2 4 2 4 2 3 2" xfId="49148" xr:uid="{C45B02D7-6B52-464F-8AF7-EC7FC129F986}"/>
    <cellStyle name="Normal 4 2 2 4 2 4 2 3 3" xfId="30552" xr:uid="{D21D0E14-FE9E-4851-8492-16C6D3BFDA51}"/>
    <cellStyle name="Normal 4 2 2 4 2 4 2 4" xfId="39851" xr:uid="{F77A7EE0-1C69-4EF8-B785-7FF1C740667D}"/>
    <cellStyle name="Normal 4 2 2 4 2 4 2 5" xfId="21253" xr:uid="{75988852-5935-4FCF-BA51-9A7FD83F9075}"/>
    <cellStyle name="Normal 4 2 2 4 2 4 3" xfId="5552" xr:uid="{00000000-0005-0000-0000-0000AF120000}"/>
    <cellStyle name="Normal 4 2 2 4 2 4 3 2" xfId="14878" xr:uid="{923DB173-9B1B-49FB-A714-6B2C7F8244F7}"/>
    <cellStyle name="Normal 4 2 2 4 2 4 3 2 2" xfId="51220" xr:uid="{8BCD4B8A-89B5-4DE8-8A63-5FECBAC60AAC}"/>
    <cellStyle name="Normal 4 2 2 4 2 4 3 2 3" xfId="32624" xr:uid="{1114ABCF-6E63-4A23-803A-129C669D53DB}"/>
    <cellStyle name="Normal 4 2 2 4 2 4 3 3" xfId="41923" xr:uid="{11458DE6-DD3C-4ED1-B7D1-D408AAD933C4}"/>
    <cellStyle name="Normal 4 2 2 4 2 4 3 4" xfId="23325" xr:uid="{55032447-E608-496E-ACB3-7B68297138B6}"/>
    <cellStyle name="Normal 4 2 2 4 2 4 4" xfId="10661" xr:uid="{5B5D5B3C-7741-454E-ABF2-9C5CD27462DD}"/>
    <cellStyle name="Normal 4 2 2 4 2 4 4 2" xfId="47003" xr:uid="{923EF25B-F732-4A2D-8860-C76559FB352B}"/>
    <cellStyle name="Normal 4 2 2 4 2 4 4 3" xfId="28407" xr:uid="{D2781276-5E79-4119-B1D4-C1D4A86D5CBA}"/>
    <cellStyle name="Normal 4 2 2 4 2 4 5" xfId="37706" xr:uid="{4B11C958-2E24-4634-B957-221C8AD02E31}"/>
    <cellStyle name="Normal 4 2 2 4 2 4 6" xfId="19108" xr:uid="{0CE62386-59FE-4C04-8687-BF31ECF5FAD1}"/>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17436" xr:uid="{8B4E44F1-95C8-4BF6-AF5C-41FF042204EC}"/>
    <cellStyle name="Normal 4 2 2 4 2 5 2 2 2 2" xfId="53778" xr:uid="{97E35DF6-9C6F-487F-9AEB-7A7643E32FE3}"/>
    <cellStyle name="Normal 4 2 2 4 2 5 2 2 2 3" xfId="35182" xr:uid="{9E4624D3-4A9C-4400-877A-DCDECFBE0AFF}"/>
    <cellStyle name="Normal 4 2 2 4 2 5 2 2 3" xfId="44481" xr:uid="{A86BC63C-99D6-4EB3-B3D9-62802BCE584C}"/>
    <cellStyle name="Normal 4 2 2 4 2 5 2 2 4" xfId="25883" xr:uid="{3AAC32B3-B204-441A-BBF3-4F7A159DB317}"/>
    <cellStyle name="Normal 4 2 2 4 2 5 2 3" xfId="13219" xr:uid="{BF589420-36D1-49EF-B967-2F44FA313238}"/>
    <cellStyle name="Normal 4 2 2 4 2 5 2 3 2" xfId="49561" xr:uid="{148475B9-B0C7-4E1E-BCC5-9E525BC7C149}"/>
    <cellStyle name="Normal 4 2 2 4 2 5 2 3 3" xfId="30965" xr:uid="{367000EE-739D-4B9D-9D74-3170F8335441}"/>
    <cellStyle name="Normal 4 2 2 4 2 5 2 4" xfId="40264" xr:uid="{EF208E6A-6BA3-4B1D-A855-9C103FB92AEA}"/>
    <cellStyle name="Normal 4 2 2 4 2 5 2 5" xfId="21666" xr:uid="{B3CBE365-33C1-4DA7-8A53-ADB15D7E1CBF}"/>
    <cellStyle name="Normal 4 2 2 4 2 5 3" xfId="5965" xr:uid="{00000000-0005-0000-0000-0000B3120000}"/>
    <cellStyle name="Normal 4 2 2 4 2 5 3 2" xfId="15291" xr:uid="{988C3EAE-A1C5-4C2F-BD58-5B3077EDC4B5}"/>
    <cellStyle name="Normal 4 2 2 4 2 5 3 2 2" xfId="51633" xr:uid="{0A3859A9-C807-462E-88D2-4A5EC9891D27}"/>
    <cellStyle name="Normal 4 2 2 4 2 5 3 2 3" xfId="33037" xr:uid="{62E48ADB-15EA-4C30-9C75-8566085F7A4D}"/>
    <cellStyle name="Normal 4 2 2 4 2 5 3 3" xfId="42336" xr:uid="{0F332133-968A-4B60-A7C6-807BC83F51CB}"/>
    <cellStyle name="Normal 4 2 2 4 2 5 3 4" xfId="23738" xr:uid="{478ED958-9DAB-4E59-94EC-CC9F7B81A37E}"/>
    <cellStyle name="Normal 4 2 2 4 2 5 4" xfId="11074" xr:uid="{3E58D18B-2F77-4476-A15E-807030EE16C1}"/>
    <cellStyle name="Normal 4 2 2 4 2 5 4 2" xfId="47416" xr:uid="{AA6FD9C4-2626-4383-841D-A8D1A199CF7F}"/>
    <cellStyle name="Normal 4 2 2 4 2 5 4 3" xfId="28820" xr:uid="{6CFB2A4F-6205-4301-B658-111780BA66D5}"/>
    <cellStyle name="Normal 4 2 2 4 2 5 5" xfId="38119" xr:uid="{47180B6C-8725-4DFF-B3CC-318DC6D44F0D}"/>
    <cellStyle name="Normal 4 2 2 4 2 5 6" xfId="19521" xr:uid="{2E699115-095E-425F-B1D2-C1E18AE86D7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17849" xr:uid="{F73934A2-4E95-4FF9-9414-4FF7A19BCFB2}"/>
    <cellStyle name="Normal 4 2 2 4 2 6 2 2 2 2" xfId="54191" xr:uid="{0C6DD698-6255-43C4-8373-C1DCB32057EF}"/>
    <cellStyle name="Normal 4 2 2 4 2 6 2 2 2 3" xfId="35595" xr:uid="{7BA738CD-A52F-4AD8-BAFA-EE6AE6D73387}"/>
    <cellStyle name="Normal 4 2 2 4 2 6 2 2 3" xfId="44894" xr:uid="{490BC69F-0847-4811-AB3D-A29F6453FB33}"/>
    <cellStyle name="Normal 4 2 2 4 2 6 2 2 4" xfId="26296" xr:uid="{BD5C118C-CFC2-405C-A55E-8ACFD86C6FEA}"/>
    <cellStyle name="Normal 4 2 2 4 2 6 2 3" xfId="13632" xr:uid="{CAD4992C-8762-4B0A-98BF-FB2D6AFAD72B}"/>
    <cellStyle name="Normal 4 2 2 4 2 6 2 3 2" xfId="49974" xr:uid="{3EBE14D6-BE71-4FE5-A810-0299D4D91060}"/>
    <cellStyle name="Normal 4 2 2 4 2 6 2 3 3" xfId="31378" xr:uid="{2CCE0A14-5482-4498-887F-A5368FF96489}"/>
    <cellStyle name="Normal 4 2 2 4 2 6 2 4" xfId="40677" xr:uid="{5A9C0E9F-1AE5-493C-A591-7A8EF7BB2224}"/>
    <cellStyle name="Normal 4 2 2 4 2 6 2 5" xfId="22079" xr:uid="{4FEB73FE-9990-4977-965B-860E44F44BF0}"/>
    <cellStyle name="Normal 4 2 2 4 2 6 3" xfId="6378" xr:uid="{00000000-0005-0000-0000-0000B7120000}"/>
    <cellStyle name="Normal 4 2 2 4 2 6 3 2" xfId="15704" xr:uid="{17AE2626-1A97-4C7D-A973-C0554C2A706D}"/>
    <cellStyle name="Normal 4 2 2 4 2 6 3 2 2" xfId="52046" xr:uid="{7E037F69-3D3F-4A5F-8FD7-DD76A63BD40F}"/>
    <cellStyle name="Normal 4 2 2 4 2 6 3 2 3" xfId="33450" xr:uid="{FA313F89-CC82-4096-A890-99B66607B7AE}"/>
    <cellStyle name="Normal 4 2 2 4 2 6 3 3" xfId="42749" xr:uid="{F4F36A27-C8D2-48F6-9992-AFAFB3F33C2C}"/>
    <cellStyle name="Normal 4 2 2 4 2 6 3 4" xfId="24151" xr:uid="{79B42700-A067-4614-9941-67211C7FA21E}"/>
    <cellStyle name="Normal 4 2 2 4 2 6 4" xfId="11487" xr:uid="{0AD42F6B-D052-41F1-A126-C5401E1FE579}"/>
    <cellStyle name="Normal 4 2 2 4 2 6 4 2" xfId="47829" xr:uid="{80F3E0B9-763A-4813-BA16-34F0332684A7}"/>
    <cellStyle name="Normal 4 2 2 4 2 6 4 3" xfId="29233" xr:uid="{A10AB5CF-8C95-4810-B3EA-CB00CB7B3F39}"/>
    <cellStyle name="Normal 4 2 2 4 2 6 5" xfId="38532" xr:uid="{DC944120-A94A-4449-A0EE-3F0F2D395A1A}"/>
    <cellStyle name="Normal 4 2 2 4 2 6 6" xfId="19934" xr:uid="{BD3F8FC8-EE01-4B0A-B4E3-40276184AC77}"/>
    <cellStyle name="Normal 4 2 2 4 2 7" xfId="2508" xr:uid="{00000000-0005-0000-0000-0000B8120000}"/>
    <cellStyle name="Normal 4 2 2 4 2 7 2" xfId="6791" xr:uid="{00000000-0005-0000-0000-0000B9120000}"/>
    <cellStyle name="Normal 4 2 2 4 2 7 2 2" xfId="16117" xr:uid="{07CFAC7A-656F-4AF7-AD2E-1A79312795BF}"/>
    <cellStyle name="Normal 4 2 2 4 2 7 2 2 2" xfId="52459" xr:uid="{35339D7F-03D0-47E6-B24E-BF2183EF8121}"/>
    <cellStyle name="Normal 4 2 2 4 2 7 2 2 3" xfId="33863" xr:uid="{38B65194-47B2-4ACB-B7C3-54712144105D}"/>
    <cellStyle name="Normal 4 2 2 4 2 7 2 3" xfId="43162" xr:uid="{804F9DDC-551E-4738-88E5-6A00828ECD56}"/>
    <cellStyle name="Normal 4 2 2 4 2 7 2 4" xfId="24564" xr:uid="{627DE6F5-58A3-4121-AE48-AF42BA730A04}"/>
    <cellStyle name="Normal 4 2 2 4 2 7 3" xfId="11900" xr:uid="{E128A1B3-FC2F-481C-AD8B-A890625F0243}"/>
    <cellStyle name="Normal 4 2 2 4 2 7 3 2" xfId="48242" xr:uid="{4AF124E4-725B-4FF5-B68B-3302E5405E57}"/>
    <cellStyle name="Normal 4 2 2 4 2 7 3 3" xfId="29646" xr:uid="{9AAE988F-D523-438D-8091-9F095E9856A6}"/>
    <cellStyle name="Normal 4 2 2 4 2 7 4" xfId="38945" xr:uid="{8722C0E9-3C48-4CCD-8604-0C16D5936A18}"/>
    <cellStyle name="Normal 4 2 2 4 2 7 5" xfId="20347" xr:uid="{1434AEB1-B87A-4E65-A87E-1509CBB469CB}"/>
    <cellStyle name="Normal 4 2 2 4 2 8" xfId="4726" xr:uid="{00000000-0005-0000-0000-0000BA120000}"/>
    <cellStyle name="Normal 4 2 2 4 2 8 2" xfId="14052" xr:uid="{0201F14A-4B7B-4DC7-9A5B-29AB69EBAC30}"/>
    <cellStyle name="Normal 4 2 2 4 2 8 2 2" xfId="50394" xr:uid="{02B8ABA1-7F4A-4905-B598-65955CFE36F8}"/>
    <cellStyle name="Normal 4 2 2 4 2 8 2 3" xfId="31798" xr:uid="{1127E9A5-5191-4AFD-866A-178BC15F9871}"/>
    <cellStyle name="Normal 4 2 2 4 2 8 3" xfId="41097" xr:uid="{DB0CF41C-0C91-4EF3-A34B-1D658B1C3FC8}"/>
    <cellStyle name="Normal 4 2 2 4 2 8 4" xfId="22499" xr:uid="{AC7B5D40-ECE7-4FC8-8B9A-009BDA7121E2}"/>
    <cellStyle name="Normal 4 2 2 4 2 9" xfId="8921" xr:uid="{43AA3CA1-A6D2-47CC-8276-CBFAB7238AA6}"/>
    <cellStyle name="Normal 4 2 2 4 2 9 2" xfId="35991" xr:uid="{A1D44973-B3E2-409E-82B6-ECDADCD6D3C5}"/>
    <cellStyle name="Normal 4 2 2 4 2 9 2 2" xfId="54586" xr:uid="{EA68C130-1399-42ED-950A-9330A002F1A6}"/>
    <cellStyle name="Normal 4 2 2 4 2 9 3" xfId="45289" xr:uid="{268BA55E-9485-4A1B-8281-E3671122E47E}"/>
    <cellStyle name="Normal 4 2 2 4 2 9 4" xfId="26692" xr:uid="{DA0AF088-866D-4AF0-B734-5AF521D62995}"/>
    <cellStyle name="Normal 4 2 2 4 3" xfId="350" xr:uid="{00000000-0005-0000-0000-0000BB120000}"/>
    <cellStyle name="Normal 4 2 2 4 3 10" xfId="36882" xr:uid="{57260658-2D40-446A-97FD-BEA94EC86EA1}"/>
    <cellStyle name="Normal 4 2 2 4 3 11" xfId="18284" xr:uid="{5EBE7C19-8D11-4B30-B2D2-FE2F2C5FA662}"/>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16612" xr:uid="{C8F946F4-2D22-4681-B7DF-944CAC7A97BD}"/>
    <cellStyle name="Normal 4 2 2 4 3 2 2 2 2 2" xfId="52954" xr:uid="{97EC3959-AF21-4B2E-AF40-785D90AAC07F}"/>
    <cellStyle name="Normal 4 2 2 4 3 2 2 2 2 3" xfId="34358" xr:uid="{1E5ECD23-E0BF-4096-8715-BDBB00780CE4}"/>
    <cellStyle name="Normal 4 2 2 4 3 2 2 2 3" xfId="43657" xr:uid="{8BD7F7EA-B983-49BA-8E06-F310FF640CBA}"/>
    <cellStyle name="Normal 4 2 2 4 3 2 2 2 4" xfId="25059" xr:uid="{981AB8C6-B377-4EEA-B5C2-C896414EAA09}"/>
    <cellStyle name="Normal 4 2 2 4 3 2 2 3" xfId="12395" xr:uid="{9542D197-C502-4216-9A6E-A708B4BBD60E}"/>
    <cellStyle name="Normal 4 2 2 4 3 2 2 3 2" xfId="48737" xr:uid="{664AC080-1962-4003-89CC-534374B84D47}"/>
    <cellStyle name="Normal 4 2 2 4 3 2 2 3 3" xfId="30141" xr:uid="{FB261EBA-FA74-4783-A974-6C6945B42BF9}"/>
    <cellStyle name="Normal 4 2 2 4 3 2 2 4" xfId="39440" xr:uid="{FA09AE39-DCB4-4374-B670-09F0CB60705C}"/>
    <cellStyle name="Normal 4 2 2 4 3 2 2 5" xfId="20842" xr:uid="{E68F8C54-4E9F-4FA6-B19A-5CB8FA0AFBBA}"/>
    <cellStyle name="Normal 4 2 2 4 3 2 3" xfId="5141" xr:uid="{00000000-0005-0000-0000-0000BF120000}"/>
    <cellStyle name="Normal 4 2 2 4 3 2 3 2" xfId="14467" xr:uid="{68B0D93E-42B3-4553-8043-B9205531C66D}"/>
    <cellStyle name="Normal 4 2 2 4 3 2 3 2 2" xfId="50809" xr:uid="{833C3BC4-F8E8-41BD-BBF2-96D940372870}"/>
    <cellStyle name="Normal 4 2 2 4 3 2 3 2 3" xfId="32213" xr:uid="{BD898FFA-8657-4462-B081-356DB296D335}"/>
    <cellStyle name="Normal 4 2 2 4 3 2 3 3" xfId="41512" xr:uid="{74FE83E8-F12B-47F3-9538-35CF0979ACA2}"/>
    <cellStyle name="Normal 4 2 2 4 3 2 3 4" xfId="22914" xr:uid="{2A7BC099-0691-4A5E-8950-A5D377765537}"/>
    <cellStyle name="Normal 4 2 2 4 3 2 4" xfId="9450" xr:uid="{0F54578A-5DA3-4B6E-9E36-71CC7CD6BFE8}"/>
    <cellStyle name="Normal 4 2 2 4 3 2 4 2" xfId="36511" xr:uid="{06B30D47-5432-4113-B400-D1660C5BE8B8}"/>
    <cellStyle name="Normal 4 2 2 4 3 2 4 2 2" xfId="55105" xr:uid="{46C1B3D7-A49B-4D0D-A87F-BA29FF6E2E7D}"/>
    <cellStyle name="Normal 4 2 2 4 3 2 4 3" xfId="45808" xr:uid="{93058316-9580-4206-B4B8-929DBECB677F}"/>
    <cellStyle name="Normal 4 2 2 4 3 2 4 4" xfId="27212" xr:uid="{B047567F-EE99-4E4E-8BF5-ABAD32836BA0}"/>
    <cellStyle name="Normal 4 2 2 4 3 2 5" xfId="10250" xr:uid="{21E91E81-9B71-4F0E-B954-FA72DFACED98}"/>
    <cellStyle name="Normal 4 2 2 4 3 2 5 2" xfId="46592" xr:uid="{91036049-8602-4034-90D7-D545CFBF39CB}"/>
    <cellStyle name="Normal 4 2 2 4 3 2 5 3" xfId="27996" xr:uid="{165E0AC2-0642-4916-8D91-F97CEFEA9C50}"/>
    <cellStyle name="Normal 4 2 2 4 3 2 6" xfId="37295" xr:uid="{45705071-5370-4DBB-ABDE-16BE6687B42E}"/>
    <cellStyle name="Normal 4 2 2 4 3 2 7" xfId="18697" xr:uid="{6B5E1CD4-5A6F-4BFD-BCF5-795CA60E309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17025" xr:uid="{AEA65075-1DEF-49A0-9C14-9FCB8E448DE8}"/>
    <cellStyle name="Normal 4 2 2 4 3 3 2 2 2 2" xfId="53367" xr:uid="{F0062432-2E41-46A4-B58C-B9051B585025}"/>
    <cellStyle name="Normal 4 2 2 4 3 3 2 2 2 3" xfId="34771" xr:uid="{3BEA98FF-41C8-4D02-8F0E-0F6D23B1AC73}"/>
    <cellStyle name="Normal 4 2 2 4 3 3 2 2 3" xfId="44070" xr:uid="{FD59A2EF-4FE5-4377-965E-4DD9028371B7}"/>
    <cellStyle name="Normal 4 2 2 4 3 3 2 2 4" xfId="25472" xr:uid="{476D3523-585D-4CE6-A79E-416B6F44A3A4}"/>
    <cellStyle name="Normal 4 2 2 4 3 3 2 3" xfId="12808" xr:uid="{D623D8BE-0701-41D5-8C55-7B789F77CED0}"/>
    <cellStyle name="Normal 4 2 2 4 3 3 2 3 2" xfId="49150" xr:uid="{0669D825-16F0-474A-A1CE-A34FD76A9A59}"/>
    <cellStyle name="Normal 4 2 2 4 3 3 2 3 3" xfId="30554" xr:uid="{8ECE6BED-4C4E-4B35-9D36-E592A0742EB8}"/>
    <cellStyle name="Normal 4 2 2 4 3 3 2 4" xfId="39853" xr:uid="{990222BA-F195-4F65-9E53-8A681EC92181}"/>
    <cellStyle name="Normal 4 2 2 4 3 3 2 5" xfId="21255" xr:uid="{E4A1C584-17BC-4671-B0E7-B5C2C49875F3}"/>
    <cellStyle name="Normal 4 2 2 4 3 3 3" xfId="5554" xr:uid="{00000000-0005-0000-0000-0000C3120000}"/>
    <cellStyle name="Normal 4 2 2 4 3 3 3 2" xfId="14880" xr:uid="{37E28386-3598-471B-855F-E5ED4158F91B}"/>
    <cellStyle name="Normal 4 2 2 4 3 3 3 2 2" xfId="51222" xr:uid="{2B5B6BCD-424D-4B35-B99A-35C42B95AAB0}"/>
    <cellStyle name="Normal 4 2 2 4 3 3 3 2 3" xfId="32626" xr:uid="{73B5EEBE-1E0F-46CF-BE66-EDD927C7955B}"/>
    <cellStyle name="Normal 4 2 2 4 3 3 3 3" xfId="41925" xr:uid="{7CA08A8D-9646-46C4-9CD3-D9574C807E04}"/>
    <cellStyle name="Normal 4 2 2 4 3 3 3 4" xfId="23327" xr:uid="{75A9B0B8-AFD5-44CC-A5AD-FE83A935A898}"/>
    <cellStyle name="Normal 4 2 2 4 3 3 4" xfId="10663" xr:uid="{928360CE-780B-4653-BA2F-DA1589CBCEDD}"/>
    <cellStyle name="Normal 4 2 2 4 3 3 4 2" xfId="47005" xr:uid="{83B1B2DA-5BFF-4D31-845D-0FD2D33AF736}"/>
    <cellStyle name="Normal 4 2 2 4 3 3 4 3" xfId="28409" xr:uid="{E337721D-58EB-4412-88EB-C0183CB23FC6}"/>
    <cellStyle name="Normal 4 2 2 4 3 3 5" xfId="37708" xr:uid="{F3F60F9C-27FC-43A5-9B4A-E4E6EC93C5E6}"/>
    <cellStyle name="Normal 4 2 2 4 3 3 6" xfId="19110" xr:uid="{8C8782F9-5246-4D4F-8AC1-2816AE8EFE58}"/>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17438" xr:uid="{33359BD3-F359-4C0B-8DA6-B0C0BF2C14E6}"/>
    <cellStyle name="Normal 4 2 2 4 3 4 2 2 2 2" xfId="53780" xr:uid="{E5C088CC-2175-4BFC-80AB-72CF8DAE831D}"/>
    <cellStyle name="Normal 4 2 2 4 3 4 2 2 2 3" xfId="35184" xr:uid="{6A433DF3-97A0-4A6E-9479-21F02ABEC6B4}"/>
    <cellStyle name="Normal 4 2 2 4 3 4 2 2 3" xfId="44483" xr:uid="{0B3F9F89-9740-4B0E-9683-E722DEBBC731}"/>
    <cellStyle name="Normal 4 2 2 4 3 4 2 2 4" xfId="25885" xr:uid="{9ECC040F-F896-4352-8AC1-838712DDAD62}"/>
    <cellStyle name="Normal 4 2 2 4 3 4 2 3" xfId="13221" xr:uid="{A6958974-5DA4-43AB-84ED-3F04FFE3524C}"/>
    <cellStyle name="Normal 4 2 2 4 3 4 2 3 2" xfId="49563" xr:uid="{DC023173-980B-4D2A-AEF8-613CE35F09A5}"/>
    <cellStyle name="Normal 4 2 2 4 3 4 2 3 3" xfId="30967" xr:uid="{29077243-799A-426A-8CDB-1294979AB671}"/>
    <cellStyle name="Normal 4 2 2 4 3 4 2 4" xfId="40266" xr:uid="{A21E2D0E-1DD1-44DD-8C04-FBC7EEECA74E}"/>
    <cellStyle name="Normal 4 2 2 4 3 4 2 5" xfId="21668" xr:uid="{44341FDD-59E2-4D4F-8E14-91553C59065B}"/>
    <cellStyle name="Normal 4 2 2 4 3 4 3" xfId="5967" xr:uid="{00000000-0005-0000-0000-0000C7120000}"/>
    <cellStyle name="Normal 4 2 2 4 3 4 3 2" xfId="15293" xr:uid="{2CC3B3A6-DF37-45F1-9469-DC8BFC892843}"/>
    <cellStyle name="Normal 4 2 2 4 3 4 3 2 2" xfId="51635" xr:uid="{16F183A1-3BE3-4FDD-A410-1A059172A461}"/>
    <cellStyle name="Normal 4 2 2 4 3 4 3 2 3" xfId="33039" xr:uid="{BC3270B3-C57B-46F8-8EBA-418BD8AEC7B5}"/>
    <cellStyle name="Normal 4 2 2 4 3 4 3 3" xfId="42338" xr:uid="{2C6E439C-CD04-44F6-999C-25311D48ACF6}"/>
    <cellStyle name="Normal 4 2 2 4 3 4 3 4" xfId="23740" xr:uid="{472C425F-8AC6-437F-96E3-1D6A5FB5B283}"/>
    <cellStyle name="Normal 4 2 2 4 3 4 4" xfId="11076" xr:uid="{894D0C97-1E99-4D2D-B5FC-1BF594119EE7}"/>
    <cellStyle name="Normal 4 2 2 4 3 4 4 2" xfId="47418" xr:uid="{6D7FB2C9-3756-4150-917E-F05FECB7B4DE}"/>
    <cellStyle name="Normal 4 2 2 4 3 4 4 3" xfId="28822" xr:uid="{49C0A1EC-4885-4630-8435-41881DDA0708}"/>
    <cellStyle name="Normal 4 2 2 4 3 4 5" xfId="38121" xr:uid="{5ABC9331-6D20-49C3-8B94-D2BA7252B262}"/>
    <cellStyle name="Normal 4 2 2 4 3 4 6" xfId="19523" xr:uid="{E497CFC2-DFD7-41C7-8B66-4A0B478AE76C}"/>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17851" xr:uid="{D1634B14-F823-4AFB-8EDF-FF720C7A0EE9}"/>
    <cellStyle name="Normal 4 2 2 4 3 5 2 2 2 2" xfId="54193" xr:uid="{A52A4F61-A0F4-42A5-8CA8-25684BC7895E}"/>
    <cellStyle name="Normal 4 2 2 4 3 5 2 2 2 3" xfId="35597" xr:uid="{51FF569C-EA12-48EF-8146-A8A2336BBB3A}"/>
    <cellStyle name="Normal 4 2 2 4 3 5 2 2 3" xfId="44896" xr:uid="{FCC2CCB1-C4C9-4D9F-9661-9B14CD8137CE}"/>
    <cellStyle name="Normal 4 2 2 4 3 5 2 2 4" xfId="26298" xr:uid="{1B9F1708-45B3-414A-A4F1-0F8F3D6EC120}"/>
    <cellStyle name="Normal 4 2 2 4 3 5 2 3" xfId="13634" xr:uid="{F055C066-5522-4C16-85AF-E175EBA81C4F}"/>
    <cellStyle name="Normal 4 2 2 4 3 5 2 3 2" xfId="49976" xr:uid="{5EB55F03-93CD-4809-9B7E-F7E004F80CDC}"/>
    <cellStyle name="Normal 4 2 2 4 3 5 2 3 3" xfId="31380" xr:uid="{CB487F51-962E-4D7D-8553-F7CEE2B8A40F}"/>
    <cellStyle name="Normal 4 2 2 4 3 5 2 4" xfId="40679" xr:uid="{8DF3CEFC-2214-4AC5-AE79-C94FE1BC5352}"/>
    <cellStyle name="Normal 4 2 2 4 3 5 2 5" xfId="22081" xr:uid="{3B2D3389-04CD-4A75-8B4B-4296B4CC7DBB}"/>
    <cellStyle name="Normal 4 2 2 4 3 5 3" xfId="6380" xr:uid="{00000000-0005-0000-0000-0000CB120000}"/>
    <cellStyle name="Normal 4 2 2 4 3 5 3 2" xfId="15706" xr:uid="{B38531BF-BFFC-4858-8D44-82AAC3C4F25A}"/>
    <cellStyle name="Normal 4 2 2 4 3 5 3 2 2" xfId="52048" xr:uid="{DB0F3831-DEE8-4287-98BE-1BF746AC5CAA}"/>
    <cellStyle name="Normal 4 2 2 4 3 5 3 2 3" xfId="33452" xr:uid="{A4529E65-6BD5-41EA-B670-404E65842078}"/>
    <cellStyle name="Normal 4 2 2 4 3 5 3 3" xfId="42751" xr:uid="{38547726-3218-42EC-9B6B-F37391EBD873}"/>
    <cellStyle name="Normal 4 2 2 4 3 5 3 4" xfId="24153" xr:uid="{9D3CC7A6-C2D6-443A-9EEF-2F1166B41969}"/>
    <cellStyle name="Normal 4 2 2 4 3 5 4" xfId="11489" xr:uid="{6CE994E7-18F6-4F54-9B5B-119D2503F276}"/>
    <cellStyle name="Normal 4 2 2 4 3 5 4 2" xfId="47831" xr:uid="{6731E4DE-112F-4B87-9679-54ACC8D314FE}"/>
    <cellStyle name="Normal 4 2 2 4 3 5 4 3" xfId="29235" xr:uid="{81073DA0-5F1A-472D-8A51-CBB77DE48117}"/>
    <cellStyle name="Normal 4 2 2 4 3 5 5" xfId="38534" xr:uid="{84CA6B86-0A48-4FF0-9F6B-24EDE32DE33C}"/>
    <cellStyle name="Normal 4 2 2 4 3 5 6" xfId="19936" xr:uid="{A851437A-325C-479C-BFAC-42A0C0B463BB}"/>
    <cellStyle name="Normal 4 2 2 4 3 6" xfId="2510" xr:uid="{00000000-0005-0000-0000-0000CC120000}"/>
    <cellStyle name="Normal 4 2 2 4 3 6 2" xfId="6793" xr:uid="{00000000-0005-0000-0000-0000CD120000}"/>
    <cellStyle name="Normal 4 2 2 4 3 6 2 2" xfId="16119" xr:uid="{DCB4F8E7-AFCC-4BA3-A676-DD62140D9263}"/>
    <cellStyle name="Normal 4 2 2 4 3 6 2 2 2" xfId="52461" xr:uid="{BFD8CBFE-9D68-49AF-A960-83F5E5490DE5}"/>
    <cellStyle name="Normal 4 2 2 4 3 6 2 2 3" xfId="33865" xr:uid="{504C4230-A47C-4031-9BC0-007BB25E4A92}"/>
    <cellStyle name="Normal 4 2 2 4 3 6 2 3" xfId="43164" xr:uid="{4AA522ED-2F58-497D-859D-90963752401D}"/>
    <cellStyle name="Normal 4 2 2 4 3 6 2 4" xfId="24566" xr:uid="{FD035D1F-A488-4212-A15F-BB0C33062122}"/>
    <cellStyle name="Normal 4 2 2 4 3 6 3" xfId="11902" xr:uid="{0101E134-5D49-4EEC-85B9-4B03071D7009}"/>
    <cellStyle name="Normal 4 2 2 4 3 6 3 2" xfId="48244" xr:uid="{239512E7-05A1-4364-B0BC-92E91212E1D5}"/>
    <cellStyle name="Normal 4 2 2 4 3 6 3 3" xfId="29648" xr:uid="{2FBBCFB1-8530-4117-B0A2-6217A2134181}"/>
    <cellStyle name="Normal 4 2 2 4 3 6 4" xfId="38947" xr:uid="{5DF1CF5A-D0B4-4BC6-B2D4-9E1EA4CC42F1}"/>
    <cellStyle name="Normal 4 2 2 4 3 6 5" xfId="20349" xr:uid="{094CA2A4-BAAA-4C10-9AB8-5DF1E94B7D54}"/>
    <cellStyle name="Normal 4 2 2 4 3 7" xfId="4728" xr:uid="{00000000-0005-0000-0000-0000CE120000}"/>
    <cellStyle name="Normal 4 2 2 4 3 7 2" xfId="14054" xr:uid="{87C7DC35-4428-4F15-8CA2-AB0BD3D39963}"/>
    <cellStyle name="Normal 4 2 2 4 3 7 2 2" xfId="50396" xr:uid="{AF177051-FCF1-404A-A308-327B7D0A8F55}"/>
    <cellStyle name="Normal 4 2 2 4 3 7 2 3" xfId="31800" xr:uid="{27551E59-961B-4980-81EE-0141B96338E9}"/>
    <cellStyle name="Normal 4 2 2 4 3 7 3" xfId="41099" xr:uid="{EB4FE6C1-1AB8-4CB3-AB7C-11EFDB2E250B}"/>
    <cellStyle name="Normal 4 2 2 4 3 7 4" xfId="22501" xr:uid="{46BDC3E8-6A56-449B-92AE-A2838CF9D720}"/>
    <cellStyle name="Normal 4 2 2 4 3 8" xfId="9025" xr:uid="{436CB353-A916-4AB2-B5E2-8C1BDAEA1182}"/>
    <cellStyle name="Normal 4 2 2 4 3 8 2" xfId="36095" xr:uid="{C769202F-7873-4208-9986-FAA3DFFDEF7F}"/>
    <cellStyle name="Normal 4 2 2 4 3 8 2 2" xfId="54690" xr:uid="{F4093192-4467-46AB-A264-89C2E1534BBB}"/>
    <cellStyle name="Normal 4 2 2 4 3 8 3" xfId="45393" xr:uid="{6E9C9B37-DAD7-45A8-AC79-20253618EC5F}"/>
    <cellStyle name="Normal 4 2 2 4 3 8 4" xfId="26796" xr:uid="{6715E92A-7AAD-43C9-8CBC-CAB76B18272E}"/>
    <cellStyle name="Normal 4 2 2 4 3 9" xfId="9837" xr:uid="{760CC611-887C-4BA8-B589-C31DE1003205}"/>
    <cellStyle name="Normal 4 2 2 4 3 9 2" xfId="46179" xr:uid="{C9BE82C8-BC9B-4939-AD99-D4DA3BB6B044}"/>
    <cellStyle name="Normal 4 2 2 4 3 9 3" xfId="27583" xr:uid="{E308ECBA-688A-446C-B697-73D7DE11800E}"/>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16609" xr:uid="{5A8092E7-0AA4-4FF9-B236-4809597217E1}"/>
    <cellStyle name="Normal 4 2 2 4 4 2 2 2 2" xfId="52951" xr:uid="{DD72762A-58F8-40F7-ADF7-8E00D1C0F981}"/>
    <cellStyle name="Normal 4 2 2 4 4 2 2 2 3" xfId="34355" xr:uid="{B8E6FB4A-D067-4E56-8D76-A55F5151D60E}"/>
    <cellStyle name="Normal 4 2 2 4 4 2 2 3" xfId="43654" xr:uid="{E64BB83C-69E8-4002-BFC8-8DA812DB034B}"/>
    <cellStyle name="Normal 4 2 2 4 4 2 2 4" xfId="25056" xr:uid="{F13214B9-7838-414A-A3A7-D00042E6D362}"/>
    <cellStyle name="Normal 4 2 2 4 4 2 3" xfId="12392" xr:uid="{FF4AA688-0C77-41FC-BE1A-6201F1724641}"/>
    <cellStyle name="Normal 4 2 2 4 4 2 3 2" xfId="48734" xr:uid="{5E782881-A1CF-4109-A20C-49B9FB550837}"/>
    <cellStyle name="Normal 4 2 2 4 4 2 3 3" xfId="30138" xr:uid="{9F0B23BE-3EAF-4D6C-AA1B-3AA372D9FEAA}"/>
    <cellStyle name="Normal 4 2 2 4 4 2 4" xfId="39437" xr:uid="{A62D8566-3A94-4EFA-AB21-D9592CF3B443}"/>
    <cellStyle name="Normal 4 2 2 4 4 2 5" xfId="20839" xr:uid="{A9025C5A-6D86-4016-8934-5741B66E4B3D}"/>
    <cellStyle name="Normal 4 2 2 4 4 3" xfId="5138" xr:uid="{00000000-0005-0000-0000-0000D2120000}"/>
    <cellStyle name="Normal 4 2 2 4 4 3 2" xfId="14464" xr:uid="{45D6D8AF-8EC5-47F5-B537-BA5A98A72AA7}"/>
    <cellStyle name="Normal 4 2 2 4 4 3 2 2" xfId="50806" xr:uid="{9D9AAC27-85E9-40A3-9D75-C6FCC0A7FE9E}"/>
    <cellStyle name="Normal 4 2 2 4 4 3 2 3" xfId="32210" xr:uid="{BD17011F-2777-43CB-B430-2299E0E65DF6}"/>
    <cellStyle name="Normal 4 2 2 4 4 3 3" xfId="41509" xr:uid="{53C60A70-E2CE-427C-917C-3991F57CC249}"/>
    <cellStyle name="Normal 4 2 2 4 4 3 4" xfId="22911" xr:uid="{275752C3-E973-4043-8325-AD7449F23190}"/>
    <cellStyle name="Normal 4 2 2 4 4 4" xfId="9243" xr:uid="{FD46A281-F5BE-478B-950E-209D1D56FC0E}"/>
    <cellStyle name="Normal 4 2 2 4 4 4 2" xfId="36304" xr:uid="{033A7CEA-332B-4154-AD94-825AC098E38D}"/>
    <cellStyle name="Normal 4 2 2 4 4 4 2 2" xfId="54898" xr:uid="{50F803B9-1DD8-4881-817C-F7C040F7A5C2}"/>
    <cellStyle name="Normal 4 2 2 4 4 4 3" xfId="45601" xr:uid="{CDA91A90-8D9B-431E-96EA-59AEE4205829}"/>
    <cellStyle name="Normal 4 2 2 4 4 4 4" xfId="27005" xr:uid="{12F60426-D10F-4493-BF32-C50FB3CF46E5}"/>
    <cellStyle name="Normal 4 2 2 4 4 5" xfId="10247" xr:uid="{34681410-9CA3-4316-9A57-B6FDFE92C680}"/>
    <cellStyle name="Normal 4 2 2 4 4 5 2" xfId="46589" xr:uid="{D76BE0E6-F243-4496-8E09-71735ED94501}"/>
    <cellStyle name="Normal 4 2 2 4 4 5 3" xfId="27993" xr:uid="{E28F3F68-F36B-410C-8152-A5F54FEF38DE}"/>
    <cellStyle name="Normal 4 2 2 4 4 6" xfId="37292" xr:uid="{5DEF64F4-040C-43EA-A783-BC80798CADEC}"/>
    <cellStyle name="Normal 4 2 2 4 4 7" xfId="18694" xr:uid="{46A26056-AB3C-4F38-B61D-58FD3FF1AF47}"/>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17022" xr:uid="{C08F088E-AE6C-48D3-938A-BF8DA1E70117}"/>
    <cellStyle name="Normal 4 2 2 4 5 2 2 2 2" xfId="53364" xr:uid="{D45B77F5-BE66-43A1-8A73-141AED2B92EC}"/>
    <cellStyle name="Normal 4 2 2 4 5 2 2 2 3" xfId="34768" xr:uid="{3F409798-DF4F-44F9-B3F4-539CEAEF7595}"/>
    <cellStyle name="Normal 4 2 2 4 5 2 2 3" xfId="44067" xr:uid="{D9EAE283-23C9-46C4-BDD1-F904FC5049DF}"/>
    <cellStyle name="Normal 4 2 2 4 5 2 2 4" xfId="25469" xr:uid="{650A1660-7978-4D2E-92DF-EFA2E3511CC1}"/>
    <cellStyle name="Normal 4 2 2 4 5 2 3" xfId="12805" xr:uid="{5BC10BAF-F8BA-486F-945A-8249558A3D5D}"/>
    <cellStyle name="Normal 4 2 2 4 5 2 3 2" xfId="49147" xr:uid="{7226BAC9-BC43-4310-BFEE-84DAC561FFBA}"/>
    <cellStyle name="Normal 4 2 2 4 5 2 3 3" xfId="30551" xr:uid="{A8FEE3B4-ED20-4539-AF95-55881C2EED8B}"/>
    <cellStyle name="Normal 4 2 2 4 5 2 4" xfId="39850" xr:uid="{AB5FC115-7CB6-452F-A778-83B8CE4D5742}"/>
    <cellStyle name="Normal 4 2 2 4 5 2 5" xfId="21252" xr:uid="{96D37171-6ACB-48EC-8B54-21D9F3A6A509}"/>
    <cellStyle name="Normal 4 2 2 4 5 3" xfId="5551" xr:uid="{00000000-0005-0000-0000-0000D6120000}"/>
    <cellStyle name="Normal 4 2 2 4 5 3 2" xfId="14877" xr:uid="{686A53E5-173C-4B2A-B054-212CFA406510}"/>
    <cellStyle name="Normal 4 2 2 4 5 3 2 2" xfId="51219" xr:uid="{9761E544-557E-4672-93DF-41CEA79320FB}"/>
    <cellStyle name="Normal 4 2 2 4 5 3 2 3" xfId="32623" xr:uid="{A3D2EF86-559E-4764-93D5-7BF54964676A}"/>
    <cellStyle name="Normal 4 2 2 4 5 3 3" xfId="41922" xr:uid="{410902C3-C575-475C-98FB-DF714128FEDD}"/>
    <cellStyle name="Normal 4 2 2 4 5 3 4" xfId="23324" xr:uid="{47C2747B-8192-484C-8BB9-B19278CE2FE5}"/>
    <cellStyle name="Normal 4 2 2 4 5 4" xfId="10660" xr:uid="{B5545E72-AC86-4AB5-BB82-70FE2D81F018}"/>
    <cellStyle name="Normal 4 2 2 4 5 4 2" xfId="47002" xr:uid="{938F7EDC-FB0E-4AE6-9134-8FC36A32E8BA}"/>
    <cellStyle name="Normal 4 2 2 4 5 4 3" xfId="28406" xr:uid="{24DD50D7-3668-4F22-8F10-27E043FB4F3B}"/>
    <cellStyle name="Normal 4 2 2 4 5 5" xfId="37705" xr:uid="{B35A1356-8CA9-409D-80E3-CCD3A987BDB0}"/>
    <cellStyle name="Normal 4 2 2 4 5 6" xfId="19107" xr:uid="{B45DC764-402C-4AEF-BDBB-9A1AEC3A50B1}"/>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17435" xr:uid="{E30DFA38-DE67-4C14-AA5B-5B691DCC217C}"/>
    <cellStyle name="Normal 4 2 2 4 6 2 2 2 2" xfId="53777" xr:uid="{6A72C139-2821-4AE4-832E-7503A5E8BCC9}"/>
    <cellStyle name="Normal 4 2 2 4 6 2 2 2 3" xfId="35181" xr:uid="{A4BE2CAF-D90E-443D-A65D-57569057659A}"/>
    <cellStyle name="Normal 4 2 2 4 6 2 2 3" xfId="44480" xr:uid="{8CC3645C-1B5F-44B7-A13E-2C3F654E12A9}"/>
    <cellStyle name="Normal 4 2 2 4 6 2 2 4" xfId="25882" xr:uid="{43220618-9DEA-49BE-92DA-1956D35993B5}"/>
    <cellStyle name="Normal 4 2 2 4 6 2 3" xfId="13218" xr:uid="{3239BBB9-F48A-4718-BE02-1CF4417D4F10}"/>
    <cellStyle name="Normal 4 2 2 4 6 2 3 2" xfId="49560" xr:uid="{69C87DBC-3233-4A9E-AADD-505169FE5FD4}"/>
    <cellStyle name="Normal 4 2 2 4 6 2 3 3" xfId="30964" xr:uid="{E9F5A615-99A9-478A-922F-3D82B0A80A7E}"/>
    <cellStyle name="Normal 4 2 2 4 6 2 4" xfId="40263" xr:uid="{8937BD57-7B68-45E4-A663-864C0BB70B9C}"/>
    <cellStyle name="Normal 4 2 2 4 6 2 5" xfId="21665" xr:uid="{7E951D9C-EE11-406F-9C68-C7024621DC8C}"/>
    <cellStyle name="Normal 4 2 2 4 6 3" xfId="5964" xr:uid="{00000000-0005-0000-0000-0000DA120000}"/>
    <cellStyle name="Normal 4 2 2 4 6 3 2" xfId="15290" xr:uid="{654B7E4E-3BA5-4753-A3FC-12834EF57C66}"/>
    <cellStyle name="Normal 4 2 2 4 6 3 2 2" xfId="51632" xr:uid="{BC402A08-3D9D-408C-9214-6E91571A5C6A}"/>
    <cellStyle name="Normal 4 2 2 4 6 3 2 3" xfId="33036" xr:uid="{A9BACB27-C0D7-4D78-8BAA-89BA13EE36DE}"/>
    <cellStyle name="Normal 4 2 2 4 6 3 3" xfId="42335" xr:uid="{6078B954-CB54-4AE1-8475-7E257EB55063}"/>
    <cellStyle name="Normal 4 2 2 4 6 3 4" xfId="23737" xr:uid="{3874A3A9-59EE-4271-A2AF-4E4666199D41}"/>
    <cellStyle name="Normal 4 2 2 4 6 4" xfId="11073" xr:uid="{17ACA423-9877-4073-94AB-95E79379D941}"/>
    <cellStyle name="Normal 4 2 2 4 6 4 2" xfId="47415" xr:uid="{A7A886D3-4F52-4944-A6FC-E3AE8111E41F}"/>
    <cellStyle name="Normal 4 2 2 4 6 4 3" xfId="28819" xr:uid="{56DD47F0-05B0-48A3-A489-8BE7FF471FC5}"/>
    <cellStyle name="Normal 4 2 2 4 6 5" xfId="38118" xr:uid="{0A8F137B-5E07-4DE9-98C4-12EA638EE5C0}"/>
    <cellStyle name="Normal 4 2 2 4 6 6" xfId="19520" xr:uid="{FDBE40F5-A163-4942-9533-B88CA791360E}"/>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17848" xr:uid="{A62F8E1D-856F-4619-97DC-600C1EE6F6EE}"/>
    <cellStyle name="Normal 4 2 2 4 7 2 2 2 2" xfId="54190" xr:uid="{EB110C24-A504-4C4F-ADD2-FD5AEC97BE14}"/>
    <cellStyle name="Normal 4 2 2 4 7 2 2 2 3" xfId="35594" xr:uid="{03EABE5A-D09C-4E7B-A9E9-A215D1BBD5A5}"/>
    <cellStyle name="Normal 4 2 2 4 7 2 2 3" xfId="44893" xr:uid="{DCBE6AA0-380A-4733-9148-F0A7AE78193F}"/>
    <cellStyle name="Normal 4 2 2 4 7 2 2 4" xfId="26295" xr:uid="{99D6C31F-4F7E-40B6-8AB8-02114F7471B9}"/>
    <cellStyle name="Normal 4 2 2 4 7 2 3" xfId="13631" xr:uid="{934AA9E0-38A5-4B1E-A2A2-4159F6C02BFD}"/>
    <cellStyle name="Normal 4 2 2 4 7 2 3 2" xfId="49973" xr:uid="{79DA4140-00FF-4F26-B3B1-9F366BDEE9BA}"/>
    <cellStyle name="Normal 4 2 2 4 7 2 3 3" xfId="31377" xr:uid="{EAB4B2D7-3026-4E6A-8D08-6F1DF9AE2414}"/>
    <cellStyle name="Normal 4 2 2 4 7 2 4" xfId="40676" xr:uid="{9A1318D9-D419-47DD-AF88-7929A642D7D9}"/>
    <cellStyle name="Normal 4 2 2 4 7 2 5" xfId="22078" xr:uid="{9828FD58-88DA-49B5-A3FC-582A3393A1B8}"/>
    <cellStyle name="Normal 4 2 2 4 7 3" xfId="6377" xr:uid="{00000000-0005-0000-0000-0000DE120000}"/>
    <cellStyle name="Normal 4 2 2 4 7 3 2" xfId="15703" xr:uid="{E6FE72D4-C415-4B20-BEEF-7A8EE120CBF9}"/>
    <cellStyle name="Normal 4 2 2 4 7 3 2 2" xfId="52045" xr:uid="{6FF02FE0-B2A2-4544-96DB-2D78F82A708D}"/>
    <cellStyle name="Normal 4 2 2 4 7 3 2 3" xfId="33449" xr:uid="{7D056203-F393-4E1E-A066-5D017C3882EE}"/>
    <cellStyle name="Normal 4 2 2 4 7 3 3" xfId="42748" xr:uid="{6272E782-EB10-424F-8ED0-8B26FFAC8EC5}"/>
    <cellStyle name="Normal 4 2 2 4 7 3 4" xfId="24150" xr:uid="{C652171A-567B-4F22-AFEF-555039405A2A}"/>
    <cellStyle name="Normal 4 2 2 4 7 4" xfId="11486" xr:uid="{1FA0E6F3-45AB-49F6-8DEB-B5AE6E15609D}"/>
    <cellStyle name="Normal 4 2 2 4 7 4 2" xfId="47828" xr:uid="{D4761EEF-CA09-4389-AF23-18B9B4377018}"/>
    <cellStyle name="Normal 4 2 2 4 7 4 3" xfId="29232" xr:uid="{4EDF11C1-F664-4502-9BB6-AB1626D60608}"/>
    <cellStyle name="Normal 4 2 2 4 7 5" xfId="38531" xr:uid="{8A01CD7D-B2F7-4861-9E1C-64FBC25AD2D8}"/>
    <cellStyle name="Normal 4 2 2 4 7 6" xfId="19933" xr:uid="{4CB3933C-D779-46E7-A78E-9141F70244C5}"/>
    <cellStyle name="Normal 4 2 2 4 8" xfId="2507" xr:uid="{00000000-0005-0000-0000-0000DF120000}"/>
    <cellStyle name="Normal 4 2 2 4 8 2" xfId="6790" xr:uid="{00000000-0005-0000-0000-0000E0120000}"/>
    <cellStyle name="Normal 4 2 2 4 8 2 2" xfId="16116" xr:uid="{221CF579-42DD-47F4-AF25-EA8411A29DC2}"/>
    <cellStyle name="Normal 4 2 2 4 8 2 2 2" xfId="52458" xr:uid="{12050272-BAE6-4470-8763-573FE34532E0}"/>
    <cellStyle name="Normal 4 2 2 4 8 2 2 3" xfId="33862" xr:uid="{BD273CD2-F78C-4451-BCD2-54BFCD574BAB}"/>
    <cellStyle name="Normal 4 2 2 4 8 2 3" xfId="43161" xr:uid="{839922E8-E3B0-4BD6-B2E2-9A3EEE78C59D}"/>
    <cellStyle name="Normal 4 2 2 4 8 2 4" xfId="24563" xr:uid="{D98CFCD1-9AF8-4321-BE3E-B7AF2D90F018}"/>
    <cellStyle name="Normal 4 2 2 4 8 3" xfId="11899" xr:uid="{99D2FA54-A624-413C-8CEC-56A06053C6C3}"/>
    <cellStyle name="Normal 4 2 2 4 8 3 2" xfId="48241" xr:uid="{2BD21FA3-9165-428A-BA2B-E8F5F121BF4E}"/>
    <cellStyle name="Normal 4 2 2 4 8 3 3" xfId="29645" xr:uid="{78C7299C-F820-43D0-B8C9-A85ADBC014C1}"/>
    <cellStyle name="Normal 4 2 2 4 8 4" xfId="38944" xr:uid="{FCFCAA3B-1357-4150-8673-3E96C0923729}"/>
    <cellStyle name="Normal 4 2 2 4 8 5" xfId="20346" xr:uid="{CCD7E184-EA93-482A-B245-37685EF0BCE3}"/>
    <cellStyle name="Normal 4 2 2 4 9" xfId="4725" xr:uid="{00000000-0005-0000-0000-0000E1120000}"/>
    <cellStyle name="Normal 4 2 2 4 9 2" xfId="14051" xr:uid="{CA6557B9-D2CC-498F-855E-2E9FFCFE8071}"/>
    <cellStyle name="Normal 4 2 2 4 9 2 2" xfId="50393" xr:uid="{129D7C3B-4C17-48DC-A234-DECE05845793}"/>
    <cellStyle name="Normal 4 2 2 4 9 2 3" xfId="31797" xr:uid="{4AC6B089-CCCA-4E4F-B108-F278FAF63DFF}"/>
    <cellStyle name="Normal 4 2 2 4 9 3" xfId="41096" xr:uid="{53501407-B009-4459-85F6-5E1416C1A418}"/>
    <cellStyle name="Normal 4 2 2 4 9 4" xfId="22498" xr:uid="{68E73827-BD3E-4C39-AAE6-EC44E8811654}"/>
    <cellStyle name="Normal 4 2 2 5" xfId="351" xr:uid="{00000000-0005-0000-0000-0000E2120000}"/>
    <cellStyle name="Normal 4 2 2 5 10" xfId="9838" xr:uid="{CC56EF3A-B8B5-4FA2-9C80-7B3E1A8A4E71}"/>
    <cellStyle name="Normal 4 2 2 5 10 2" xfId="46180" xr:uid="{B38EDAE1-C08E-4DD5-A085-F8ABB90B8872}"/>
    <cellStyle name="Normal 4 2 2 5 10 3" xfId="27584" xr:uid="{3FDC9B29-152C-4707-9F03-18B427F65CC4}"/>
    <cellStyle name="Normal 4 2 2 5 11" xfId="36883" xr:uid="{7B00178A-023E-4B80-B276-6AB88FD04DF7}"/>
    <cellStyle name="Normal 4 2 2 5 12" xfId="18285" xr:uid="{2BFFB1F3-AAC2-498B-AA70-083CB13349D5}"/>
    <cellStyle name="Normal 4 2 2 5 2" xfId="352" xr:uid="{00000000-0005-0000-0000-0000E3120000}"/>
    <cellStyle name="Normal 4 2 2 5 2 10" xfId="36884" xr:uid="{79AB7E0F-81A4-4B8D-B3A6-382B118FF1C8}"/>
    <cellStyle name="Normal 4 2 2 5 2 11" xfId="18286" xr:uid="{C641ED5E-896B-40B6-946A-C5392A478802}"/>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16614" xr:uid="{D41BDCAA-A0FE-436C-A2EE-071E3C45A7A9}"/>
    <cellStyle name="Normal 4 2 2 5 2 2 2 2 2 2" xfId="52956" xr:uid="{07064B77-15EF-48E4-8DF4-2796A821D7FF}"/>
    <cellStyle name="Normal 4 2 2 5 2 2 2 2 2 3" xfId="34360" xr:uid="{D8315677-12AE-4C8A-9695-391F91469A35}"/>
    <cellStyle name="Normal 4 2 2 5 2 2 2 2 3" xfId="43659" xr:uid="{1E3FA91B-930A-4A5E-8AC0-E18D9A619130}"/>
    <cellStyle name="Normal 4 2 2 5 2 2 2 2 4" xfId="25061" xr:uid="{F71E9B66-694F-408C-8C4A-42538F2AD8BF}"/>
    <cellStyle name="Normal 4 2 2 5 2 2 2 3" xfId="12397" xr:uid="{5E50F5DE-73A6-4AB4-960A-6B57C6AA3487}"/>
    <cellStyle name="Normal 4 2 2 5 2 2 2 3 2" xfId="48739" xr:uid="{A37ADDA7-EA9A-490D-A625-8B2A556AFDDB}"/>
    <cellStyle name="Normal 4 2 2 5 2 2 2 3 3" xfId="30143" xr:uid="{80894567-389D-4647-A972-85AA6B82ACC8}"/>
    <cellStyle name="Normal 4 2 2 5 2 2 2 4" xfId="39442" xr:uid="{DDCF44EC-CD72-4AF0-8625-13C584E192D6}"/>
    <cellStyle name="Normal 4 2 2 5 2 2 2 5" xfId="20844" xr:uid="{3DD9C2D0-1788-476D-B395-140C7C4BACA7}"/>
    <cellStyle name="Normal 4 2 2 5 2 2 3" xfId="5143" xr:uid="{00000000-0005-0000-0000-0000E7120000}"/>
    <cellStyle name="Normal 4 2 2 5 2 2 3 2" xfId="14469" xr:uid="{BC39FFF9-CB59-44BC-AE76-2E3D87893F3A}"/>
    <cellStyle name="Normal 4 2 2 5 2 2 3 2 2" xfId="50811" xr:uid="{8C4942BC-8F68-460A-95AA-2FFDA90DBDC1}"/>
    <cellStyle name="Normal 4 2 2 5 2 2 3 2 3" xfId="32215" xr:uid="{18CAB256-A506-4BB3-8F6A-CC3D48503F60}"/>
    <cellStyle name="Normal 4 2 2 5 2 2 3 3" xfId="41514" xr:uid="{DC9EBD34-8C2C-4377-BA9B-E6F48B673C64}"/>
    <cellStyle name="Normal 4 2 2 5 2 2 3 4" xfId="22916" xr:uid="{1D1A7734-56CF-4703-9A0D-4054B2F21F35}"/>
    <cellStyle name="Normal 4 2 2 5 2 2 4" xfId="9487" xr:uid="{83D2756E-B983-4EA9-AB48-FF4D3E821CE4}"/>
    <cellStyle name="Normal 4 2 2 5 2 2 4 2" xfId="36548" xr:uid="{E976CE50-0FF4-4479-87B1-7472F31C26B4}"/>
    <cellStyle name="Normal 4 2 2 5 2 2 4 2 2" xfId="55142" xr:uid="{439430D2-37B0-4F09-942D-4CE0EC2E4906}"/>
    <cellStyle name="Normal 4 2 2 5 2 2 4 3" xfId="45845" xr:uid="{B3B79EEC-43F5-4328-9C41-107CAB725694}"/>
    <cellStyle name="Normal 4 2 2 5 2 2 4 4" xfId="27249" xr:uid="{CC5E00D1-B566-41AF-91A4-07280C612852}"/>
    <cellStyle name="Normal 4 2 2 5 2 2 5" xfId="10252" xr:uid="{4B026A00-3B71-4858-AF5C-C8BD24DCF63E}"/>
    <cellStyle name="Normal 4 2 2 5 2 2 5 2" xfId="46594" xr:uid="{36C7404F-2324-4556-8C4F-B21F8C61BC9D}"/>
    <cellStyle name="Normal 4 2 2 5 2 2 5 3" xfId="27998" xr:uid="{E7AB39BF-5225-400C-8116-30F1029D04AE}"/>
    <cellStyle name="Normal 4 2 2 5 2 2 6" xfId="37297" xr:uid="{CF397A59-B5E9-4CBB-B5A4-4275FE907618}"/>
    <cellStyle name="Normal 4 2 2 5 2 2 7" xfId="18699" xr:uid="{1C3B9839-2019-4531-A998-431CE72C9A96}"/>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17027" xr:uid="{371D2B99-B0DE-44DE-8B34-6D39C3305E55}"/>
    <cellStyle name="Normal 4 2 2 5 2 3 2 2 2 2" xfId="53369" xr:uid="{C639F748-D392-4A74-8011-754C22CA7F41}"/>
    <cellStyle name="Normal 4 2 2 5 2 3 2 2 2 3" xfId="34773" xr:uid="{B030DC36-14EB-40CB-A684-D1E8392976F0}"/>
    <cellStyle name="Normal 4 2 2 5 2 3 2 2 3" xfId="44072" xr:uid="{704F8BFC-79FA-4A97-9E2A-DBD43D3E7A46}"/>
    <cellStyle name="Normal 4 2 2 5 2 3 2 2 4" xfId="25474" xr:uid="{4BC748D8-A2B1-433A-B97D-D2DA89798BB3}"/>
    <cellStyle name="Normal 4 2 2 5 2 3 2 3" xfId="12810" xr:uid="{24E77C41-8453-43B9-BCBC-2862838B7BB5}"/>
    <cellStyle name="Normal 4 2 2 5 2 3 2 3 2" xfId="49152" xr:uid="{3F0CDF3D-802A-41FA-9BE6-1B6DC1B9A0B8}"/>
    <cellStyle name="Normal 4 2 2 5 2 3 2 3 3" xfId="30556" xr:uid="{A3108068-9779-4C08-8917-F96131EA7CBD}"/>
    <cellStyle name="Normal 4 2 2 5 2 3 2 4" xfId="39855" xr:uid="{7EA840BF-4863-4ACD-96A4-4BDA4FF428A7}"/>
    <cellStyle name="Normal 4 2 2 5 2 3 2 5" xfId="21257" xr:uid="{A8A29530-000B-45B0-94E3-E9CC2C555536}"/>
    <cellStyle name="Normal 4 2 2 5 2 3 3" xfId="5556" xr:uid="{00000000-0005-0000-0000-0000EB120000}"/>
    <cellStyle name="Normal 4 2 2 5 2 3 3 2" xfId="14882" xr:uid="{49963901-D805-4AA8-AE76-78ADA97C4106}"/>
    <cellStyle name="Normal 4 2 2 5 2 3 3 2 2" xfId="51224" xr:uid="{775D2B60-369E-4CAF-A73E-514EADEC9D69}"/>
    <cellStyle name="Normal 4 2 2 5 2 3 3 2 3" xfId="32628" xr:uid="{890E4454-4768-4DDE-B615-BF2F2AF7C6D9}"/>
    <cellStyle name="Normal 4 2 2 5 2 3 3 3" xfId="41927" xr:uid="{8F6995FA-C49E-44BA-A3C8-FE0EAFFFB6DD}"/>
    <cellStyle name="Normal 4 2 2 5 2 3 3 4" xfId="23329" xr:uid="{9D49FB38-D765-4DDD-88E2-F65A40501AAF}"/>
    <cellStyle name="Normal 4 2 2 5 2 3 4" xfId="10665" xr:uid="{E2C20795-B083-43BF-8EA4-5613A178F1AF}"/>
    <cellStyle name="Normal 4 2 2 5 2 3 4 2" xfId="47007" xr:uid="{FF1122E4-C938-47EE-A7C0-659A0322A592}"/>
    <cellStyle name="Normal 4 2 2 5 2 3 4 3" xfId="28411" xr:uid="{922A8432-5AFD-4E6F-B52C-A61C2F35BB1D}"/>
    <cellStyle name="Normal 4 2 2 5 2 3 5" xfId="37710" xr:uid="{A621BDC6-5A69-492A-BD4C-D7BF33BA36BA}"/>
    <cellStyle name="Normal 4 2 2 5 2 3 6" xfId="19112" xr:uid="{DE3FD3C0-D547-45F5-BA25-FACA04749CAC}"/>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17440" xr:uid="{8AE6B12A-B2F1-4A9D-8CBF-3B3FDF8E43F5}"/>
    <cellStyle name="Normal 4 2 2 5 2 4 2 2 2 2" xfId="53782" xr:uid="{544E16FD-EA58-4032-B02A-AE76989CAC44}"/>
    <cellStyle name="Normal 4 2 2 5 2 4 2 2 2 3" xfId="35186" xr:uid="{5437E2E4-61BE-4CD9-BA1F-4E9542E81C6C}"/>
    <cellStyle name="Normal 4 2 2 5 2 4 2 2 3" xfId="44485" xr:uid="{4FBEC8EE-56F1-48E0-B5A3-75F0D9D7CF53}"/>
    <cellStyle name="Normal 4 2 2 5 2 4 2 2 4" xfId="25887" xr:uid="{E7E0B448-D8FF-48E4-ACE1-5471E21EA98C}"/>
    <cellStyle name="Normal 4 2 2 5 2 4 2 3" xfId="13223" xr:uid="{C473C785-9707-473E-9D7A-1E49F2B99EF3}"/>
    <cellStyle name="Normal 4 2 2 5 2 4 2 3 2" xfId="49565" xr:uid="{72EDE9A3-102C-448D-B787-0275541BE272}"/>
    <cellStyle name="Normal 4 2 2 5 2 4 2 3 3" xfId="30969" xr:uid="{794209FA-C6A9-4858-9FCB-5A071A8A4B35}"/>
    <cellStyle name="Normal 4 2 2 5 2 4 2 4" xfId="40268" xr:uid="{BF6A0D7C-6110-4F21-929F-3518C0F36F9B}"/>
    <cellStyle name="Normal 4 2 2 5 2 4 2 5" xfId="21670" xr:uid="{EAF690DF-B5AA-4CA9-89D0-810E369F8D7E}"/>
    <cellStyle name="Normal 4 2 2 5 2 4 3" xfId="5969" xr:uid="{00000000-0005-0000-0000-0000EF120000}"/>
    <cellStyle name="Normal 4 2 2 5 2 4 3 2" xfId="15295" xr:uid="{A1A5B50E-CB7D-4E24-9108-DD49B393683A}"/>
    <cellStyle name="Normal 4 2 2 5 2 4 3 2 2" xfId="51637" xr:uid="{0B297734-43B4-4F52-A649-EEA4E902FB42}"/>
    <cellStyle name="Normal 4 2 2 5 2 4 3 2 3" xfId="33041" xr:uid="{C24A822B-C05B-4CF2-8050-E876E6515985}"/>
    <cellStyle name="Normal 4 2 2 5 2 4 3 3" xfId="42340" xr:uid="{1FD1175B-695C-455E-84B4-4DA40BFD7CEA}"/>
    <cellStyle name="Normal 4 2 2 5 2 4 3 4" xfId="23742" xr:uid="{67713397-7AEA-45FB-975A-7EA552D3125E}"/>
    <cellStyle name="Normal 4 2 2 5 2 4 4" xfId="11078" xr:uid="{2E31E5F2-CD6B-4685-ADA1-BBCDE967543A}"/>
    <cellStyle name="Normal 4 2 2 5 2 4 4 2" xfId="47420" xr:uid="{470C2972-644C-49B8-99AA-00CE43A10B22}"/>
    <cellStyle name="Normal 4 2 2 5 2 4 4 3" xfId="28824" xr:uid="{23FCACDD-1459-42DC-A1B6-E9DC8626B520}"/>
    <cellStyle name="Normal 4 2 2 5 2 4 5" xfId="38123" xr:uid="{7DCD57EC-6A65-4A42-914B-534CD6AC1F68}"/>
    <cellStyle name="Normal 4 2 2 5 2 4 6" xfId="19525" xr:uid="{B7843D5C-BC35-45B4-97E6-7D393659E029}"/>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17853" xr:uid="{21B8C29D-8CB6-4983-97A6-9C48F3A14E78}"/>
    <cellStyle name="Normal 4 2 2 5 2 5 2 2 2 2" xfId="54195" xr:uid="{25552BFF-A020-4AD9-9C79-799C1120A559}"/>
    <cellStyle name="Normal 4 2 2 5 2 5 2 2 2 3" xfId="35599" xr:uid="{78A27619-952A-4C61-A274-6F9B05FF23C6}"/>
    <cellStyle name="Normal 4 2 2 5 2 5 2 2 3" xfId="44898" xr:uid="{27B18348-7A76-4D64-8123-82354E0F8498}"/>
    <cellStyle name="Normal 4 2 2 5 2 5 2 2 4" xfId="26300" xr:uid="{F18379D4-1203-4E95-9DF3-EB5EA16E7281}"/>
    <cellStyle name="Normal 4 2 2 5 2 5 2 3" xfId="13636" xr:uid="{80CBCDC2-6AFC-4631-8392-157D3AEEB4B6}"/>
    <cellStyle name="Normal 4 2 2 5 2 5 2 3 2" xfId="49978" xr:uid="{80FA72A1-B2F8-4EFE-9CEF-896A77C12A26}"/>
    <cellStyle name="Normal 4 2 2 5 2 5 2 3 3" xfId="31382" xr:uid="{84A5DDFA-9111-4D76-BAB7-35C44DBF0161}"/>
    <cellStyle name="Normal 4 2 2 5 2 5 2 4" xfId="40681" xr:uid="{A7B4939F-37F0-4AFD-A45F-F95CDD48CABE}"/>
    <cellStyle name="Normal 4 2 2 5 2 5 2 5" xfId="22083" xr:uid="{83684817-48F8-47FA-B334-8A20F8437E3B}"/>
    <cellStyle name="Normal 4 2 2 5 2 5 3" xfId="6382" xr:uid="{00000000-0005-0000-0000-0000F3120000}"/>
    <cellStyle name="Normal 4 2 2 5 2 5 3 2" xfId="15708" xr:uid="{36739751-4E95-435B-A4CC-7CE739B33D4C}"/>
    <cellStyle name="Normal 4 2 2 5 2 5 3 2 2" xfId="52050" xr:uid="{8AFBE6C6-1659-4287-BB23-14AE5D784603}"/>
    <cellStyle name="Normal 4 2 2 5 2 5 3 2 3" xfId="33454" xr:uid="{80227A57-5544-4FF2-88BA-D932F66AB525}"/>
    <cellStyle name="Normal 4 2 2 5 2 5 3 3" xfId="42753" xr:uid="{195AF4F5-2D1A-4644-B6AF-00AE030DB57B}"/>
    <cellStyle name="Normal 4 2 2 5 2 5 3 4" xfId="24155" xr:uid="{F4572A5F-5164-4B40-BBE0-D94C3F1799DD}"/>
    <cellStyle name="Normal 4 2 2 5 2 5 4" xfId="11491" xr:uid="{576E103B-F12E-43E5-B1E6-47BFC522AD22}"/>
    <cellStyle name="Normal 4 2 2 5 2 5 4 2" xfId="47833" xr:uid="{A8737419-E72D-416A-80AF-1ACCE3284288}"/>
    <cellStyle name="Normal 4 2 2 5 2 5 4 3" xfId="29237" xr:uid="{C5FCCDF7-72C3-4BE4-88EE-6206D339C770}"/>
    <cellStyle name="Normal 4 2 2 5 2 5 5" xfId="38536" xr:uid="{66724972-621E-4480-BA0D-C233F0FD8D70}"/>
    <cellStyle name="Normal 4 2 2 5 2 5 6" xfId="19938" xr:uid="{46DEF67E-4C85-415D-A151-7792CA300249}"/>
    <cellStyle name="Normal 4 2 2 5 2 6" xfId="2512" xr:uid="{00000000-0005-0000-0000-0000F4120000}"/>
    <cellStyle name="Normal 4 2 2 5 2 6 2" xfId="6795" xr:uid="{00000000-0005-0000-0000-0000F5120000}"/>
    <cellStyle name="Normal 4 2 2 5 2 6 2 2" xfId="16121" xr:uid="{1047CF9A-3241-4CB2-9B2B-BEF4D932C246}"/>
    <cellStyle name="Normal 4 2 2 5 2 6 2 2 2" xfId="52463" xr:uid="{E998D318-BA94-42AE-85D0-155529CBD129}"/>
    <cellStyle name="Normal 4 2 2 5 2 6 2 2 3" xfId="33867" xr:uid="{BC307944-B726-4395-AB05-6CBF2FD42356}"/>
    <cellStyle name="Normal 4 2 2 5 2 6 2 3" xfId="43166" xr:uid="{05D79E8B-89E2-4431-8465-F1BF99ECC7EF}"/>
    <cellStyle name="Normal 4 2 2 5 2 6 2 4" xfId="24568" xr:uid="{060B5E00-F921-4BE2-9127-4C517009EC60}"/>
    <cellStyle name="Normal 4 2 2 5 2 6 3" xfId="11904" xr:uid="{3F0EBB85-E93C-4FE4-8609-74A682AF3FCA}"/>
    <cellStyle name="Normal 4 2 2 5 2 6 3 2" xfId="48246" xr:uid="{82BB4640-F92B-4CD4-ACCF-53055263F00E}"/>
    <cellStyle name="Normal 4 2 2 5 2 6 3 3" xfId="29650" xr:uid="{00688D5C-A62D-4DCC-8F6C-0E37C609282B}"/>
    <cellStyle name="Normal 4 2 2 5 2 6 4" xfId="38949" xr:uid="{A7599DFF-89E5-49D7-A09A-73FDB3A96638}"/>
    <cellStyle name="Normal 4 2 2 5 2 6 5" xfId="20351" xr:uid="{4432591E-5E03-4E02-A9E9-BB94F131003C}"/>
    <cellStyle name="Normal 4 2 2 5 2 7" xfId="4730" xr:uid="{00000000-0005-0000-0000-0000F6120000}"/>
    <cellStyle name="Normal 4 2 2 5 2 7 2" xfId="14056" xr:uid="{93924847-73E1-4F32-8FA6-28C02F1F3CB5}"/>
    <cellStyle name="Normal 4 2 2 5 2 7 2 2" xfId="50398" xr:uid="{08A1235D-73C1-4651-8F79-4E558DB5C577}"/>
    <cellStyle name="Normal 4 2 2 5 2 7 2 3" xfId="31802" xr:uid="{9CA5DB4F-EE34-41B5-AB19-1F8A3A46F3D0}"/>
    <cellStyle name="Normal 4 2 2 5 2 7 3" xfId="41101" xr:uid="{FED1DD87-F3A9-4604-8D47-5DD43211DB2D}"/>
    <cellStyle name="Normal 4 2 2 5 2 7 4" xfId="22503" xr:uid="{C264F415-837F-43C6-86A1-363FF604AF3E}"/>
    <cellStyle name="Normal 4 2 2 5 2 8" xfId="9062" xr:uid="{FED54422-C2E5-44B3-AA7C-C6088F47A385}"/>
    <cellStyle name="Normal 4 2 2 5 2 8 2" xfId="36132" xr:uid="{2D5C2B4D-6E99-4A82-97F0-F2282D07A5F7}"/>
    <cellStyle name="Normal 4 2 2 5 2 8 2 2" xfId="54727" xr:uid="{FE8CD9DC-E0FC-48F9-A19F-4F8D94404E1C}"/>
    <cellStyle name="Normal 4 2 2 5 2 8 3" xfId="45430" xr:uid="{2A9B3A5B-3D1E-4FF5-BA2B-B2F80950E799}"/>
    <cellStyle name="Normal 4 2 2 5 2 8 4" xfId="26833" xr:uid="{868D193C-2CED-4C20-9F4D-2056AE9ECF72}"/>
    <cellStyle name="Normal 4 2 2 5 2 9" xfId="9839" xr:uid="{E793DF78-5F29-4E6F-AA03-0A259460C65E}"/>
    <cellStyle name="Normal 4 2 2 5 2 9 2" xfId="46181" xr:uid="{307BE26D-A1F7-48A3-B6E1-8E138595C0B9}"/>
    <cellStyle name="Normal 4 2 2 5 2 9 3" xfId="27585" xr:uid="{618C76DE-8F4D-4998-A632-7F5578D9CDA8}"/>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16613" xr:uid="{B4C79E7E-C08B-41F2-8E79-7ADB5B701148}"/>
    <cellStyle name="Normal 4 2 2 5 3 2 2 2 2" xfId="52955" xr:uid="{684F91CA-8277-4F63-A1C4-960915034209}"/>
    <cellStyle name="Normal 4 2 2 5 3 2 2 2 3" xfId="34359" xr:uid="{E486CE8B-E924-4B65-97BC-DA9A2ADB5AB9}"/>
    <cellStyle name="Normal 4 2 2 5 3 2 2 3" xfId="43658" xr:uid="{16A11DB0-FC0C-4C3B-8BD0-A56D023948BD}"/>
    <cellStyle name="Normal 4 2 2 5 3 2 2 4" xfId="25060" xr:uid="{39258E37-9085-4839-8CCA-3E3BD2455AA0}"/>
    <cellStyle name="Normal 4 2 2 5 3 2 3" xfId="12396" xr:uid="{7774B315-16DA-466D-A7F0-CDA689ACB947}"/>
    <cellStyle name="Normal 4 2 2 5 3 2 3 2" xfId="48738" xr:uid="{CE69E50D-34FE-49E3-BBCA-8BE6C79DCF0E}"/>
    <cellStyle name="Normal 4 2 2 5 3 2 3 3" xfId="30142" xr:uid="{69FAD917-BF9F-40CF-AC6D-C21358A1033A}"/>
    <cellStyle name="Normal 4 2 2 5 3 2 4" xfId="39441" xr:uid="{070E5602-8874-4840-9FB6-468F50FE123A}"/>
    <cellStyle name="Normal 4 2 2 5 3 2 5" xfId="20843" xr:uid="{20A69B05-A21A-4659-A6B8-7E4C476195B4}"/>
    <cellStyle name="Normal 4 2 2 5 3 3" xfId="5142" xr:uid="{00000000-0005-0000-0000-0000FA120000}"/>
    <cellStyle name="Normal 4 2 2 5 3 3 2" xfId="14468" xr:uid="{40D48345-D7DC-4BE8-A0EF-41ADE986121F}"/>
    <cellStyle name="Normal 4 2 2 5 3 3 2 2" xfId="50810" xr:uid="{B95754D3-2F52-42BE-A26A-AD50EE588028}"/>
    <cellStyle name="Normal 4 2 2 5 3 3 2 3" xfId="32214" xr:uid="{4BC6ABB7-907D-4017-9DF7-3DE51D96FE48}"/>
    <cellStyle name="Normal 4 2 2 5 3 3 3" xfId="41513" xr:uid="{42EEC04D-C63A-4CEA-8D40-0E91D4245D42}"/>
    <cellStyle name="Normal 4 2 2 5 3 3 4" xfId="22915" xr:uid="{17E22028-FCE1-46AE-84B3-3778D044323C}"/>
    <cellStyle name="Normal 4 2 2 5 3 4" xfId="9280" xr:uid="{C70B18D8-E279-4D37-82EF-3177E9FA554F}"/>
    <cellStyle name="Normal 4 2 2 5 3 4 2" xfId="36341" xr:uid="{3841B25C-6A1D-44D1-BBAC-4D294A714C6B}"/>
    <cellStyle name="Normal 4 2 2 5 3 4 2 2" xfId="54935" xr:uid="{53B404C1-CB97-4E55-B7E8-5166E4928182}"/>
    <cellStyle name="Normal 4 2 2 5 3 4 3" xfId="45638" xr:uid="{D48BCF06-47CD-497C-AC53-7AB61ED75927}"/>
    <cellStyle name="Normal 4 2 2 5 3 4 4" xfId="27042" xr:uid="{B7743C36-FE03-487F-A56D-43225852C441}"/>
    <cellStyle name="Normal 4 2 2 5 3 5" xfId="10251" xr:uid="{1D50C78B-5526-4382-AE10-6F65EEA195A1}"/>
    <cellStyle name="Normal 4 2 2 5 3 5 2" xfId="46593" xr:uid="{A96B06C8-BED3-4B84-A6A0-1DF9AD58390A}"/>
    <cellStyle name="Normal 4 2 2 5 3 5 3" xfId="27997" xr:uid="{182F7EB5-FAF2-4C69-B461-BD2289373BF3}"/>
    <cellStyle name="Normal 4 2 2 5 3 6" xfId="37296" xr:uid="{13F9E2FF-E2B7-4138-A4E6-D88C3AFCAB6A}"/>
    <cellStyle name="Normal 4 2 2 5 3 7" xfId="18698" xr:uid="{2F7BEC84-367E-4A5E-B120-58ABD06797BB}"/>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17026" xr:uid="{35048B4C-70C7-4B37-9EC2-736661B47F39}"/>
    <cellStyle name="Normal 4 2 2 5 4 2 2 2 2" xfId="53368" xr:uid="{39496AE0-462F-45BC-8AA1-00A11793CFBB}"/>
    <cellStyle name="Normal 4 2 2 5 4 2 2 2 3" xfId="34772" xr:uid="{B26AC130-FEAB-4DC3-92AC-FA23E4685EA6}"/>
    <cellStyle name="Normal 4 2 2 5 4 2 2 3" xfId="44071" xr:uid="{A472808E-DFAF-49D9-8520-0FE53B1A3FDA}"/>
    <cellStyle name="Normal 4 2 2 5 4 2 2 4" xfId="25473" xr:uid="{5E0D1796-6BB5-499B-8E6C-E80EB8421282}"/>
    <cellStyle name="Normal 4 2 2 5 4 2 3" xfId="12809" xr:uid="{20D14376-8F72-4BCB-A5E4-B6AB5E4EE3BC}"/>
    <cellStyle name="Normal 4 2 2 5 4 2 3 2" xfId="49151" xr:uid="{9BC6980A-AC4E-4466-9863-F8F8292774C9}"/>
    <cellStyle name="Normal 4 2 2 5 4 2 3 3" xfId="30555" xr:uid="{CF2BE5BE-0932-473A-AE4A-C47AB090E48D}"/>
    <cellStyle name="Normal 4 2 2 5 4 2 4" xfId="39854" xr:uid="{99E0D633-C5B3-4CC2-BA38-169A3E0EB2A2}"/>
    <cellStyle name="Normal 4 2 2 5 4 2 5" xfId="21256" xr:uid="{7D2D7421-0A8B-4E35-B86A-46D26950B26D}"/>
    <cellStyle name="Normal 4 2 2 5 4 3" xfId="5555" xr:uid="{00000000-0005-0000-0000-0000FE120000}"/>
    <cellStyle name="Normal 4 2 2 5 4 3 2" xfId="14881" xr:uid="{9DC33954-B69A-45C6-AB0A-67C5DFF4230A}"/>
    <cellStyle name="Normal 4 2 2 5 4 3 2 2" xfId="51223" xr:uid="{26F0C501-7B15-44E8-BDD8-FA5CA4C87878}"/>
    <cellStyle name="Normal 4 2 2 5 4 3 2 3" xfId="32627" xr:uid="{7728AB98-E190-4E59-98D8-AD8769ECE80A}"/>
    <cellStyle name="Normal 4 2 2 5 4 3 3" xfId="41926" xr:uid="{AA22707D-8D7F-4D7D-97F8-E72D6BD56111}"/>
    <cellStyle name="Normal 4 2 2 5 4 3 4" xfId="23328" xr:uid="{886D4D16-45F7-4FEC-AC1A-4F37B33EF0A6}"/>
    <cellStyle name="Normal 4 2 2 5 4 4" xfId="10664" xr:uid="{591C6352-3441-4098-A408-1FDF86E3272D}"/>
    <cellStyle name="Normal 4 2 2 5 4 4 2" xfId="47006" xr:uid="{D64C8037-CA9A-41D1-9600-CE24D2C67ECC}"/>
    <cellStyle name="Normal 4 2 2 5 4 4 3" xfId="28410" xr:uid="{2C38A3ED-A16E-4716-B6B4-8D62CE692B87}"/>
    <cellStyle name="Normal 4 2 2 5 4 5" xfId="37709" xr:uid="{A0D4B75C-135A-4964-A443-3CCB5F505D2A}"/>
    <cellStyle name="Normal 4 2 2 5 4 6" xfId="19111" xr:uid="{DE00E94E-2080-447B-AF03-DF28936EC1A3}"/>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17439" xr:uid="{3EE99F28-BB40-4532-A259-FACA9849C235}"/>
    <cellStyle name="Normal 4 2 2 5 5 2 2 2 2" xfId="53781" xr:uid="{9FD1BA43-C5D6-4FE2-BF0E-2BFEE92867ED}"/>
    <cellStyle name="Normal 4 2 2 5 5 2 2 2 3" xfId="35185" xr:uid="{05982A1E-D0CC-4B43-97A6-6EDC7E6A0135}"/>
    <cellStyle name="Normal 4 2 2 5 5 2 2 3" xfId="44484" xr:uid="{90AB8C57-73E0-4493-90DF-0B44B78144FD}"/>
    <cellStyle name="Normal 4 2 2 5 5 2 2 4" xfId="25886" xr:uid="{136B7230-7E8E-4AE1-98B9-27D5956368EE}"/>
    <cellStyle name="Normal 4 2 2 5 5 2 3" xfId="13222" xr:uid="{B15CB351-C6F2-41BD-919F-86BDBAE37607}"/>
    <cellStyle name="Normal 4 2 2 5 5 2 3 2" xfId="49564" xr:uid="{8B1DFA2D-9289-478C-8716-5EDE8A8EB8BA}"/>
    <cellStyle name="Normal 4 2 2 5 5 2 3 3" xfId="30968" xr:uid="{C7DF9EE4-BE16-4FBC-B4BE-B5A121BA6336}"/>
    <cellStyle name="Normal 4 2 2 5 5 2 4" xfId="40267" xr:uid="{A9B7A432-5B69-4474-84E2-A3CA0A12E453}"/>
    <cellStyle name="Normal 4 2 2 5 5 2 5" xfId="21669" xr:uid="{0B00434A-76DE-466E-8635-049DB37B840C}"/>
    <cellStyle name="Normal 4 2 2 5 5 3" xfId="5968" xr:uid="{00000000-0005-0000-0000-000002130000}"/>
    <cellStyle name="Normal 4 2 2 5 5 3 2" xfId="15294" xr:uid="{580E0DE5-D9D1-4B36-90D9-FB424F271638}"/>
    <cellStyle name="Normal 4 2 2 5 5 3 2 2" xfId="51636" xr:uid="{BACE2EE7-E6EC-4151-B922-1567FA55B5AC}"/>
    <cellStyle name="Normal 4 2 2 5 5 3 2 3" xfId="33040" xr:uid="{DD0EC462-DF8C-45E7-8ED4-43880E3AD653}"/>
    <cellStyle name="Normal 4 2 2 5 5 3 3" xfId="42339" xr:uid="{9E620EB2-9DC4-4462-ABB4-BAD92D36DDBA}"/>
    <cellStyle name="Normal 4 2 2 5 5 3 4" xfId="23741" xr:uid="{00A3B924-BA52-4A6C-B013-7970410DA31C}"/>
    <cellStyle name="Normal 4 2 2 5 5 4" xfId="11077" xr:uid="{C317C131-3E69-49E5-B227-DF841A02BDDB}"/>
    <cellStyle name="Normal 4 2 2 5 5 4 2" xfId="47419" xr:uid="{30227ABD-2729-45F0-9BE2-D4475E209CA6}"/>
    <cellStyle name="Normal 4 2 2 5 5 4 3" xfId="28823" xr:uid="{856FF5F9-970A-40AB-8B85-9DE7226CC0DE}"/>
    <cellStyle name="Normal 4 2 2 5 5 5" xfId="38122" xr:uid="{CD3C0751-8597-4987-96DF-A122739C2B7F}"/>
    <cellStyle name="Normal 4 2 2 5 5 6" xfId="19524" xr:uid="{782ABFCF-67F6-4AED-8D75-69165C9B06C6}"/>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17852" xr:uid="{7010025B-5910-4B34-ADDC-0B38150570E9}"/>
    <cellStyle name="Normal 4 2 2 5 6 2 2 2 2" xfId="54194" xr:uid="{B6FDA801-9D60-4840-972E-FDAD5847CD12}"/>
    <cellStyle name="Normal 4 2 2 5 6 2 2 2 3" xfId="35598" xr:uid="{761F2436-2643-437F-84DF-CE452D13B427}"/>
    <cellStyle name="Normal 4 2 2 5 6 2 2 3" xfId="44897" xr:uid="{4FB1CE51-C8F0-4440-BF31-DF1A86A08F2B}"/>
    <cellStyle name="Normal 4 2 2 5 6 2 2 4" xfId="26299" xr:uid="{3EB146DE-1B42-4F19-AAE5-EDCA2D0AF9F5}"/>
    <cellStyle name="Normal 4 2 2 5 6 2 3" xfId="13635" xr:uid="{EEB83CD0-4ACF-41CE-B580-DD20FF5CA4DD}"/>
    <cellStyle name="Normal 4 2 2 5 6 2 3 2" xfId="49977" xr:uid="{32FE01C1-23C5-4EAA-9C38-ED58B35E0426}"/>
    <cellStyle name="Normal 4 2 2 5 6 2 3 3" xfId="31381" xr:uid="{7F61EE37-D2E4-497A-966A-463144A01F51}"/>
    <cellStyle name="Normal 4 2 2 5 6 2 4" xfId="40680" xr:uid="{8A044E5F-565B-489A-A66C-A0BF0CC23534}"/>
    <cellStyle name="Normal 4 2 2 5 6 2 5" xfId="22082" xr:uid="{64EBCAED-135F-4304-BBBE-E524C62BBFB5}"/>
    <cellStyle name="Normal 4 2 2 5 6 3" xfId="6381" xr:uid="{00000000-0005-0000-0000-000006130000}"/>
    <cellStyle name="Normal 4 2 2 5 6 3 2" xfId="15707" xr:uid="{4FD2492D-8485-42EA-87DD-6636176BE9A6}"/>
    <cellStyle name="Normal 4 2 2 5 6 3 2 2" xfId="52049" xr:uid="{89E137FB-F38F-4EAA-917F-BF9ED8F6A61F}"/>
    <cellStyle name="Normal 4 2 2 5 6 3 2 3" xfId="33453" xr:uid="{91A8FFBB-C294-46BD-9BF2-DF909CE28EB7}"/>
    <cellStyle name="Normal 4 2 2 5 6 3 3" xfId="42752" xr:uid="{C526F763-F8EC-48E5-B6AA-20D039A11C22}"/>
    <cellStyle name="Normal 4 2 2 5 6 3 4" xfId="24154" xr:uid="{14F1FC37-65B2-4B24-83DA-E8A635B9BD68}"/>
    <cellStyle name="Normal 4 2 2 5 6 4" xfId="11490" xr:uid="{93C41951-03EA-4BD2-873F-F28B2D31873E}"/>
    <cellStyle name="Normal 4 2 2 5 6 4 2" xfId="47832" xr:uid="{E621E3E0-A9B2-475F-AF6B-201AE927E936}"/>
    <cellStyle name="Normal 4 2 2 5 6 4 3" xfId="29236" xr:uid="{E327078A-FB0C-4A15-97AF-BAF3380D633B}"/>
    <cellStyle name="Normal 4 2 2 5 6 5" xfId="38535" xr:uid="{C5547BB8-3AEB-4382-8FB4-1224650726D5}"/>
    <cellStyle name="Normal 4 2 2 5 6 6" xfId="19937" xr:uid="{FC830FF2-622E-4C14-A290-9613FB448B6B}"/>
    <cellStyle name="Normal 4 2 2 5 7" xfId="2511" xr:uid="{00000000-0005-0000-0000-000007130000}"/>
    <cellStyle name="Normal 4 2 2 5 7 2" xfId="6794" xr:uid="{00000000-0005-0000-0000-000008130000}"/>
    <cellStyle name="Normal 4 2 2 5 7 2 2" xfId="16120" xr:uid="{1B60F437-71C2-401C-983D-C47919D684DA}"/>
    <cellStyle name="Normal 4 2 2 5 7 2 2 2" xfId="52462" xr:uid="{023B48AD-5A11-4A07-8B88-BD5A1823DCE9}"/>
    <cellStyle name="Normal 4 2 2 5 7 2 2 3" xfId="33866" xr:uid="{2AC696F0-7D3D-4D2B-BAB0-193F29E39F9B}"/>
    <cellStyle name="Normal 4 2 2 5 7 2 3" xfId="43165" xr:uid="{7E276FAC-1B40-43FA-8DA8-BAF92B4C54E3}"/>
    <cellStyle name="Normal 4 2 2 5 7 2 4" xfId="24567" xr:uid="{8734032A-1964-4B2E-B3D1-25DA66FB058B}"/>
    <cellStyle name="Normal 4 2 2 5 7 3" xfId="11903" xr:uid="{903B2F9D-987B-44F6-BFBA-F499C817B137}"/>
    <cellStyle name="Normal 4 2 2 5 7 3 2" xfId="48245" xr:uid="{ED98A76F-B7AC-40EF-AC5F-44793586D632}"/>
    <cellStyle name="Normal 4 2 2 5 7 3 3" xfId="29649" xr:uid="{2D998D8B-1974-4959-8857-19D21C801D95}"/>
    <cellStyle name="Normal 4 2 2 5 7 4" xfId="38948" xr:uid="{180714F2-AF0C-46B9-90C1-89D73B573ABA}"/>
    <cellStyle name="Normal 4 2 2 5 7 5" xfId="20350" xr:uid="{693219BF-FDD8-48DA-A50E-57C67B7846F8}"/>
    <cellStyle name="Normal 4 2 2 5 8" xfId="4729" xr:uid="{00000000-0005-0000-0000-000009130000}"/>
    <cellStyle name="Normal 4 2 2 5 8 2" xfId="14055" xr:uid="{EF0B5E87-9710-4FBE-8B15-525C74884535}"/>
    <cellStyle name="Normal 4 2 2 5 8 2 2" xfId="50397" xr:uid="{EB4B5B7A-5576-44DB-84EF-1A6DABB40C60}"/>
    <cellStyle name="Normal 4 2 2 5 8 2 3" xfId="31801" xr:uid="{427D663D-6DBA-4EEF-9326-718DDF46C66B}"/>
    <cellStyle name="Normal 4 2 2 5 8 3" xfId="41100" xr:uid="{6D9BD3D5-AAC0-4629-A5E1-73084E1579AE}"/>
    <cellStyle name="Normal 4 2 2 5 8 4" xfId="22502" xr:uid="{147A3EE1-7CE5-4F63-B40D-7A70CBF1E31A}"/>
    <cellStyle name="Normal 4 2 2 5 9" xfId="8855" xr:uid="{894DEE8B-A5CD-4C4E-B41D-DCEB92717109}"/>
    <cellStyle name="Normal 4 2 2 5 9 2" xfId="35925" xr:uid="{0B528CBF-7D84-4EC5-80CC-A68DBC33793A}"/>
    <cellStyle name="Normal 4 2 2 5 9 2 2" xfId="54520" xr:uid="{75123B1D-301D-4F8E-AADF-653B05A9A160}"/>
    <cellStyle name="Normal 4 2 2 5 9 3" xfId="45223" xr:uid="{3B83EABC-1023-4802-B689-48A6EFB42EDF}"/>
    <cellStyle name="Normal 4 2 2 5 9 4" xfId="26626" xr:uid="{5D51A380-67B4-4284-AF4C-474E60D95AB1}"/>
    <cellStyle name="Normal 4 2 2 6" xfId="353" xr:uid="{00000000-0005-0000-0000-00000A130000}"/>
    <cellStyle name="Normal 4 2 2 6 10" xfId="36885" xr:uid="{776BF7FD-D832-4D87-AFCC-6F2DE3A9C1EC}"/>
    <cellStyle name="Normal 4 2 2 6 11" xfId="18287" xr:uid="{4DED6C82-481B-4044-98CB-AA395B3D717B}"/>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16615" xr:uid="{7F9C8344-CBEE-41BB-B119-0F63084296C4}"/>
    <cellStyle name="Normal 4 2 2 6 2 2 2 2 2" xfId="52957" xr:uid="{3117B9D9-585C-4A73-99CD-E944E0FA2317}"/>
    <cellStyle name="Normal 4 2 2 6 2 2 2 2 3" xfId="34361" xr:uid="{5F58DD9A-546A-4C95-B8C4-61456CEDF5ED}"/>
    <cellStyle name="Normal 4 2 2 6 2 2 2 3" xfId="43660" xr:uid="{698DA1B7-D6BF-4232-84B2-B685BFF02AAD}"/>
    <cellStyle name="Normal 4 2 2 6 2 2 2 4" xfId="25062" xr:uid="{8AE28F20-71A0-46E7-9D6E-0F6DE26E697A}"/>
    <cellStyle name="Normal 4 2 2 6 2 2 3" xfId="12398" xr:uid="{4BC8B947-2BDE-463A-BFD9-13C7D1505B39}"/>
    <cellStyle name="Normal 4 2 2 6 2 2 3 2" xfId="48740" xr:uid="{CBC1D473-00D3-47A4-ABF9-068BCA3B5E39}"/>
    <cellStyle name="Normal 4 2 2 6 2 2 3 3" xfId="30144" xr:uid="{7BC759BD-33C3-40D6-B0FD-08BF58CBDBF6}"/>
    <cellStyle name="Normal 4 2 2 6 2 2 4" xfId="39443" xr:uid="{E5056E60-A1D6-423E-9BEE-80003A024E0A}"/>
    <cellStyle name="Normal 4 2 2 6 2 2 5" xfId="20845" xr:uid="{7D9D8AD7-208A-471C-8127-74AA89A5835A}"/>
    <cellStyle name="Normal 4 2 2 6 2 3" xfId="5144" xr:uid="{00000000-0005-0000-0000-00000E130000}"/>
    <cellStyle name="Normal 4 2 2 6 2 3 2" xfId="14470" xr:uid="{310E551A-9D89-4CF7-9936-0186F9FDDBF7}"/>
    <cellStyle name="Normal 4 2 2 6 2 3 2 2" xfId="50812" xr:uid="{873F10A0-DD34-41B1-89B4-BBBECBE71461}"/>
    <cellStyle name="Normal 4 2 2 6 2 3 2 3" xfId="32216" xr:uid="{B3552C27-DA4C-43E6-9D20-3D9F831720C7}"/>
    <cellStyle name="Normal 4 2 2 6 2 3 3" xfId="41515" xr:uid="{F4484F1D-B3F0-491A-AE0D-3F85753D01B2}"/>
    <cellStyle name="Normal 4 2 2 6 2 3 4" xfId="22917" xr:uid="{31A44433-C231-4FD9-9074-B257DC4D3197}"/>
    <cellStyle name="Normal 4 2 2 6 2 4" xfId="9396" xr:uid="{5B10E6C6-987A-4149-BB81-321A07C7666F}"/>
    <cellStyle name="Normal 4 2 2 6 2 4 2" xfId="36457" xr:uid="{09E43AA8-99D9-4F6A-AF31-69385650502F}"/>
    <cellStyle name="Normal 4 2 2 6 2 4 2 2" xfId="55051" xr:uid="{AB91FE17-EDB2-4276-BAFF-C6F68A2FC0CF}"/>
    <cellStyle name="Normal 4 2 2 6 2 4 3" xfId="45754" xr:uid="{AF320397-2581-447B-A91E-D77A4F67A85F}"/>
    <cellStyle name="Normal 4 2 2 6 2 4 4" xfId="27158" xr:uid="{AC983AA0-DB2B-4941-9B31-86E7B200BA4E}"/>
    <cellStyle name="Normal 4 2 2 6 2 5" xfId="10253" xr:uid="{ACC055A0-06D3-4FCE-843B-1144CC8BFFAE}"/>
    <cellStyle name="Normal 4 2 2 6 2 5 2" xfId="46595" xr:uid="{0738ED7D-F404-4788-BB90-FAA6503014C2}"/>
    <cellStyle name="Normal 4 2 2 6 2 5 3" xfId="27999" xr:uid="{75A3F33A-FDA5-4319-8918-B859967BD024}"/>
    <cellStyle name="Normal 4 2 2 6 2 6" xfId="37298" xr:uid="{9FB6C854-B9FC-447D-8FD8-3B4DCA5F3FC1}"/>
    <cellStyle name="Normal 4 2 2 6 2 7" xfId="18700" xr:uid="{2EEABC97-F1B9-4E48-95E4-C51F11B9E592}"/>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17028" xr:uid="{9004811C-B9A8-49B0-AA88-5A7C85F078B9}"/>
    <cellStyle name="Normal 4 2 2 6 3 2 2 2 2" xfId="53370" xr:uid="{FB69F798-AED6-4191-9DA7-1F7ACC666744}"/>
    <cellStyle name="Normal 4 2 2 6 3 2 2 2 3" xfId="34774" xr:uid="{40950BCC-44A5-41CF-AF8B-FC052D5FA0FC}"/>
    <cellStyle name="Normal 4 2 2 6 3 2 2 3" xfId="44073" xr:uid="{F2CF179D-99F2-4563-9033-C40FF6914689}"/>
    <cellStyle name="Normal 4 2 2 6 3 2 2 4" xfId="25475" xr:uid="{4218379F-5B08-4296-89E3-44C0AC3F667A}"/>
    <cellStyle name="Normal 4 2 2 6 3 2 3" xfId="12811" xr:uid="{FB91F873-C8C0-4220-ABA9-6A13FCD635CC}"/>
    <cellStyle name="Normal 4 2 2 6 3 2 3 2" xfId="49153" xr:uid="{435F9FD8-835A-4F1D-9255-AFD7B5003A84}"/>
    <cellStyle name="Normal 4 2 2 6 3 2 3 3" xfId="30557" xr:uid="{FD73D888-9A84-4A76-8AD3-00BD77860D9F}"/>
    <cellStyle name="Normal 4 2 2 6 3 2 4" xfId="39856" xr:uid="{837F0066-1C58-46AF-9A53-B2BE14DEDB95}"/>
    <cellStyle name="Normal 4 2 2 6 3 2 5" xfId="21258" xr:uid="{C0A1B9B9-653A-4141-AD8E-4A6FB17026AC}"/>
    <cellStyle name="Normal 4 2 2 6 3 3" xfId="5557" xr:uid="{00000000-0005-0000-0000-000012130000}"/>
    <cellStyle name="Normal 4 2 2 6 3 3 2" xfId="14883" xr:uid="{24715E49-2497-4FA5-8C8E-23B7F3461C94}"/>
    <cellStyle name="Normal 4 2 2 6 3 3 2 2" xfId="51225" xr:uid="{D9881112-9F8E-4235-9DEB-3C97E3CF17B5}"/>
    <cellStyle name="Normal 4 2 2 6 3 3 2 3" xfId="32629" xr:uid="{220CFFDB-CAF7-4AA6-9925-A303B9E807B4}"/>
    <cellStyle name="Normal 4 2 2 6 3 3 3" xfId="41928" xr:uid="{24DE0383-8607-4DBB-B117-2C50DF219F3C}"/>
    <cellStyle name="Normal 4 2 2 6 3 3 4" xfId="23330" xr:uid="{69C9C008-4767-4144-B41D-A40373B15ACA}"/>
    <cellStyle name="Normal 4 2 2 6 3 4" xfId="10666" xr:uid="{9A8A863A-B761-4EC7-899F-79487227756E}"/>
    <cellStyle name="Normal 4 2 2 6 3 4 2" xfId="47008" xr:uid="{8753EFB3-7999-4FE3-B111-CF91CD5D2091}"/>
    <cellStyle name="Normal 4 2 2 6 3 4 3" xfId="28412" xr:uid="{2CBEFEC8-BA02-4810-AA52-A5A8E9BE4F19}"/>
    <cellStyle name="Normal 4 2 2 6 3 5" xfId="37711" xr:uid="{CE792095-F9DF-4C57-904C-0502ED9A2F24}"/>
    <cellStyle name="Normal 4 2 2 6 3 6" xfId="19113" xr:uid="{34521140-EF06-43CC-9D86-BA72C3FBFD46}"/>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17441" xr:uid="{EDB0B15F-585E-42B8-89A8-321DACAB688C}"/>
    <cellStyle name="Normal 4 2 2 6 4 2 2 2 2" xfId="53783" xr:uid="{FD583192-A781-4EA9-B34F-3232E06D22D1}"/>
    <cellStyle name="Normal 4 2 2 6 4 2 2 2 3" xfId="35187" xr:uid="{89C7FC9B-9A17-49B2-8594-270B063F0115}"/>
    <cellStyle name="Normal 4 2 2 6 4 2 2 3" xfId="44486" xr:uid="{4EEE54C5-4AF9-462F-8925-DB82DFAB8C2F}"/>
    <cellStyle name="Normal 4 2 2 6 4 2 2 4" xfId="25888" xr:uid="{0A37708A-0BD8-487D-AA19-6A15931DBDDE}"/>
    <cellStyle name="Normal 4 2 2 6 4 2 3" xfId="13224" xr:uid="{F7237AEB-0A2A-4CE0-8C37-0118FFB3C591}"/>
    <cellStyle name="Normal 4 2 2 6 4 2 3 2" xfId="49566" xr:uid="{884A895C-9D74-427A-9FC2-91F8D680EDB8}"/>
    <cellStyle name="Normal 4 2 2 6 4 2 3 3" xfId="30970" xr:uid="{40D2C978-DA81-4070-B4CD-4AAB5CE37A25}"/>
    <cellStyle name="Normal 4 2 2 6 4 2 4" xfId="40269" xr:uid="{64C641D9-0968-4034-96DB-B09592982DFE}"/>
    <cellStyle name="Normal 4 2 2 6 4 2 5" xfId="21671" xr:uid="{3CD1DA16-0E95-4923-A1EF-DDD129388E8F}"/>
    <cellStyle name="Normal 4 2 2 6 4 3" xfId="5970" xr:uid="{00000000-0005-0000-0000-000016130000}"/>
    <cellStyle name="Normal 4 2 2 6 4 3 2" xfId="15296" xr:uid="{A056B0CB-1C2B-4F31-8EB6-07F57357BF22}"/>
    <cellStyle name="Normal 4 2 2 6 4 3 2 2" xfId="51638" xr:uid="{C3E9D9C7-D5BE-4E89-BDA2-0550BEC521A0}"/>
    <cellStyle name="Normal 4 2 2 6 4 3 2 3" xfId="33042" xr:uid="{D6A8F794-C46B-4FD3-8904-1D1DC733DC79}"/>
    <cellStyle name="Normal 4 2 2 6 4 3 3" xfId="42341" xr:uid="{3B5E341A-ED7F-4510-ADD5-DDE6B399E00C}"/>
    <cellStyle name="Normal 4 2 2 6 4 3 4" xfId="23743" xr:uid="{0F0DF8CC-54D1-4C10-9C6D-3D14736D3A16}"/>
    <cellStyle name="Normal 4 2 2 6 4 4" xfId="11079" xr:uid="{70C2B580-11DD-4061-A415-8E7B33D05C5E}"/>
    <cellStyle name="Normal 4 2 2 6 4 4 2" xfId="47421" xr:uid="{51E3427E-9352-4135-A56E-3586ECD7B95A}"/>
    <cellStyle name="Normal 4 2 2 6 4 4 3" xfId="28825" xr:uid="{8C97A925-7269-4985-B033-EC6A8661E775}"/>
    <cellStyle name="Normal 4 2 2 6 4 5" xfId="38124" xr:uid="{B10E09CC-5433-43E6-8C9F-3DB7402A5F76}"/>
    <cellStyle name="Normal 4 2 2 6 4 6" xfId="19526" xr:uid="{B3B0BFF7-8830-4C99-9F77-D102BFC44499}"/>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17854" xr:uid="{28BCB44F-749C-4BF5-9503-0801DF679CC5}"/>
    <cellStyle name="Normal 4 2 2 6 5 2 2 2 2" xfId="54196" xr:uid="{C011106C-5BD5-4302-8E9C-A225A712BB58}"/>
    <cellStyle name="Normal 4 2 2 6 5 2 2 2 3" xfId="35600" xr:uid="{20516771-82E9-48A3-8E77-E6872ECF69A2}"/>
    <cellStyle name="Normal 4 2 2 6 5 2 2 3" xfId="44899" xr:uid="{0D19DF6B-1B53-483B-9ED3-E6D2E7AA4F1E}"/>
    <cellStyle name="Normal 4 2 2 6 5 2 2 4" xfId="26301" xr:uid="{C3A8A501-2021-4E4F-B0BB-B2B59B74262B}"/>
    <cellStyle name="Normal 4 2 2 6 5 2 3" xfId="13637" xr:uid="{1156C5D2-93C8-4809-A122-EAFDCC73CB44}"/>
    <cellStyle name="Normal 4 2 2 6 5 2 3 2" xfId="49979" xr:uid="{CE326264-CC40-4B78-A488-00D4B5191BAB}"/>
    <cellStyle name="Normal 4 2 2 6 5 2 3 3" xfId="31383" xr:uid="{0065ADFC-02CE-4231-B434-60DF94F0F1FE}"/>
    <cellStyle name="Normal 4 2 2 6 5 2 4" xfId="40682" xr:uid="{422DF430-135C-4C3B-AC42-B03D673C771C}"/>
    <cellStyle name="Normal 4 2 2 6 5 2 5" xfId="22084" xr:uid="{9360CA68-F435-4785-BA2A-8321C4E808F6}"/>
    <cellStyle name="Normal 4 2 2 6 5 3" xfId="6383" xr:uid="{00000000-0005-0000-0000-00001A130000}"/>
    <cellStyle name="Normal 4 2 2 6 5 3 2" xfId="15709" xr:uid="{53C90E43-3900-4E96-9240-A0B8B3EC6EFA}"/>
    <cellStyle name="Normal 4 2 2 6 5 3 2 2" xfId="52051" xr:uid="{EBBA4F7F-E0FB-47E3-A692-B07C51C3D1D4}"/>
    <cellStyle name="Normal 4 2 2 6 5 3 2 3" xfId="33455" xr:uid="{2377C506-8BC2-496E-8824-A43C68FA6AEC}"/>
    <cellStyle name="Normal 4 2 2 6 5 3 3" xfId="42754" xr:uid="{A97B1E14-ED3B-46AC-B41F-618064332542}"/>
    <cellStyle name="Normal 4 2 2 6 5 3 4" xfId="24156" xr:uid="{4E02F759-8793-4D29-889D-DFEE4A2BE9E8}"/>
    <cellStyle name="Normal 4 2 2 6 5 4" xfId="11492" xr:uid="{D76BECE2-F117-4C78-9771-5B2D9029132A}"/>
    <cellStyle name="Normal 4 2 2 6 5 4 2" xfId="47834" xr:uid="{8E7FE94D-721A-4952-85C9-A2D4040DAFE9}"/>
    <cellStyle name="Normal 4 2 2 6 5 4 3" xfId="29238" xr:uid="{76900DCE-A52B-4A6D-B79D-33D5BFDE6A49}"/>
    <cellStyle name="Normal 4 2 2 6 5 5" xfId="38537" xr:uid="{D18D9C38-C020-47D9-A4C8-D8F0920F2341}"/>
    <cellStyle name="Normal 4 2 2 6 5 6" xfId="19939" xr:uid="{2884D276-4F76-4A3D-85BB-D0D25090FD20}"/>
    <cellStyle name="Normal 4 2 2 6 6" xfId="2513" xr:uid="{00000000-0005-0000-0000-00001B130000}"/>
    <cellStyle name="Normal 4 2 2 6 6 2" xfId="6796" xr:uid="{00000000-0005-0000-0000-00001C130000}"/>
    <cellStyle name="Normal 4 2 2 6 6 2 2" xfId="16122" xr:uid="{F052090F-0C3A-413B-B1CF-E9190CD29339}"/>
    <cellStyle name="Normal 4 2 2 6 6 2 2 2" xfId="52464" xr:uid="{C6598FE5-D6D5-4F94-B57F-15247273885C}"/>
    <cellStyle name="Normal 4 2 2 6 6 2 2 3" xfId="33868" xr:uid="{E9DE649B-D250-4E07-82A5-D232A868DAEF}"/>
    <cellStyle name="Normal 4 2 2 6 6 2 3" xfId="43167" xr:uid="{5AA9E636-2F52-418B-83DF-82980EC1680E}"/>
    <cellStyle name="Normal 4 2 2 6 6 2 4" xfId="24569" xr:uid="{F381FC8D-7618-4E15-A325-7A7BD8E2D4B4}"/>
    <cellStyle name="Normal 4 2 2 6 6 3" xfId="11905" xr:uid="{3F4B508D-2AB4-4EB2-AB40-17B212CCE8AA}"/>
    <cellStyle name="Normal 4 2 2 6 6 3 2" xfId="48247" xr:uid="{A8D73F4D-1DE1-46EB-82D1-5C9AC03AB68D}"/>
    <cellStyle name="Normal 4 2 2 6 6 3 3" xfId="29651" xr:uid="{9CC85E1F-FD61-41A0-9CF8-2662B01DAD8D}"/>
    <cellStyle name="Normal 4 2 2 6 6 4" xfId="38950" xr:uid="{35DB9157-7A9B-4077-B20D-89AF5079C65C}"/>
    <cellStyle name="Normal 4 2 2 6 6 5" xfId="20352" xr:uid="{E332ECC7-5D25-416C-A976-BA20AF439E72}"/>
    <cellStyle name="Normal 4 2 2 6 7" xfId="4731" xr:uid="{00000000-0005-0000-0000-00001D130000}"/>
    <cellStyle name="Normal 4 2 2 6 7 2" xfId="14057" xr:uid="{FDD43E27-1B83-4108-83F3-8198F2DCFBF3}"/>
    <cellStyle name="Normal 4 2 2 6 7 2 2" xfId="50399" xr:uid="{C834FA97-B29B-4159-87D3-559E28066BCB}"/>
    <cellStyle name="Normal 4 2 2 6 7 2 3" xfId="31803" xr:uid="{73D7AD95-2BEA-43E5-B7C0-A50AE4C4A539}"/>
    <cellStyle name="Normal 4 2 2 6 7 3" xfId="41102" xr:uid="{85CD5E44-A491-4F61-B3E1-804584EB9BB6}"/>
    <cellStyle name="Normal 4 2 2 6 7 4" xfId="22504" xr:uid="{B61E798E-E7AB-4C61-9CBC-585A487A19A6}"/>
    <cellStyle name="Normal 4 2 2 6 8" xfId="8971" xr:uid="{7BBA3CD4-2D32-439A-A2D5-9F7EB5E5A47E}"/>
    <cellStyle name="Normal 4 2 2 6 8 2" xfId="36041" xr:uid="{BB35B427-31FC-4B54-B059-99C3E29992F3}"/>
    <cellStyle name="Normal 4 2 2 6 8 2 2" xfId="54636" xr:uid="{CB2749CD-43BD-4E3D-92D7-59C142B3DBDC}"/>
    <cellStyle name="Normal 4 2 2 6 8 3" xfId="45339" xr:uid="{170BE9E8-502A-4D04-A5AB-EBA65405B78D}"/>
    <cellStyle name="Normal 4 2 2 6 8 4" xfId="26742" xr:uid="{99537863-2DEE-49B6-A77C-2ABDA08C8433}"/>
    <cellStyle name="Normal 4 2 2 6 9" xfId="9840" xr:uid="{1644A82D-8D88-4EF3-9C3D-A2EFC7C96667}"/>
    <cellStyle name="Normal 4 2 2 6 9 2" xfId="46182" xr:uid="{D1472615-8EC3-4D61-A46B-DAFC418E6FE7}"/>
    <cellStyle name="Normal 4 2 2 6 9 3" xfId="27586" xr:uid="{EAC1BD34-C4D3-46D7-A5E1-4B07213155B7}"/>
    <cellStyle name="Normal 4 2 2 7" xfId="815" xr:uid="{00000000-0005-0000-0000-00001E130000}"/>
    <cellStyle name="Normal 4 2 2 7 2" xfId="3052" xr:uid="{00000000-0005-0000-0000-00001F130000}"/>
    <cellStyle name="Normal 4 2 2 7 2 2" xfId="7274" xr:uid="{00000000-0005-0000-0000-000020130000}"/>
    <cellStyle name="Normal 4 2 2 7 2 2 2" xfId="16600" xr:uid="{E1BE7055-4D1F-4D5C-8546-D74126CAC89A}"/>
    <cellStyle name="Normal 4 2 2 7 2 2 2 2" xfId="52942" xr:uid="{70B9729E-2656-4105-AFE1-5A391B1B2CD6}"/>
    <cellStyle name="Normal 4 2 2 7 2 2 2 3" xfId="34346" xr:uid="{B9992B89-FF1B-4715-BF7D-48EB44ED1B13}"/>
    <cellStyle name="Normal 4 2 2 7 2 2 3" xfId="43645" xr:uid="{F5AC8F72-199F-4A46-8AEE-8AE2DFAE5E25}"/>
    <cellStyle name="Normal 4 2 2 7 2 2 4" xfId="25047" xr:uid="{C9DF2891-FA7B-4A36-9FA0-B0DD1B63BBC2}"/>
    <cellStyle name="Normal 4 2 2 7 2 3" xfId="12383" xr:uid="{39A0F23C-2B5B-4EC9-88DE-18A7892A52A3}"/>
    <cellStyle name="Normal 4 2 2 7 2 3 2" xfId="48725" xr:uid="{E8D71492-A8C0-4F2C-94C1-CD5C197C09F4}"/>
    <cellStyle name="Normal 4 2 2 7 2 3 3" xfId="30129" xr:uid="{9B2B85B1-A3B0-4039-AD63-6C281B6C9FD0}"/>
    <cellStyle name="Normal 4 2 2 7 2 4" xfId="39428" xr:uid="{68FCE55C-0B68-4B64-B0ED-04AA40C24B34}"/>
    <cellStyle name="Normal 4 2 2 7 2 5" xfId="20830" xr:uid="{787E33B2-086A-4331-8E7C-D26AAD2CC6FB}"/>
    <cellStyle name="Normal 4 2 2 7 3" xfId="5129" xr:uid="{00000000-0005-0000-0000-000021130000}"/>
    <cellStyle name="Normal 4 2 2 7 3 2" xfId="14455" xr:uid="{C233B8D9-0DAE-4B7F-BE56-211DA014290A}"/>
    <cellStyle name="Normal 4 2 2 7 3 2 2" xfId="50797" xr:uid="{664C52BB-D1CD-4EA6-BAD4-F2FAD5A08584}"/>
    <cellStyle name="Normal 4 2 2 7 3 2 3" xfId="32201" xr:uid="{725F2435-08EA-47CE-BD2A-8EA464D75B27}"/>
    <cellStyle name="Normal 4 2 2 7 3 3" xfId="41500" xr:uid="{866C002D-AD83-4C94-BC5F-24A3B8F0D37E}"/>
    <cellStyle name="Normal 4 2 2 7 3 4" xfId="22902" xr:uid="{17742F23-DE98-49E0-83B9-0821807EFFFD}"/>
    <cellStyle name="Normal 4 2 2 7 4" xfId="9174" xr:uid="{5FB177AF-8B2E-4B7E-A1B7-4F6E323AF880}"/>
    <cellStyle name="Normal 4 2 2 7 4 2" xfId="36238" xr:uid="{3A6544A8-5D72-4C54-801C-31DBF584DDA8}"/>
    <cellStyle name="Normal 4 2 2 7 4 2 2" xfId="54832" xr:uid="{C0AAF722-2F2A-4C80-870E-D780ACB3EC6F}"/>
    <cellStyle name="Normal 4 2 2 7 4 3" xfId="45535" xr:uid="{64BB8C8C-CA5F-4A82-947B-8D208D399525}"/>
    <cellStyle name="Normal 4 2 2 7 4 4" xfId="26939" xr:uid="{3B76D8B2-F35C-4033-AB09-4AD8A07EA70E}"/>
    <cellStyle name="Normal 4 2 2 7 5" xfId="10238" xr:uid="{2E506354-8535-4329-80A9-5EEBA4ED5430}"/>
    <cellStyle name="Normal 4 2 2 7 5 2" xfId="46580" xr:uid="{10905CF2-7D92-4E90-B683-AD9504F3F85E}"/>
    <cellStyle name="Normal 4 2 2 7 5 3" xfId="27984" xr:uid="{1195896F-BAF1-4A1C-89EF-C97F225EE4EE}"/>
    <cellStyle name="Normal 4 2 2 7 6" xfId="37283" xr:uid="{F1725477-B88B-4D92-8C59-A74822BA4A0A}"/>
    <cellStyle name="Normal 4 2 2 7 7" xfId="18685" xr:uid="{49D366EF-8072-4E34-A111-FA4078C91311}"/>
    <cellStyle name="Normal 4 2 2 8" xfId="1235" xr:uid="{00000000-0005-0000-0000-000022130000}"/>
    <cellStyle name="Normal 4 2 2 8 2" xfId="3465" xr:uid="{00000000-0005-0000-0000-000023130000}"/>
    <cellStyle name="Normal 4 2 2 8 2 2" xfId="7687" xr:uid="{00000000-0005-0000-0000-000024130000}"/>
    <cellStyle name="Normal 4 2 2 8 2 2 2" xfId="17013" xr:uid="{4F2ABDAD-7F9D-47EB-85DE-3C1C09909594}"/>
    <cellStyle name="Normal 4 2 2 8 2 2 2 2" xfId="53355" xr:uid="{A11FE042-AC04-49AA-A95C-16C2C18C3F89}"/>
    <cellStyle name="Normal 4 2 2 8 2 2 2 3" xfId="34759" xr:uid="{D66CC2AD-B273-4E04-9FE7-8DAF45482315}"/>
    <cellStyle name="Normal 4 2 2 8 2 2 3" xfId="44058" xr:uid="{95B15B98-00CE-416F-9F14-2181952F1AC5}"/>
    <cellStyle name="Normal 4 2 2 8 2 2 4" xfId="25460" xr:uid="{4933828A-1AB4-499C-8A86-22FA0FD15297}"/>
    <cellStyle name="Normal 4 2 2 8 2 3" xfId="12796" xr:uid="{294A3DFB-AAD4-4796-9B26-641A199371B5}"/>
    <cellStyle name="Normal 4 2 2 8 2 3 2" xfId="49138" xr:uid="{89A3F4F4-0D92-4AAD-AAB4-3B9452E5499D}"/>
    <cellStyle name="Normal 4 2 2 8 2 3 3" xfId="30542" xr:uid="{EDF94E30-57E2-4E87-892C-256C2F271423}"/>
    <cellStyle name="Normal 4 2 2 8 2 4" xfId="39841" xr:uid="{AA48AC44-CDE1-438F-AAEE-0CBBAE43D796}"/>
    <cellStyle name="Normal 4 2 2 8 2 5" xfId="21243" xr:uid="{81B35A4F-3EC5-4CA3-90EF-DF8E4E62560B}"/>
    <cellStyle name="Normal 4 2 2 8 3" xfId="5542" xr:uid="{00000000-0005-0000-0000-000025130000}"/>
    <cellStyle name="Normal 4 2 2 8 3 2" xfId="14868" xr:uid="{87D21919-ECE7-4817-AAC1-AB346059C80C}"/>
    <cellStyle name="Normal 4 2 2 8 3 2 2" xfId="51210" xr:uid="{2F300F10-E9A5-4A8B-8CF2-FA93F152D279}"/>
    <cellStyle name="Normal 4 2 2 8 3 2 3" xfId="32614" xr:uid="{3915EBFD-CBE1-4E4D-9409-F93E02020B2B}"/>
    <cellStyle name="Normal 4 2 2 8 3 3" xfId="41913" xr:uid="{1DF354AF-515C-46F4-B567-D4E66278D5A5}"/>
    <cellStyle name="Normal 4 2 2 8 3 4" xfId="23315" xr:uid="{1E34254B-BE2B-478D-B4CA-1948FD528DCB}"/>
    <cellStyle name="Normal 4 2 2 8 4" xfId="10651" xr:uid="{306F415B-8A9C-43BE-BC60-8F3CBDE9D77B}"/>
    <cellStyle name="Normal 4 2 2 8 4 2" xfId="46993" xr:uid="{1772F885-5580-48C8-951F-74023FC1C35E}"/>
    <cellStyle name="Normal 4 2 2 8 4 3" xfId="28397" xr:uid="{1C92A6D8-9FA4-47C7-893D-08820124BEDE}"/>
    <cellStyle name="Normal 4 2 2 8 5" xfId="37696" xr:uid="{2CBFA7D3-83D8-47F5-82A8-5873C49CC8BE}"/>
    <cellStyle name="Normal 4 2 2 8 6" xfId="19098" xr:uid="{72A34768-C808-4F42-BB66-0E25BD56C91E}"/>
    <cellStyle name="Normal 4 2 2 9" xfId="1648" xr:uid="{00000000-0005-0000-0000-000026130000}"/>
    <cellStyle name="Normal 4 2 2 9 2" xfId="3878" xr:uid="{00000000-0005-0000-0000-000027130000}"/>
    <cellStyle name="Normal 4 2 2 9 2 2" xfId="8100" xr:uid="{00000000-0005-0000-0000-000028130000}"/>
    <cellStyle name="Normal 4 2 2 9 2 2 2" xfId="17426" xr:uid="{11830DD2-C564-4F30-B2CD-ABFD35314BC2}"/>
    <cellStyle name="Normal 4 2 2 9 2 2 2 2" xfId="53768" xr:uid="{821F424C-2E02-4989-A3F2-7DA148DBCDD8}"/>
    <cellStyle name="Normal 4 2 2 9 2 2 2 3" xfId="35172" xr:uid="{4A147A1D-4BA2-4256-837F-797D1DE2EFF8}"/>
    <cellStyle name="Normal 4 2 2 9 2 2 3" xfId="44471" xr:uid="{16CDC295-E96E-4814-BC98-1EC4FE9589C6}"/>
    <cellStyle name="Normal 4 2 2 9 2 2 4" xfId="25873" xr:uid="{2AA4BCD4-CA69-4915-93EA-564C58AC0727}"/>
    <cellStyle name="Normal 4 2 2 9 2 3" xfId="13209" xr:uid="{0101A6B7-C5B9-4385-8950-6388D2F8B9D1}"/>
    <cellStyle name="Normal 4 2 2 9 2 3 2" xfId="49551" xr:uid="{07D7EEF0-EAA3-4CB6-9C79-FB97A0E5FB5C}"/>
    <cellStyle name="Normal 4 2 2 9 2 3 3" xfId="30955" xr:uid="{9F82770C-96E3-46F4-8D1F-43BF3B3F4ACC}"/>
    <cellStyle name="Normal 4 2 2 9 2 4" xfId="40254" xr:uid="{FD105900-781C-4F40-93AE-BCB189B1C267}"/>
    <cellStyle name="Normal 4 2 2 9 2 5" xfId="21656" xr:uid="{A83167F4-CCD4-450C-BE8F-635A3052596E}"/>
    <cellStyle name="Normal 4 2 2 9 3" xfId="5955" xr:uid="{00000000-0005-0000-0000-000029130000}"/>
    <cellStyle name="Normal 4 2 2 9 3 2" xfId="15281" xr:uid="{8471717B-48A2-4248-A34B-1C07E42C3568}"/>
    <cellStyle name="Normal 4 2 2 9 3 2 2" xfId="51623" xr:uid="{B16B5D26-96AC-4A88-9D9D-715A71454D9F}"/>
    <cellStyle name="Normal 4 2 2 9 3 2 3" xfId="33027" xr:uid="{141EE07F-E56E-4CB9-9260-E19690AF6D56}"/>
    <cellStyle name="Normal 4 2 2 9 3 3" xfId="42326" xr:uid="{CD01E664-49DD-4A5D-AB91-E28F68B3F65B}"/>
    <cellStyle name="Normal 4 2 2 9 3 4" xfId="23728" xr:uid="{1803658B-DE23-4E55-B1DD-8B4FB20776B8}"/>
    <cellStyle name="Normal 4 2 2 9 4" xfId="11064" xr:uid="{01CCB391-9926-4CC6-8BB8-C862F6D5CE73}"/>
    <cellStyle name="Normal 4 2 2 9 4 2" xfId="47406" xr:uid="{CB0C7872-193C-4AA9-BED7-739072397297}"/>
    <cellStyle name="Normal 4 2 2 9 4 3" xfId="28810" xr:uid="{8AE001E4-50D9-4834-8072-0E9129EC4A70}"/>
    <cellStyle name="Normal 4 2 2 9 5" xfId="38109" xr:uid="{5F7501E5-4E62-48DE-B464-851BD99FFEEE}"/>
    <cellStyle name="Normal 4 2 2 9 6" xfId="19511" xr:uid="{194436DF-BED8-4B16-9F57-C29C6F1E247D}"/>
    <cellStyle name="Normal 4 2 3" xfId="354" xr:uid="{00000000-0005-0000-0000-00002A130000}"/>
    <cellStyle name="Normal 4 2 4" xfId="355" xr:uid="{00000000-0005-0000-0000-00002B130000}"/>
    <cellStyle name="Normal 4 2 4 10" xfId="4732" xr:uid="{00000000-0005-0000-0000-00002C130000}"/>
    <cellStyle name="Normal 4 2 4 10 2" xfId="14058" xr:uid="{6D52FDF1-9096-42FF-B4D0-C75146675D1B}"/>
    <cellStyle name="Normal 4 2 4 10 2 2" xfId="50400" xr:uid="{72B1CB37-7477-473B-9DB1-264B11324C05}"/>
    <cellStyle name="Normal 4 2 4 10 2 3" xfId="31804" xr:uid="{49B5ABFA-5B0B-485D-AEA0-31A1448571D4}"/>
    <cellStyle name="Normal 4 2 4 10 3" xfId="41103" xr:uid="{A8463C4F-F10D-4FCA-A6A3-45BA2373B284}"/>
    <cellStyle name="Normal 4 2 4 10 4" xfId="22505" xr:uid="{E4785579-366E-45C6-80FD-33082F3A6A74}"/>
    <cellStyle name="Normal 4 2 4 11" xfId="8775" xr:uid="{7AC259AB-9C32-4DC1-A787-2E2187A7C2D6}"/>
    <cellStyle name="Normal 4 2 4 11 2" xfId="35845" xr:uid="{AECD9A32-8E6A-40FC-B5BB-9FA0B10839CE}"/>
    <cellStyle name="Normal 4 2 4 11 2 2" xfId="54440" xr:uid="{D0545816-4077-45F1-A8A2-F9931267A9C8}"/>
    <cellStyle name="Normal 4 2 4 11 3" xfId="45143" xr:uid="{5A82E21E-018F-47D1-9AA1-050212641861}"/>
    <cellStyle name="Normal 4 2 4 11 4" xfId="26546" xr:uid="{95055930-BA2B-4CDE-8D90-398CE43A328E}"/>
    <cellStyle name="Normal 4 2 4 12" xfId="9841" xr:uid="{A63F7CD2-767B-4A82-8B57-E8578E4C7324}"/>
    <cellStyle name="Normal 4 2 4 12 2" xfId="46183" xr:uid="{12A34EE9-9B4D-416B-AAF6-DD5968ABE2AA}"/>
    <cellStyle name="Normal 4 2 4 12 3" xfId="27587" xr:uid="{D2111B5B-96E1-4499-9972-B8792D499193}"/>
    <cellStyle name="Normal 4 2 4 13" xfId="36886" xr:uid="{8840B63B-CB33-4FFE-9B75-57582E45ED5D}"/>
    <cellStyle name="Normal 4 2 4 14" xfId="18288" xr:uid="{0223569E-6D5D-40FF-9FE3-7E932D6C0D0D}"/>
    <cellStyle name="Normal 4 2 4 2" xfId="356" xr:uid="{00000000-0005-0000-0000-00002D130000}"/>
    <cellStyle name="Normal 4 2 4 2 10" xfId="8820" xr:uid="{8B50D4F4-4786-467C-8322-69D665B73C2B}"/>
    <cellStyle name="Normal 4 2 4 2 10 2" xfId="35890" xr:uid="{0C843602-7FE0-483D-A097-AE57561BCBC1}"/>
    <cellStyle name="Normal 4 2 4 2 10 2 2" xfId="54485" xr:uid="{7D6485AB-67AB-46EF-A3EB-039D24D8BA77}"/>
    <cellStyle name="Normal 4 2 4 2 10 3" xfId="45188" xr:uid="{423AF061-9963-4072-AB4B-F64B483AA496}"/>
    <cellStyle name="Normal 4 2 4 2 10 4" xfId="26591" xr:uid="{A48C725C-313F-49EC-9119-DF2CF8D94F08}"/>
    <cellStyle name="Normal 4 2 4 2 11" xfId="9842" xr:uid="{49F38B73-B633-45A7-BDDA-BAAA2A3D6786}"/>
    <cellStyle name="Normal 4 2 4 2 11 2" xfId="46184" xr:uid="{5738FCDA-51A0-48C1-B047-173C60F64841}"/>
    <cellStyle name="Normal 4 2 4 2 11 3" xfId="27588" xr:uid="{3DB006D7-5DDB-4C7C-8E88-002CC4A2BC0B}"/>
    <cellStyle name="Normal 4 2 4 2 12" xfId="36887" xr:uid="{1A83E6A2-6A16-44DA-B4BE-C5425FD90A66}"/>
    <cellStyle name="Normal 4 2 4 2 13" xfId="18289" xr:uid="{6A2BAD7D-4A1C-494A-AA62-C7A5BC2080F6}"/>
    <cellStyle name="Normal 4 2 4 2 2" xfId="357" xr:uid="{00000000-0005-0000-0000-00002E130000}"/>
    <cellStyle name="Normal 4 2 4 2 2 10" xfId="9843" xr:uid="{60C91C24-1B2F-4948-9DAA-254BCC5A4D67}"/>
    <cellStyle name="Normal 4 2 4 2 2 10 2" xfId="46185" xr:uid="{CCD12518-DB6B-4BCA-8123-0ED73D853596}"/>
    <cellStyle name="Normal 4 2 4 2 2 10 3" xfId="27589" xr:uid="{8C76D0A5-CC67-47CA-B316-6B1A2981024B}"/>
    <cellStyle name="Normal 4 2 4 2 2 11" xfId="36888" xr:uid="{D850356E-D5AD-4B86-8EAC-D67820DFA952}"/>
    <cellStyle name="Normal 4 2 4 2 2 12" xfId="18290" xr:uid="{EAAF0C0F-B634-49C7-98F8-23A82FD320D5}"/>
    <cellStyle name="Normal 4 2 4 2 2 2" xfId="358" xr:uid="{00000000-0005-0000-0000-00002F130000}"/>
    <cellStyle name="Normal 4 2 4 2 2 2 10" xfId="36889" xr:uid="{570B2EA3-AC78-45E8-9FD4-E97F82F91CB2}"/>
    <cellStyle name="Normal 4 2 4 2 2 2 11" xfId="18291" xr:uid="{0D0C96BC-90AC-49D8-93D0-A746629D08B6}"/>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16619" xr:uid="{79236CDC-E262-4632-B22C-49559511EA55}"/>
    <cellStyle name="Normal 4 2 4 2 2 2 2 2 2 2 2" xfId="52961" xr:uid="{D0F93164-BBD8-40C1-A653-E67368F480D8}"/>
    <cellStyle name="Normal 4 2 4 2 2 2 2 2 2 2 3" xfId="34365" xr:uid="{00CFB12F-2FCF-4C63-B3D3-4BB6A2A17B1B}"/>
    <cellStyle name="Normal 4 2 4 2 2 2 2 2 2 3" xfId="43664" xr:uid="{CDA338F7-56D4-4F81-907A-0052C27236A6}"/>
    <cellStyle name="Normal 4 2 4 2 2 2 2 2 2 4" xfId="25066" xr:uid="{67BA0112-EC4B-4141-8300-75697A09C74F}"/>
    <cellStyle name="Normal 4 2 4 2 2 2 2 2 3" xfId="12402" xr:uid="{A436701E-FAFF-4327-9E3A-67453B1AB4CC}"/>
    <cellStyle name="Normal 4 2 4 2 2 2 2 2 3 2" xfId="48744" xr:uid="{EC39B115-FA87-44B3-AECA-6067BE112437}"/>
    <cellStyle name="Normal 4 2 4 2 2 2 2 2 3 3" xfId="30148" xr:uid="{63CE04B4-5F5F-4B16-81C9-E47F84477E3B}"/>
    <cellStyle name="Normal 4 2 4 2 2 2 2 2 4" xfId="39447" xr:uid="{215971E1-B85E-4F42-8C3E-17C39C10B21F}"/>
    <cellStyle name="Normal 4 2 4 2 2 2 2 2 5" xfId="20849" xr:uid="{B8910386-70B3-4026-A1CC-1FDD9232F5ED}"/>
    <cellStyle name="Normal 4 2 4 2 2 2 2 3" xfId="5148" xr:uid="{00000000-0005-0000-0000-000033130000}"/>
    <cellStyle name="Normal 4 2 4 2 2 2 2 3 2" xfId="14474" xr:uid="{8D172D80-1F8D-4350-918B-D34211547319}"/>
    <cellStyle name="Normal 4 2 4 2 2 2 2 3 2 2" xfId="50816" xr:uid="{EE8260C0-C431-4FD2-96A9-1EE3A3AC4536}"/>
    <cellStyle name="Normal 4 2 4 2 2 2 2 3 2 3" xfId="32220" xr:uid="{B2145F54-FDC1-4C58-87DF-BFC7A3F53C8B}"/>
    <cellStyle name="Normal 4 2 4 2 2 2 2 3 3" xfId="41519" xr:uid="{4138C54C-A6CF-4820-A08E-2090DF34B81C}"/>
    <cellStyle name="Normal 4 2 4 2 2 2 2 3 4" xfId="22921" xr:uid="{ED062EDD-5CE4-43D6-94D0-B0CAF12C3E6C}"/>
    <cellStyle name="Normal 4 2 4 2 2 2 2 4" xfId="9555" xr:uid="{31AE7BD4-4F26-4658-9939-15FCE733560E}"/>
    <cellStyle name="Normal 4 2 4 2 2 2 2 4 2" xfId="36616" xr:uid="{092752BD-08DF-4BF3-B5DD-B652E017C2DE}"/>
    <cellStyle name="Normal 4 2 4 2 2 2 2 4 2 2" xfId="55210" xr:uid="{DABF82D7-38F7-436C-8972-090FA82CA789}"/>
    <cellStyle name="Normal 4 2 4 2 2 2 2 4 3" xfId="45913" xr:uid="{F6C828AA-D1FD-4B22-8809-B232F68D0107}"/>
    <cellStyle name="Normal 4 2 4 2 2 2 2 4 4" xfId="27317" xr:uid="{C3A66656-4DF7-49DA-8969-A89AAB3772C0}"/>
    <cellStyle name="Normal 4 2 4 2 2 2 2 5" xfId="10257" xr:uid="{57A22F49-559D-4F4A-854F-D8FCD3913D46}"/>
    <cellStyle name="Normal 4 2 4 2 2 2 2 5 2" xfId="46599" xr:uid="{48ADC914-ECBE-4BE5-98F7-4A1EF9AACC7C}"/>
    <cellStyle name="Normal 4 2 4 2 2 2 2 5 3" xfId="28003" xr:uid="{85B832D3-F9FB-4AA8-9706-CBEE1735F2B4}"/>
    <cellStyle name="Normal 4 2 4 2 2 2 2 6" xfId="37302" xr:uid="{EE7DEDA0-0F6E-4D7D-91F9-A100DE16F3F8}"/>
    <cellStyle name="Normal 4 2 4 2 2 2 2 7" xfId="18704" xr:uid="{CE0CBC09-3281-4072-8EDA-B20E369A0134}"/>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17032" xr:uid="{268BD1D7-B744-49F5-A631-BDC02B38E022}"/>
    <cellStyle name="Normal 4 2 4 2 2 2 3 2 2 2 2" xfId="53374" xr:uid="{803C1FDF-DBF4-47FF-AB20-987747975B66}"/>
    <cellStyle name="Normal 4 2 4 2 2 2 3 2 2 2 3" xfId="34778" xr:uid="{81403E26-2C40-46BD-8FAF-8925A4077FCE}"/>
    <cellStyle name="Normal 4 2 4 2 2 2 3 2 2 3" xfId="44077" xr:uid="{E5521AB5-FE7D-4EF9-92C3-8161B2C8E9F2}"/>
    <cellStyle name="Normal 4 2 4 2 2 2 3 2 2 4" xfId="25479" xr:uid="{EF34FF97-62EC-4AE5-BC33-2B01458ECBB0}"/>
    <cellStyle name="Normal 4 2 4 2 2 2 3 2 3" xfId="12815" xr:uid="{1366D016-CECC-4857-BEDD-98E45A716BE6}"/>
    <cellStyle name="Normal 4 2 4 2 2 2 3 2 3 2" xfId="49157" xr:uid="{1B55E092-9FD7-48BC-91A8-1E98FC2BEE1A}"/>
    <cellStyle name="Normal 4 2 4 2 2 2 3 2 3 3" xfId="30561" xr:uid="{D3AD2B06-B77E-40AD-AEFD-28CDD740557E}"/>
    <cellStyle name="Normal 4 2 4 2 2 2 3 2 4" xfId="39860" xr:uid="{33624281-BF67-4B7B-8187-53EA1A1A5518}"/>
    <cellStyle name="Normal 4 2 4 2 2 2 3 2 5" xfId="21262" xr:uid="{E3574DDF-7F43-4379-8293-B6EDECC208B6}"/>
    <cellStyle name="Normal 4 2 4 2 2 2 3 3" xfId="5561" xr:uid="{00000000-0005-0000-0000-000037130000}"/>
    <cellStyle name="Normal 4 2 4 2 2 2 3 3 2" xfId="14887" xr:uid="{BE1FEFCA-1FF9-4993-A072-7BB17E458F00}"/>
    <cellStyle name="Normal 4 2 4 2 2 2 3 3 2 2" xfId="51229" xr:uid="{D5992E57-984B-43C0-8ACC-94CD2927A606}"/>
    <cellStyle name="Normal 4 2 4 2 2 2 3 3 2 3" xfId="32633" xr:uid="{54CFCE84-E068-4E6B-885B-C59F25F1F38E}"/>
    <cellStyle name="Normal 4 2 4 2 2 2 3 3 3" xfId="41932" xr:uid="{1121D53B-8BE3-4E90-9D16-36A41C6DE73F}"/>
    <cellStyle name="Normal 4 2 4 2 2 2 3 3 4" xfId="23334" xr:uid="{A6FB854E-D22D-4D07-A26F-2566F49F83B9}"/>
    <cellStyle name="Normal 4 2 4 2 2 2 3 4" xfId="10670" xr:uid="{840EAA17-B9C1-4FC2-866D-AE60709DDA9A}"/>
    <cellStyle name="Normal 4 2 4 2 2 2 3 4 2" xfId="47012" xr:uid="{8D71CE6A-289B-4D3F-BF33-2B525886D6D8}"/>
    <cellStyle name="Normal 4 2 4 2 2 2 3 4 3" xfId="28416" xr:uid="{ABD10F89-B738-4061-A4A4-A3FCFE57418D}"/>
    <cellStyle name="Normal 4 2 4 2 2 2 3 5" xfId="37715" xr:uid="{0A23B4E2-5DEF-4248-913A-8D82B5959564}"/>
    <cellStyle name="Normal 4 2 4 2 2 2 3 6" xfId="19117" xr:uid="{44CF751B-9108-43D7-AB96-9FD5CD0E9BEE}"/>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17445" xr:uid="{87E0C9F8-16C5-4883-AEF1-A80DF6572D05}"/>
    <cellStyle name="Normal 4 2 4 2 2 2 4 2 2 2 2" xfId="53787" xr:uid="{A74D9F54-C660-4A0B-8CF9-00DA0BDE99F3}"/>
    <cellStyle name="Normal 4 2 4 2 2 2 4 2 2 2 3" xfId="35191" xr:uid="{2BCB9062-82E1-4A10-A07D-33EC0C8CFF24}"/>
    <cellStyle name="Normal 4 2 4 2 2 2 4 2 2 3" xfId="44490" xr:uid="{FFA2DB30-FCB7-4594-9F3C-B2D28F3DF493}"/>
    <cellStyle name="Normal 4 2 4 2 2 2 4 2 2 4" xfId="25892" xr:uid="{45E825C5-5E69-4BC1-86CE-F947B359CFB2}"/>
    <cellStyle name="Normal 4 2 4 2 2 2 4 2 3" xfId="13228" xr:uid="{B8AD6A11-D71D-4B57-BF45-EA7BC50360A3}"/>
    <cellStyle name="Normal 4 2 4 2 2 2 4 2 3 2" xfId="49570" xr:uid="{71532346-11F8-4FDE-993A-B77A13B2547F}"/>
    <cellStyle name="Normal 4 2 4 2 2 2 4 2 3 3" xfId="30974" xr:uid="{F0E9DE30-7955-4142-A306-5D0710EC2483}"/>
    <cellStyle name="Normal 4 2 4 2 2 2 4 2 4" xfId="40273" xr:uid="{1308046E-07EA-4BE9-A800-DD366B7E3C38}"/>
    <cellStyle name="Normal 4 2 4 2 2 2 4 2 5" xfId="21675" xr:uid="{51588040-294F-4715-91BE-A4FECF45615C}"/>
    <cellStyle name="Normal 4 2 4 2 2 2 4 3" xfId="5974" xr:uid="{00000000-0005-0000-0000-00003B130000}"/>
    <cellStyle name="Normal 4 2 4 2 2 2 4 3 2" xfId="15300" xr:uid="{58CF4CFA-AFFD-414B-BB2E-DE81C05B2535}"/>
    <cellStyle name="Normal 4 2 4 2 2 2 4 3 2 2" xfId="51642" xr:uid="{372301EB-C128-49A5-89A9-811CEC007FE4}"/>
    <cellStyle name="Normal 4 2 4 2 2 2 4 3 2 3" xfId="33046" xr:uid="{CE8A8AE9-6A61-4805-A9B3-AAFA2A5779A1}"/>
    <cellStyle name="Normal 4 2 4 2 2 2 4 3 3" xfId="42345" xr:uid="{70640850-E406-4479-BBD6-0ED4304344DE}"/>
    <cellStyle name="Normal 4 2 4 2 2 2 4 3 4" xfId="23747" xr:uid="{2C21B2CB-6752-44AD-95B2-CD0DC88493AD}"/>
    <cellStyle name="Normal 4 2 4 2 2 2 4 4" xfId="11083" xr:uid="{FDAAD2BF-3F37-40B7-BFF4-EA14B372DBC0}"/>
    <cellStyle name="Normal 4 2 4 2 2 2 4 4 2" xfId="47425" xr:uid="{E88BDE5F-7BA1-4D3A-8BA8-0B463C1A041B}"/>
    <cellStyle name="Normal 4 2 4 2 2 2 4 4 3" xfId="28829" xr:uid="{47D189F9-DB24-4390-B657-E04C3C6D905C}"/>
    <cellStyle name="Normal 4 2 4 2 2 2 4 5" xfId="38128" xr:uid="{2AD3A8E3-750C-4DD1-87AA-625E8C6EA5A4}"/>
    <cellStyle name="Normal 4 2 4 2 2 2 4 6" xfId="19530" xr:uid="{BAD3F7C6-3A74-4B09-8822-C063C4B16D57}"/>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17858" xr:uid="{AB12F2E6-5519-42AE-A63D-29E8D41B07B2}"/>
    <cellStyle name="Normal 4 2 4 2 2 2 5 2 2 2 2" xfId="54200" xr:uid="{6DED9AF9-DC9F-46B4-91E0-A281307ADAFE}"/>
    <cellStyle name="Normal 4 2 4 2 2 2 5 2 2 2 3" xfId="35604" xr:uid="{F326B5BB-3266-4CAA-BC4D-7D3CBB0D7255}"/>
    <cellStyle name="Normal 4 2 4 2 2 2 5 2 2 3" xfId="44903" xr:uid="{600893B8-98BD-4C26-BDD3-94B32047A7DB}"/>
    <cellStyle name="Normal 4 2 4 2 2 2 5 2 2 4" xfId="26305" xr:uid="{15F1A556-81B3-47B9-B034-49393C1F3C24}"/>
    <cellStyle name="Normal 4 2 4 2 2 2 5 2 3" xfId="13641" xr:uid="{D4C94B58-E480-47F2-8892-4CD5F701E411}"/>
    <cellStyle name="Normal 4 2 4 2 2 2 5 2 3 2" xfId="49983" xr:uid="{38EA1BCF-4D7D-443C-A067-24FFB0E3521C}"/>
    <cellStyle name="Normal 4 2 4 2 2 2 5 2 3 3" xfId="31387" xr:uid="{DFBA1B04-C357-4D2E-B3E0-352D304D481B}"/>
    <cellStyle name="Normal 4 2 4 2 2 2 5 2 4" xfId="40686" xr:uid="{AC299008-B928-45FB-BD60-84E99EB7F796}"/>
    <cellStyle name="Normal 4 2 4 2 2 2 5 2 5" xfId="22088" xr:uid="{9F561D69-CDD1-4CE0-B4A5-8BCABE56C3AB}"/>
    <cellStyle name="Normal 4 2 4 2 2 2 5 3" xfId="6387" xr:uid="{00000000-0005-0000-0000-00003F130000}"/>
    <cellStyle name="Normal 4 2 4 2 2 2 5 3 2" xfId="15713" xr:uid="{27F756A9-21DE-4B1F-BEF0-FFD8C23C7A7E}"/>
    <cellStyle name="Normal 4 2 4 2 2 2 5 3 2 2" xfId="52055" xr:uid="{8834676D-1140-4DFE-9B9A-C787BE86296B}"/>
    <cellStyle name="Normal 4 2 4 2 2 2 5 3 2 3" xfId="33459" xr:uid="{189AA715-06EF-4E78-9EA5-0ACA997B4A4E}"/>
    <cellStyle name="Normal 4 2 4 2 2 2 5 3 3" xfId="42758" xr:uid="{399CFAAE-2D7A-4CAC-A0F9-ABD3BC12DFD7}"/>
    <cellStyle name="Normal 4 2 4 2 2 2 5 3 4" xfId="24160" xr:uid="{8AF914EC-5DC0-4212-B7A1-CF64670A8164}"/>
    <cellStyle name="Normal 4 2 4 2 2 2 5 4" xfId="11496" xr:uid="{D2709CC1-9A16-4434-9883-5A84DC5F248A}"/>
    <cellStyle name="Normal 4 2 4 2 2 2 5 4 2" xfId="47838" xr:uid="{3B39C090-E545-48C3-8EE0-66FBC1CDA7E8}"/>
    <cellStyle name="Normal 4 2 4 2 2 2 5 4 3" xfId="29242" xr:uid="{CF3B0AFB-1B28-44AF-B939-E7BB7051648C}"/>
    <cellStyle name="Normal 4 2 4 2 2 2 5 5" xfId="38541" xr:uid="{397D5C4B-B80B-4BA7-8D55-3FDA5C50CECB}"/>
    <cellStyle name="Normal 4 2 4 2 2 2 5 6" xfId="19943" xr:uid="{E2D6DA54-E4D0-4427-8E99-9E43B55997F3}"/>
    <cellStyle name="Normal 4 2 4 2 2 2 6" xfId="2517" xr:uid="{00000000-0005-0000-0000-000040130000}"/>
    <cellStyle name="Normal 4 2 4 2 2 2 6 2" xfId="6800" xr:uid="{00000000-0005-0000-0000-000041130000}"/>
    <cellStyle name="Normal 4 2 4 2 2 2 6 2 2" xfId="16126" xr:uid="{052B5DB8-A55E-4594-86DA-CC70F7E2406C}"/>
    <cellStyle name="Normal 4 2 4 2 2 2 6 2 2 2" xfId="52468" xr:uid="{8E2E1A2F-B316-46DC-8554-C537AA28161D}"/>
    <cellStyle name="Normal 4 2 4 2 2 2 6 2 2 3" xfId="33872" xr:uid="{3E43F680-0FC5-4AB2-89F4-A46A7D6B7735}"/>
    <cellStyle name="Normal 4 2 4 2 2 2 6 2 3" xfId="43171" xr:uid="{27C3A30C-2DC8-453C-B5C7-7FCF2DD45F38}"/>
    <cellStyle name="Normal 4 2 4 2 2 2 6 2 4" xfId="24573" xr:uid="{337B5E87-91F1-45B2-81F6-F3CB916D03E2}"/>
    <cellStyle name="Normal 4 2 4 2 2 2 6 3" xfId="11909" xr:uid="{F4B6C9D7-EDA8-4E1A-9AE3-65072199D842}"/>
    <cellStyle name="Normal 4 2 4 2 2 2 6 3 2" xfId="48251" xr:uid="{B3DE5154-724D-4B59-99FB-E4E9CC20EDFE}"/>
    <cellStyle name="Normal 4 2 4 2 2 2 6 3 3" xfId="29655" xr:uid="{2C243705-9DD0-44E5-9166-9B6AD02CCA3A}"/>
    <cellStyle name="Normal 4 2 4 2 2 2 6 4" xfId="38954" xr:uid="{9DDE9568-71E5-45FE-9E68-0E0748050F03}"/>
    <cellStyle name="Normal 4 2 4 2 2 2 6 5" xfId="20356" xr:uid="{586931DA-0B38-4497-A325-6C51E1656E6B}"/>
    <cellStyle name="Normal 4 2 4 2 2 2 7" xfId="4735" xr:uid="{00000000-0005-0000-0000-000042130000}"/>
    <cellStyle name="Normal 4 2 4 2 2 2 7 2" xfId="14061" xr:uid="{ADD3D703-7163-46F7-8C18-C2EE1A0519D2}"/>
    <cellStyle name="Normal 4 2 4 2 2 2 7 2 2" xfId="50403" xr:uid="{F54D72FB-1D2C-4ADD-840A-F51262AC386B}"/>
    <cellStyle name="Normal 4 2 4 2 2 2 7 2 3" xfId="31807" xr:uid="{B81A9042-9D02-4686-B4CF-3259C2B4BE55}"/>
    <cellStyle name="Normal 4 2 4 2 2 2 7 3" xfId="41106" xr:uid="{1A7247DC-B309-41E8-83FF-058246B022B9}"/>
    <cellStyle name="Normal 4 2 4 2 2 2 7 4" xfId="22508" xr:uid="{20CF2AE1-DE3C-474A-ABA7-C069E63409AF}"/>
    <cellStyle name="Normal 4 2 4 2 2 2 8" xfId="9130" xr:uid="{E4AAEB37-D6CE-4BD9-A166-BE52F754DAC4}"/>
    <cellStyle name="Normal 4 2 4 2 2 2 8 2" xfId="36200" xr:uid="{86AE7532-CBEC-4FE9-8792-C025ADBD3ECF}"/>
    <cellStyle name="Normal 4 2 4 2 2 2 8 2 2" xfId="54795" xr:uid="{E0FA2BBA-DCA0-459D-B667-DEA96F9C5358}"/>
    <cellStyle name="Normal 4 2 4 2 2 2 8 3" xfId="45498" xr:uid="{347643A8-F408-435E-81D0-EE51960E098E}"/>
    <cellStyle name="Normal 4 2 4 2 2 2 8 4" xfId="26901" xr:uid="{4F8C779C-967F-4C79-ABBD-5C34687CAD02}"/>
    <cellStyle name="Normal 4 2 4 2 2 2 9" xfId="9844" xr:uid="{00792FFC-1552-4CC3-8BDE-E08E737DC7F3}"/>
    <cellStyle name="Normal 4 2 4 2 2 2 9 2" xfId="46186" xr:uid="{BA7D7B57-E8E6-49DD-9EDF-E78FF1078218}"/>
    <cellStyle name="Normal 4 2 4 2 2 2 9 3" xfId="27590" xr:uid="{A1F50744-A3EA-4C06-BF12-AFB4CDBE18B3}"/>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16618" xr:uid="{D1A1F53E-50E6-4880-A5CE-14BFE9D70F86}"/>
    <cellStyle name="Normal 4 2 4 2 2 3 2 2 2 2" xfId="52960" xr:uid="{BB09A4BD-AA01-49B9-85F0-9EF1483921E4}"/>
    <cellStyle name="Normal 4 2 4 2 2 3 2 2 2 3" xfId="34364" xr:uid="{CEE03540-6D63-488A-83C9-0B42E904B948}"/>
    <cellStyle name="Normal 4 2 4 2 2 3 2 2 3" xfId="43663" xr:uid="{4FD1B397-A8CD-49D7-9C0B-75A97E02AC4A}"/>
    <cellStyle name="Normal 4 2 4 2 2 3 2 2 4" xfId="25065" xr:uid="{F1A0AC9C-AE17-496D-9D45-FDF1750EB7AC}"/>
    <cellStyle name="Normal 4 2 4 2 2 3 2 3" xfId="12401" xr:uid="{3A0FE1FE-213A-48F0-B7D7-ADFBEE71058D}"/>
    <cellStyle name="Normal 4 2 4 2 2 3 2 3 2" xfId="48743" xr:uid="{0EF49BF0-E3BF-4245-8472-E624ADD06028}"/>
    <cellStyle name="Normal 4 2 4 2 2 3 2 3 3" xfId="30147" xr:uid="{20CEB125-95DB-4779-8FA6-FF9D9BB54A27}"/>
    <cellStyle name="Normal 4 2 4 2 2 3 2 4" xfId="39446" xr:uid="{21C30010-2C54-43DB-8EE0-5CB6105C7FA5}"/>
    <cellStyle name="Normal 4 2 4 2 2 3 2 5" xfId="20848" xr:uid="{1D714265-52BE-4E7F-8CEA-59869591A924}"/>
    <cellStyle name="Normal 4 2 4 2 2 3 3" xfId="5147" xr:uid="{00000000-0005-0000-0000-000046130000}"/>
    <cellStyle name="Normal 4 2 4 2 2 3 3 2" xfId="14473" xr:uid="{2FDCBA2F-90E2-4033-8A14-A2A51F2145E6}"/>
    <cellStyle name="Normal 4 2 4 2 2 3 3 2 2" xfId="50815" xr:uid="{615E56CC-1AD1-4F83-869D-9CF55AB99D54}"/>
    <cellStyle name="Normal 4 2 4 2 2 3 3 2 3" xfId="32219" xr:uid="{A9A183D7-9FF9-4166-90F3-9B1677AF8035}"/>
    <cellStyle name="Normal 4 2 4 2 2 3 3 3" xfId="41518" xr:uid="{6E0959EB-A86C-4A27-8DDD-50BCC82E0FED}"/>
    <cellStyle name="Normal 4 2 4 2 2 3 3 4" xfId="22920" xr:uid="{991400EB-25C9-4012-B5C0-1832DD88A168}"/>
    <cellStyle name="Normal 4 2 4 2 2 3 4" xfId="9348" xr:uid="{E9E52CF6-B3CF-482F-B496-A22B0452951D}"/>
    <cellStyle name="Normal 4 2 4 2 2 3 4 2" xfId="36409" xr:uid="{65255A9F-C272-4AD0-935D-551DDEC2CDE9}"/>
    <cellStyle name="Normal 4 2 4 2 2 3 4 2 2" xfId="55003" xr:uid="{4ADAD566-6C1C-4870-9DB6-6979689F7BA4}"/>
    <cellStyle name="Normal 4 2 4 2 2 3 4 3" xfId="45706" xr:uid="{F4DA5C84-C6D7-492B-99C6-8F4563BDAD04}"/>
    <cellStyle name="Normal 4 2 4 2 2 3 4 4" xfId="27110" xr:uid="{F4EAEF95-35DA-4D25-8CBF-8DAAEDCE01E3}"/>
    <cellStyle name="Normal 4 2 4 2 2 3 5" xfId="10256" xr:uid="{4E7F4698-DDCC-4F81-83DF-14274C5C114A}"/>
    <cellStyle name="Normal 4 2 4 2 2 3 5 2" xfId="46598" xr:uid="{90A935A9-E2A5-4632-AAC0-406C40FE7B9D}"/>
    <cellStyle name="Normal 4 2 4 2 2 3 5 3" xfId="28002" xr:uid="{5DB3D1E3-FDF8-47F3-AE11-AFDE40C45B15}"/>
    <cellStyle name="Normal 4 2 4 2 2 3 6" xfId="37301" xr:uid="{D0376D8F-13BF-4CAC-A74B-0F2846B0ED89}"/>
    <cellStyle name="Normal 4 2 4 2 2 3 7" xfId="18703" xr:uid="{9B35BD0A-6876-4E07-9279-0D8ACC945643}"/>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17031" xr:uid="{DCE8C143-93B9-4B6A-9907-DE79E5AECE73}"/>
    <cellStyle name="Normal 4 2 4 2 2 4 2 2 2 2" xfId="53373" xr:uid="{AD13F39A-1CFF-496D-BB05-112C180A951A}"/>
    <cellStyle name="Normal 4 2 4 2 2 4 2 2 2 3" xfId="34777" xr:uid="{F92E4BD3-7242-41ED-AD70-4547D95CF001}"/>
    <cellStyle name="Normal 4 2 4 2 2 4 2 2 3" xfId="44076" xr:uid="{E71DBC86-30E5-4AC1-97F7-418FEA4C4FA5}"/>
    <cellStyle name="Normal 4 2 4 2 2 4 2 2 4" xfId="25478" xr:uid="{4D522F87-54F0-4834-863E-86CC28D19643}"/>
    <cellStyle name="Normal 4 2 4 2 2 4 2 3" xfId="12814" xr:uid="{00812E0D-68E2-40CE-9764-191DCB4A516E}"/>
    <cellStyle name="Normal 4 2 4 2 2 4 2 3 2" xfId="49156" xr:uid="{5758BC38-F609-4F46-A548-A62CD6DAC0E5}"/>
    <cellStyle name="Normal 4 2 4 2 2 4 2 3 3" xfId="30560" xr:uid="{A2BE7A0A-E43E-47D1-BDBB-9692F04700F1}"/>
    <cellStyle name="Normal 4 2 4 2 2 4 2 4" xfId="39859" xr:uid="{1AD357F5-8697-4DB4-9CBD-DEEB5CF8C923}"/>
    <cellStyle name="Normal 4 2 4 2 2 4 2 5" xfId="21261" xr:uid="{AE44C122-F1BC-4C35-B1E6-2C68FC2C8DD1}"/>
    <cellStyle name="Normal 4 2 4 2 2 4 3" xfId="5560" xr:uid="{00000000-0005-0000-0000-00004A130000}"/>
    <cellStyle name="Normal 4 2 4 2 2 4 3 2" xfId="14886" xr:uid="{F2E03E9E-386A-43B9-BAE5-29F5EACE6D2B}"/>
    <cellStyle name="Normal 4 2 4 2 2 4 3 2 2" xfId="51228" xr:uid="{A7E70435-3D24-4EA5-A33A-14D2F8DE0E9C}"/>
    <cellStyle name="Normal 4 2 4 2 2 4 3 2 3" xfId="32632" xr:uid="{B3E8ADC0-EED4-4B8F-83DF-7E5C63077506}"/>
    <cellStyle name="Normal 4 2 4 2 2 4 3 3" xfId="41931" xr:uid="{619343DC-2547-43E1-A9E3-A6D24CFB1B90}"/>
    <cellStyle name="Normal 4 2 4 2 2 4 3 4" xfId="23333" xr:uid="{7B46AE71-0F23-41A1-9301-60F9F4E46BCC}"/>
    <cellStyle name="Normal 4 2 4 2 2 4 4" xfId="10669" xr:uid="{93D281AC-C9D4-4034-A5E4-1001A18B2978}"/>
    <cellStyle name="Normal 4 2 4 2 2 4 4 2" xfId="47011" xr:uid="{D607E634-B925-4C06-9326-518FAE62A3F3}"/>
    <cellStyle name="Normal 4 2 4 2 2 4 4 3" xfId="28415" xr:uid="{6D5BAD37-7146-456E-BC32-131F9906E569}"/>
    <cellStyle name="Normal 4 2 4 2 2 4 5" xfId="37714" xr:uid="{C1A1E97E-74D5-4A64-AFD6-4C6B89AF2B7E}"/>
    <cellStyle name="Normal 4 2 4 2 2 4 6" xfId="19116" xr:uid="{7BEEA45F-73AD-43E8-AE21-AAB9985708B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17444" xr:uid="{A422F225-7D18-4600-A432-6278D4E78EFA}"/>
    <cellStyle name="Normal 4 2 4 2 2 5 2 2 2 2" xfId="53786" xr:uid="{26E90CF1-EEC6-447D-8E10-06EDCC1C2CE3}"/>
    <cellStyle name="Normal 4 2 4 2 2 5 2 2 2 3" xfId="35190" xr:uid="{D4DB03F8-2EE7-428A-AAE1-349CCAECF9B4}"/>
    <cellStyle name="Normal 4 2 4 2 2 5 2 2 3" xfId="44489" xr:uid="{1EBBA0F5-C42B-4278-BCB2-892D6A900450}"/>
    <cellStyle name="Normal 4 2 4 2 2 5 2 2 4" xfId="25891" xr:uid="{F2FC3FAA-561A-4510-85EB-0CDD9F25683E}"/>
    <cellStyle name="Normal 4 2 4 2 2 5 2 3" xfId="13227" xr:uid="{14393758-2BAF-4B39-8670-AA48B0F31535}"/>
    <cellStyle name="Normal 4 2 4 2 2 5 2 3 2" xfId="49569" xr:uid="{0622AA00-A6B2-4EF0-A8B5-EEC9F2641085}"/>
    <cellStyle name="Normal 4 2 4 2 2 5 2 3 3" xfId="30973" xr:uid="{B89DCE33-6A04-476B-8659-9A57F7C3180B}"/>
    <cellStyle name="Normal 4 2 4 2 2 5 2 4" xfId="40272" xr:uid="{BE3217F6-B60F-4163-A18A-868C8B7A6F03}"/>
    <cellStyle name="Normal 4 2 4 2 2 5 2 5" xfId="21674" xr:uid="{B0F4D09D-B70D-46ED-9531-6FC421E740AD}"/>
    <cellStyle name="Normal 4 2 4 2 2 5 3" xfId="5973" xr:uid="{00000000-0005-0000-0000-00004E130000}"/>
    <cellStyle name="Normal 4 2 4 2 2 5 3 2" xfId="15299" xr:uid="{EF2680E1-9BD1-4DAD-A12C-74AF09733C1C}"/>
    <cellStyle name="Normal 4 2 4 2 2 5 3 2 2" xfId="51641" xr:uid="{01095BB7-D3B0-43E4-9487-DED2418C0D54}"/>
    <cellStyle name="Normal 4 2 4 2 2 5 3 2 3" xfId="33045" xr:uid="{50993C28-0369-4FB8-8256-3F6B01FF326E}"/>
    <cellStyle name="Normal 4 2 4 2 2 5 3 3" xfId="42344" xr:uid="{247AC9EE-D488-4A4A-9A0A-2D5A7BDCFBA6}"/>
    <cellStyle name="Normal 4 2 4 2 2 5 3 4" xfId="23746" xr:uid="{487296FF-14E2-4C1D-BCF4-8E9F805AEF0B}"/>
    <cellStyle name="Normal 4 2 4 2 2 5 4" xfId="11082" xr:uid="{2DAD0C8E-3422-4658-9A08-B01EFB52D4FB}"/>
    <cellStyle name="Normal 4 2 4 2 2 5 4 2" xfId="47424" xr:uid="{C8395BAC-503D-447C-B372-DDFF601F3D60}"/>
    <cellStyle name="Normal 4 2 4 2 2 5 4 3" xfId="28828" xr:uid="{F012C70D-F584-4445-8FA8-EF5102FF1DBF}"/>
    <cellStyle name="Normal 4 2 4 2 2 5 5" xfId="38127" xr:uid="{D82C92F2-C24C-4D47-A805-3383B6D90A6C}"/>
    <cellStyle name="Normal 4 2 4 2 2 5 6" xfId="19529" xr:uid="{95DBEAC0-23DA-40FD-A32F-CFE71EC0DB8C}"/>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17857" xr:uid="{CCD63B3B-A82F-4B25-B1DF-F9BD4D03B3DD}"/>
    <cellStyle name="Normal 4 2 4 2 2 6 2 2 2 2" xfId="54199" xr:uid="{E944FC55-E167-4AF0-95F9-C5CDA8898007}"/>
    <cellStyle name="Normal 4 2 4 2 2 6 2 2 2 3" xfId="35603" xr:uid="{375CE67C-CA34-4E60-B32D-08D80461BC5D}"/>
    <cellStyle name="Normal 4 2 4 2 2 6 2 2 3" xfId="44902" xr:uid="{58C35F67-FC85-466E-9A27-E4FB2126A6C8}"/>
    <cellStyle name="Normal 4 2 4 2 2 6 2 2 4" xfId="26304" xr:uid="{897E7CF7-EA50-4E3B-95D4-BDEFFA4D2335}"/>
    <cellStyle name="Normal 4 2 4 2 2 6 2 3" xfId="13640" xr:uid="{4905D7ED-6E50-4EB2-ADC8-C08347823E7E}"/>
    <cellStyle name="Normal 4 2 4 2 2 6 2 3 2" xfId="49982" xr:uid="{2EC9C8C8-BDA7-49F4-839E-B159EA783DA7}"/>
    <cellStyle name="Normal 4 2 4 2 2 6 2 3 3" xfId="31386" xr:uid="{52904137-C2B3-4D90-BF0F-EF1704248BF3}"/>
    <cellStyle name="Normal 4 2 4 2 2 6 2 4" xfId="40685" xr:uid="{2E3BA36B-9AD0-4542-935D-9003C61DBE8F}"/>
    <cellStyle name="Normal 4 2 4 2 2 6 2 5" xfId="22087" xr:uid="{F4A7494B-599E-47E9-B2F6-6ABD14DF46C5}"/>
    <cellStyle name="Normal 4 2 4 2 2 6 3" xfId="6386" xr:uid="{00000000-0005-0000-0000-000052130000}"/>
    <cellStyle name="Normal 4 2 4 2 2 6 3 2" xfId="15712" xr:uid="{69F99032-3E99-495F-B2A8-45A7AA472DA4}"/>
    <cellStyle name="Normal 4 2 4 2 2 6 3 2 2" xfId="52054" xr:uid="{CB61E763-CC5B-4EA7-8705-59316D9C4D7C}"/>
    <cellStyle name="Normal 4 2 4 2 2 6 3 2 3" xfId="33458" xr:uid="{8C5978A6-BA10-4FFA-8201-8E76856B837D}"/>
    <cellStyle name="Normal 4 2 4 2 2 6 3 3" xfId="42757" xr:uid="{E3F49BD1-F089-48D3-89F6-7E471E8832BD}"/>
    <cellStyle name="Normal 4 2 4 2 2 6 3 4" xfId="24159" xr:uid="{B340CCBF-FCB6-49CE-9EF5-47C33DF7DC2E}"/>
    <cellStyle name="Normal 4 2 4 2 2 6 4" xfId="11495" xr:uid="{824C8B48-A75D-4A19-B957-7054002719D2}"/>
    <cellStyle name="Normal 4 2 4 2 2 6 4 2" xfId="47837" xr:uid="{D4A73FFB-5EA3-4B14-9B40-BB88D04300A9}"/>
    <cellStyle name="Normal 4 2 4 2 2 6 4 3" xfId="29241" xr:uid="{580693B7-A3AF-4525-9FEB-21AAD2F39371}"/>
    <cellStyle name="Normal 4 2 4 2 2 6 5" xfId="38540" xr:uid="{6D18E60C-29FC-48C5-B196-266B239D1394}"/>
    <cellStyle name="Normal 4 2 4 2 2 6 6" xfId="19942" xr:uid="{A02C09E9-B055-4C6A-92DA-36AE071E4D76}"/>
    <cellStyle name="Normal 4 2 4 2 2 7" xfId="2516" xr:uid="{00000000-0005-0000-0000-000053130000}"/>
    <cellStyle name="Normal 4 2 4 2 2 7 2" xfId="6799" xr:uid="{00000000-0005-0000-0000-000054130000}"/>
    <cellStyle name="Normal 4 2 4 2 2 7 2 2" xfId="16125" xr:uid="{19EBD731-4A03-4CCC-89A8-3F95E10137AC}"/>
    <cellStyle name="Normal 4 2 4 2 2 7 2 2 2" xfId="52467" xr:uid="{29479D25-3D75-4C02-824B-E96C7A417543}"/>
    <cellStyle name="Normal 4 2 4 2 2 7 2 2 3" xfId="33871" xr:uid="{E33C2991-FFDF-46BB-BEF0-2F9C442F7296}"/>
    <cellStyle name="Normal 4 2 4 2 2 7 2 3" xfId="43170" xr:uid="{2D2BC636-3D68-4B90-9488-6F400D0A6FC3}"/>
    <cellStyle name="Normal 4 2 4 2 2 7 2 4" xfId="24572" xr:uid="{F95E4A6F-104B-4FC8-AD04-C5D131575DB6}"/>
    <cellStyle name="Normal 4 2 4 2 2 7 3" xfId="11908" xr:uid="{81590C91-348A-4A31-9991-20CD4262B600}"/>
    <cellStyle name="Normal 4 2 4 2 2 7 3 2" xfId="48250" xr:uid="{58148ECA-FCA0-46C5-B2B3-97A07EAAA72E}"/>
    <cellStyle name="Normal 4 2 4 2 2 7 3 3" xfId="29654" xr:uid="{5F5D6FE2-46F6-4577-ADF4-5A7D1D467177}"/>
    <cellStyle name="Normal 4 2 4 2 2 7 4" xfId="38953" xr:uid="{FEFD4F73-BD21-43CE-8921-AC1C27EF9A58}"/>
    <cellStyle name="Normal 4 2 4 2 2 7 5" xfId="20355" xr:uid="{FF760E15-0499-43EF-A838-9EEE38FE84DA}"/>
    <cellStyle name="Normal 4 2 4 2 2 8" xfId="4734" xr:uid="{00000000-0005-0000-0000-000055130000}"/>
    <cellStyle name="Normal 4 2 4 2 2 8 2" xfId="14060" xr:uid="{A1D04D2C-8467-4B8F-A1C6-E09731B76F08}"/>
    <cellStyle name="Normal 4 2 4 2 2 8 2 2" xfId="50402" xr:uid="{74A42DBD-8655-4ECA-BEF4-9D0DD2EC0CF0}"/>
    <cellStyle name="Normal 4 2 4 2 2 8 2 3" xfId="31806" xr:uid="{6389C300-BC34-4835-8B82-85B7694CCCBB}"/>
    <cellStyle name="Normal 4 2 4 2 2 8 3" xfId="41105" xr:uid="{F63BCEDA-0EF7-4A9E-813D-66E61D50788D}"/>
    <cellStyle name="Normal 4 2 4 2 2 8 4" xfId="22507" xr:uid="{E8F2938F-1328-4497-AE8C-06ABBA84CB13}"/>
    <cellStyle name="Normal 4 2 4 2 2 9" xfId="8923" xr:uid="{2BBE6936-33B8-4624-9F85-2EE83C62ACB2}"/>
    <cellStyle name="Normal 4 2 4 2 2 9 2" xfId="35993" xr:uid="{6F3DE7A8-17CD-4228-A278-0177D6A995A3}"/>
    <cellStyle name="Normal 4 2 4 2 2 9 2 2" xfId="54588" xr:uid="{8B90B54C-2774-47E6-9958-48B0EF050EE5}"/>
    <cellStyle name="Normal 4 2 4 2 2 9 3" xfId="45291" xr:uid="{570B650A-2D30-4954-83E0-B2F0EB092573}"/>
    <cellStyle name="Normal 4 2 4 2 2 9 4" xfId="26694" xr:uid="{07221150-A4A2-431D-8F2E-D3DD4AB75CD0}"/>
    <cellStyle name="Normal 4 2 4 2 3" xfId="359" xr:uid="{00000000-0005-0000-0000-000056130000}"/>
    <cellStyle name="Normal 4 2 4 2 3 10" xfId="36890" xr:uid="{B9E330FE-3526-46A2-8742-2344918EB509}"/>
    <cellStyle name="Normal 4 2 4 2 3 11" xfId="18292" xr:uid="{5F2BA891-74C0-451B-9BD7-551DE8CC33FA}"/>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16620" xr:uid="{5A71C162-E833-4C78-AA08-4756D094AACE}"/>
    <cellStyle name="Normal 4 2 4 2 3 2 2 2 2 2" xfId="52962" xr:uid="{22B3B20D-9925-480E-BDB6-9C6CEE052070}"/>
    <cellStyle name="Normal 4 2 4 2 3 2 2 2 2 3" xfId="34366" xr:uid="{D172D627-3C21-4D6D-B028-6B13B8E36A1A}"/>
    <cellStyle name="Normal 4 2 4 2 3 2 2 2 3" xfId="43665" xr:uid="{58ECECF8-5FF8-467D-802D-7E1CC716AA4F}"/>
    <cellStyle name="Normal 4 2 4 2 3 2 2 2 4" xfId="25067" xr:uid="{19926E0E-EF32-4730-852A-3BC07795D5AE}"/>
    <cellStyle name="Normal 4 2 4 2 3 2 2 3" xfId="12403" xr:uid="{9771B552-0B8A-4CCA-8A95-07182D570028}"/>
    <cellStyle name="Normal 4 2 4 2 3 2 2 3 2" xfId="48745" xr:uid="{6A085521-3E1B-4C66-AB9F-58D783DFAE9C}"/>
    <cellStyle name="Normal 4 2 4 2 3 2 2 3 3" xfId="30149" xr:uid="{33C8ED71-140B-4749-8A31-ABF92F6A14AA}"/>
    <cellStyle name="Normal 4 2 4 2 3 2 2 4" xfId="39448" xr:uid="{6EF69D7A-9ACD-4938-86D1-82F7B74CFFD6}"/>
    <cellStyle name="Normal 4 2 4 2 3 2 2 5" xfId="20850" xr:uid="{7505330E-10A4-4FA4-BFF8-DE3A06F56252}"/>
    <cellStyle name="Normal 4 2 4 2 3 2 3" xfId="5149" xr:uid="{00000000-0005-0000-0000-00005A130000}"/>
    <cellStyle name="Normal 4 2 4 2 3 2 3 2" xfId="14475" xr:uid="{81E6D8D9-DF03-4BF4-9D41-51EF8047E1B5}"/>
    <cellStyle name="Normal 4 2 4 2 3 2 3 2 2" xfId="50817" xr:uid="{1BA2948B-8955-434F-8CFB-F72F588346C6}"/>
    <cellStyle name="Normal 4 2 4 2 3 2 3 2 3" xfId="32221" xr:uid="{F33ECDBA-1404-4638-9650-FA6D40C4108D}"/>
    <cellStyle name="Normal 4 2 4 2 3 2 3 3" xfId="41520" xr:uid="{687F1398-9243-4829-8698-096570789046}"/>
    <cellStyle name="Normal 4 2 4 2 3 2 3 4" xfId="22922" xr:uid="{345DF1B6-F5F0-4F96-95C9-65CA79F687A4}"/>
    <cellStyle name="Normal 4 2 4 2 3 2 4" xfId="9452" xr:uid="{58F46659-8F00-4705-8554-54AEBE9B8A77}"/>
    <cellStyle name="Normal 4 2 4 2 3 2 4 2" xfId="36513" xr:uid="{22B2D080-7A73-4EDB-9EFE-5611DFE5DB5B}"/>
    <cellStyle name="Normal 4 2 4 2 3 2 4 2 2" xfId="55107" xr:uid="{C8EA3F18-50C0-460E-A148-EDC312E4B533}"/>
    <cellStyle name="Normal 4 2 4 2 3 2 4 3" xfId="45810" xr:uid="{5CF6716F-02D1-4E55-9197-0D41F5E6D416}"/>
    <cellStyle name="Normal 4 2 4 2 3 2 4 4" xfId="27214" xr:uid="{DDF22803-5CB2-44D1-A1BD-763D08805DB0}"/>
    <cellStyle name="Normal 4 2 4 2 3 2 5" xfId="10258" xr:uid="{12B9D3BD-763C-4828-85AC-ACDB6E0F0C6E}"/>
    <cellStyle name="Normal 4 2 4 2 3 2 5 2" xfId="46600" xr:uid="{7B8B77FB-C380-4B4D-9A7A-0518740468F3}"/>
    <cellStyle name="Normal 4 2 4 2 3 2 5 3" xfId="28004" xr:uid="{DDBD1403-81DD-468F-94C5-02AF293D4B7D}"/>
    <cellStyle name="Normal 4 2 4 2 3 2 6" xfId="37303" xr:uid="{C369BEB9-C750-4625-BFD9-3A29BDC6E105}"/>
    <cellStyle name="Normal 4 2 4 2 3 2 7" xfId="18705" xr:uid="{A2A4C283-FFDC-4546-9867-E2B73E7F13E3}"/>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17033" xr:uid="{4270E165-BCB6-4509-A639-7C5D0D80E0A1}"/>
    <cellStyle name="Normal 4 2 4 2 3 3 2 2 2 2" xfId="53375" xr:uid="{A148A243-8A54-4C72-B85D-4F8F95381B15}"/>
    <cellStyle name="Normal 4 2 4 2 3 3 2 2 2 3" xfId="34779" xr:uid="{781B3E01-C9C5-4233-87A2-2A75368DA036}"/>
    <cellStyle name="Normal 4 2 4 2 3 3 2 2 3" xfId="44078" xr:uid="{B4E1095E-722D-47C2-B992-2F81EB3BC9DC}"/>
    <cellStyle name="Normal 4 2 4 2 3 3 2 2 4" xfId="25480" xr:uid="{7B28876A-134F-41E0-8ABE-08BA455DDF1D}"/>
    <cellStyle name="Normal 4 2 4 2 3 3 2 3" xfId="12816" xr:uid="{06C822BA-9D22-49AE-A964-33963207F104}"/>
    <cellStyle name="Normal 4 2 4 2 3 3 2 3 2" xfId="49158" xr:uid="{8167DA7A-4D9A-4057-9DD5-04DFFF0C1358}"/>
    <cellStyle name="Normal 4 2 4 2 3 3 2 3 3" xfId="30562" xr:uid="{75836811-60CE-4AA9-8301-F4D0038E0B6E}"/>
    <cellStyle name="Normal 4 2 4 2 3 3 2 4" xfId="39861" xr:uid="{935B3477-EC0A-4BDF-B8B9-F3110FAAE9FC}"/>
    <cellStyle name="Normal 4 2 4 2 3 3 2 5" xfId="21263" xr:uid="{83CDD378-051B-4DDE-9D94-F48A8BA938C3}"/>
    <cellStyle name="Normal 4 2 4 2 3 3 3" xfId="5562" xr:uid="{00000000-0005-0000-0000-00005E130000}"/>
    <cellStyle name="Normal 4 2 4 2 3 3 3 2" xfId="14888" xr:uid="{709E0630-34CF-4DFD-A5EE-3AFE3EEDB724}"/>
    <cellStyle name="Normal 4 2 4 2 3 3 3 2 2" xfId="51230" xr:uid="{B0135EB1-7ECF-4A1D-9EEB-BBAE439E82CF}"/>
    <cellStyle name="Normal 4 2 4 2 3 3 3 2 3" xfId="32634" xr:uid="{483945C3-B9C1-41B3-A1F0-DB09B4B86F49}"/>
    <cellStyle name="Normal 4 2 4 2 3 3 3 3" xfId="41933" xr:uid="{C3613383-D78D-4999-B659-343680C6411A}"/>
    <cellStyle name="Normal 4 2 4 2 3 3 3 4" xfId="23335" xr:uid="{A57AC2A1-6440-4D4F-B617-0D7781F3A458}"/>
    <cellStyle name="Normal 4 2 4 2 3 3 4" xfId="10671" xr:uid="{24DEFE25-DD4C-476C-A88B-A12ED9B77104}"/>
    <cellStyle name="Normal 4 2 4 2 3 3 4 2" xfId="47013" xr:uid="{79BF892D-170A-40C6-AFC7-658E76EDA2DB}"/>
    <cellStyle name="Normal 4 2 4 2 3 3 4 3" xfId="28417" xr:uid="{A1457DAF-59EC-4F9D-A8F1-1F4CA39B5A55}"/>
    <cellStyle name="Normal 4 2 4 2 3 3 5" xfId="37716" xr:uid="{C1621C41-A1AA-471D-B7C7-89FD07A0AC2F}"/>
    <cellStyle name="Normal 4 2 4 2 3 3 6" xfId="19118" xr:uid="{4552C134-3BED-49D7-87B0-80F382D5F08A}"/>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17446" xr:uid="{2E7A0865-09AE-4CF7-9F28-A046E16F98CA}"/>
    <cellStyle name="Normal 4 2 4 2 3 4 2 2 2 2" xfId="53788" xr:uid="{13F7E313-7B64-4474-AFD8-E82F36B26AB4}"/>
    <cellStyle name="Normal 4 2 4 2 3 4 2 2 2 3" xfId="35192" xr:uid="{2847BBAC-92E5-4AE4-9BED-8E4D0815B559}"/>
    <cellStyle name="Normal 4 2 4 2 3 4 2 2 3" xfId="44491" xr:uid="{3E1FD78E-EB85-4BFE-9A39-214895064100}"/>
    <cellStyle name="Normal 4 2 4 2 3 4 2 2 4" xfId="25893" xr:uid="{7DB8FCCD-B027-46D5-9592-BDE92665E369}"/>
    <cellStyle name="Normal 4 2 4 2 3 4 2 3" xfId="13229" xr:uid="{A6F598B7-FDD5-4175-85D8-403B52039CC5}"/>
    <cellStyle name="Normal 4 2 4 2 3 4 2 3 2" xfId="49571" xr:uid="{B9A4ACA7-3BE3-4F7E-A84C-84030082CB05}"/>
    <cellStyle name="Normal 4 2 4 2 3 4 2 3 3" xfId="30975" xr:uid="{4BB1B46E-D423-41CB-8130-0DD69DA3D15A}"/>
    <cellStyle name="Normal 4 2 4 2 3 4 2 4" xfId="40274" xr:uid="{BB24C82C-3860-42CB-9555-9A220EE4237E}"/>
    <cellStyle name="Normal 4 2 4 2 3 4 2 5" xfId="21676" xr:uid="{D9C06749-6B25-40B7-AA6B-A4086A2E130F}"/>
    <cellStyle name="Normal 4 2 4 2 3 4 3" xfId="5975" xr:uid="{00000000-0005-0000-0000-000062130000}"/>
    <cellStyle name="Normal 4 2 4 2 3 4 3 2" xfId="15301" xr:uid="{17EB6283-F9D0-4E7B-A1A1-0F9143B13FB1}"/>
    <cellStyle name="Normal 4 2 4 2 3 4 3 2 2" xfId="51643" xr:uid="{D0D87274-C6A0-47BE-8970-160D961261AE}"/>
    <cellStyle name="Normal 4 2 4 2 3 4 3 2 3" xfId="33047" xr:uid="{815F788D-9E7E-4000-A801-755FBFACEEFB}"/>
    <cellStyle name="Normal 4 2 4 2 3 4 3 3" xfId="42346" xr:uid="{5610758F-4A81-41F4-B6A7-46A27D63E266}"/>
    <cellStyle name="Normal 4 2 4 2 3 4 3 4" xfId="23748" xr:uid="{79E48EB2-4EA2-4CD7-BA2F-AFCD72A9B17F}"/>
    <cellStyle name="Normal 4 2 4 2 3 4 4" xfId="11084" xr:uid="{9C95FC60-4461-4FE2-A4CD-E90199202292}"/>
    <cellStyle name="Normal 4 2 4 2 3 4 4 2" xfId="47426" xr:uid="{3FFFCDD7-1A5B-4099-8CCD-6015BD2FA57D}"/>
    <cellStyle name="Normal 4 2 4 2 3 4 4 3" xfId="28830" xr:uid="{70B21FAE-179D-4B9F-987B-EDEC219A7101}"/>
    <cellStyle name="Normal 4 2 4 2 3 4 5" xfId="38129" xr:uid="{6AFA7333-080B-434E-8555-28B936E0C495}"/>
    <cellStyle name="Normal 4 2 4 2 3 4 6" xfId="19531" xr:uid="{968F28CA-541E-4C1E-A55D-0209BD227F4D}"/>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17859" xr:uid="{F26DE073-8CB5-4EA9-BC68-87517C45A09D}"/>
    <cellStyle name="Normal 4 2 4 2 3 5 2 2 2 2" xfId="54201" xr:uid="{18599654-948A-4970-BB75-9DCAFBE2E6B9}"/>
    <cellStyle name="Normal 4 2 4 2 3 5 2 2 2 3" xfId="35605" xr:uid="{0C724D3F-20C9-4278-B66F-78B008C8AE75}"/>
    <cellStyle name="Normal 4 2 4 2 3 5 2 2 3" xfId="44904" xr:uid="{3CB303BE-64CE-4F48-AA51-B807A4C81049}"/>
    <cellStyle name="Normal 4 2 4 2 3 5 2 2 4" xfId="26306" xr:uid="{6CBF4219-06AB-43C9-A612-460BCFEEACA1}"/>
    <cellStyle name="Normal 4 2 4 2 3 5 2 3" xfId="13642" xr:uid="{AFCFEDA6-296F-4592-99C0-494D78DB69D4}"/>
    <cellStyle name="Normal 4 2 4 2 3 5 2 3 2" xfId="49984" xr:uid="{DA46B7C3-C22E-4592-8793-7BA27FF5D76B}"/>
    <cellStyle name="Normal 4 2 4 2 3 5 2 3 3" xfId="31388" xr:uid="{A08512AE-09B7-4886-9418-E01AC2FFED1F}"/>
    <cellStyle name="Normal 4 2 4 2 3 5 2 4" xfId="40687" xr:uid="{F67D6674-8B2F-498D-BFDD-C5F98583E0CC}"/>
    <cellStyle name="Normal 4 2 4 2 3 5 2 5" xfId="22089" xr:uid="{CB03F85C-956B-4169-BDBE-33D88683BE6B}"/>
    <cellStyle name="Normal 4 2 4 2 3 5 3" xfId="6388" xr:uid="{00000000-0005-0000-0000-000066130000}"/>
    <cellStyle name="Normal 4 2 4 2 3 5 3 2" xfId="15714" xr:uid="{9EF5A1EA-10C7-47A3-91DA-9E22E4897BA1}"/>
    <cellStyle name="Normal 4 2 4 2 3 5 3 2 2" xfId="52056" xr:uid="{E3E3DEE0-0B6A-41DE-9EEC-C5CC0F2D2D8C}"/>
    <cellStyle name="Normal 4 2 4 2 3 5 3 2 3" xfId="33460" xr:uid="{C9D6934A-6B3E-4965-8E27-4351F7B3CA8D}"/>
    <cellStyle name="Normal 4 2 4 2 3 5 3 3" xfId="42759" xr:uid="{D54728E9-EC22-4E44-9395-0C3766BEF3F2}"/>
    <cellStyle name="Normal 4 2 4 2 3 5 3 4" xfId="24161" xr:uid="{F6A74E56-CDBE-42B2-AB0C-3E71B8358313}"/>
    <cellStyle name="Normal 4 2 4 2 3 5 4" xfId="11497" xr:uid="{6D07896C-97B6-4205-B673-9C1656EB2B07}"/>
    <cellStyle name="Normal 4 2 4 2 3 5 4 2" xfId="47839" xr:uid="{63948527-5263-4C3F-BF65-1E2613D1501A}"/>
    <cellStyle name="Normal 4 2 4 2 3 5 4 3" xfId="29243" xr:uid="{DC771F84-9C1F-49F3-B9E6-591513C3D000}"/>
    <cellStyle name="Normal 4 2 4 2 3 5 5" xfId="38542" xr:uid="{B4447EB7-EDB1-4E2C-BE59-D49944E860EC}"/>
    <cellStyle name="Normal 4 2 4 2 3 5 6" xfId="19944" xr:uid="{967864B4-EF8B-4C7D-9B07-03ED69FB2E5E}"/>
    <cellStyle name="Normal 4 2 4 2 3 6" xfId="2518" xr:uid="{00000000-0005-0000-0000-000067130000}"/>
    <cellStyle name="Normal 4 2 4 2 3 6 2" xfId="6801" xr:uid="{00000000-0005-0000-0000-000068130000}"/>
    <cellStyle name="Normal 4 2 4 2 3 6 2 2" xfId="16127" xr:uid="{B8886C63-78CA-4C6D-BAF5-84649750AEB3}"/>
    <cellStyle name="Normal 4 2 4 2 3 6 2 2 2" xfId="52469" xr:uid="{1B5948B4-F8AF-41CA-8AE6-13169D59EC2E}"/>
    <cellStyle name="Normal 4 2 4 2 3 6 2 2 3" xfId="33873" xr:uid="{9D4F137D-169E-4A55-998C-A42E889EB41A}"/>
    <cellStyle name="Normal 4 2 4 2 3 6 2 3" xfId="43172" xr:uid="{E2BA504A-4EDE-438D-B6DA-A44E172CA6DA}"/>
    <cellStyle name="Normal 4 2 4 2 3 6 2 4" xfId="24574" xr:uid="{FA291CF4-97F5-49A3-B879-0AE5DE229740}"/>
    <cellStyle name="Normal 4 2 4 2 3 6 3" xfId="11910" xr:uid="{AB26DE39-B713-4475-BB25-3E871240E79B}"/>
    <cellStyle name="Normal 4 2 4 2 3 6 3 2" xfId="48252" xr:uid="{6CDA08A3-DF9F-4543-B9C4-ABBDC8DF8316}"/>
    <cellStyle name="Normal 4 2 4 2 3 6 3 3" xfId="29656" xr:uid="{16535FFE-CBD0-4619-848C-9417AF1616DF}"/>
    <cellStyle name="Normal 4 2 4 2 3 6 4" xfId="38955" xr:uid="{6EF53E42-6310-43B7-A39E-77148EA7A46A}"/>
    <cellStyle name="Normal 4 2 4 2 3 6 5" xfId="20357" xr:uid="{8B397549-6E9D-47BF-B2CA-FD5ED979713C}"/>
    <cellStyle name="Normal 4 2 4 2 3 7" xfId="4736" xr:uid="{00000000-0005-0000-0000-000069130000}"/>
    <cellStyle name="Normal 4 2 4 2 3 7 2" xfId="14062" xr:uid="{30A7D59B-448F-40AA-82D3-630E787DE518}"/>
    <cellStyle name="Normal 4 2 4 2 3 7 2 2" xfId="50404" xr:uid="{54CB35CE-F208-4359-BC21-751AE0994795}"/>
    <cellStyle name="Normal 4 2 4 2 3 7 2 3" xfId="31808" xr:uid="{B324A728-4654-40BB-8255-060CF080674B}"/>
    <cellStyle name="Normal 4 2 4 2 3 7 3" xfId="41107" xr:uid="{EC6517D4-8D8E-4C1E-A962-DFFDF7699E44}"/>
    <cellStyle name="Normal 4 2 4 2 3 7 4" xfId="22509" xr:uid="{18EAC794-BCF8-4C85-B4B6-F03EDFBDBC6B}"/>
    <cellStyle name="Normal 4 2 4 2 3 8" xfId="9027" xr:uid="{DA430019-E492-48BB-ACD5-5BE853C50FBC}"/>
    <cellStyle name="Normal 4 2 4 2 3 8 2" xfId="36097" xr:uid="{95505C86-D3BC-41C4-B75D-B203EF339093}"/>
    <cellStyle name="Normal 4 2 4 2 3 8 2 2" xfId="54692" xr:uid="{B72108E2-112C-4673-9284-E91FB2A89B85}"/>
    <cellStyle name="Normal 4 2 4 2 3 8 3" xfId="45395" xr:uid="{56CD7A8F-74AA-4F9A-A7AB-2D08867AF08D}"/>
    <cellStyle name="Normal 4 2 4 2 3 8 4" xfId="26798" xr:uid="{783B23E9-E9FC-4A0B-96F1-A0683F4F4C7B}"/>
    <cellStyle name="Normal 4 2 4 2 3 9" xfId="9845" xr:uid="{CC246344-14A9-4FD2-B700-860C1ED26C93}"/>
    <cellStyle name="Normal 4 2 4 2 3 9 2" xfId="46187" xr:uid="{9D600EB5-9BB4-4CC7-9408-767350030791}"/>
    <cellStyle name="Normal 4 2 4 2 3 9 3" xfId="27591" xr:uid="{8F6F4879-031C-429B-9746-8564567EB01B}"/>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16617" xr:uid="{68084836-AF2A-4524-BE22-0EA60BE26C0F}"/>
    <cellStyle name="Normal 4 2 4 2 4 2 2 2 2" xfId="52959" xr:uid="{0E8031AD-CADA-4C91-912D-D97685633342}"/>
    <cellStyle name="Normal 4 2 4 2 4 2 2 2 3" xfId="34363" xr:uid="{AEEB6B38-EAE9-4C44-BD96-9630B5A2A6F6}"/>
    <cellStyle name="Normal 4 2 4 2 4 2 2 3" xfId="43662" xr:uid="{51E003B5-463F-492A-B13F-EFF66E50D443}"/>
    <cellStyle name="Normal 4 2 4 2 4 2 2 4" xfId="25064" xr:uid="{39A944DC-14CA-4BD9-8D4D-066FD36D3759}"/>
    <cellStyle name="Normal 4 2 4 2 4 2 3" xfId="12400" xr:uid="{DD7110E6-2F02-4E5F-AF42-572A68DDC24E}"/>
    <cellStyle name="Normal 4 2 4 2 4 2 3 2" xfId="48742" xr:uid="{6F63B5F7-3A90-4AF7-9D24-E06BB4F4E353}"/>
    <cellStyle name="Normal 4 2 4 2 4 2 3 3" xfId="30146" xr:uid="{8B8D33BA-EEDD-422C-A1D5-E8F8E5CDF81E}"/>
    <cellStyle name="Normal 4 2 4 2 4 2 4" xfId="39445" xr:uid="{7AED8712-4566-4A73-9E3B-FB38A3BE5804}"/>
    <cellStyle name="Normal 4 2 4 2 4 2 5" xfId="20847" xr:uid="{BD1A33AD-3DAF-4093-AF4E-7B80642A8EE0}"/>
    <cellStyle name="Normal 4 2 4 2 4 3" xfId="5146" xr:uid="{00000000-0005-0000-0000-00006D130000}"/>
    <cellStyle name="Normal 4 2 4 2 4 3 2" xfId="14472" xr:uid="{4EEC9DDD-F395-418C-BDBF-54CC6F2A97BC}"/>
    <cellStyle name="Normal 4 2 4 2 4 3 2 2" xfId="50814" xr:uid="{B34D94F7-A0ED-48CC-B84F-4EA274EF3F49}"/>
    <cellStyle name="Normal 4 2 4 2 4 3 2 3" xfId="32218" xr:uid="{533C1AC3-2108-4865-8349-1830EC5547A6}"/>
    <cellStyle name="Normal 4 2 4 2 4 3 3" xfId="41517" xr:uid="{189866DF-AD1E-4DE4-B3BB-A1F72CE6B7DD}"/>
    <cellStyle name="Normal 4 2 4 2 4 3 4" xfId="22919" xr:uid="{EED1F4C7-016F-473D-8EAD-AA2273BDC322}"/>
    <cellStyle name="Normal 4 2 4 2 4 4" xfId="9245" xr:uid="{A0383DD8-843E-4601-922A-5CDD979D0589}"/>
    <cellStyle name="Normal 4 2 4 2 4 4 2" xfId="36306" xr:uid="{2574084C-787A-4601-A3CB-428110391F21}"/>
    <cellStyle name="Normal 4 2 4 2 4 4 2 2" xfId="54900" xr:uid="{B9F2B3B6-9DF0-4D76-9636-0258F16AB9FE}"/>
    <cellStyle name="Normal 4 2 4 2 4 4 3" xfId="45603" xr:uid="{C01EABFC-190D-4261-AC3B-1DFFF14E9270}"/>
    <cellStyle name="Normal 4 2 4 2 4 4 4" xfId="27007" xr:uid="{D89B51FE-DDDA-442B-8A3B-E618D646A521}"/>
    <cellStyle name="Normal 4 2 4 2 4 5" xfId="10255" xr:uid="{58089627-53CE-404C-9F78-DFF197DC0C75}"/>
    <cellStyle name="Normal 4 2 4 2 4 5 2" xfId="46597" xr:uid="{F5B71CE0-28C1-464A-92FA-3ADAD3BA0761}"/>
    <cellStyle name="Normal 4 2 4 2 4 5 3" xfId="28001" xr:uid="{927F5769-875A-46B1-BE39-094023582A1A}"/>
    <cellStyle name="Normal 4 2 4 2 4 6" xfId="37300" xr:uid="{15EC92E7-4D7F-491A-9C35-E37051635E66}"/>
    <cellStyle name="Normal 4 2 4 2 4 7" xfId="18702" xr:uid="{6E9161D9-10C7-4CD4-8B7D-01FEE7FB833E}"/>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17030" xr:uid="{1D63368F-660E-46CC-8378-15227F661707}"/>
    <cellStyle name="Normal 4 2 4 2 5 2 2 2 2" xfId="53372" xr:uid="{1F233A61-A83D-471A-8018-47665CC559F3}"/>
    <cellStyle name="Normal 4 2 4 2 5 2 2 2 3" xfId="34776" xr:uid="{51C00F6F-E9CC-47D3-9B9D-B96478FB5E42}"/>
    <cellStyle name="Normal 4 2 4 2 5 2 2 3" xfId="44075" xr:uid="{861506DF-3E73-4244-944E-FB108C103766}"/>
    <cellStyle name="Normal 4 2 4 2 5 2 2 4" xfId="25477" xr:uid="{8A1A1F2E-49E1-4A81-8E7D-CC3110D1B810}"/>
    <cellStyle name="Normal 4 2 4 2 5 2 3" xfId="12813" xr:uid="{D2C5B13B-E100-4947-B14C-42949180282E}"/>
    <cellStyle name="Normal 4 2 4 2 5 2 3 2" xfId="49155" xr:uid="{03B124A0-3B39-4F36-9121-FD1CEA426B6C}"/>
    <cellStyle name="Normal 4 2 4 2 5 2 3 3" xfId="30559" xr:uid="{49311C4E-DA8B-47C2-BA69-A84159DFF96A}"/>
    <cellStyle name="Normal 4 2 4 2 5 2 4" xfId="39858" xr:uid="{FC3E8641-6BA7-4D69-908F-70E8D5440F16}"/>
    <cellStyle name="Normal 4 2 4 2 5 2 5" xfId="21260" xr:uid="{B1B271C4-3D80-41DF-BB54-47BCCCDEA0F0}"/>
    <cellStyle name="Normal 4 2 4 2 5 3" xfId="5559" xr:uid="{00000000-0005-0000-0000-000071130000}"/>
    <cellStyle name="Normal 4 2 4 2 5 3 2" xfId="14885" xr:uid="{27CDCA9B-8EBC-4229-B6D9-D523AF1D04FD}"/>
    <cellStyle name="Normal 4 2 4 2 5 3 2 2" xfId="51227" xr:uid="{B8844CD0-231F-4BB6-B96E-7F6ED2599351}"/>
    <cellStyle name="Normal 4 2 4 2 5 3 2 3" xfId="32631" xr:uid="{21D4AC8A-4DD6-412E-9C78-DF60D456A648}"/>
    <cellStyle name="Normal 4 2 4 2 5 3 3" xfId="41930" xr:uid="{50A8A34C-417B-4B42-871F-5C1C312C21CC}"/>
    <cellStyle name="Normal 4 2 4 2 5 3 4" xfId="23332" xr:uid="{6CDE36D1-B6AA-4649-A232-7A149CF1F137}"/>
    <cellStyle name="Normal 4 2 4 2 5 4" xfId="10668" xr:uid="{441C4093-F722-4BD2-B6FB-9F4106206287}"/>
    <cellStyle name="Normal 4 2 4 2 5 4 2" xfId="47010" xr:uid="{930543D8-400B-4025-94B9-B6F5FA166C9E}"/>
    <cellStyle name="Normal 4 2 4 2 5 4 3" xfId="28414" xr:uid="{481F8576-4F04-4FEE-8C40-E376CA03ED95}"/>
    <cellStyle name="Normal 4 2 4 2 5 5" xfId="37713" xr:uid="{25FCD64F-347D-4A6F-8A6A-70C9F40B9D34}"/>
    <cellStyle name="Normal 4 2 4 2 5 6" xfId="19115" xr:uid="{2FF343E9-0DD8-459D-BDFD-6F63D3A3AC60}"/>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17443" xr:uid="{C8C93C7B-7797-4718-A09F-9A9BCE05F7A2}"/>
    <cellStyle name="Normal 4 2 4 2 6 2 2 2 2" xfId="53785" xr:uid="{3A3C58AA-68BB-4FB3-86C9-627E9C3A5EC9}"/>
    <cellStyle name="Normal 4 2 4 2 6 2 2 2 3" xfId="35189" xr:uid="{86D67209-A617-4F29-A01C-767594690599}"/>
    <cellStyle name="Normal 4 2 4 2 6 2 2 3" xfId="44488" xr:uid="{F2C5B639-01D8-4514-A646-277783DE6CD3}"/>
    <cellStyle name="Normal 4 2 4 2 6 2 2 4" xfId="25890" xr:uid="{373C43D2-A61D-44E9-A387-4E3D12A8C5BB}"/>
    <cellStyle name="Normal 4 2 4 2 6 2 3" xfId="13226" xr:uid="{4524536D-F563-490F-9FD6-32743A570AB9}"/>
    <cellStyle name="Normal 4 2 4 2 6 2 3 2" xfId="49568" xr:uid="{552AE622-BBE0-42CB-B34F-132813345E7D}"/>
    <cellStyle name="Normal 4 2 4 2 6 2 3 3" xfId="30972" xr:uid="{BD433515-B38B-43AB-B41A-C1999A21762D}"/>
    <cellStyle name="Normal 4 2 4 2 6 2 4" xfId="40271" xr:uid="{77B6880F-6C6A-4774-8175-B128684EBD14}"/>
    <cellStyle name="Normal 4 2 4 2 6 2 5" xfId="21673" xr:uid="{C4B6F0C9-57DD-4334-8872-A68D72AB473E}"/>
    <cellStyle name="Normal 4 2 4 2 6 3" xfId="5972" xr:uid="{00000000-0005-0000-0000-000075130000}"/>
    <cellStyle name="Normal 4 2 4 2 6 3 2" xfId="15298" xr:uid="{2B80B795-183E-41B6-9616-8A309BCE1C96}"/>
    <cellStyle name="Normal 4 2 4 2 6 3 2 2" xfId="51640" xr:uid="{DC17F5D3-EB19-44BD-9916-E4B74FD938E5}"/>
    <cellStyle name="Normal 4 2 4 2 6 3 2 3" xfId="33044" xr:uid="{1E42A5B7-ADFE-4C45-8642-5E77C259682E}"/>
    <cellStyle name="Normal 4 2 4 2 6 3 3" xfId="42343" xr:uid="{C13997D2-A778-44E9-B013-788EDD7B261E}"/>
    <cellStyle name="Normal 4 2 4 2 6 3 4" xfId="23745" xr:uid="{20C106ED-A85B-48C5-AECE-630E5A7BE1F4}"/>
    <cellStyle name="Normal 4 2 4 2 6 4" xfId="11081" xr:uid="{4F95F7CC-064E-4405-9FCC-29AA8441B6BC}"/>
    <cellStyle name="Normal 4 2 4 2 6 4 2" xfId="47423" xr:uid="{A89DC868-6DA0-4AD5-974B-12D1B7D277DA}"/>
    <cellStyle name="Normal 4 2 4 2 6 4 3" xfId="28827" xr:uid="{0B2CDA61-BEF9-452D-AF02-E08B444AE397}"/>
    <cellStyle name="Normal 4 2 4 2 6 5" xfId="38126" xr:uid="{636DEB3A-71A6-4F3D-B4A6-4692428E2C03}"/>
    <cellStyle name="Normal 4 2 4 2 6 6" xfId="19528" xr:uid="{99CA634A-8FD2-4260-A902-A22C6F2302E8}"/>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17856" xr:uid="{7428B0C7-1CD6-4BD6-B465-48777630B4D5}"/>
    <cellStyle name="Normal 4 2 4 2 7 2 2 2 2" xfId="54198" xr:uid="{40107F97-5F77-4E42-B397-1CD699989863}"/>
    <cellStyle name="Normal 4 2 4 2 7 2 2 2 3" xfId="35602" xr:uid="{BBDCCC37-5DFC-42D6-A667-7E43DEB18C63}"/>
    <cellStyle name="Normal 4 2 4 2 7 2 2 3" xfId="44901" xr:uid="{E4BA42DE-2343-40FF-A5FD-B862D401F0F4}"/>
    <cellStyle name="Normal 4 2 4 2 7 2 2 4" xfId="26303" xr:uid="{4DD61AB4-E8A6-4D5E-B4F5-431B36C1570D}"/>
    <cellStyle name="Normal 4 2 4 2 7 2 3" xfId="13639" xr:uid="{48F4BB8E-EF3B-4B17-BD8D-D766C06578D1}"/>
    <cellStyle name="Normal 4 2 4 2 7 2 3 2" xfId="49981" xr:uid="{D341A752-0682-4921-BBD4-4F241CD166DA}"/>
    <cellStyle name="Normal 4 2 4 2 7 2 3 3" xfId="31385" xr:uid="{165D583C-EAB9-4D80-885E-69C321E5A10C}"/>
    <cellStyle name="Normal 4 2 4 2 7 2 4" xfId="40684" xr:uid="{0BB5E4C9-0CDF-4DBC-A8D9-3E38A0172E8E}"/>
    <cellStyle name="Normal 4 2 4 2 7 2 5" xfId="22086" xr:uid="{7F573E9D-F597-4A6B-888A-C8701C26360F}"/>
    <cellStyle name="Normal 4 2 4 2 7 3" xfId="6385" xr:uid="{00000000-0005-0000-0000-000079130000}"/>
    <cellStyle name="Normal 4 2 4 2 7 3 2" xfId="15711" xr:uid="{D86FD09E-6B17-412B-A4DF-A8B00125378D}"/>
    <cellStyle name="Normal 4 2 4 2 7 3 2 2" xfId="52053" xr:uid="{3D1AFCEB-3FB9-4A42-9EF1-4E154D1D00D9}"/>
    <cellStyle name="Normal 4 2 4 2 7 3 2 3" xfId="33457" xr:uid="{BC0C0EF1-0FAA-4747-848A-2BC89FA29745}"/>
    <cellStyle name="Normal 4 2 4 2 7 3 3" xfId="42756" xr:uid="{F6EBD169-519D-4747-BE07-2C80B041D0E7}"/>
    <cellStyle name="Normal 4 2 4 2 7 3 4" xfId="24158" xr:uid="{DB1AF990-604C-496D-87B5-8A748B1E9A22}"/>
    <cellStyle name="Normal 4 2 4 2 7 4" xfId="11494" xr:uid="{1889DC3E-B9FB-4AC1-B4BC-B9F3C5F7DA29}"/>
    <cellStyle name="Normal 4 2 4 2 7 4 2" xfId="47836" xr:uid="{FFADC0A9-BDE1-476F-954F-51E72C3909E7}"/>
    <cellStyle name="Normal 4 2 4 2 7 4 3" xfId="29240" xr:uid="{674D0C03-49FC-4209-9B8D-C94484669B88}"/>
    <cellStyle name="Normal 4 2 4 2 7 5" xfId="38539" xr:uid="{D3223DEE-6B43-4AF6-A4CA-E104315EE39E}"/>
    <cellStyle name="Normal 4 2 4 2 7 6" xfId="19941" xr:uid="{B62C7D0B-3758-4A8E-871B-86C00F234652}"/>
    <cellStyle name="Normal 4 2 4 2 8" xfId="2515" xr:uid="{00000000-0005-0000-0000-00007A130000}"/>
    <cellStyle name="Normal 4 2 4 2 8 2" xfId="6798" xr:uid="{00000000-0005-0000-0000-00007B130000}"/>
    <cellStyle name="Normal 4 2 4 2 8 2 2" xfId="16124" xr:uid="{5ED2E2CD-23DC-44CD-B167-0693464FF382}"/>
    <cellStyle name="Normal 4 2 4 2 8 2 2 2" xfId="52466" xr:uid="{C8225BA0-FDB9-47FB-8F69-0C30B0311308}"/>
    <cellStyle name="Normal 4 2 4 2 8 2 2 3" xfId="33870" xr:uid="{51A233B7-98E8-454D-A30F-03173B26638C}"/>
    <cellStyle name="Normal 4 2 4 2 8 2 3" xfId="43169" xr:uid="{10676A8D-504B-4EA2-B5D5-15E276A8F41C}"/>
    <cellStyle name="Normal 4 2 4 2 8 2 4" xfId="24571" xr:uid="{8F67CBEA-2A2D-4057-B1E9-F61A57865FFB}"/>
    <cellStyle name="Normal 4 2 4 2 8 3" xfId="11907" xr:uid="{79F8ACF4-AC2D-450A-A1CB-5E111653B19A}"/>
    <cellStyle name="Normal 4 2 4 2 8 3 2" xfId="48249" xr:uid="{6FAEFB12-2653-4EA1-9CFB-18D81D975FEF}"/>
    <cellStyle name="Normal 4 2 4 2 8 3 3" xfId="29653" xr:uid="{1011D001-65C8-44AC-9752-CC175DBC97F7}"/>
    <cellStyle name="Normal 4 2 4 2 8 4" xfId="38952" xr:uid="{38EC351D-A16E-4384-BC29-D7558B6A7B83}"/>
    <cellStyle name="Normal 4 2 4 2 8 5" xfId="20354" xr:uid="{F299A269-7A90-4B26-84DF-E4D531DE177B}"/>
    <cellStyle name="Normal 4 2 4 2 9" xfId="4733" xr:uid="{00000000-0005-0000-0000-00007C130000}"/>
    <cellStyle name="Normal 4 2 4 2 9 2" xfId="14059" xr:uid="{0B30944F-E97B-41DF-9885-D1E075A5B718}"/>
    <cellStyle name="Normal 4 2 4 2 9 2 2" xfId="50401" xr:uid="{029A82CB-7643-41A8-A2CE-27958D88D611}"/>
    <cellStyle name="Normal 4 2 4 2 9 2 3" xfId="31805" xr:uid="{63A2FEEF-C9EC-44CC-B24B-1DD3A490949A}"/>
    <cellStyle name="Normal 4 2 4 2 9 3" xfId="41104" xr:uid="{C9258A9D-0FD5-43EC-AE6E-B7994313B9E4}"/>
    <cellStyle name="Normal 4 2 4 2 9 4" xfId="22506" xr:uid="{00A429F2-BFA4-4F4B-BB5C-669C7F195B78}"/>
    <cellStyle name="Normal 4 2 4 3" xfId="360" xr:uid="{00000000-0005-0000-0000-00007D130000}"/>
    <cellStyle name="Normal 4 2 4 3 10" xfId="9846" xr:uid="{885E0D74-EF89-4CDE-805D-75A5E0710116}"/>
    <cellStyle name="Normal 4 2 4 3 10 2" xfId="46188" xr:uid="{092ACE20-209D-482F-8072-26FA7AE96D50}"/>
    <cellStyle name="Normal 4 2 4 3 10 3" xfId="27592" xr:uid="{2CBB92BF-D765-40D5-87E2-57FF310B9ED6}"/>
    <cellStyle name="Normal 4 2 4 3 11" xfId="36891" xr:uid="{DBC87BE6-CBA1-46D7-A7E1-12878194FA40}"/>
    <cellStyle name="Normal 4 2 4 3 12" xfId="18293" xr:uid="{EC359936-02B4-4606-B485-3A34CCD1A83E}"/>
    <cellStyle name="Normal 4 2 4 3 2" xfId="361" xr:uid="{00000000-0005-0000-0000-00007E130000}"/>
    <cellStyle name="Normal 4 2 4 3 2 10" xfId="36892" xr:uid="{F4BCB8DD-FD5D-4E05-8D1E-A196A759F0D6}"/>
    <cellStyle name="Normal 4 2 4 3 2 11" xfId="18294" xr:uid="{9EC464C0-DF97-4CBA-8CEA-5EA00DAFC50E}"/>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16622" xr:uid="{8A7F6D50-5093-41AF-A5E3-F4C6055746EF}"/>
    <cellStyle name="Normal 4 2 4 3 2 2 2 2 2 2" xfId="52964" xr:uid="{CEC03D4A-55D6-4246-B3F8-4E8A161D0DC5}"/>
    <cellStyle name="Normal 4 2 4 3 2 2 2 2 2 3" xfId="34368" xr:uid="{BBE4C740-54F5-4EE9-8EEC-F16B60606642}"/>
    <cellStyle name="Normal 4 2 4 3 2 2 2 2 3" xfId="43667" xr:uid="{69DE0710-6A90-4A74-A557-FFCC676E95A0}"/>
    <cellStyle name="Normal 4 2 4 3 2 2 2 2 4" xfId="25069" xr:uid="{1F014B08-BF1F-4388-A8BB-CFFC25DFBD06}"/>
    <cellStyle name="Normal 4 2 4 3 2 2 2 3" xfId="12405" xr:uid="{FDB8D826-37E5-4319-BA79-F2A7E6BFC2C7}"/>
    <cellStyle name="Normal 4 2 4 3 2 2 2 3 2" xfId="48747" xr:uid="{F4F6602E-E6FA-4AC3-BE2E-428586C0775B}"/>
    <cellStyle name="Normal 4 2 4 3 2 2 2 3 3" xfId="30151" xr:uid="{31AA77D5-A66F-43E0-98F7-66AC4D5315BC}"/>
    <cellStyle name="Normal 4 2 4 3 2 2 2 4" xfId="39450" xr:uid="{33DACBD2-2C97-4AEE-B621-E931526A1852}"/>
    <cellStyle name="Normal 4 2 4 3 2 2 2 5" xfId="20852" xr:uid="{30EDD917-3641-4A99-B0B3-C58AC27FEB5B}"/>
    <cellStyle name="Normal 4 2 4 3 2 2 3" xfId="5151" xr:uid="{00000000-0005-0000-0000-000082130000}"/>
    <cellStyle name="Normal 4 2 4 3 2 2 3 2" xfId="14477" xr:uid="{10B3AB37-80A0-40D0-8648-E1F6A6E4E698}"/>
    <cellStyle name="Normal 4 2 4 3 2 2 3 2 2" xfId="50819" xr:uid="{789823A2-65AF-47E4-AA12-C0E90C904CD7}"/>
    <cellStyle name="Normal 4 2 4 3 2 2 3 2 3" xfId="32223" xr:uid="{4AEFE53A-644D-4C87-AB1F-E21A317AB257}"/>
    <cellStyle name="Normal 4 2 4 3 2 2 3 3" xfId="41522" xr:uid="{48E348D3-765A-4B16-913A-CDE0C1D4DF4D}"/>
    <cellStyle name="Normal 4 2 4 3 2 2 3 4" xfId="22924" xr:uid="{079AB869-51C5-4F38-AFE3-963EBFF4C45C}"/>
    <cellStyle name="Normal 4 2 4 3 2 2 4" xfId="9510" xr:uid="{AA534F18-B7F5-44D9-AE7D-03E6DE45E4F9}"/>
    <cellStyle name="Normal 4 2 4 3 2 2 4 2" xfId="36571" xr:uid="{63E10695-2EA5-4238-A5E8-04128D57C8C3}"/>
    <cellStyle name="Normal 4 2 4 3 2 2 4 2 2" xfId="55165" xr:uid="{A2EA8A96-8514-44F1-AEB7-6189F3A480E0}"/>
    <cellStyle name="Normal 4 2 4 3 2 2 4 3" xfId="45868" xr:uid="{11BA6BDA-153B-488B-ACD5-4E68B76E0B05}"/>
    <cellStyle name="Normal 4 2 4 3 2 2 4 4" xfId="27272" xr:uid="{BDE32D53-4570-4814-8DA1-7A68E1D53D63}"/>
    <cellStyle name="Normal 4 2 4 3 2 2 5" xfId="10260" xr:uid="{1BAF23F8-FE29-48EA-BA0B-4AB29C8240DD}"/>
    <cellStyle name="Normal 4 2 4 3 2 2 5 2" xfId="46602" xr:uid="{DCA27851-27CF-4729-B2CF-3F6DCD4B6703}"/>
    <cellStyle name="Normal 4 2 4 3 2 2 5 3" xfId="28006" xr:uid="{B18251DC-4DA6-4DBD-B431-2002AB26ABA2}"/>
    <cellStyle name="Normal 4 2 4 3 2 2 6" xfId="37305" xr:uid="{D0BC9A70-8642-4276-971A-82DA9BE35304}"/>
    <cellStyle name="Normal 4 2 4 3 2 2 7" xfId="18707" xr:uid="{9766ED9F-96DA-40DA-914D-0E6CFCE7C94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17035" xr:uid="{7F2E66C2-26C6-4FD7-B357-48331B0DAB4B}"/>
    <cellStyle name="Normal 4 2 4 3 2 3 2 2 2 2" xfId="53377" xr:uid="{6609B7A8-C2BB-44F1-8C53-CDE7ED693032}"/>
    <cellStyle name="Normal 4 2 4 3 2 3 2 2 2 3" xfId="34781" xr:uid="{39163AC4-6A7C-4F73-9074-0E098DF3E79F}"/>
    <cellStyle name="Normal 4 2 4 3 2 3 2 2 3" xfId="44080" xr:uid="{CE9AAE09-54A9-48AB-8377-0ACABB12188C}"/>
    <cellStyle name="Normal 4 2 4 3 2 3 2 2 4" xfId="25482" xr:uid="{EB7B4161-30EA-4C4E-8791-1C129D8DFAC8}"/>
    <cellStyle name="Normal 4 2 4 3 2 3 2 3" xfId="12818" xr:uid="{E99436A9-397D-4E6C-B873-CA51532D8F12}"/>
    <cellStyle name="Normal 4 2 4 3 2 3 2 3 2" xfId="49160" xr:uid="{1B12AC60-0579-4A6F-9B82-1A47E79D3949}"/>
    <cellStyle name="Normal 4 2 4 3 2 3 2 3 3" xfId="30564" xr:uid="{CE2222C5-5696-4975-B620-2601DA45ECF0}"/>
    <cellStyle name="Normal 4 2 4 3 2 3 2 4" xfId="39863" xr:uid="{7BA2E383-FB56-4966-833A-193FDF3C1ADA}"/>
    <cellStyle name="Normal 4 2 4 3 2 3 2 5" xfId="21265" xr:uid="{D660FCB7-D82B-4064-A011-13E64C2A29E7}"/>
    <cellStyle name="Normal 4 2 4 3 2 3 3" xfId="5564" xr:uid="{00000000-0005-0000-0000-000086130000}"/>
    <cellStyle name="Normal 4 2 4 3 2 3 3 2" xfId="14890" xr:uid="{1BACD74A-0FD5-4C5E-852C-63D5C0C4EB31}"/>
    <cellStyle name="Normal 4 2 4 3 2 3 3 2 2" xfId="51232" xr:uid="{E08A21F4-9D4C-40E2-AC78-0EAEA39934D2}"/>
    <cellStyle name="Normal 4 2 4 3 2 3 3 2 3" xfId="32636" xr:uid="{5B23911E-CC8F-4EE4-A3FE-2B4D3D7F2DD2}"/>
    <cellStyle name="Normal 4 2 4 3 2 3 3 3" xfId="41935" xr:uid="{42A90CBF-3030-4874-88F4-1C2286E5302B}"/>
    <cellStyle name="Normal 4 2 4 3 2 3 3 4" xfId="23337" xr:uid="{F55A7059-729A-420C-A41E-E5788E6E2D45}"/>
    <cellStyle name="Normal 4 2 4 3 2 3 4" xfId="10673" xr:uid="{1118FB5E-72BA-4790-9182-755C6CAE87BD}"/>
    <cellStyle name="Normal 4 2 4 3 2 3 4 2" xfId="47015" xr:uid="{F5453E50-C88A-42BC-A017-1CD6C0EF80BB}"/>
    <cellStyle name="Normal 4 2 4 3 2 3 4 3" xfId="28419" xr:uid="{9966E76A-7587-4A2A-9A95-86694491E022}"/>
    <cellStyle name="Normal 4 2 4 3 2 3 5" xfId="37718" xr:uid="{54716940-BFD5-4B85-8DEC-291281B1D76A}"/>
    <cellStyle name="Normal 4 2 4 3 2 3 6" xfId="19120" xr:uid="{1BB2B6A9-89B9-45B7-9B93-1AF49AC4659C}"/>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17448" xr:uid="{9AE8ED4D-8174-44A2-A8BC-A6386D249347}"/>
    <cellStyle name="Normal 4 2 4 3 2 4 2 2 2 2" xfId="53790" xr:uid="{57B6E916-BEC0-4355-A82A-BDCECA417AC0}"/>
    <cellStyle name="Normal 4 2 4 3 2 4 2 2 2 3" xfId="35194" xr:uid="{2FE6A96A-676B-4C39-B73F-AC38D45517CD}"/>
    <cellStyle name="Normal 4 2 4 3 2 4 2 2 3" xfId="44493" xr:uid="{9B188CFC-664D-4A71-8FFE-28B6519C8709}"/>
    <cellStyle name="Normal 4 2 4 3 2 4 2 2 4" xfId="25895" xr:uid="{1345AB7B-70CA-4F6B-9929-DFC0EA5C0D5B}"/>
    <cellStyle name="Normal 4 2 4 3 2 4 2 3" xfId="13231" xr:uid="{0795A591-5A2F-4259-A3E5-C134C7B130A1}"/>
    <cellStyle name="Normal 4 2 4 3 2 4 2 3 2" xfId="49573" xr:uid="{0232A53A-8BC2-4CDB-B5DE-7954C72A4C88}"/>
    <cellStyle name="Normal 4 2 4 3 2 4 2 3 3" xfId="30977" xr:uid="{4620694B-55AD-4E94-88B9-852D2C6107E0}"/>
    <cellStyle name="Normal 4 2 4 3 2 4 2 4" xfId="40276" xr:uid="{1AC949D3-4EB7-41CB-B3D0-ADBE263A1CA0}"/>
    <cellStyle name="Normal 4 2 4 3 2 4 2 5" xfId="21678" xr:uid="{DE8FD9F4-5939-402A-9BCD-17D9BE52D49B}"/>
    <cellStyle name="Normal 4 2 4 3 2 4 3" xfId="5977" xr:uid="{00000000-0005-0000-0000-00008A130000}"/>
    <cellStyle name="Normal 4 2 4 3 2 4 3 2" xfId="15303" xr:uid="{9A6FA019-C3FE-4BAC-A958-E661C530CFCC}"/>
    <cellStyle name="Normal 4 2 4 3 2 4 3 2 2" xfId="51645" xr:uid="{356FAD1A-44A9-4FE7-9267-3427E6BC1A7B}"/>
    <cellStyle name="Normal 4 2 4 3 2 4 3 2 3" xfId="33049" xr:uid="{D15C6425-C764-400E-81EB-39075B4F2164}"/>
    <cellStyle name="Normal 4 2 4 3 2 4 3 3" xfId="42348" xr:uid="{72A20562-49AD-4E0C-BBFD-AC40694C85E1}"/>
    <cellStyle name="Normal 4 2 4 3 2 4 3 4" xfId="23750" xr:uid="{CE8A60A8-9F8F-4A90-97A8-205E7704E666}"/>
    <cellStyle name="Normal 4 2 4 3 2 4 4" xfId="11086" xr:uid="{E7653950-19DB-4C4D-96C0-5F5C38F72922}"/>
    <cellStyle name="Normal 4 2 4 3 2 4 4 2" xfId="47428" xr:uid="{1EBFB3C8-A5DA-4EBC-9895-552085747071}"/>
    <cellStyle name="Normal 4 2 4 3 2 4 4 3" xfId="28832" xr:uid="{D070698C-F55E-46BD-944F-B922C27C7F97}"/>
    <cellStyle name="Normal 4 2 4 3 2 4 5" xfId="38131" xr:uid="{75A47799-FFAB-4BD3-B30B-2DDD24610EBB}"/>
    <cellStyle name="Normal 4 2 4 3 2 4 6" xfId="19533" xr:uid="{156F8D77-76AE-4A71-ABEA-CAEC40B89556}"/>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17861" xr:uid="{770CB964-F8A6-4C58-94D1-A5DA07E8C77F}"/>
    <cellStyle name="Normal 4 2 4 3 2 5 2 2 2 2" xfId="54203" xr:uid="{9AD7F617-A779-4727-AB9F-F417E87B9FC4}"/>
    <cellStyle name="Normal 4 2 4 3 2 5 2 2 2 3" xfId="35607" xr:uid="{BBF4FF0C-C9A2-4093-9148-11C8C84AC114}"/>
    <cellStyle name="Normal 4 2 4 3 2 5 2 2 3" xfId="44906" xr:uid="{8C5D904A-7764-44F0-8271-F21C3B7C397D}"/>
    <cellStyle name="Normal 4 2 4 3 2 5 2 2 4" xfId="26308" xr:uid="{CF342163-CE5D-450B-B697-F34ACDBA71C2}"/>
    <cellStyle name="Normal 4 2 4 3 2 5 2 3" xfId="13644" xr:uid="{D7BD4AC4-FE13-4EFB-AF21-A3D5F2A7E61D}"/>
    <cellStyle name="Normal 4 2 4 3 2 5 2 3 2" xfId="49986" xr:uid="{34554452-62F6-4BFB-826A-74BB44BD93C2}"/>
    <cellStyle name="Normal 4 2 4 3 2 5 2 3 3" xfId="31390" xr:uid="{2E59F682-7D96-4E32-8BDB-B578F0E74467}"/>
    <cellStyle name="Normal 4 2 4 3 2 5 2 4" xfId="40689" xr:uid="{D5654415-BBC9-4BBF-93A4-297007058FD9}"/>
    <cellStyle name="Normal 4 2 4 3 2 5 2 5" xfId="22091" xr:uid="{F953AB21-18E1-4E8C-ADFE-D88C57BACDB1}"/>
    <cellStyle name="Normal 4 2 4 3 2 5 3" xfId="6390" xr:uid="{00000000-0005-0000-0000-00008E130000}"/>
    <cellStyle name="Normal 4 2 4 3 2 5 3 2" xfId="15716" xr:uid="{B62F925A-295F-438E-B0F7-C97D6365A5AE}"/>
    <cellStyle name="Normal 4 2 4 3 2 5 3 2 2" xfId="52058" xr:uid="{A53DDDB9-ADDD-4A55-AE6D-0F47324CC252}"/>
    <cellStyle name="Normal 4 2 4 3 2 5 3 2 3" xfId="33462" xr:uid="{869DB388-5CAE-4B8B-BB8E-9601D4D1CC90}"/>
    <cellStyle name="Normal 4 2 4 3 2 5 3 3" xfId="42761" xr:uid="{D29689AD-7450-4AE3-8A72-7F862DF72279}"/>
    <cellStyle name="Normal 4 2 4 3 2 5 3 4" xfId="24163" xr:uid="{D08D0C12-2DBB-4044-A2CE-6CB638126E56}"/>
    <cellStyle name="Normal 4 2 4 3 2 5 4" xfId="11499" xr:uid="{CD480F8E-B242-4D6E-8384-2A2D0411B2AA}"/>
    <cellStyle name="Normal 4 2 4 3 2 5 4 2" xfId="47841" xr:uid="{94AEF158-EA2F-4ADB-A481-D2EF3EC6789C}"/>
    <cellStyle name="Normal 4 2 4 3 2 5 4 3" xfId="29245" xr:uid="{C46CDCB8-BAC5-4945-93FB-F7DA8F01CD16}"/>
    <cellStyle name="Normal 4 2 4 3 2 5 5" xfId="38544" xr:uid="{D2D0B331-6F9C-4427-8C29-A6B3ACD7B14E}"/>
    <cellStyle name="Normal 4 2 4 3 2 5 6" xfId="19946" xr:uid="{F5A0ECC9-D2BB-4A8A-9971-E144394780DA}"/>
    <cellStyle name="Normal 4 2 4 3 2 6" xfId="2520" xr:uid="{00000000-0005-0000-0000-00008F130000}"/>
    <cellStyle name="Normal 4 2 4 3 2 6 2" xfId="6803" xr:uid="{00000000-0005-0000-0000-000090130000}"/>
    <cellStyle name="Normal 4 2 4 3 2 6 2 2" xfId="16129" xr:uid="{D8EC2C15-48BA-4D58-9CE7-B65835851BEA}"/>
    <cellStyle name="Normal 4 2 4 3 2 6 2 2 2" xfId="52471" xr:uid="{77A77ACB-2FFD-4B3E-8277-58221262E5FA}"/>
    <cellStyle name="Normal 4 2 4 3 2 6 2 2 3" xfId="33875" xr:uid="{4E0FDC38-4F90-4E14-88D5-A030373D9853}"/>
    <cellStyle name="Normal 4 2 4 3 2 6 2 3" xfId="43174" xr:uid="{D27EDE62-2C98-44CB-A300-91F02F5343DA}"/>
    <cellStyle name="Normal 4 2 4 3 2 6 2 4" xfId="24576" xr:uid="{62884B61-AB65-4057-8CFE-822BFCCE1BD4}"/>
    <cellStyle name="Normal 4 2 4 3 2 6 3" xfId="11912" xr:uid="{7A0A492D-82A3-4145-96C1-07D00CCEC2B7}"/>
    <cellStyle name="Normal 4 2 4 3 2 6 3 2" xfId="48254" xr:uid="{3D5C0C8E-9DD5-488A-A7D9-7FE94D9EC29D}"/>
    <cellStyle name="Normal 4 2 4 3 2 6 3 3" xfId="29658" xr:uid="{E3704649-03A7-475C-8EB3-013E5A5ADDB0}"/>
    <cellStyle name="Normal 4 2 4 3 2 6 4" xfId="38957" xr:uid="{90565B3A-3F79-4722-A90C-CEE37CA640EE}"/>
    <cellStyle name="Normal 4 2 4 3 2 6 5" xfId="20359" xr:uid="{133BA366-3447-4494-828D-F1F600FA782B}"/>
    <cellStyle name="Normal 4 2 4 3 2 7" xfId="4738" xr:uid="{00000000-0005-0000-0000-000091130000}"/>
    <cellStyle name="Normal 4 2 4 3 2 7 2" xfId="14064" xr:uid="{651BA852-76D8-4EF2-A5D8-BC01868EC218}"/>
    <cellStyle name="Normal 4 2 4 3 2 7 2 2" xfId="50406" xr:uid="{5C550778-1A9B-4E77-906B-DBD1803640F7}"/>
    <cellStyle name="Normal 4 2 4 3 2 7 2 3" xfId="31810" xr:uid="{563AB560-8590-4CA1-BD0D-793051A53424}"/>
    <cellStyle name="Normal 4 2 4 3 2 7 3" xfId="41109" xr:uid="{5A9A1012-892A-46D0-9712-2AFE47F8CA2E}"/>
    <cellStyle name="Normal 4 2 4 3 2 7 4" xfId="22511" xr:uid="{8259291E-B1B3-4447-844B-B339BAEEC34F}"/>
    <cellStyle name="Normal 4 2 4 3 2 8" xfId="9085" xr:uid="{0181E53C-86DC-4588-8447-D559FCF01541}"/>
    <cellStyle name="Normal 4 2 4 3 2 8 2" xfId="36155" xr:uid="{E8B3F198-D899-44FD-968C-E3AFB6475E24}"/>
    <cellStyle name="Normal 4 2 4 3 2 8 2 2" xfId="54750" xr:uid="{83E04DFA-BDF2-47B9-8BE3-B10972053418}"/>
    <cellStyle name="Normal 4 2 4 3 2 8 3" xfId="45453" xr:uid="{227B185A-C69C-44E3-93F8-6852897C928D}"/>
    <cellStyle name="Normal 4 2 4 3 2 8 4" xfId="26856" xr:uid="{059E7962-5B2A-4E53-891D-F1970941F6B0}"/>
    <cellStyle name="Normal 4 2 4 3 2 9" xfId="9847" xr:uid="{9A383473-DF0D-4B01-B614-9A87F6041EC4}"/>
    <cellStyle name="Normal 4 2 4 3 2 9 2" xfId="46189" xr:uid="{035C183A-8CFE-479A-AE64-015A7676B1FF}"/>
    <cellStyle name="Normal 4 2 4 3 2 9 3" xfId="27593" xr:uid="{53ECB96C-8D49-424F-883D-31865B249FED}"/>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16621" xr:uid="{B479F93B-84A6-4D0A-92FF-F1DC8B32FA66}"/>
    <cellStyle name="Normal 4 2 4 3 3 2 2 2 2" xfId="52963" xr:uid="{CEF22E46-607D-44F6-9A8F-0B6BE76EA6CE}"/>
    <cellStyle name="Normal 4 2 4 3 3 2 2 2 3" xfId="34367" xr:uid="{457418D9-21EB-4F94-A515-2ACE6D3DD7C0}"/>
    <cellStyle name="Normal 4 2 4 3 3 2 2 3" xfId="43666" xr:uid="{B55E0CB1-B316-4A75-AB5F-EF4986401E0F}"/>
    <cellStyle name="Normal 4 2 4 3 3 2 2 4" xfId="25068" xr:uid="{95FFD966-9628-472D-83CB-DB0F82977988}"/>
    <cellStyle name="Normal 4 2 4 3 3 2 3" xfId="12404" xr:uid="{1D27DEE1-2064-4570-9BB1-7C6A9A5B762E}"/>
    <cellStyle name="Normal 4 2 4 3 3 2 3 2" xfId="48746" xr:uid="{EE8E2F7E-8C00-4A03-937D-DF5D01BFF368}"/>
    <cellStyle name="Normal 4 2 4 3 3 2 3 3" xfId="30150" xr:uid="{7675A2F5-A4B7-4F8D-AEC9-4C746D507BF4}"/>
    <cellStyle name="Normal 4 2 4 3 3 2 4" xfId="39449" xr:uid="{B79D41B1-66EB-4284-96C9-D2307D787908}"/>
    <cellStyle name="Normal 4 2 4 3 3 2 5" xfId="20851" xr:uid="{03EBF1EA-F85E-4161-A855-CC991F9278DD}"/>
    <cellStyle name="Normal 4 2 4 3 3 3" xfId="5150" xr:uid="{00000000-0005-0000-0000-000095130000}"/>
    <cellStyle name="Normal 4 2 4 3 3 3 2" xfId="14476" xr:uid="{912D8364-1959-4E61-913E-77F7187E53AA}"/>
    <cellStyle name="Normal 4 2 4 3 3 3 2 2" xfId="50818" xr:uid="{ED0217EE-CAED-42A1-80CB-23114B63D38B}"/>
    <cellStyle name="Normal 4 2 4 3 3 3 2 3" xfId="32222" xr:uid="{5A0D162C-FD46-4CAE-BC33-2535175446E5}"/>
    <cellStyle name="Normal 4 2 4 3 3 3 3" xfId="41521" xr:uid="{6B1870E1-B469-479E-B3DB-202B1251165E}"/>
    <cellStyle name="Normal 4 2 4 3 3 3 4" xfId="22923" xr:uid="{9F0FAEB4-4FE8-4297-A181-5B9C7D15688E}"/>
    <cellStyle name="Normal 4 2 4 3 3 4" xfId="9303" xr:uid="{51CE977A-E9B9-47DD-B6CE-3ECF34A578F1}"/>
    <cellStyle name="Normal 4 2 4 3 3 4 2" xfId="36364" xr:uid="{5557198D-F78A-460B-83B6-532BBD172FE3}"/>
    <cellStyle name="Normal 4 2 4 3 3 4 2 2" xfId="54958" xr:uid="{B743E924-C5AE-424E-9EE9-B3075B076060}"/>
    <cellStyle name="Normal 4 2 4 3 3 4 3" xfId="45661" xr:uid="{6F767467-1265-4570-993D-060F0929F221}"/>
    <cellStyle name="Normal 4 2 4 3 3 4 4" xfId="27065" xr:uid="{856EDF1B-98AE-4B0B-AC19-435105AC80AB}"/>
    <cellStyle name="Normal 4 2 4 3 3 5" xfId="10259" xr:uid="{97B72428-9669-4957-AF82-710D2EB53775}"/>
    <cellStyle name="Normal 4 2 4 3 3 5 2" xfId="46601" xr:uid="{12096F90-140A-459D-83C6-36EEDF8A798D}"/>
    <cellStyle name="Normal 4 2 4 3 3 5 3" xfId="28005" xr:uid="{CC30722D-C4DC-4232-A130-C8E799B6CE66}"/>
    <cellStyle name="Normal 4 2 4 3 3 6" xfId="37304" xr:uid="{0A2FC9CC-9606-41C9-9A1C-C909CD536CD9}"/>
    <cellStyle name="Normal 4 2 4 3 3 7" xfId="18706" xr:uid="{3B2F9091-9C25-4B35-A43C-4AF9B9745F77}"/>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17034" xr:uid="{3FDEDE63-DD11-4D30-A6C0-3AD0E9658D0F}"/>
    <cellStyle name="Normal 4 2 4 3 4 2 2 2 2" xfId="53376" xr:uid="{97E8B1B5-7F18-4F0E-BCBB-853D2A59FA4E}"/>
    <cellStyle name="Normal 4 2 4 3 4 2 2 2 3" xfId="34780" xr:uid="{07856A8C-47FF-4E55-8768-303B5F442356}"/>
    <cellStyle name="Normal 4 2 4 3 4 2 2 3" xfId="44079" xr:uid="{EA75F143-CD62-4E0E-B26C-0F58D17BE8D0}"/>
    <cellStyle name="Normal 4 2 4 3 4 2 2 4" xfId="25481" xr:uid="{A20C320E-23BD-4398-8872-3FF15E937F75}"/>
    <cellStyle name="Normal 4 2 4 3 4 2 3" xfId="12817" xr:uid="{C47EE195-C485-48EC-86A5-19CFF6DC7F22}"/>
    <cellStyle name="Normal 4 2 4 3 4 2 3 2" xfId="49159" xr:uid="{9C3CF216-6CB9-4F79-B613-532B7BACE5DD}"/>
    <cellStyle name="Normal 4 2 4 3 4 2 3 3" xfId="30563" xr:uid="{7642CBDD-1061-4D8D-B92C-E69A4EB316D2}"/>
    <cellStyle name="Normal 4 2 4 3 4 2 4" xfId="39862" xr:uid="{29AC95B4-0696-4A37-B3C2-9053A2DE338F}"/>
    <cellStyle name="Normal 4 2 4 3 4 2 5" xfId="21264" xr:uid="{E22AAF1A-8F9C-4AAE-8BB2-3EA6753277D8}"/>
    <cellStyle name="Normal 4 2 4 3 4 3" xfId="5563" xr:uid="{00000000-0005-0000-0000-000099130000}"/>
    <cellStyle name="Normal 4 2 4 3 4 3 2" xfId="14889" xr:uid="{959E846D-DB32-438D-AA8D-5E5B35CAFA31}"/>
    <cellStyle name="Normal 4 2 4 3 4 3 2 2" xfId="51231" xr:uid="{7F7B849A-AF63-40AA-92FB-A55ADE0764F4}"/>
    <cellStyle name="Normal 4 2 4 3 4 3 2 3" xfId="32635" xr:uid="{A1E22238-E2DD-42EC-BA18-51CFA7DCFA73}"/>
    <cellStyle name="Normal 4 2 4 3 4 3 3" xfId="41934" xr:uid="{921AF559-5725-486C-B97C-FEB7B0C86A36}"/>
    <cellStyle name="Normal 4 2 4 3 4 3 4" xfId="23336" xr:uid="{C21F3515-FF5B-43AC-B357-E5CF7826EF98}"/>
    <cellStyle name="Normal 4 2 4 3 4 4" xfId="10672" xr:uid="{A94B6EC2-3748-4EB0-BD15-A5442E7694F4}"/>
    <cellStyle name="Normal 4 2 4 3 4 4 2" xfId="47014" xr:uid="{80E478E1-D41C-4EB9-9CBF-2CF0354C916C}"/>
    <cellStyle name="Normal 4 2 4 3 4 4 3" xfId="28418" xr:uid="{69D4B022-58A2-4492-AB02-D7EE7B8A83FE}"/>
    <cellStyle name="Normal 4 2 4 3 4 5" xfId="37717" xr:uid="{EE9436AF-FE78-4DE5-AF33-99FE789F193F}"/>
    <cellStyle name="Normal 4 2 4 3 4 6" xfId="19119" xr:uid="{1C0C892A-4130-434B-84E4-88D381565A14}"/>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17447" xr:uid="{1DD431BE-AFCD-446A-9437-C2A4358B00E7}"/>
    <cellStyle name="Normal 4 2 4 3 5 2 2 2 2" xfId="53789" xr:uid="{1142A671-2FD0-4856-BE53-0AA53D0F790E}"/>
    <cellStyle name="Normal 4 2 4 3 5 2 2 2 3" xfId="35193" xr:uid="{8B06CAB7-BAC7-4015-A500-0D4C6DD24694}"/>
    <cellStyle name="Normal 4 2 4 3 5 2 2 3" xfId="44492" xr:uid="{2BC2DBEE-CDF8-4606-B094-C05748D87E51}"/>
    <cellStyle name="Normal 4 2 4 3 5 2 2 4" xfId="25894" xr:uid="{855B543D-43AC-4926-A4A2-2301821F607B}"/>
    <cellStyle name="Normal 4 2 4 3 5 2 3" xfId="13230" xr:uid="{548E06DC-3BE8-480F-AB16-873B71C11656}"/>
    <cellStyle name="Normal 4 2 4 3 5 2 3 2" xfId="49572" xr:uid="{BF34D721-C978-4296-ABC1-1BEEEDB52748}"/>
    <cellStyle name="Normal 4 2 4 3 5 2 3 3" xfId="30976" xr:uid="{A44591B0-DDAE-4102-918B-ABCB5C8DDD0D}"/>
    <cellStyle name="Normal 4 2 4 3 5 2 4" xfId="40275" xr:uid="{4670004B-F857-4F13-9FBC-5C431C8E29B4}"/>
    <cellStyle name="Normal 4 2 4 3 5 2 5" xfId="21677" xr:uid="{4A76B686-AAC2-4DC6-B4BD-FBBF09B45909}"/>
    <cellStyle name="Normal 4 2 4 3 5 3" xfId="5976" xr:uid="{00000000-0005-0000-0000-00009D130000}"/>
    <cellStyle name="Normal 4 2 4 3 5 3 2" xfId="15302" xr:uid="{085257B5-A0C3-4AD4-87F2-02F9143EF014}"/>
    <cellStyle name="Normal 4 2 4 3 5 3 2 2" xfId="51644" xr:uid="{DB664D3C-2301-4287-BFBF-F3E72527D5C0}"/>
    <cellStyle name="Normal 4 2 4 3 5 3 2 3" xfId="33048" xr:uid="{3806CB00-FE3D-4DB1-928A-FB9A44527944}"/>
    <cellStyle name="Normal 4 2 4 3 5 3 3" xfId="42347" xr:uid="{B33D45FF-11EB-4EE0-B9B5-93B8663557CC}"/>
    <cellStyle name="Normal 4 2 4 3 5 3 4" xfId="23749" xr:uid="{003CB25E-BEE8-4F09-977B-E37D22D86806}"/>
    <cellStyle name="Normal 4 2 4 3 5 4" xfId="11085" xr:uid="{1AF1BC8B-8A8A-4287-B2F0-05A8D94EF6F7}"/>
    <cellStyle name="Normal 4 2 4 3 5 4 2" xfId="47427" xr:uid="{456A1C4D-F937-4E4B-A08F-E5C1F9C03C52}"/>
    <cellStyle name="Normal 4 2 4 3 5 4 3" xfId="28831" xr:uid="{4F2A293B-3A25-4301-BD02-24C03730B677}"/>
    <cellStyle name="Normal 4 2 4 3 5 5" xfId="38130" xr:uid="{504FCCA1-74E1-474C-929A-1857E71D84E6}"/>
    <cellStyle name="Normal 4 2 4 3 5 6" xfId="19532" xr:uid="{1526B960-A565-4280-80AF-57CA1AC19F90}"/>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17860" xr:uid="{2C77D82C-86F4-4F37-B4EE-E4F54F9FB0F9}"/>
    <cellStyle name="Normal 4 2 4 3 6 2 2 2 2" xfId="54202" xr:uid="{A6229D28-A943-429E-8C1C-8AE1A9B5A8E7}"/>
    <cellStyle name="Normal 4 2 4 3 6 2 2 2 3" xfId="35606" xr:uid="{5300E523-2F77-4BCD-BBD1-B7AFF92275BB}"/>
    <cellStyle name="Normal 4 2 4 3 6 2 2 3" xfId="44905" xr:uid="{03042597-BC0E-4902-B5D9-14C6F587BEEF}"/>
    <cellStyle name="Normal 4 2 4 3 6 2 2 4" xfId="26307" xr:uid="{CDD08DA1-A8BE-4964-9DFF-DFE41660C297}"/>
    <cellStyle name="Normal 4 2 4 3 6 2 3" xfId="13643" xr:uid="{36F208A5-78CA-466E-86A9-2FAA3723EE50}"/>
    <cellStyle name="Normal 4 2 4 3 6 2 3 2" xfId="49985" xr:uid="{10DBC5D4-4E69-4B8B-B07F-B7899A6D96B3}"/>
    <cellStyle name="Normal 4 2 4 3 6 2 3 3" xfId="31389" xr:uid="{DCD1F992-344B-4427-BFC9-8D94BD465F2D}"/>
    <cellStyle name="Normal 4 2 4 3 6 2 4" xfId="40688" xr:uid="{839E5372-941B-49BB-B6BC-50AA11F4383C}"/>
    <cellStyle name="Normal 4 2 4 3 6 2 5" xfId="22090" xr:uid="{F6D5FE21-BD1F-4B35-ABE2-E6333D229EA7}"/>
    <cellStyle name="Normal 4 2 4 3 6 3" xfId="6389" xr:uid="{00000000-0005-0000-0000-0000A1130000}"/>
    <cellStyle name="Normal 4 2 4 3 6 3 2" xfId="15715" xr:uid="{31DF0C97-8D3A-49C0-BC9A-BE4D91AB3430}"/>
    <cellStyle name="Normal 4 2 4 3 6 3 2 2" xfId="52057" xr:uid="{096DD43B-C5A1-4B68-A46F-58B02EFB0FBC}"/>
    <cellStyle name="Normal 4 2 4 3 6 3 2 3" xfId="33461" xr:uid="{352D3049-FBD8-4F43-A3FF-3A1515C767B0}"/>
    <cellStyle name="Normal 4 2 4 3 6 3 3" xfId="42760" xr:uid="{F01FF378-93CE-436D-AFA8-605731F37446}"/>
    <cellStyle name="Normal 4 2 4 3 6 3 4" xfId="24162" xr:uid="{7F0AAE30-04C9-47F2-BA21-059A03DD0A72}"/>
    <cellStyle name="Normal 4 2 4 3 6 4" xfId="11498" xr:uid="{41454F34-357D-497D-8D63-616D2CE90AB3}"/>
    <cellStyle name="Normal 4 2 4 3 6 4 2" xfId="47840" xr:uid="{E5708D52-C40D-42AB-BCEC-825449B15A50}"/>
    <cellStyle name="Normal 4 2 4 3 6 4 3" xfId="29244" xr:uid="{0618EA5F-1207-4D76-9D87-670D024EE5B3}"/>
    <cellStyle name="Normal 4 2 4 3 6 5" xfId="38543" xr:uid="{6CFF145C-FC0E-4BBD-8562-C8DA88353A1A}"/>
    <cellStyle name="Normal 4 2 4 3 6 6" xfId="19945" xr:uid="{9D003C24-7A1A-4503-BB81-2536E62DD150}"/>
    <cellStyle name="Normal 4 2 4 3 7" xfId="2519" xr:uid="{00000000-0005-0000-0000-0000A2130000}"/>
    <cellStyle name="Normal 4 2 4 3 7 2" xfId="6802" xr:uid="{00000000-0005-0000-0000-0000A3130000}"/>
    <cellStyle name="Normal 4 2 4 3 7 2 2" xfId="16128" xr:uid="{980BF483-934B-43FA-BA05-F5EEC7ED0BC9}"/>
    <cellStyle name="Normal 4 2 4 3 7 2 2 2" xfId="52470" xr:uid="{9147564C-EAD5-4C37-A3CA-CCC06A9BF4B2}"/>
    <cellStyle name="Normal 4 2 4 3 7 2 2 3" xfId="33874" xr:uid="{1B0C851D-43DD-4EBC-ACDD-C60BD19415DC}"/>
    <cellStyle name="Normal 4 2 4 3 7 2 3" xfId="43173" xr:uid="{8D583DE5-9D5B-46A1-905B-D7F3905C5249}"/>
    <cellStyle name="Normal 4 2 4 3 7 2 4" xfId="24575" xr:uid="{EF3686C2-2DC8-49B0-8D25-4DD983F8888F}"/>
    <cellStyle name="Normal 4 2 4 3 7 3" xfId="11911" xr:uid="{11C5E743-D783-493F-B57A-FDEDE0DA22FE}"/>
    <cellStyle name="Normal 4 2 4 3 7 3 2" xfId="48253" xr:uid="{E92F371C-C4C8-49AA-8E30-B70679B1AEF7}"/>
    <cellStyle name="Normal 4 2 4 3 7 3 3" xfId="29657" xr:uid="{251CAE37-8518-4832-9D98-942E86DA64B2}"/>
    <cellStyle name="Normal 4 2 4 3 7 4" xfId="38956" xr:uid="{7A2A64B3-CB74-4F68-A8FC-F5D245B900BA}"/>
    <cellStyle name="Normal 4 2 4 3 7 5" xfId="20358" xr:uid="{36AE1E49-E05E-4F2B-9470-9157C65FBEFE}"/>
    <cellStyle name="Normal 4 2 4 3 8" xfId="4737" xr:uid="{00000000-0005-0000-0000-0000A4130000}"/>
    <cellStyle name="Normal 4 2 4 3 8 2" xfId="14063" xr:uid="{35E60EFD-552C-42B4-A748-7FEAA6A56861}"/>
    <cellStyle name="Normal 4 2 4 3 8 2 2" xfId="50405" xr:uid="{B962DBF5-0499-403F-9E43-C3781A84E0BC}"/>
    <cellStyle name="Normal 4 2 4 3 8 2 3" xfId="31809" xr:uid="{59E86D7D-7029-457A-8C3C-CDCB55CA689F}"/>
    <cellStyle name="Normal 4 2 4 3 8 3" xfId="41108" xr:uid="{C7F7AE04-2C8A-4A16-AB6D-4CEBF02AECBC}"/>
    <cellStyle name="Normal 4 2 4 3 8 4" xfId="22510" xr:uid="{C72103C4-F989-437C-82D9-5B196CF0A907}"/>
    <cellStyle name="Normal 4 2 4 3 9" xfId="8878" xr:uid="{B73EE68A-BBFC-4E7A-B773-E14FCCFC8837}"/>
    <cellStyle name="Normal 4 2 4 3 9 2" xfId="35948" xr:uid="{4D043A0F-5BAB-4288-9B76-350939557076}"/>
    <cellStyle name="Normal 4 2 4 3 9 2 2" xfId="54543" xr:uid="{623E67E9-75EE-40BE-8C5E-80F883F590CF}"/>
    <cellStyle name="Normal 4 2 4 3 9 3" xfId="45246" xr:uid="{0B8F7A08-0F58-4A4C-8E90-4314015B466C}"/>
    <cellStyle name="Normal 4 2 4 3 9 4" xfId="26649" xr:uid="{D0A90C9B-4A14-4FFD-B666-DBEEDE8BD23A}"/>
    <cellStyle name="Normal 4 2 4 4" xfId="362" xr:uid="{00000000-0005-0000-0000-0000A5130000}"/>
    <cellStyle name="Normal 4 2 4 4 10" xfId="36893" xr:uid="{7CF7C981-0680-4980-88B7-B304B06639B1}"/>
    <cellStyle name="Normal 4 2 4 4 11" xfId="18295" xr:uid="{FF654FEB-A584-400C-8D99-D45994108E05}"/>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16623" xr:uid="{BA2B2B95-092D-4BEC-A31D-9B2E1D3BF04F}"/>
    <cellStyle name="Normal 4 2 4 4 2 2 2 2 2" xfId="52965" xr:uid="{96BF8A57-9D39-4C1C-A959-3E9CED5CE817}"/>
    <cellStyle name="Normal 4 2 4 4 2 2 2 2 3" xfId="34369" xr:uid="{C2739B81-D392-46E5-AA20-9472D505170F}"/>
    <cellStyle name="Normal 4 2 4 4 2 2 2 3" xfId="43668" xr:uid="{2F35151D-8D60-4E86-9E90-0E5484DCAC8B}"/>
    <cellStyle name="Normal 4 2 4 4 2 2 2 4" xfId="25070" xr:uid="{95874869-1E87-4927-A3F0-4773F5F48D1A}"/>
    <cellStyle name="Normal 4 2 4 4 2 2 3" xfId="12406" xr:uid="{54DC03D4-C7F3-4E98-8F5D-F75BBA4E2D57}"/>
    <cellStyle name="Normal 4 2 4 4 2 2 3 2" xfId="48748" xr:uid="{3572E276-45C4-481F-934A-3589FB159E1F}"/>
    <cellStyle name="Normal 4 2 4 4 2 2 3 3" xfId="30152" xr:uid="{8E7FFA78-99F6-41FE-AB02-3B8C2F340648}"/>
    <cellStyle name="Normal 4 2 4 4 2 2 4" xfId="39451" xr:uid="{AAD6E35C-D84B-4FE3-9D1D-F4626DB4B0C4}"/>
    <cellStyle name="Normal 4 2 4 4 2 2 5" xfId="20853" xr:uid="{06152BCC-1D53-4E02-A649-6490575982C5}"/>
    <cellStyle name="Normal 4 2 4 4 2 3" xfId="5152" xr:uid="{00000000-0005-0000-0000-0000A9130000}"/>
    <cellStyle name="Normal 4 2 4 4 2 3 2" xfId="14478" xr:uid="{D88C00F3-EF8D-49D6-970C-00FDA7A3E494}"/>
    <cellStyle name="Normal 4 2 4 4 2 3 2 2" xfId="50820" xr:uid="{F9D8B19A-F552-4823-A34B-6D1E2955CF30}"/>
    <cellStyle name="Normal 4 2 4 4 2 3 2 3" xfId="32224" xr:uid="{E86FCF0F-D28E-4EE7-862D-1CE4E158156F}"/>
    <cellStyle name="Normal 4 2 4 4 2 3 3" xfId="41523" xr:uid="{BE03C13C-C7A1-4084-9E95-56F040ED4394}"/>
    <cellStyle name="Normal 4 2 4 4 2 3 4" xfId="22925" xr:uid="{F3924AF9-1C75-4AEF-B1BA-55159FAC3B7A}"/>
    <cellStyle name="Normal 4 2 4 4 2 4" xfId="9407" xr:uid="{5D8D6A7A-388E-41EC-80E9-28307FA015D6}"/>
    <cellStyle name="Normal 4 2 4 4 2 4 2" xfId="36468" xr:uid="{9D596211-2BAC-4C8B-B1A0-8F44B0B6CA02}"/>
    <cellStyle name="Normal 4 2 4 4 2 4 2 2" xfId="55062" xr:uid="{CE68C1F5-F5DA-483F-A8EC-90310D1A39BB}"/>
    <cellStyle name="Normal 4 2 4 4 2 4 3" xfId="45765" xr:uid="{B3735ACC-7695-4A79-A23B-74A476D76059}"/>
    <cellStyle name="Normal 4 2 4 4 2 4 4" xfId="27169" xr:uid="{398E47E8-DD18-4FC3-A16D-EBDAC684D488}"/>
    <cellStyle name="Normal 4 2 4 4 2 5" xfId="10261" xr:uid="{EA39A977-E367-4750-ABA5-1244C4C64BDA}"/>
    <cellStyle name="Normal 4 2 4 4 2 5 2" xfId="46603" xr:uid="{3D5274BB-962D-4E73-9245-E55CEA2E802A}"/>
    <cellStyle name="Normal 4 2 4 4 2 5 3" xfId="28007" xr:uid="{F7C5C220-8DE5-4A36-ABE7-73531D2BD576}"/>
    <cellStyle name="Normal 4 2 4 4 2 6" xfId="37306" xr:uid="{B388A211-4803-4B1A-86CE-14278E2BA5C7}"/>
    <cellStyle name="Normal 4 2 4 4 2 7" xfId="18708" xr:uid="{B80B9CE0-3A66-4367-A91E-181311404A19}"/>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17036" xr:uid="{FE9F48B4-A3CB-448E-8013-5052E56524D1}"/>
    <cellStyle name="Normal 4 2 4 4 3 2 2 2 2" xfId="53378" xr:uid="{1BEF639C-7970-47B4-BB21-E448FC08433B}"/>
    <cellStyle name="Normal 4 2 4 4 3 2 2 2 3" xfId="34782" xr:uid="{BAE86C20-97E1-4809-951B-E221D221631C}"/>
    <cellStyle name="Normal 4 2 4 4 3 2 2 3" xfId="44081" xr:uid="{28C0EF64-722D-4B63-B7F8-4A4A4D15B924}"/>
    <cellStyle name="Normal 4 2 4 4 3 2 2 4" xfId="25483" xr:uid="{13823990-2ED3-42C6-A24D-559D2956DB31}"/>
    <cellStyle name="Normal 4 2 4 4 3 2 3" xfId="12819" xr:uid="{72B3C319-1371-4310-A86A-5FAA15FC0C58}"/>
    <cellStyle name="Normal 4 2 4 4 3 2 3 2" xfId="49161" xr:uid="{4ADB30D7-F740-47D7-B8C6-252BA3D09EF1}"/>
    <cellStyle name="Normal 4 2 4 4 3 2 3 3" xfId="30565" xr:uid="{627A81DE-2DE4-445D-8694-F0192C56CC51}"/>
    <cellStyle name="Normal 4 2 4 4 3 2 4" xfId="39864" xr:uid="{7693C670-18FE-4022-92F9-A2F8900D5547}"/>
    <cellStyle name="Normal 4 2 4 4 3 2 5" xfId="21266" xr:uid="{F27FB813-E274-4243-B277-81E4AE3D0FE1}"/>
    <cellStyle name="Normal 4 2 4 4 3 3" xfId="5565" xr:uid="{00000000-0005-0000-0000-0000AD130000}"/>
    <cellStyle name="Normal 4 2 4 4 3 3 2" xfId="14891" xr:uid="{18E14123-F9CB-476D-BC08-FD5AA009D32F}"/>
    <cellStyle name="Normal 4 2 4 4 3 3 2 2" xfId="51233" xr:uid="{FD53DFD2-65D1-4E69-B958-D4F6FFA92B95}"/>
    <cellStyle name="Normal 4 2 4 4 3 3 2 3" xfId="32637" xr:uid="{78A0F13F-31BB-414E-8C23-FC5D3EC1241C}"/>
    <cellStyle name="Normal 4 2 4 4 3 3 3" xfId="41936" xr:uid="{8B291F48-9A1D-4E4E-805F-E15B267BB318}"/>
    <cellStyle name="Normal 4 2 4 4 3 3 4" xfId="23338" xr:uid="{DDEA8C16-3323-4B8C-BD22-F891BF673E5B}"/>
    <cellStyle name="Normal 4 2 4 4 3 4" xfId="10674" xr:uid="{C35E09B5-F621-46EF-97A5-6D7C6BE771D8}"/>
    <cellStyle name="Normal 4 2 4 4 3 4 2" xfId="47016" xr:uid="{F6374902-42C0-428C-88BE-244C2C6E5621}"/>
    <cellStyle name="Normal 4 2 4 4 3 4 3" xfId="28420" xr:uid="{7F3CEDEC-5CE2-4738-8D3C-A450AC59F648}"/>
    <cellStyle name="Normal 4 2 4 4 3 5" xfId="37719" xr:uid="{2653A3D4-5AD8-45CF-A575-0F99E96D2A83}"/>
    <cellStyle name="Normal 4 2 4 4 3 6" xfId="19121" xr:uid="{985E4B9E-D8CF-4EED-B7DE-A7C55439BF33}"/>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17449" xr:uid="{43632765-1625-4986-A255-89204DC4BF72}"/>
    <cellStyle name="Normal 4 2 4 4 4 2 2 2 2" xfId="53791" xr:uid="{AAF595A3-5111-438F-9A00-EFBB37988819}"/>
    <cellStyle name="Normal 4 2 4 4 4 2 2 2 3" xfId="35195" xr:uid="{251729D8-794B-4B4D-94FA-3E1DBC9E3503}"/>
    <cellStyle name="Normal 4 2 4 4 4 2 2 3" xfId="44494" xr:uid="{A009747A-30A5-412E-8EA6-D28FCE020DD8}"/>
    <cellStyle name="Normal 4 2 4 4 4 2 2 4" xfId="25896" xr:uid="{F0238774-3B3F-44F3-8687-646E298FB483}"/>
    <cellStyle name="Normal 4 2 4 4 4 2 3" xfId="13232" xr:uid="{FCD4E83A-03A0-4161-86C2-9895C15A785E}"/>
    <cellStyle name="Normal 4 2 4 4 4 2 3 2" xfId="49574" xr:uid="{5519765D-7E42-48F5-8B31-C3C0F0020DDB}"/>
    <cellStyle name="Normal 4 2 4 4 4 2 3 3" xfId="30978" xr:uid="{9B595791-588F-43A8-B16C-138AA12FCCC7}"/>
    <cellStyle name="Normal 4 2 4 4 4 2 4" xfId="40277" xr:uid="{9A44F1ED-A9D0-43DF-8445-CCFFF66BD31B}"/>
    <cellStyle name="Normal 4 2 4 4 4 2 5" xfId="21679" xr:uid="{4E896066-332A-4197-A380-9F281ED767B9}"/>
    <cellStyle name="Normal 4 2 4 4 4 3" xfId="5978" xr:uid="{00000000-0005-0000-0000-0000B1130000}"/>
    <cellStyle name="Normal 4 2 4 4 4 3 2" xfId="15304" xr:uid="{6390A798-4770-4839-BD3A-E7CE3CF16F9A}"/>
    <cellStyle name="Normal 4 2 4 4 4 3 2 2" xfId="51646" xr:uid="{7BF7EC29-2D47-4116-96A1-E0185222B89D}"/>
    <cellStyle name="Normal 4 2 4 4 4 3 2 3" xfId="33050" xr:uid="{F9F0F916-A170-46D5-A0DC-B4C94EEDA61A}"/>
    <cellStyle name="Normal 4 2 4 4 4 3 3" xfId="42349" xr:uid="{82266C63-F685-45EF-99B0-5A4674753478}"/>
    <cellStyle name="Normal 4 2 4 4 4 3 4" xfId="23751" xr:uid="{D4F44ACC-0749-466A-B340-3872DDB29AEA}"/>
    <cellStyle name="Normal 4 2 4 4 4 4" xfId="11087" xr:uid="{A7D3C4A3-5BB7-4BD7-80A9-AEFD88FD2EFA}"/>
    <cellStyle name="Normal 4 2 4 4 4 4 2" xfId="47429" xr:uid="{04D88BED-B3E0-474B-B2EC-35970DA3B3F2}"/>
    <cellStyle name="Normal 4 2 4 4 4 4 3" xfId="28833" xr:uid="{FDF2CA6B-F985-444C-9C9C-60821372EBC1}"/>
    <cellStyle name="Normal 4 2 4 4 4 5" xfId="38132" xr:uid="{5C663080-3CB2-42D1-9476-EDC597962161}"/>
    <cellStyle name="Normal 4 2 4 4 4 6" xfId="19534" xr:uid="{2177CDB8-2554-4ACB-97AA-FA3719685E6E}"/>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17862" xr:uid="{6FAE8C0D-4967-4DF4-991B-953EDC60122D}"/>
    <cellStyle name="Normal 4 2 4 4 5 2 2 2 2" xfId="54204" xr:uid="{C1D1318B-6E5D-4D2E-945E-41051F318D2E}"/>
    <cellStyle name="Normal 4 2 4 4 5 2 2 2 3" xfId="35608" xr:uid="{2232784A-354E-44B4-B5BD-E4EDCB648AE2}"/>
    <cellStyle name="Normal 4 2 4 4 5 2 2 3" xfId="44907" xr:uid="{240E8E0C-9E5C-4B6D-BC59-A92C68657999}"/>
    <cellStyle name="Normal 4 2 4 4 5 2 2 4" xfId="26309" xr:uid="{8AC4F29A-D724-41DB-8ED8-E7634E04C9E9}"/>
    <cellStyle name="Normal 4 2 4 4 5 2 3" xfId="13645" xr:uid="{CECA2A47-2E2A-492C-9677-F88F3B658DAC}"/>
    <cellStyle name="Normal 4 2 4 4 5 2 3 2" xfId="49987" xr:uid="{A49CEA21-130B-4705-BCCB-796584D5E524}"/>
    <cellStyle name="Normal 4 2 4 4 5 2 3 3" xfId="31391" xr:uid="{4FDEA8C9-33FF-4EB1-B086-B29046E7F948}"/>
    <cellStyle name="Normal 4 2 4 4 5 2 4" xfId="40690" xr:uid="{DC22DD7C-E022-4AF6-8680-83A86B1F0554}"/>
    <cellStyle name="Normal 4 2 4 4 5 2 5" xfId="22092" xr:uid="{B4F622AE-FE8A-49C5-9A91-EB79FA466036}"/>
    <cellStyle name="Normal 4 2 4 4 5 3" xfId="6391" xr:uid="{00000000-0005-0000-0000-0000B5130000}"/>
    <cellStyle name="Normal 4 2 4 4 5 3 2" xfId="15717" xr:uid="{8FBC294F-9160-4807-8E71-5BC0E753D9DE}"/>
    <cellStyle name="Normal 4 2 4 4 5 3 2 2" xfId="52059" xr:uid="{08F7D73D-CA1C-4160-8E4D-FC3AF5AC6321}"/>
    <cellStyle name="Normal 4 2 4 4 5 3 2 3" xfId="33463" xr:uid="{7F9776C5-403B-4C35-A561-CBC502132B92}"/>
    <cellStyle name="Normal 4 2 4 4 5 3 3" xfId="42762" xr:uid="{400C8E49-8B2B-43D6-84BE-1ACCC9A9E801}"/>
    <cellStyle name="Normal 4 2 4 4 5 3 4" xfId="24164" xr:uid="{BB35C781-8AA7-4B0A-A3D5-FE7F36D64AE6}"/>
    <cellStyle name="Normal 4 2 4 4 5 4" xfId="11500" xr:uid="{32EC1128-4EBB-4DCA-A892-E98E39C2D370}"/>
    <cellStyle name="Normal 4 2 4 4 5 4 2" xfId="47842" xr:uid="{7D114C7D-2ABD-436C-B7F1-A14D1DE86C1C}"/>
    <cellStyle name="Normal 4 2 4 4 5 4 3" xfId="29246" xr:uid="{36343B37-C2FD-4401-9154-1E3211BDF7C3}"/>
    <cellStyle name="Normal 4 2 4 4 5 5" xfId="38545" xr:uid="{2F9AF309-F7DE-44D9-9EDF-C5F49D7315D4}"/>
    <cellStyle name="Normal 4 2 4 4 5 6" xfId="19947" xr:uid="{815FAD15-E5E4-4F3D-ADFC-EECB0F9C5A09}"/>
    <cellStyle name="Normal 4 2 4 4 6" xfId="2521" xr:uid="{00000000-0005-0000-0000-0000B6130000}"/>
    <cellStyle name="Normal 4 2 4 4 6 2" xfId="6804" xr:uid="{00000000-0005-0000-0000-0000B7130000}"/>
    <cellStyle name="Normal 4 2 4 4 6 2 2" xfId="16130" xr:uid="{9D92992F-0843-4622-972F-81A6CD413BDE}"/>
    <cellStyle name="Normal 4 2 4 4 6 2 2 2" xfId="52472" xr:uid="{4E937A10-54E1-409D-B80B-0AE09000E1F6}"/>
    <cellStyle name="Normal 4 2 4 4 6 2 2 3" xfId="33876" xr:uid="{3E29DA8D-3168-4AF3-B154-E0D7C12B8A8A}"/>
    <cellStyle name="Normal 4 2 4 4 6 2 3" xfId="43175" xr:uid="{E9D8CCF7-9B4E-42D8-AC9F-185A66EB7D29}"/>
    <cellStyle name="Normal 4 2 4 4 6 2 4" xfId="24577" xr:uid="{2389E3F1-4B92-4851-9EEA-6A47F17B3482}"/>
    <cellStyle name="Normal 4 2 4 4 6 3" xfId="11913" xr:uid="{C4D0C706-D7E8-422D-9483-3B43C482A268}"/>
    <cellStyle name="Normal 4 2 4 4 6 3 2" xfId="48255" xr:uid="{8E4EDB13-83DA-4FAB-93E7-975919FD5805}"/>
    <cellStyle name="Normal 4 2 4 4 6 3 3" xfId="29659" xr:uid="{610FE206-9772-4623-B0E6-B43E4CF39777}"/>
    <cellStyle name="Normal 4 2 4 4 6 4" xfId="38958" xr:uid="{44B99D63-B079-491E-8E33-70598FBDF76B}"/>
    <cellStyle name="Normal 4 2 4 4 6 5" xfId="20360" xr:uid="{BBCC8E77-7B03-4B06-BEC6-C244761CA390}"/>
    <cellStyle name="Normal 4 2 4 4 7" xfId="4739" xr:uid="{00000000-0005-0000-0000-0000B8130000}"/>
    <cellStyle name="Normal 4 2 4 4 7 2" xfId="14065" xr:uid="{BB4E60E5-55B9-4311-ACCA-8468ED78E8CE}"/>
    <cellStyle name="Normal 4 2 4 4 7 2 2" xfId="50407" xr:uid="{10924960-D9C8-40C8-9309-D03C3C9133E8}"/>
    <cellStyle name="Normal 4 2 4 4 7 2 3" xfId="31811" xr:uid="{07ECF853-33E1-4849-8B5A-29D80AE744AB}"/>
    <cellStyle name="Normal 4 2 4 4 7 3" xfId="41110" xr:uid="{4DA167C0-A067-44F4-A0A8-55242260A408}"/>
    <cellStyle name="Normal 4 2 4 4 7 4" xfId="22512" xr:uid="{26FE3C45-F937-42C4-8898-EB1C96D8DAE5}"/>
    <cellStyle name="Normal 4 2 4 4 8" xfId="8982" xr:uid="{4C273C9B-E12E-4EF2-812F-666600229207}"/>
    <cellStyle name="Normal 4 2 4 4 8 2" xfId="36052" xr:uid="{D18AA957-C98C-4457-8674-03B3C6E6DD20}"/>
    <cellStyle name="Normal 4 2 4 4 8 2 2" xfId="54647" xr:uid="{C08174BE-6784-4B57-BF31-066A74D3487C}"/>
    <cellStyle name="Normal 4 2 4 4 8 3" xfId="45350" xr:uid="{E063E428-07A1-428D-A81D-4BB8470BDCF6}"/>
    <cellStyle name="Normal 4 2 4 4 8 4" xfId="26753" xr:uid="{36A08E51-1CBA-4EA8-9DA8-67DCC2E2DE40}"/>
    <cellStyle name="Normal 4 2 4 4 9" xfId="9848" xr:uid="{3FC53CA1-E8B7-4C57-8AFA-E07E48093878}"/>
    <cellStyle name="Normal 4 2 4 4 9 2" xfId="46190" xr:uid="{93A19851-0B09-457D-8782-6C82EA069C80}"/>
    <cellStyle name="Normal 4 2 4 4 9 3" xfId="27594" xr:uid="{D7AF597F-DF08-4200-AED3-E6BC05767B75}"/>
    <cellStyle name="Normal 4 2 4 5" xfId="831" xr:uid="{00000000-0005-0000-0000-0000B9130000}"/>
    <cellStyle name="Normal 4 2 4 5 2" xfId="3068" xr:uid="{00000000-0005-0000-0000-0000BA130000}"/>
    <cellStyle name="Normal 4 2 4 5 2 2" xfId="7290" xr:uid="{00000000-0005-0000-0000-0000BB130000}"/>
    <cellStyle name="Normal 4 2 4 5 2 2 2" xfId="16616" xr:uid="{0DDA58C9-FC70-46CE-8960-32DBE0F8E027}"/>
    <cellStyle name="Normal 4 2 4 5 2 2 2 2" xfId="52958" xr:uid="{B47E481D-D2F3-4C69-8899-9D310A468E5C}"/>
    <cellStyle name="Normal 4 2 4 5 2 2 2 3" xfId="34362" xr:uid="{D75A3679-2F2F-4D37-B81C-A3EC0B152D08}"/>
    <cellStyle name="Normal 4 2 4 5 2 2 3" xfId="43661" xr:uid="{EAD57AB7-A0EC-4A89-9CB4-292C073A9BE4}"/>
    <cellStyle name="Normal 4 2 4 5 2 2 4" xfId="25063" xr:uid="{07ECD5C7-9F96-47C6-837A-731ACEA0909D}"/>
    <cellStyle name="Normal 4 2 4 5 2 3" xfId="12399" xr:uid="{331D96B8-C88D-4525-9C96-7D616AA982C8}"/>
    <cellStyle name="Normal 4 2 4 5 2 3 2" xfId="48741" xr:uid="{441458CF-8B90-4902-BE1F-E3B9E376B8F9}"/>
    <cellStyle name="Normal 4 2 4 5 2 3 3" xfId="30145" xr:uid="{5E665BED-219A-4DBD-9FD4-B9F01F09F5F8}"/>
    <cellStyle name="Normal 4 2 4 5 2 4" xfId="39444" xr:uid="{20E1C0DF-9132-48D8-AC63-C7E93D3E6A1F}"/>
    <cellStyle name="Normal 4 2 4 5 2 5" xfId="20846" xr:uid="{77527802-8245-4D57-9D83-983E16917E7D}"/>
    <cellStyle name="Normal 4 2 4 5 3" xfId="5145" xr:uid="{00000000-0005-0000-0000-0000BC130000}"/>
    <cellStyle name="Normal 4 2 4 5 3 2" xfId="14471" xr:uid="{6B070538-9191-408F-A24C-FC6B9BE25EB7}"/>
    <cellStyle name="Normal 4 2 4 5 3 2 2" xfId="50813" xr:uid="{B57AD7BC-8FA0-46D1-8579-620D26DF3CD1}"/>
    <cellStyle name="Normal 4 2 4 5 3 2 3" xfId="32217" xr:uid="{3F5C6552-BE35-4328-AB28-037053BF61C5}"/>
    <cellStyle name="Normal 4 2 4 5 3 3" xfId="41516" xr:uid="{9129AE1A-C56C-42ED-BDA8-A930D6442B06}"/>
    <cellStyle name="Normal 4 2 4 5 3 4" xfId="22918" xr:uid="{EE8BDA67-7849-4C1B-B43F-36B89746298D}"/>
    <cellStyle name="Normal 4 2 4 5 4" xfId="9199" xr:uid="{1A9A2DC3-2FEA-4A30-A92C-84708E9B2741}"/>
    <cellStyle name="Normal 4 2 4 5 4 2" xfId="36261" xr:uid="{DBB3262E-D5DA-49C6-BB0B-E44B888A4976}"/>
    <cellStyle name="Normal 4 2 4 5 4 2 2" xfId="54855" xr:uid="{AC12EE80-C2C2-40EA-A92F-051E7F8B5F7C}"/>
    <cellStyle name="Normal 4 2 4 5 4 3" xfId="45558" xr:uid="{19328EB1-B0A6-4A51-BBB9-D3C584C6C648}"/>
    <cellStyle name="Normal 4 2 4 5 4 4" xfId="26962" xr:uid="{820D346F-C04F-4409-A9B9-544D9EDE2BD0}"/>
    <cellStyle name="Normal 4 2 4 5 5" xfId="10254" xr:uid="{3118DAE2-F8D4-4502-962A-7662BCE3EBD0}"/>
    <cellStyle name="Normal 4 2 4 5 5 2" xfId="46596" xr:uid="{1D82FA11-7703-467D-97F4-C41E13B65880}"/>
    <cellStyle name="Normal 4 2 4 5 5 3" xfId="28000" xr:uid="{712941E2-0321-47E7-9C3C-BDF63DF82464}"/>
    <cellStyle name="Normal 4 2 4 5 6" xfId="37299" xr:uid="{85F0990C-93F9-41E7-A7B1-A344D8601A3B}"/>
    <cellStyle name="Normal 4 2 4 5 7" xfId="18701" xr:uid="{5216D673-8895-4D49-9C54-164EB7A5C931}"/>
    <cellStyle name="Normal 4 2 4 6" xfId="1251" xr:uid="{00000000-0005-0000-0000-0000BD130000}"/>
    <cellStyle name="Normal 4 2 4 6 2" xfId="3481" xr:uid="{00000000-0005-0000-0000-0000BE130000}"/>
    <cellStyle name="Normal 4 2 4 6 2 2" xfId="7703" xr:uid="{00000000-0005-0000-0000-0000BF130000}"/>
    <cellStyle name="Normal 4 2 4 6 2 2 2" xfId="17029" xr:uid="{44DDA74C-C307-4C3E-A7CB-E0DDD3D27E9A}"/>
    <cellStyle name="Normal 4 2 4 6 2 2 2 2" xfId="53371" xr:uid="{39A0C91F-0479-4B56-9228-2257D0207625}"/>
    <cellStyle name="Normal 4 2 4 6 2 2 2 3" xfId="34775" xr:uid="{1791FF5C-E99A-4350-BE68-44E853A8851B}"/>
    <cellStyle name="Normal 4 2 4 6 2 2 3" xfId="44074" xr:uid="{C7805057-DBFA-449D-8A37-6102F050BB70}"/>
    <cellStyle name="Normal 4 2 4 6 2 2 4" xfId="25476" xr:uid="{36D7C331-CDC3-44CC-B057-FF941C7E0AC2}"/>
    <cellStyle name="Normal 4 2 4 6 2 3" xfId="12812" xr:uid="{0F75C922-CB36-4066-B598-CF14EC6B1584}"/>
    <cellStyle name="Normal 4 2 4 6 2 3 2" xfId="49154" xr:uid="{685BBEB3-6294-4017-B654-D53129BB7E8D}"/>
    <cellStyle name="Normal 4 2 4 6 2 3 3" xfId="30558" xr:uid="{100996F9-2433-4E7F-A892-91D538F4EF97}"/>
    <cellStyle name="Normal 4 2 4 6 2 4" xfId="39857" xr:uid="{2D153CD2-F6F6-4EE2-B409-78785ABF5414}"/>
    <cellStyle name="Normal 4 2 4 6 2 5" xfId="21259" xr:uid="{1607D110-D66F-472F-A418-BAF96772A4B2}"/>
    <cellStyle name="Normal 4 2 4 6 3" xfId="5558" xr:uid="{00000000-0005-0000-0000-0000C0130000}"/>
    <cellStyle name="Normal 4 2 4 6 3 2" xfId="14884" xr:uid="{FB7CE635-CA67-400A-9AED-D1F0ABA8B017}"/>
    <cellStyle name="Normal 4 2 4 6 3 2 2" xfId="51226" xr:uid="{E1D1A27F-E773-43D1-8160-DABCE5A0632F}"/>
    <cellStyle name="Normal 4 2 4 6 3 2 3" xfId="32630" xr:uid="{ED462ABF-FC1F-4771-A220-BD5F17B13635}"/>
    <cellStyle name="Normal 4 2 4 6 3 3" xfId="41929" xr:uid="{C78D4E2D-6371-40BE-8211-E7ED8AED43CC}"/>
    <cellStyle name="Normal 4 2 4 6 3 4" xfId="23331" xr:uid="{A0DA6215-243D-4AE9-9EE0-4DE19A4E5DEB}"/>
    <cellStyle name="Normal 4 2 4 6 4" xfId="10667" xr:uid="{DAEE30C4-A789-49CB-9BA6-C8ED8F63BF1D}"/>
    <cellStyle name="Normal 4 2 4 6 4 2" xfId="47009" xr:uid="{F4B039C9-C8F1-409A-8251-1DD1C36FCDD2}"/>
    <cellStyle name="Normal 4 2 4 6 4 3" xfId="28413" xr:uid="{4BDD3B3E-BA91-4F7B-88ED-1C498EF71723}"/>
    <cellStyle name="Normal 4 2 4 6 5" xfId="37712" xr:uid="{20B4FFF0-38AF-4F83-85B0-09D63F93C4BA}"/>
    <cellStyle name="Normal 4 2 4 6 6" xfId="19114" xr:uid="{5D2A1632-6062-48D3-A33E-EFA5A29F2E98}"/>
    <cellStyle name="Normal 4 2 4 7" xfId="1664" xr:uid="{00000000-0005-0000-0000-0000C1130000}"/>
    <cellStyle name="Normal 4 2 4 7 2" xfId="3894" xr:uid="{00000000-0005-0000-0000-0000C2130000}"/>
    <cellStyle name="Normal 4 2 4 7 2 2" xfId="8116" xr:uid="{00000000-0005-0000-0000-0000C3130000}"/>
    <cellStyle name="Normal 4 2 4 7 2 2 2" xfId="17442" xr:uid="{36A82AAC-4D80-49DC-A036-62BA967DCA95}"/>
    <cellStyle name="Normal 4 2 4 7 2 2 2 2" xfId="53784" xr:uid="{67340D4B-BBA7-4FD0-BD00-AEAAC4F48E7D}"/>
    <cellStyle name="Normal 4 2 4 7 2 2 2 3" xfId="35188" xr:uid="{0063D396-31EA-432B-91C0-B7FF8AF9880F}"/>
    <cellStyle name="Normal 4 2 4 7 2 2 3" xfId="44487" xr:uid="{65F0D5E5-33B3-4DB0-A727-05F148714702}"/>
    <cellStyle name="Normal 4 2 4 7 2 2 4" xfId="25889" xr:uid="{E61C3743-6EA4-4D59-934F-59297DDEB343}"/>
    <cellStyle name="Normal 4 2 4 7 2 3" xfId="13225" xr:uid="{A8D83112-85E3-4E06-B92D-8D9D63E51AA3}"/>
    <cellStyle name="Normal 4 2 4 7 2 3 2" xfId="49567" xr:uid="{28F259E5-D2CF-41FD-9BE8-0FBA4AF10AE7}"/>
    <cellStyle name="Normal 4 2 4 7 2 3 3" xfId="30971" xr:uid="{649374ED-136E-4D4A-99BF-669775381C90}"/>
    <cellStyle name="Normal 4 2 4 7 2 4" xfId="40270" xr:uid="{BDA63113-9EC4-4253-B4FF-29823DEA0DDD}"/>
    <cellStyle name="Normal 4 2 4 7 2 5" xfId="21672" xr:uid="{2989FF80-4FEA-4A4E-B502-A0F500405B8B}"/>
    <cellStyle name="Normal 4 2 4 7 3" xfId="5971" xr:uid="{00000000-0005-0000-0000-0000C4130000}"/>
    <cellStyle name="Normal 4 2 4 7 3 2" xfId="15297" xr:uid="{764B8609-A4BC-47CC-AC43-81D359B2832C}"/>
    <cellStyle name="Normal 4 2 4 7 3 2 2" xfId="51639" xr:uid="{D49C8FA9-B112-4E82-8849-2AD1B43D631B}"/>
    <cellStyle name="Normal 4 2 4 7 3 2 3" xfId="33043" xr:uid="{A3E67908-205A-4729-9FF5-7E1059756717}"/>
    <cellStyle name="Normal 4 2 4 7 3 3" xfId="42342" xr:uid="{A4C00AA5-610B-4BCF-B45E-CEECB9E70820}"/>
    <cellStyle name="Normal 4 2 4 7 3 4" xfId="23744" xr:uid="{A89B5EB4-193A-4C55-B7C8-BDE177A45606}"/>
    <cellStyle name="Normal 4 2 4 7 4" xfId="11080" xr:uid="{A5C2BABA-4CF5-410A-904E-983793C140DD}"/>
    <cellStyle name="Normal 4 2 4 7 4 2" xfId="47422" xr:uid="{44EC741F-C4AE-429C-8D7A-8FBD796BCF62}"/>
    <cellStyle name="Normal 4 2 4 7 4 3" xfId="28826" xr:uid="{74FC8E4E-D4B1-4FB8-87F6-B796515564B6}"/>
    <cellStyle name="Normal 4 2 4 7 5" xfId="38125" xr:uid="{34F938A3-057D-4809-B97D-3C107B8CCF18}"/>
    <cellStyle name="Normal 4 2 4 7 6" xfId="19527" xr:uid="{DC002FCC-E8C2-4CA2-91F5-D1B32BC239DA}"/>
    <cellStyle name="Normal 4 2 4 8" xfId="2078" xr:uid="{00000000-0005-0000-0000-0000C5130000}"/>
    <cellStyle name="Normal 4 2 4 8 2" xfId="4307" xr:uid="{00000000-0005-0000-0000-0000C6130000}"/>
    <cellStyle name="Normal 4 2 4 8 2 2" xfId="8529" xr:uid="{00000000-0005-0000-0000-0000C7130000}"/>
    <cellStyle name="Normal 4 2 4 8 2 2 2" xfId="17855" xr:uid="{9922A42B-FC9E-46CD-93F4-A1C13CFC58E8}"/>
    <cellStyle name="Normal 4 2 4 8 2 2 2 2" xfId="54197" xr:uid="{D3672A14-891E-4BCE-97E2-49278A477750}"/>
    <cellStyle name="Normal 4 2 4 8 2 2 2 3" xfId="35601" xr:uid="{AB25FBA6-4FC5-46D9-B3C7-98050D4B1BAD}"/>
    <cellStyle name="Normal 4 2 4 8 2 2 3" xfId="44900" xr:uid="{7994DB25-BC44-4E49-9AAA-498122C9035D}"/>
    <cellStyle name="Normal 4 2 4 8 2 2 4" xfId="26302" xr:uid="{ABD08790-2106-4909-BFC2-9A79D22036A0}"/>
    <cellStyle name="Normal 4 2 4 8 2 3" xfId="13638" xr:uid="{60C6146B-61D5-4160-8F96-006D7681D1A7}"/>
    <cellStyle name="Normal 4 2 4 8 2 3 2" xfId="49980" xr:uid="{FF6D9858-1DD8-4DBB-A522-B6CE880AE906}"/>
    <cellStyle name="Normal 4 2 4 8 2 3 3" xfId="31384" xr:uid="{DE0EFD00-07CE-44F2-A8A4-DFFC3DFB4FC4}"/>
    <cellStyle name="Normal 4 2 4 8 2 4" xfId="40683" xr:uid="{A01EBB3C-27CF-4FBC-9882-FE759B3A355B}"/>
    <cellStyle name="Normal 4 2 4 8 2 5" xfId="22085" xr:uid="{F474E9D5-08C2-4732-B477-AA6B9B3C15D8}"/>
    <cellStyle name="Normal 4 2 4 8 3" xfId="6384" xr:uid="{00000000-0005-0000-0000-0000C8130000}"/>
    <cellStyle name="Normal 4 2 4 8 3 2" xfId="15710" xr:uid="{90D469BD-84EC-4ABF-BFB8-137DA1052CBA}"/>
    <cellStyle name="Normal 4 2 4 8 3 2 2" xfId="52052" xr:uid="{D68D4608-461C-4485-8E3D-157F7854CE6F}"/>
    <cellStyle name="Normal 4 2 4 8 3 2 3" xfId="33456" xr:uid="{A54EE48D-E8C0-4CDA-AD76-610302AEBB47}"/>
    <cellStyle name="Normal 4 2 4 8 3 3" xfId="42755" xr:uid="{54B59F64-C4D8-4E4E-8EB9-1BF3B7212B43}"/>
    <cellStyle name="Normal 4 2 4 8 3 4" xfId="24157" xr:uid="{57BEA5D3-3272-4D83-AD4B-A72CFD564CD8}"/>
    <cellStyle name="Normal 4 2 4 8 4" xfId="11493" xr:uid="{512FB2F8-3B1D-4A10-AD49-E97C281A4ECD}"/>
    <cellStyle name="Normal 4 2 4 8 4 2" xfId="47835" xr:uid="{76A29F7B-CF94-4AC2-9434-54372C1D516F}"/>
    <cellStyle name="Normal 4 2 4 8 4 3" xfId="29239" xr:uid="{9850C225-0C46-4A24-AE41-E42EE3734C33}"/>
    <cellStyle name="Normal 4 2 4 8 5" xfId="38538" xr:uid="{FA65458F-C1D9-4707-A34C-5BA66836096A}"/>
    <cellStyle name="Normal 4 2 4 8 6" xfId="19940" xr:uid="{05A43983-1E1E-4790-AAD5-F5504F9C57A6}"/>
    <cellStyle name="Normal 4 2 4 9" xfId="2514" xr:uid="{00000000-0005-0000-0000-0000C9130000}"/>
    <cellStyle name="Normal 4 2 4 9 2" xfId="6797" xr:uid="{00000000-0005-0000-0000-0000CA130000}"/>
    <cellStyle name="Normal 4 2 4 9 2 2" xfId="16123" xr:uid="{EF679B90-7EB5-4AFB-9F97-9A2F6E6C2270}"/>
    <cellStyle name="Normal 4 2 4 9 2 2 2" xfId="52465" xr:uid="{123B2D5C-770F-48E9-B1D7-9569122C4E8C}"/>
    <cellStyle name="Normal 4 2 4 9 2 2 3" xfId="33869" xr:uid="{F8A00473-56E3-47F7-B5A2-3217FCB7A3E5}"/>
    <cellStyle name="Normal 4 2 4 9 2 3" xfId="43168" xr:uid="{BDDDA96C-D08A-4A32-B3AB-357DBDDFB877}"/>
    <cellStyle name="Normal 4 2 4 9 2 4" xfId="24570" xr:uid="{B9E12592-ED02-42A4-A7A6-AF7EC6710F0D}"/>
    <cellStyle name="Normal 4 2 4 9 3" xfId="11906" xr:uid="{B9512ABC-2A63-4444-AD0E-54A16935F9BF}"/>
    <cellStyle name="Normal 4 2 4 9 3 2" xfId="48248" xr:uid="{B8F280E2-AACB-4B83-9B9A-F604E576AAD8}"/>
    <cellStyle name="Normal 4 2 4 9 3 3" xfId="29652" xr:uid="{42FFD0E4-7EB0-4CCB-A4EB-90794280AF7E}"/>
    <cellStyle name="Normal 4 2 4 9 4" xfId="38951" xr:uid="{74103B53-061A-4698-B67D-E97C690DBF45}"/>
    <cellStyle name="Normal 4 2 4 9 5" xfId="20353" xr:uid="{6D57EF07-4891-4D56-AAE0-3A5BBEDCF1D6}"/>
    <cellStyle name="Normal 4 2 5" xfId="363" xr:uid="{00000000-0005-0000-0000-0000CB130000}"/>
    <cellStyle name="Normal 4 2 5 10" xfId="9849" xr:uid="{FB36E7FD-71E9-46F5-B81C-7B3924B87311}"/>
    <cellStyle name="Normal 4 2 5 10 2" xfId="46191" xr:uid="{52AD7119-00E0-4CC8-ABD3-772B84C813B7}"/>
    <cellStyle name="Normal 4 2 5 10 3" xfId="27595" xr:uid="{9605D129-2DBE-48B2-8433-245D7417A7D8}"/>
    <cellStyle name="Normal 4 2 5 11" xfId="36894" xr:uid="{CE8010F3-75E7-4BDC-B4AA-90C95C2EA6A9}"/>
    <cellStyle name="Normal 4 2 5 12" xfId="18296" xr:uid="{963BAFD1-9AFB-4D29-AF12-C1E7660D434D}"/>
    <cellStyle name="Normal 4 2 5 2" xfId="364" xr:uid="{00000000-0005-0000-0000-0000CC130000}"/>
    <cellStyle name="Normal 4 2 5 2 10" xfId="36895" xr:uid="{2F4A8AD4-874C-473C-88F3-384F934E9268}"/>
    <cellStyle name="Normal 4 2 5 2 11" xfId="18297" xr:uid="{119785D0-926E-4326-84F0-460AE92335B0}"/>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16625" xr:uid="{1C5CEBE1-4091-4378-B2EB-2A6CA31DCF62}"/>
    <cellStyle name="Normal 4 2 5 2 2 2 2 2 2" xfId="52967" xr:uid="{C5E61306-74BF-45E7-B497-6784E266DCAC}"/>
    <cellStyle name="Normal 4 2 5 2 2 2 2 2 3" xfId="34371" xr:uid="{2245BC8C-3515-497B-960E-F3710833E58C}"/>
    <cellStyle name="Normal 4 2 5 2 2 2 2 3" xfId="43670" xr:uid="{246BDA3B-9540-471B-B5B3-44AAD4335354}"/>
    <cellStyle name="Normal 4 2 5 2 2 2 2 4" xfId="25072" xr:uid="{F8148D8C-9161-4723-9C08-26E6BBECCB6A}"/>
    <cellStyle name="Normal 4 2 5 2 2 2 3" xfId="12408" xr:uid="{6BED98ED-27D4-48BE-9AF4-D3EA28DAE8AC}"/>
    <cellStyle name="Normal 4 2 5 2 2 2 3 2" xfId="48750" xr:uid="{B6FDAFF8-CAED-4160-846F-F1BE489AD927}"/>
    <cellStyle name="Normal 4 2 5 2 2 2 3 3" xfId="30154" xr:uid="{9C723844-095F-47B2-A057-92E242BF9174}"/>
    <cellStyle name="Normal 4 2 5 2 2 2 4" xfId="39453" xr:uid="{4AF77FF6-2C5B-44A5-8905-C23B98EC2C9B}"/>
    <cellStyle name="Normal 4 2 5 2 2 2 5" xfId="20855" xr:uid="{42775487-2CBE-4050-8289-0031C854EEEC}"/>
    <cellStyle name="Normal 4 2 5 2 2 3" xfId="5154" xr:uid="{00000000-0005-0000-0000-0000D0130000}"/>
    <cellStyle name="Normal 4 2 5 2 2 3 2" xfId="14480" xr:uid="{F67049DE-5FE3-421A-AE80-07F567AD1190}"/>
    <cellStyle name="Normal 4 2 5 2 2 3 2 2" xfId="50822" xr:uid="{644C912C-3375-487A-9A4A-4AC461BF66DF}"/>
    <cellStyle name="Normal 4 2 5 2 2 3 2 3" xfId="32226" xr:uid="{593EBE29-A113-444F-96C7-72E192F8E79D}"/>
    <cellStyle name="Normal 4 2 5 2 2 3 3" xfId="41525" xr:uid="{31B09AA2-AC8A-4319-B047-E87F29F353AF}"/>
    <cellStyle name="Normal 4 2 5 2 2 3 4" xfId="22927" xr:uid="{239BA031-A5F7-4824-9E2D-3E0082A73FF2}"/>
    <cellStyle name="Normal 4 2 5 2 2 4" xfId="9478" xr:uid="{9FEAEEC2-067D-4244-BB0F-0858128140EB}"/>
    <cellStyle name="Normal 4 2 5 2 2 4 2" xfId="36539" xr:uid="{BEE6279A-9A6E-4E0D-9218-13FF8AC052C4}"/>
    <cellStyle name="Normal 4 2 5 2 2 4 2 2" xfId="55133" xr:uid="{F6B2EDB7-14C9-4607-8497-A550738E6DD6}"/>
    <cellStyle name="Normal 4 2 5 2 2 4 3" xfId="45836" xr:uid="{2328CE44-7FA2-4E50-8EB8-8980D7A2F78A}"/>
    <cellStyle name="Normal 4 2 5 2 2 4 4" xfId="27240" xr:uid="{B7AA2E4C-33F8-4BE4-BEDC-4152DE961861}"/>
    <cellStyle name="Normal 4 2 5 2 2 5" xfId="10263" xr:uid="{5EBE37FF-AB12-42EB-B089-E1F30601A98B}"/>
    <cellStyle name="Normal 4 2 5 2 2 5 2" xfId="46605" xr:uid="{30A2D07E-16D5-4EA7-810C-EEA9D2D5A3FF}"/>
    <cellStyle name="Normal 4 2 5 2 2 5 3" xfId="28009" xr:uid="{D4C06A9C-A6C0-404D-B2B8-284F38CC184A}"/>
    <cellStyle name="Normal 4 2 5 2 2 6" xfId="37308" xr:uid="{15649826-194B-4171-B523-1CE906AA461B}"/>
    <cellStyle name="Normal 4 2 5 2 2 7" xfId="18710" xr:uid="{F2F2C210-08D2-4861-8B3E-4D4EBBADCA46}"/>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17038" xr:uid="{57E27A72-2CA3-4895-BAE4-5BB24679F153}"/>
    <cellStyle name="Normal 4 2 5 2 3 2 2 2 2" xfId="53380" xr:uid="{4F3E9A10-A935-4EFC-B7CE-39456BDBB7D4}"/>
    <cellStyle name="Normal 4 2 5 2 3 2 2 2 3" xfId="34784" xr:uid="{4EC6176B-4639-4BCB-97A7-47EB52A12EAD}"/>
    <cellStyle name="Normal 4 2 5 2 3 2 2 3" xfId="44083" xr:uid="{21FFAE98-FB5A-49AD-82EC-15FE9175FE5D}"/>
    <cellStyle name="Normal 4 2 5 2 3 2 2 4" xfId="25485" xr:uid="{9E130A78-1D04-46FA-ADDA-61922ABBD32C}"/>
    <cellStyle name="Normal 4 2 5 2 3 2 3" xfId="12821" xr:uid="{B6429E69-3234-4807-ADEC-D8DBE9E3DC82}"/>
    <cellStyle name="Normal 4 2 5 2 3 2 3 2" xfId="49163" xr:uid="{ECABACBE-5688-4DB0-BE0B-7D2C5FEA4F7B}"/>
    <cellStyle name="Normal 4 2 5 2 3 2 3 3" xfId="30567" xr:uid="{DBF53535-8B76-4A4A-AD0D-F7A7E963D5E6}"/>
    <cellStyle name="Normal 4 2 5 2 3 2 4" xfId="39866" xr:uid="{61C329AD-3187-45B9-8B7C-915C268B58DE}"/>
    <cellStyle name="Normal 4 2 5 2 3 2 5" xfId="21268" xr:uid="{252AFAEC-7F73-44A6-958E-E88D66960218}"/>
    <cellStyle name="Normal 4 2 5 2 3 3" xfId="5567" xr:uid="{00000000-0005-0000-0000-0000D4130000}"/>
    <cellStyle name="Normal 4 2 5 2 3 3 2" xfId="14893" xr:uid="{1E45C568-5F4A-4D3D-A570-B4FEFA14AA46}"/>
    <cellStyle name="Normal 4 2 5 2 3 3 2 2" xfId="51235" xr:uid="{88BA9B75-93C6-4EF5-B24E-2CC2FDF3D798}"/>
    <cellStyle name="Normal 4 2 5 2 3 3 2 3" xfId="32639" xr:uid="{0C613228-B70A-4AD7-8884-C68131E23E70}"/>
    <cellStyle name="Normal 4 2 5 2 3 3 3" xfId="41938" xr:uid="{4A8C82D8-1009-44CC-9312-9287DF47B9BA}"/>
    <cellStyle name="Normal 4 2 5 2 3 3 4" xfId="23340" xr:uid="{71A540DC-EBF5-43D2-A2D0-E732913760B5}"/>
    <cellStyle name="Normal 4 2 5 2 3 4" xfId="10676" xr:uid="{12A0D307-F9A0-4BC7-97B8-F43BD0759AFF}"/>
    <cellStyle name="Normal 4 2 5 2 3 4 2" xfId="47018" xr:uid="{CC772D71-51A3-42AB-BF16-9FB4E65E855A}"/>
    <cellStyle name="Normal 4 2 5 2 3 4 3" xfId="28422" xr:uid="{E55F25AB-795D-486A-8D0F-F902B366D79F}"/>
    <cellStyle name="Normal 4 2 5 2 3 5" xfId="37721" xr:uid="{2E98B7F4-D6B2-453C-B084-4B589AA12970}"/>
    <cellStyle name="Normal 4 2 5 2 3 6" xfId="19123" xr:uid="{B9ECF3EC-FB57-4176-ACC4-3E9CD6A7992D}"/>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17451" xr:uid="{35EBF5A9-48C1-4EB4-9B04-45BCA851076F}"/>
    <cellStyle name="Normal 4 2 5 2 4 2 2 2 2" xfId="53793" xr:uid="{3FA06AB5-B820-4DB4-9008-4E272D8E5F62}"/>
    <cellStyle name="Normal 4 2 5 2 4 2 2 2 3" xfId="35197" xr:uid="{FFDFBD7B-8D0F-4006-B499-0B84659B966B}"/>
    <cellStyle name="Normal 4 2 5 2 4 2 2 3" xfId="44496" xr:uid="{D07D0BCF-F8B1-4D1D-8A2A-210C010E769B}"/>
    <cellStyle name="Normal 4 2 5 2 4 2 2 4" xfId="25898" xr:uid="{F7867110-906C-457B-824A-5EBF2B79B58A}"/>
    <cellStyle name="Normal 4 2 5 2 4 2 3" xfId="13234" xr:uid="{814094E0-87B7-42DC-84CA-AB26E3B8995A}"/>
    <cellStyle name="Normal 4 2 5 2 4 2 3 2" xfId="49576" xr:uid="{FC11065E-50C2-4948-B2FE-F2832D92683F}"/>
    <cellStyle name="Normal 4 2 5 2 4 2 3 3" xfId="30980" xr:uid="{D37B1212-4158-4639-BC50-00593DC91458}"/>
    <cellStyle name="Normal 4 2 5 2 4 2 4" xfId="40279" xr:uid="{7D0478A7-3D3E-4E7D-B443-10599A0D8AD8}"/>
    <cellStyle name="Normal 4 2 5 2 4 2 5" xfId="21681" xr:uid="{FB5246BE-EAE2-48C2-9A87-74C58FA9B54E}"/>
    <cellStyle name="Normal 4 2 5 2 4 3" xfId="5980" xr:uid="{00000000-0005-0000-0000-0000D8130000}"/>
    <cellStyle name="Normal 4 2 5 2 4 3 2" xfId="15306" xr:uid="{1C79ABBA-A946-4AE6-928F-41866E582934}"/>
    <cellStyle name="Normal 4 2 5 2 4 3 2 2" xfId="51648" xr:uid="{1AB3E444-BA28-4608-9657-DDA0E348CA54}"/>
    <cellStyle name="Normal 4 2 5 2 4 3 2 3" xfId="33052" xr:uid="{D55E962E-7723-48A4-86BC-3F2482445026}"/>
    <cellStyle name="Normal 4 2 5 2 4 3 3" xfId="42351" xr:uid="{35EC7E8A-8757-415F-8E35-8CDF05267C59}"/>
    <cellStyle name="Normal 4 2 5 2 4 3 4" xfId="23753" xr:uid="{FC1ABDBC-FCFA-4ABF-8680-86F68C78271B}"/>
    <cellStyle name="Normal 4 2 5 2 4 4" xfId="11089" xr:uid="{B663CA2D-DC35-46F6-8F63-45FFEC5119B3}"/>
    <cellStyle name="Normal 4 2 5 2 4 4 2" xfId="47431" xr:uid="{83BAE5D3-5EC9-45E0-85A2-73B31D9FCA35}"/>
    <cellStyle name="Normal 4 2 5 2 4 4 3" xfId="28835" xr:uid="{6E196072-1935-4C91-AAC5-0C4E4B93A9F2}"/>
    <cellStyle name="Normal 4 2 5 2 4 5" xfId="38134" xr:uid="{4185BB99-6984-43E5-881E-5A92927950E8}"/>
    <cellStyle name="Normal 4 2 5 2 4 6" xfId="19536" xr:uid="{A1E412B6-C724-44DB-B11E-FE1AA4D3CA8C}"/>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17864" xr:uid="{87C2973F-1AF7-4B3F-976F-C2157DB15396}"/>
    <cellStyle name="Normal 4 2 5 2 5 2 2 2 2" xfId="54206" xr:uid="{5EA6A12A-B965-45C5-8D26-D33977941263}"/>
    <cellStyle name="Normal 4 2 5 2 5 2 2 2 3" xfId="35610" xr:uid="{B0ECE789-D783-4CD8-B180-1319B2E461BC}"/>
    <cellStyle name="Normal 4 2 5 2 5 2 2 3" xfId="44909" xr:uid="{7D9A57A5-23E3-4628-A988-CFBC0312AB0C}"/>
    <cellStyle name="Normal 4 2 5 2 5 2 2 4" xfId="26311" xr:uid="{1E1BC090-A652-421D-B541-D1565A8D9E26}"/>
    <cellStyle name="Normal 4 2 5 2 5 2 3" xfId="13647" xr:uid="{6BA09009-E188-4D67-B89A-F53758792184}"/>
    <cellStyle name="Normal 4 2 5 2 5 2 3 2" xfId="49989" xr:uid="{698EDDEF-5903-43F7-92B0-D6C57AF95ABA}"/>
    <cellStyle name="Normal 4 2 5 2 5 2 3 3" xfId="31393" xr:uid="{3B0A31FB-B4F7-4484-9A00-71390C99DEF7}"/>
    <cellStyle name="Normal 4 2 5 2 5 2 4" xfId="40692" xr:uid="{EF349A5C-6ACD-4421-8574-183999C2A4F6}"/>
    <cellStyle name="Normal 4 2 5 2 5 2 5" xfId="22094" xr:uid="{CD5CFCC9-D6F4-48C2-BB47-A3CBB5E2CC28}"/>
    <cellStyle name="Normal 4 2 5 2 5 3" xfId="6393" xr:uid="{00000000-0005-0000-0000-0000DC130000}"/>
    <cellStyle name="Normal 4 2 5 2 5 3 2" xfId="15719" xr:uid="{47AB8A88-E8C4-4C88-A991-40EA50311C16}"/>
    <cellStyle name="Normal 4 2 5 2 5 3 2 2" xfId="52061" xr:uid="{AEC61EAE-E371-4D11-96C3-C6A0F8C07D70}"/>
    <cellStyle name="Normal 4 2 5 2 5 3 2 3" xfId="33465" xr:uid="{F28765AC-951B-4F92-89E1-7B5DFF0CACBD}"/>
    <cellStyle name="Normal 4 2 5 2 5 3 3" xfId="42764" xr:uid="{4B655E71-DAB5-4093-A818-AC784BD67351}"/>
    <cellStyle name="Normal 4 2 5 2 5 3 4" xfId="24166" xr:uid="{669DD461-2A18-4B4E-AD34-4C01030422B5}"/>
    <cellStyle name="Normal 4 2 5 2 5 4" xfId="11502" xr:uid="{BA5DCAB1-6255-4DD9-8EC9-273A2F612B6F}"/>
    <cellStyle name="Normal 4 2 5 2 5 4 2" xfId="47844" xr:uid="{2C575086-7A16-42F6-980E-E717348887A7}"/>
    <cellStyle name="Normal 4 2 5 2 5 4 3" xfId="29248" xr:uid="{AD974521-AAD9-4EFD-B6B3-EC4511F1781A}"/>
    <cellStyle name="Normal 4 2 5 2 5 5" xfId="38547" xr:uid="{37F05D93-AAAC-45A9-8DE7-E61768814BCA}"/>
    <cellStyle name="Normal 4 2 5 2 5 6" xfId="19949" xr:uid="{6A4E4FE3-C873-4052-ACA1-5D2480DAA6FF}"/>
    <cellStyle name="Normal 4 2 5 2 6" xfId="2523" xr:uid="{00000000-0005-0000-0000-0000DD130000}"/>
    <cellStyle name="Normal 4 2 5 2 6 2" xfId="6806" xr:uid="{00000000-0005-0000-0000-0000DE130000}"/>
    <cellStyle name="Normal 4 2 5 2 6 2 2" xfId="16132" xr:uid="{E5BB3590-B43B-4423-A9C2-E2707ACCA01B}"/>
    <cellStyle name="Normal 4 2 5 2 6 2 2 2" xfId="52474" xr:uid="{8F5D8B6A-8B7F-44A7-BAA3-5E506DE0C5AF}"/>
    <cellStyle name="Normal 4 2 5 2 6 2 2 3" xfId="33878" xr:uid="{6E4DD29F-340F-43BC-B85F-DA45A90E32F9}"/>
    <cellStyle name="Normal 4 2 5 2 6 2 3" xfId="43177" xr:uid="{A972EB3C-E218-4C6E-A4C1-4A3CF7C22FF7}"/>
    <cellStyle name="Normal 4 2 5 2 6 2 4" xfId="24579" xr:uid="{5B0A28E9-DDE8-4D2F-A3A8-687DDC117B43}"/>
    <cellStyle name="Normal 4 2 5 2 6 3" xfId="11915" xr:uid="{F3DC9A25-2BFA-47CF-A5CB-9DDFB2DB5205}"/>
    <cellStyle name="Normal 4 2 5 2 6 3 2" xfId="48257" xr:uid="{160FD55B-28F0-4DC4-99EC-24C6ED130C56}"/>
    <cellStyle name="Normal 4 2 5 2 6 3 3" xfId="29661" xr:uid="{15AFEABB-E3AE-469C-B383-C58D699E8A91}"/>
    <cellStyle name="Normal 4 2 5 2 6 4" xfId="38960" xr:uid="{9B3DBD0C-C913-44B0-89ED-B9A29D38238C}"/>
    <cellStyle name="Normal 4 2 5 2 6 5" xfId="20362" xr:uid="{DD90F69C-879D-4DD7-90C0-D356938CE5D6}"/>
    <cellStyle name="Normal 4 2 5 2 7" xfId="4741" xr:uid="{00000000-0005-0000-0000-0000DF130000}"/>
    <cellStyle name="Normal 4 2 5 2 7 2" xfId="14067" xr:uid="{A74F1CDF-6EC5-4BAF-94A6-08196C38A6F8}"/>
    <cellStyle name="Normal 4 2 5 2 7 2 2" xfId="50409" xr:uid="{A30FFFEC-3EAE-4277-8DDD-94F5524B6E18}"/>
    <cellStyle name="Normal 4 2 5 2 7 2 3" xfId="31813" xr:uid="{61970A01-0606-43E4-A10C-45D26CC51975}"/>
    <cellStyle name="Normal 4 2 5 2 7 3" xfId="41112" xr:uid="{3A5C3700-8FED-41F3-A5EE-17D69E9C6387}"/>
    <cellStyle name="Normal 4 2 5 2 7 4" xfId="22514" xr:uid="{06BD0545-EFF1-4BED-A4BA-642E45C9E94C}"/>
    <cellStyle name="Normal 4 2 5 2 8" xfId="9053" xr:uid="{0AE18A98-D9E6-47B9-86B0-DDAD3BC77B48}"/>
    <cellStyle name="Normal 4 2 5 2 8 2" xfId="36123" xr:uid="{E39E8542-FFAA-448E-B1D7-DBC501DD1087}"/>
    <cellStyle name="Normal 4 2 5 2 8 2 2" xfId="54718" xr:uid="{4F2D2B4A-BC46-4DEE-9063-086A5D690F01}"/>
    <cellStyle name="Normal 4 2 5 2 8 3" xfId="45421" xr:uid="{C834D4C5-FD38-4FD1-A14A-708FA3CFF2A9}"/>
    <cellStyle name="Normal 4 2 5 2 8 4" xfId="26824" xr:uid="{6B5D9493-F993-4F4C-A112-F057DF97EEE0}"/>
    <cellStyle name="Normal 4 2 5 2 9" xfId="9850" xr:uid="{1C7C99B5-203B-4EF4-B392-B4DF22804D67}"/>
    <cellStyle name="Normal 4 2 5 2 9 2" xfId="46192" xr:uid="{5C98B0EE-40E8-4495-A001-95E422470957}"/>
    <cellStyle name="Normal 4 2 5 2 9 3" xfId="27596" xr:uid="{2C1F6EEC-D786-432C-BDB7-400FA983D246}"/>
    <cellStyle name="Normal 4 2 5 3" xfId="839" xr:uid="{00000000-0005-0000-0000-0000E0130000}"/>
    <cellStyle name="Normal 4 2 5 3 2" xfId="3076" xr:uid="{00000000-0005-0000-0000-0000E1130000}"/>
    <cellStyle name="Normal 4 2 5 3 2 2" xfId="7298" xr:uid="{00000000-0005-0000-0000-0000E2130000}"/>
    <cellStyle name="Normal 4 2 5 3 2 2 2" xfId="16624" xr:uid="{C654D855-351D-4F8F-8A65-58F712E223BB}"/>
    <cellStyle name="Normal 4 2 5 3 2 2 2 2" xfId="52966" xr:uid="{FFAC8B84-6315-40B6-AB3F-2ED4C0DCC285}"/>
    <cellStyle name="Normal 4 2 5 3 2 2 2 3" xfId="34370" xr:uid="{49589DB6-B560-4C07-A273-82C1628B4F4D}"/>
    <cellStyle name="Normal 4 2 5 3 2 2 3" xfId="43669" xr:uid="{6A46C613-9969-4134-B90E-B543EA8DE150}"/>
    <cellStyle name="Normal 4 2 5 3 2 2 4" xfId="25071" xr:uid="{69755658-725D-41AE-9317-99D679D965F8}"/>
    <cellStyle name="Normal 4 2 5 3 2 3" xfId="12407" xr:uid="{6E89D56E-9192-4147-B736-5A9CC39FB133}"/>
    <cellStyle name="Normal 4 2 5 3 2 3 2" xfId="48749" xr:uid="{56C71D6D-D64F-412B-843F-6ADFFAC3290A}"/>
    <cellStyle name="Normal 4 2 5 3 2 3 3" xfId="30153" xr:uid="{22AE0933-D8E6-47DA-A2D7-625DDB3844C8}"/>
    <cellStyle name="Normal 4 2 5 3 2 4" xfId="39452" xr:uid="{3A15CE21-BE38-46E1-9141-BEAB40053A23}"/>
    <cellStyle name="Normal 4 2 5 3 2 5" xfId="20854" xr:uid="{9928E210-BD2F-4F44-B0E3-31A52B83DAA8}"/>
    <cellStyle name="Normal 4 2 5 3 3" xfId="5153" xr:uid="{00000000-0005-0000-0000-0000E3130000}"/>
    <cellStyle name="Normal 4 2 5 3 3 2" xfId="14479" xr:uid="{7220797E-0771-4E4F-80E4-B16EAD3CF0E1}"/>
    <cellStyle name="Normal 4 2 5 3 3 2 2" xfId="50821" xr:uid="{E8E38CB8-4A04-4343-9EC4-FE92F82F60D1}"/>
    <cellStyle name="Normal 4 2 5 3 3 2 3" xfId="32225" xr:uid="{5ADAACC7-85D1-49A7-B559-BF4501B91844}"/>
    <cellStyle name="Normal 4 2 5 3 3 3" xfId="41524" xr:uid="{7CD5120A-9D7B-41CB-A159-C09670273E0C}"/>
    <cellStyle name="Normal 4 2 5 3 3 4" xfId="22926" xr:uid="{8781680E-C51C-4400-A0CA-A2137B8BA9B0}"/>
    <cellStyle name="Normal 4 2 5 3 4" xfId="9271" xr:uid="{41AE7BB1-E3C7-48BD-B24F-55AE39E68BB6}"/>
    <cellStyle name="Normal 4 2 5 3 4 2" xfId="36332" xr:uid="{EF70A6CE-8BF5-4681-B2F0-9C57B007C42B}"/>
    <cellStyle name="Normal 4 2 5 3 4 2 2" xfId="54926" xr:uid="{C6942567-C1B1-4E68-AE7A-1FB8DF042DC6}"/>
    <cellStyle name="Normal 4 2 5 3 4 3" xfId="45629" xr:uid="{51E71136-C0A5-4D2D-B974-2743F78DF14B}"/>
    <cellStyle name="Normal 4 2 5 3 4 4" xfId="27033" xr:uid="{C27E01E6-0245-4273-8E06-A7491DA73116}"/>
    <cellStyle name="Normal 4 2 5 3 5" xfId="10262" xr:uid="{EA476FDE-A3FB-4C19-9EF6-2E85E99FCB3D}"/>
    <cellStyle name="Normal 4 2 5 3 5 2" xfId="46604" xr:uid="{EE4ACFE5-A71C-4FFC-AA16-54BC2EFF2B74}"/>
    <cellStyle name="Normal 4 2 5 3 5 3" xfId="28008" xr:uid="{84348542-7D4F-440C-8EAC-88BB8AB4B86C}"/>
    <cellStyle name="Normal 4 2 5 3 6" xfId="37307" xr:uid="{EED06FED-67D1-44D3-BBD0-555AD2E86000}"/>
    <cellStyle name="Normal 4 2 5 3 7" xfId="18709" xr:uid="{81DA1EFC-240E-4121-A8B9-4895B48BF620}"/>
    <cellStyle name="Normal 4 2 5 4" xfId="1259" xr:uid="{00000000-0005-0000-0000-0000E4130000}"/>
    <cellStyle name="Normal 4 2 5 4 2" xfId="3489" xr:uid="{00000000-0005-0000-0000-0000E5130000}"/>
    <cellStyle name="Normal 4 2 5 4 2 2" xfId="7711" xr:uid="{00000000-0005-0000-0000-0000E6130000}"/>
    <cellStyle name="Normal 4 2 5 4 2 2 2" xfId="17037" xr:uid="{7ECC968D-BE60-4C01-9854-47621F08BE44}"/>
    <cellStyle name="Normal 4 2 5 4 2 2 2 2" xfId="53379" xr:uid="{902ED76B-38E9-4E9B-83D3-4F06F9B2B88E}"/>
    <cellStyle name="Normal 4 2 5 4 2 2 2 3" xfId="34783" xr:uid="{E1E5FF98-0F10-4093-9CBC-C625E1A74AFB}"/>
    <cellStyle name="Normal 4 2 5 4 2 2 3" xfId="44082" xr:uid="{0E9C5B15-B9FA-441E-B8FC-33F93B59F04E}"/>
    <cellStyle name="Normal 4 2 5 4 2 2 4" xfId="25484" xr:uid="{BDDC07CB-E033-4E5F-8629-7DFA57317495}"/>
    <cellStyle name="Normal 4 2 5 4 2 3" xfId="12820" xr:uid="{C6DA78EF-ED27-48B4-B5BD-887229101FF4}"/>
    <cellStyle name="Normal 4 2 5 4 2 3 2" xfId="49162" xr:uid="{06897356-6886-45D9-96E6-C156846594CB}"/>
    <cellStyle name="Normal 4 2 5 4 2 3 3" xfId="30566" xr:uid="{35CE216B-6204-4E41-97F8-42864B6A215A}"/>
    <cellStyle name="Normal 4 2 5 4 2 4" xfId="39865" xr:uid="{8541436C-FDF3-4CBB-ADB1-B66882EE5B35}"/>
    <cellStyle name="Normal 4 2 5 4 2 5" xfId="21267" xr:uid="{83C6DD71-8085-4798-88DC-DDB9762432F5}"/>
    <cellStyle name="Normal 4 2 5 4 3" xfId="5566" xr:uid="{00000000-0005-0000-0000-0000E7130000}"/>
    <cellStyle name="Normal 4 2 5 4 3 2" xfId="14892" xr:uid="{9A20B18A-A3F8-4EF2-A533-AC3E514047CF}"/>
    <cellStyle name="Normal 4 2 5 4 3 2 2" xfId="51234" xr:uid="{C86BC615-1D78-4E78-BEDA-1B57FBFB5E8C}"/>
    <cellStyle name="Normal 4 2 5 4 3 2 3" xfId="32638" xr:uid="{B13E5F1B-43E4-4856-A025-ED5AB257D274}"/>
    <cellStyle name="Normal 4 2 5 4 3 3" xfId="41937" xr:uid="{4F928918-003C-4D62-8020-E834669A35F1}"/>
    <cellStyle name="Normal 4 2 5 4 3 4" xfId="23339" xr:uid="{378BE238-B4F9-44D5-A251-2C49ECCFF88F}"/>
    <cellStyle name="Normal 4 2 5 4 4" xfId="10675" xr:uid="{94678AF7-5E6B-48F3-AFF3-F70625F6C50F}"/>
    <cellStyle name="Normal 4 2 5 4 4 2" xfId="47017" xr:uid="{C0C6D8E4-11B0-4434-8E4A-62FCA71D0439}"/>
    <cellStyle name="Normal 4 2 5 4 4 3" xfId="28421" xr:uid="{87EB227A-2E00-4B12-AF6A-B6A9B3890BC8}"/>
    <cellStyle name="Normal 4 2 5 4 5" xfId="37720" xr:uid="{6F33FAA5-8C38-4B11-8144-0DE98F2BB97F}"/>
    <cellStyle name="Normal 4 2 5 4 6" xfId="19122" xr:uid="{3D993CDB-BB65-4462-B9F0-D1757FDC0F97}"/>
    <cellStyle name="Normal 4 2 5 5" xfId="1672" xr:uid="{00000000-0005-0000-0000-0000E8130000}"/>
    <cellStyle name="Normal 4 2 5 5 2" xfId="3902" xr:uid="{00000000-0005-0000-0000-0000E9130000}"/>
    <cellStyle name="Normal 4 2 5 5 2 2" xfId="8124" xr:uid="{00000000-0005-0000-0000-0000EA130000}"/>
    <cellStyle name="Normal 4 2 5 5 2 2 2" xfId="17450" xr:uid="{ADC476DD-8880-4EC8-A7FE-6A3FC3FBE812}"/>
    <cellStyle name="Normal 4 2 5 5 2 2 2 2" xfId="53792" xr:uid="{83849184-B2BA-46B0-9E7E-41BED4746AB5}"/>
    <cellStyle name="Normal 4 2 5 5 2 2 2 3" xfId="35196" xr:uid="{171BAA8C-9660-4FE2-BED4-6D0CF185F140}"/>
    <cellStyle name="Normal 4 2 5 5 2 2 3" xfId="44495" xr:uid="{035128BA-859E-44A9-90CA-E4025B6D8DC3}"/>
    <cellStyle name="Normal 4 2 5 5 2 2 4" xfId="25897" xr:uid="{873A9D0B-D094-4A40-A919-DF6E4A58665B}"/>
    <cellStyle name="Normal 4 2 5 5 2 3" xfId="13233" xr:uid="{81C15C40-DCEA-403E-A915-E77532B77B0C}"/>
    <cellStyle name="Normal 4 2 5 5 2 3 2" xfId="49575" xr:uid="{33BF2CCB-9BE5-4C3F-A6A6-42C0F8F26B63}"/>
    <cellStyle name="Normal 4 2 5 5 2 3 3" xfId="30979" xr:uid="{759EF445-A9B4-4075-A7FC-41BD6E98342E}"/>
    <cellStyle name="Normal 4 2 5 5 2 4" xfId="40278" xr:uid="{A1075B65-B647-4AE7-8C33-B8853989BBBB}"/>
    <cellStyle name="Normal 4 2 5 5 2 5" xfId="21680" xr:uid="{42A61C8D-3D1B-4284-BB3A-B6C305D9D752}"/>
    <cellStyle name="Normal 4 2 5 5 3" xfId="5979" xr:uid="{00000000-0005-0000-0000-0000EB130000}"/>
    <cellStyle name="Normal 4 2 5 5 3 2" xfId="15305" xr:uid="{3A7A9041-360D-45EF-9868-7EECE6912877}"/>
    <cellStyle name="Normal 4 2 5 5 3 2 2" xfId="51647" xr:uid="{10DEF87D-5983-4250-A540-92502E73F7FB}"/>
    <cellStyle name="Normal 4 2 5 5 3 2 3" xfId="33051" xr:uid="{370C3A87-635C-4F83-BFB3-F37352EFEA24}"/>
    <cellStyle name="Normal 4 2 5 5 3 3" xfId="42350" xr:uid="{73B64401-A137-4681-BB80-AC1656E2B20E}"/>
    <cellStyle name="Normal 4 2 5 5 3 4" xfId="23752" xr:uid="{8EA451E9-09DE-462B-9C68-BFF1D7979478}"/>
    <cellStyle name="Normal 4 2 5 5 4" xfId="11088" xr:uid="{0C3CB59E-8BD6-44B8-B995-833C48E4AACA}"/>
    <cellStyle name="Normal 4 2 5 5 4 2" xfId="47430" xr:uid="{920DC264-C2B6-4B55-B671-D239EE79F92D}"/>
    <cellStyle name="Normal 4 2 5 5 4 3" xfId="28834" xr:uid="{18B83752-9668-4D0A-AAA1-CE054BE305D8}"/>
    <cellStyle name="Normal 4 2 5 5 5" xfId="38133" xr:uid="{FCEF0FF8-4D78-4941-837C-2D37E0492501}"/>
    <cellStyle name="Normal 4 2 5 5 6" xfId="19535" xr:uid="{FF620976-5441-41BC-AAE5-1F6B216871C6}"/>
    <cellStyle name="Normal 4 2 5 6" xfId="2086" xr:uid="{00000000-0005-0000-0000-0000EC130000}"/>
    <cellStyle name="Normal 4 2 5 6 2" xfId="4315" xr:uid="{00000000-0005-0000-0000-0000ED130000}"/>
    <cellStyle name="Normal 4 2 5 6 2 2" xfId="8537" xr:uid="{00000000-0005-0000-0000-0000EE130000}"/>
    <cellStyle name="Normal 4 2 5 6 2 2 2" xfId="17863" xr:uid="{86CFA02B-457A-4FDB-B2C3-C01FA99F9309}"/>
    <cellStyle name="Normal 4 2 5 6 2 2 2 2" xfId="54205" xr:uid="{B84885DE-142E-4D4E-BAAF-05A825D97B36}"/>
    <cellStyle name="Normal 4 2 5 6 2 2 2 3" xfId="35609" xr:uid="{2249D49F-2CF9-49A6-8B8A-7E58FD8DC9F4}"/>
    <cellStyle name="Normal 4 2 5 6 2 2 3" xfId="44908" xr:uid="{046A114B-2A15-437F-BEFF-F04CCBC7ACE3}"/>
    <cellStyle name="Normal 4 2 5 6 2 2 4" xfId="26310" xr:uid="{AB0663FF-86C5-410A-8271-873F79740312}"/>
    <cellStyle name="Normal 4 2 5 6 2 3" xfId="13646" xr:uid="{CD0F5478-AE1F-48B7-95E6-1B528E765773}"/>
    <cellStyle name="Normal 4 2 5 6 2 3 2" xfId="49988" xr:uid="{FD3B8F7F-1A84-4D92-8B88-4E18DF17A998}"/>
    <cellStyle name="Normal 4 2 5 6 2 3 3" xfId="31392" xr:uid="{B8C1033F-1FEA-48E2-9382-03A0E7771F15}"/>
    <cellStyle name="Normal 4 2 5 6 2 4" xfId="40691" xr:uid="{EB78EE57-CEFF-4C9B-9008-17D2C72C0460}"/>
    <cellStyle name="Normal 4 2 5 6 2 5" xfId="22093" xr:uid="{E96A5613-BACA-49D7-B549-DC56BAF69897}"/>
    <cellStyle name="Normal 4 2 5 6 3" xfId="6392" xr:uid="{00000000-0005-0000-0000-0000EF130000}"/>
    <cellStyle name="Normal 4 2 5 6 3 2" xfId="15718" xr:uid="{22D35BAB-F608-49D9-8C8A-852084A5FDD0}"/>
    <cellStyle name="Normal 4 2 5 6 3 2 2" xfId="52060" xr:uid="{FB69B838-A93C-4DA6-B799-EF2630A2FA88}"/>
    <cellStyle name="Normal 4 2 5 6 3 2 3" xfId="33464" xr:uid="{70DE32BD-A0CB-4D1B-A906-E7DE53E0F3F4}"/>
    <cellStyle name="Normal 4 2 5 6 3 3" xfId="42763" xr:uid="{9A430AA0-64C7-499F-92E9-57CD309706FC}"/>
    <cellStyle name="Normal 4 2 5 6 3 4" xfId="24165" xr:uid="{ECF47437-B38C-4C14-AEB8-9F123A2EFB82}"/>
    <cellStyle name="Normal 4 2 5 6 4" xfId="11501" xr:uid="{55C9C24B-262E-41B9-922A-6FE6918D199B}"/>
    <cellStyle name="Normal 4 2 5 6 4 2" xfId="47843" xr:uid="{577F1338-649B-400D-A75B-069B0E44BE68}"/>
    <cellStyle name="Normal 4 2 5 6 4 3" xfId="29247" xr:uid="{B3CF68BB-91B4-4BFE-9412-3A02C93AC187}"/>
    <cellStyle name="Normal 4 2 5 6 5" xfId="38546" xr:uid="{74AE982D-94CD-48FE-831F-D6D13CD93D27}"/>
    <cellStyle name="Normal 4 2 5 6 6" xfId="19948" xr:uid="{54155F08-84B2-42B6-8CFF-E6B9E96649BD}"/>
    <cellStyle name="Normal 4 2 5 7" xfId="2522" xr:uid="{00000000-0005-0000-0000-0000F0130000}"/>
    <cellStyle name="Normal 4 2 5 7 2" xfId="6805" xr:uid="{00000000-0005-0000-0000-0000F1130000}"/>
    <cellStyle name="Normal 4 2 5 7 2 2" xfId="16131" xr:uid="{F51824C6-E383-4911-AB8F-D45432018E42}"/>
    <cellStyle name="Normal 4 2 5 7 2 2 2" xfId="52473" xr:uid="{A15A2030-27C6-4BB7-BB60-D4C386F07E01}"/>
    <cellStyle name="Normal 4 2 5 7 2 2 3" xfId="33877" xr:uid="{727D4EDE-6490-4A61-95BF-EBC11AF48270}"/>
    <cellStyle name="Normal 4 2 5 7 2 3" xfId="43176" xr:uid="{93A0A203-DC43-4E09-B23E-9248AADC9664}"/>
    <cellStyle name="Normal 4 2 5 7 2 4" xfId="24578" xr:uid="{7A1F0354-640B-4011-84B9-1C7B94A19CBA}"/>
    <cellStyle name="Normal 4 2 5 7 3" xfId="11914" xr:uid="{802242ED-5034-47D4-91F3-D97F1311613C}"/>
    <cellStyle name="Normal 4 2 5 7 3 2" xfId="48256" xr:uid="{EB2B795D-91E0-43AF-B81F-1CD1EA1DDBFE}"/>
    <cellStyle name="Normal 4 2 5 7 3 3" xfId="29660" xr:uid="{97D5DF95-3190-4FD0-A00E-C2A1E002ADE6}"/>
    <cellStyle name="Normal 4 2 5 7 4" xfId="38959" xr:uid="{D65F6EB2-85CF-456A-BDB4-238C8CA2C8B3}"/>
    <cellStyle name="Normal 4 2 5 7 5" xfId="20361" xr:uid="{38F90E49-74AF-43A0-8FA1-7AF9A8075F48}"/>
    <cellStyle name="Normal 4 2 5 8" xfId="4740" xr:uid="{00000000-0005-0000-0000-0000F2130000}"/>
    <cellStyle name="Normal 4 2 5 8 2" xfId="14066" xr:uid="{8E4EBE3D-0936-4A07-B006-1677B35CFDA4}"/>
    <cellStyle name="Normal 4 2 5 8 2 2" xfId="50408" xr:uid="{63E4F519-2BD3-4683-B23D-8A87EC6399A7}"/>
    <cellStyle name="Normal 4 2 5 8 2 3" xfId="31812" xr:uid="{DE7DED80-1EAA-43C6-85C6-4F63A3432C7E}"/>
    <cellStyle name="Normal 4 2 5 8 3" xfId="41111" xr:uid="{F14CB79D-9045-4305-B785-95E2DE2E39AC}"/>
    <cellStyle name="Normal 4 2 5 8 4" xfId="22513" xr:uid="{E0C44452-F166-4AD0-AB24-801C8F7B05BA}"/>
    <cellStyle name="Normal 4 2 5 9" xfId="8846" xr:uid="{C69C7E2D-02E8-4C87-9C63-A39D0E37A062}"/>
    <cellStyle name="Normal 4 2 5 9 2" xfId="35916" xr:uid="{F2347990-6B81-402A-BE50-7B4EE2F0BE82}"/>
    <cellStyle name="Normal 4 2 5 9 2 2" xfId="54511" xr:uid="{2792BCDA-4E5A-43D3-80A8-BA7BFF93B55A}"/>
    <cellStyle name="Normal 4 2 5 9 3" xfId="45214" xr:uid="{477BA008-EFA6-4364-8872-C7CEA42F2876}"/>
    <cellStyle name="Normal 4 2 5 9 4" xfId="26617" xr:uid="{52BEE0B9-B12E-456B-96FE-CE90235535A6}"/>
    <cellStyle name="Normal 4 2 6" xfId="365" xr:uid="{00000000-0005-0000-0000-0000F3130000}"/>
    <cellStyle name="Normal 4 2 6 10" xfId="36896" xr:uid="{568163E4-C9E0-4133-BD05-A52DAA630940}"/>
    <cellStyle name="Normal 4 2 6 11" xfId="18298" xr:uid="{893390E7-2A64-4F40-93CB-B4CF48F60582}"/>
    <cellStyle name="Normal 4 2 6 2" xfId="841" xr:uid="{00000000-0005-0000-0000-0000F4130000}"/>
    <cellStyle name="Normal 4 2 6 2 2" xfId="3078" xr:uid="{00000000-0005-0000-0000-0000F5130000}"/>
    <cellStyle name="Normal 4 2 6 2 2 2" xfId="7300" xr:uid="{00000000-0005-0000-0000-0000F6130000}"/>
    <cellStyle name="Normal 4 2 6 2 2 2 2" xfId="16626" xr:uid="{8F4000BE-1E02-4F4F-BB8E-6FB1CCC16C4B}"/>
    <cellStyle name="Normal 4 2 6 2 2 2 2 2" xfId="52968" xr:uid="{158EB67E-5F58-4465-B6DF-B4F7C9808DC9}"/>
    <cellStyle name="Normal 4 2 6 2 2 2 2 3" xfId="34372" xr:uid="{85D6D98A-2E31-480E-89A9-4181004D82EB}"/>
    <cellStyle name="Normal 4 2 6 2 2 2 3" xfId="43671" xr:uid="{35322AFA-A6F8-4C3E-8736-80750C5B57F6}"/>
    <cellStyle name="Normal 4 2 6 2 2 2 4" xfId="25073" xr:uid="{1ABB4B58-5D5C-4863-8C2F-FF197AC552FD}"/>
    <cellStyle name="Normal 4 2 6 2 2 3" xfId="12409" xr:uid="{B641E564-A97C-462E-B00E-8017FE3744BF}"/>
    <cellStyle name="Normal 4 2 6 2 2 3 2" xfId="48751" xr:uid="{CCCCDF3C-38FE-47CE-B8EB-2DB1749ADE13}"/>
    <cellStyle name="Normal 4 2 6 2 2 3 3" xfId="30155" xr:uid="{343E1E9D-88DA-4E72-8764-2F231B25F6EC}"/>
    <cellStyle name="Normal 4 2 6 2 2 4" xfId="39454" xr:uid="{D1A912EC-4F93-4C0B-A7CB-1E2DEF27104E}"/>
    <cellStyle name="Normal 4 2 6 2 2 5" xfId="20856" xr:uid="{05465DBC-9C3B-491F-8B7D-F3B18D7F5861}"/>
    <cellStyle name="Normal 4 2 6 2 3" xfId="5155" xr:uid="{00000000-0005-0000-0000-0000F7130000}"/>
    <cellStyle name="Normal 4 2 6 2 3 2" xfId="14481" xr:uid="{AB29CE7D-701D-4437-BF3C-88188BF33FF8}"/>
    <cellStyle name="Normal 4 2 6 2 3 2 2" xfId="50823" xr:uid="{D793E694-220B-4D5A-95D3-1BC3336464F0}"/>
    <cellStyle name="Normal 4 2 6 2 3 2 3" xfId="32227" xr:uid="{C0206BDB-29B8-4A05-B0E3-E148363BBE83}"/>
    <cellStyle name="Normal 4 2 6 2 3 3" xfId="41526" xr:uid="{D2D76247-A4F3-4C99-A6C7-01E43C672EC4}"/>
    <cellStyle name="Normal 4 2 6 2 3 4" xfId="22928" xr:uid="{93A15314-D252-49D2-84FA-6CB6F27FCA14}"/>
    <cellStyle name="Normal 4 2 6 2 4" xfId="9387" xr:uid="{933EA8C7-37F7-4AF2-922A-47A5CB1A47BC}"/>
    <cellStyle name="Normal 4 2 6 2 4 2" xfId="36448" xr:uid="{C1C3F8BF-1182-4F93-9A23-37C379A14553}"/>
    <cellStyle name="Normal 4 2 6 2 4 2 2" xfId="55042" xr:uid="{F6503E84-9242-48D0-AC6D-FFA5E925503A}"/>
    <cellStyle name="Normal 4 2 6 2 4 3" xfId="45745" xr:uid="{F777E77A-586B-4033-9B9D-000281502F2C}"/>
    <cellStyle name="Normal 4 2 6 2 4 4" xfId="27149" xr:uid="{BB59F794-8955-4A9D-ADEC-E5E4D3F97E00}"/>
    <cellStyle name="Normal 4 2 6 2 5" xfId="10264" xr:uid="{5E63AE12-1956-46E9-B1C6-065881CCFF80}"/>
    <cellStyle name="Normal 4 2 6 2 5 2" xfId="46606" xr:uid="{9B0F76EF-E043-40C0-A3E9-8E7A47453491}"/>
    <cellStyle name="Normal 4 2 6 2 5 3" xfId="28010" xr:uid="{EA8B9415-E9D7-4EBD-9484-AB216FBABDD8}"/>
    <cellStyle name="Normal 4 2 6 2 6" xfId="37309" xr:uid="{7C9124DD-6AE9-45ED-B904-4F0BEF80DD33}"/>
    <cellStyle name="Normal 4 2 6 2 7" xfId="18711" xr:uid="{480B3960-3D94-486B-BFE0-80DC73945197}"/>
    <cellStyle name="Normal 4 2 6 3" xfId="1261" xr:uid="{00000000-0005-0000-0000-0000F8130000}"/>
    <cellStyle name="Normal 4 2 6 3 2" xfId="3491" xr:uid="{00000000-0005-0000-0000-0000F9130000}"/>
    <cellStyle name="Normal 4 2 6 3 2 2" xfId="7713" xr:uid="{00000000-0005-0000-0000-0000FA130000}"/>
    <cellStyle name="Normal 4 2 6 3 2 2 2" xfId="17039" xr:uid="{2CE0F9AF-F720-4B94-B468-C4C43CAC5E43}"/>
    <cellStyle name="Normal 4 2 6 3 2 2 2 2" xfId="53381" xr:uid="{5F5FC50E-CF97-4390-808C-EE42A0B8835F}"/>
    <cellStyle name="Normal 4 2 6 3 2 2 2 3" xfId="34785" xr:uid="{095D1A78-C264-4E60-88E6-8A1215CE0484}"/>
    <cellStyle name="Normal 4 2 6 3 2 2 3" xfId="44084" xr:uid="{19826241-591F-4F45-85F3-99FFFA96033F}"/>
    <cellStyle name="Normal 4 2 6 3 2 2 4" xfId="25486" xr:uid="{2BDF22E3-2A79-48F7-B0A6-ABADC08261A3}"/>
    <cellStyle name="Normal 4 2 6 3 2 3" xfId="12822" xr:uid="{D0678DF0-44E9-4EDD-BCB5-E4544F1C01BB}"/>
    <cellStyle name="Normal 4 2 6 3 2 3 2" xfId="49164" xr:uid="{6A138F47-947D-4D03-A02E-0308FA2DC366}"/>
    <cellStyle name="Normal 4 2 6 3 2 3 3" xfId="30568" xr:uid="{CEDB4735-3C8E-4B37-9154-1C271AE77F6B}"/>
    <cellStyle name="Normal 4 2 6 3 2 4" xfId="39867" xr:uid="{6ECE34D7-7DF1-4AE4-B002-6CB78DE7A2E9}"/>
    <cellStyle name="Normal 4 2 6 3 2 5" xfId="21269" xr:uid="{32E5D132-5190-418C-9755-3A7840BC22A7}"/>
    <cellStyle name="Normal 4 2 6 3 3" xfId="5568" xr:uid="{00000000-0005-0000-0000-0000FB130000}"/>
    <cellStyle name="Normal 4 2 6 3 3 2" xfId="14894" xr:uid="{EC742952-37C0-4133-9361-2039AF6E2764}"/>
    <cellStyle name="Normal 4 2 6 3 3 2 2" xfId="51236" xr:uid="{A2E2C06D-643F-4180-A95C-BB52177146C3}"/>
    <cellStyle name="Normal 4 2 6 3 3 2 3" xfId="32640" xr:uid="{5FE2768C-6E48-47F7-9C45-2993E9F08B2F}"/>
    <cellStyle name="Normal 4 2 6 3 3 3" xfId="41939" xr:uid="{0B6565C7-A499-4156-A7EC-3C8C7F061C22}"/>
    <cellStyle name="Normal 4 2 6 3 3 4" xfId="23341" xr:uid="{31A61711-001A-49AC-AE95-95F76DFA717B}"/>
    <cellStyle name="Normal 4 2 6 3 4" xfId="10677" xr:uid="{E0040FF7-346E-4991-96A1-523836438FE1}"/>
    <cellStyle name="Normal 4 2 6 3 4 2" xfId="47019" xr:uid="{C1C51C85-EA50-4547-B903-2F7577C9EE26}"/>
    <cellStyle name="Normal 4 2 6 3 4 3" xfId="28423" xr:uid="{45592F1F-13CF-4797-9AF0-B00C30C8B8C7}"/>
    <cellStyle name="Normal 4 2 6 3 5" xfId="37722" xr:uid="{8E596EA9-7DF3-47B6-9230-C6702452013B}"/>
    <cellStyle name="Normal 4 2 6 3 6" xfId="19124" xr:uid="{038CC657-C2BB-4D4E-A63F-CB370E37D536}"/>
    <cellStyle name="Normal 4 2 6 4" xfId="1674" xr:uid="{00000000-0005-0000-0000-0000FC130000}"/>
    <cellStyle name="Normal 4 2 6 4 2" xfId="3904" xr:uid="{00000000-0005-0000-0000-0000FD130000}"/>
    <cellStyle name="Normal 4 2 6 4 2 2" xfId="8126" xr:uid="{00000000-0005-0000-0000-0000FE130000}"/>
    <cellStyle name="Normal 4 2 6 4 2 2 2" xfId="17452" xr:uid="{3AD4B477-7407-445F-86EB-43BED002A158}"/>
    <cellStyle name="Normal 4 2 6 4 2 2 2 2" xfId="53794" xr:uid="{B5D7C183-CAE2-48FD-B225-D0D840CA5460}"/>
    <cellStyle name="Normal 4 2 6 4 2 2 2 3" xfId="35198" xr:uid="{9CA4032E-5CE1-4CB0-BE6E-629177977D55}"/>
    <cellStyle name="Normal 4 2 6 4 2 2 3" xfId="44497" xr:uid="{A78EFBAA-5351-4BE9-9A9B-D2A1D3546312}"/>
    <cellStyle name="Normal 4 2 6 4 2 2 4" xfId="25899" xr:uid="{F26AFDD4-71B5-4960-BDC2-EABF632A34F6}"/>
    <cellStyle name="Normal 4 2 6 4 2 3" xfId="13235" xr:uid="{022902C9-0C87-4C61-A399-77280E694C93}"/>
    <cellStyle name="Normal 4 2 6 4 2 3 2" xfId="49577" xr:uid="{F26E23F3-658A-44A7-81E2-F38B56CFA5A2}"/>
    <cellStyle name="Normal 4 2 6 4 2 3 3" xfId="30981" xr:uid="{B81619FB-BB4A-453B-ADA6-ACB797471E3C}"/>
    <cellStyle name="Normal 4 2 6 4 2 4" xfId="40280" xr:uid="{4DD47EE7-45B9-408C-BDF0-F70AD2B745F7}"/>
    <cellStyle name="Normal 4 2 6 4 2 5" xfId="21682" xr:uid="{09F106FA-9830-42DB-BB04-DE3FD09C2AE9}"/>
    <cellStyle name="Normal 4 2 6 4 3" xfId="5981" xr:uid="{00000000-0005-0000-0000-0000FF130000}"/>
    <cellStyle name="Normal 4 2 6 4 3 2" xfId="15307" xr:uid="{DB3DFB49-6599-447E-850D-270E240A8AAF}"/>
    <cellStyle name="Normal 4 2 6 4 3 2 2" xfId="51649" xr:uid="{417DCBC9-36CD-4D08-8DA1-CDE3C62C3877}"/>
    <cellStyle name="Normal 4 2 6 4 3 2 3" xfId="33053" xr:uid="{443C884B-447B-4E41-B29C-9B312BB25961}"/>
    <cellStyle name="Normal 4 2 6 4 3 3" xfId="42352" xr:uid="{C8F81528-5D57-4FFB-90F4-9911848838A4}"/>
    <cellStyle name="Normal 4 2 6 4 3 4" xfId="23754" xr:uid="{9072E2E2-B44A-4253-B09F-034B50C72882}"/>
    <cellStyle name="Normal 4 2 6 4 4" xfId="11090" xr:uid="{1A102077-E062-4880-AEFD-A760A94258EF}"/>
    <cellStyle name="Normal 4 2 6 4 4 2" xfId="47432" xr:uid="{BAC291D7-A3C9-477B-8E77-C4B094CE9264}"/>
    <cellStyle name="Normal 4 2 6 4 4 3" xfId="28836" xr:uid="{7B5362B2-03C4-4738-9CBB-806EA469F646}"/>
    <cellStyle name="Normal 4 2 6 4 5" xfId="38135" xr:uid="{15745501-F3CC-4729-8732-1D22EA9872BE}"/>
    <cellStyle name="Normal 4 2 6 4 6" xfId="19537" xr:uid="{7070FCBB-AAE3-483E-82BE-CC22EF665173}"/>
    <cellStyle name="Normal 4 2 6 5" xfId="2088" xr:uid="{00000000-0005-0000-0000-000000140000}"/>
    <cellStyle name="Normal 4 2 6 5 2" xfId="4317" xr:uid="{00000000-0005-0000-0000-000001140000}"/>
    <cellStyle name="Normal 4 2 6 5 2 2" xfId="8539" xr:uid="{00000000-0005-0000-0000-000002140000}"/>
    <cellStyle name="Normal 4 2 6 5 2 2 2" xfId="17865" xr:uid="{DA28730D-075A-4E86-AF65-962C8877F7AB}"/>
    <cellStyle name="Normal 4 2 6 5 2 2 2 2" xfId="54207" xr:uid="{327DE556-8FC0-41A7-AFCD-9ACC06ECD822}"/>
    <cellStyle name="Normal 4 2 6 5 2 2 2 3" xfId="35611" xr:uid="{081D6CA9-F0D7-4FD6-AB21-131D8E98492D}"/>
    <cellStyle name="Normal 4 2 6 5 2 2 3" xfId="44910" xr:uid="{1983F2AE-4424-4A9A-9DC6-B90FCC986AD4}"/>
    <cellStyle name="Normal 4 2 6 5 2 2 4" xfId="26312" xr:uid="{D058629F-2A6F-4B3C-A325-BFFFAD6DF0F2}"/>
    <cellStyle name="Normal 4 2 6 5 2 3" xfId="13648" xr:uid="{232CEBEC-027A-48CE-ACD7-4F293E990AEA}"/>
    <cellStyle name="Normal 4 2 6 5 2 3 2" xfId="49990" xr:uid="{5E46F68B-5D2C-4872-AF54-147F1866C962}"/>
    <cellStyle name="Normal 4 2 6 5 2 3 3" xfId="31394" xr:uid="{0158914F-CECA-4E30-AA1A-1241AC2A8CF7}"/>
    <cellStyle name="Normal 4 2 6 5 2 4" xfId="40693" xr:uid="{BEDA5B26-1265-40ED-9CDB-19EBB3AE81CC}"/>
    <cellStyle name="Normal 4 2 6 5 2 5" xfId="22095" xr:uid="{945120F9-47C4-4387-9BC9-F378C5E10A8F}"/>
    <cellStyle name="Normal 4 2 6 5 3" xfId="6394" xr:uid="{00000000-0005-0000-0000-000003140000}"/>
    <cellStyle name="Normal 4 2 6 5 3 2" xfId="15720" xr:uid="{9B0EEA7A-3981-42E3-ADA9-9690EF0C245F}"/>
    <cellStyle name="Normal 4 2 6 5 3 2 2" xfId="52062" xr:uid="{9EC7B762-18CC-405F-8434-6497CA52FB31}"/>
    <cellStyle name="Normal 4 2 6 5 3 2 3" xfId="33466" xr:uid="{97FF1C86-B2C9-4666-B237-A378F63CF2D0}"/>
    <cellStyle name="Normal 4 2 6 5 3 3" xfId="42765" xr:uid="{19833BE4-D36E-44FC-8EDB-B6A79D654180}"/>
    <cellStyle name="Normal 4 2 6 5 3 4" xfId="24167" xr:uid="{650A8AB7-6E5F-41D6-AB00-1A349D304D1B}"/>
    <cellStyle name="Normal 4 2 6 5 4" xfId="11503" xr:uid="{F79713C0-9CCD-4413-A8F9-7AF16EF62871}"/>
    <cellStyle name="Normal 4 2 6 5 4 2" xfId="47845" xr:uid="{DCD22834-4EA7-4A29-98C6-5BD31D307FAC}"/>
    <cellStyle name="Normal 4 2 6 5 4 3" xfId="29249" xr:uid="{58FD4C90-75F4-4AA3-93A7-04ABE85A8B76}"/>
    <cellStyle name="Normal 4 2 6 5 5" xfId="38548" xr:uid="{D0BD82B7-DA56-42AF-B91C-52899A45291F}"/>
    <cellStyle name="Normal 4 2 6 5 6" xfId="19950" xr:uid="{673B55B0-7127-418A-959C-AD009132E76F}"/>
    <cellStyle name="Normal 4 2 6 6" xfId="2524" xr:uid="{00000000-0005-0000-0000-000004140000}"/>
    <cellStyle name="Normal 4 2 6 6 2" xfId="6807" xr:uid="{00000000-0005-0000-0000-000005140000}"/>
    <cellStyle name="Normal 4 2 6 6 2 2" xfId="16133" xr:uid="{61BFAE01-3C64-4AE4-9D64-F6FE3CE29AA3}"/>
    <cellStyle name="Normal 4 2 6 6 2 2 2" xfId="52475" xr:uid="{EB37C128-4011-4579-BA58-7396BB5C3AB1}"/>
    <cellStyle name="Normal 4 2 6 6 2 2 3" xfId="33879" xr:uid="{BDF12762-B132-4425-8221-40AAB148653D}"/>
    <cellStyle name="Normal 4 2 6 6 2 3" xfId="43178" xr:uid="{1A8FAA9F-07E0-45F0-8270-E11D73910DD4}"/>
    <cellStyle name="Normal 4 2 6 6 2 4" xfId="24580" xr:uid="{228AB4CE-CAF2-4762-AB8B-C4A9FC48B974}"/>
    <cellStyle name="Normal 4 2 6 6 3" xfId="11916" xr:uid="{806B2552-B590-4BEA-BAE5-E6B420785AE7}"/>
    <cellStyle name="Normal 4 2 6 6 3 2" xfId="48258" xr:uid="{E4329936-9609-4DFE-8B7D-C2CC4CA514A1}"/>
    <cellStyle name="Normal 4 2 6 6 3 3" xfId="29662" xr:uid="{286C0C87-7CB6-4C34-A107-959AC8A1DA7B}"/>
    <cellStyle name="Normal 4 2 6 6 4" xfId="38961" xr:uid="{AE334E5D-2F47-4E04-9E6C-66C12A350E09}"/>
    <cellStyle name="Normal 4 2 6 6 5" xfId="20363" xr:uid="{9D1DC7B0-EAFB-4F7D-8243-D32A1A514CFD}"/>
    <cellStyle name="Normal 4 2 6 7" xfId="4742" xr:uid="{00000000-0005-0000-0000-000006140000}"/>
    <cellStyle name="Normal 4 2 6 7 2" xfId="14068" xr:uid="{6FE04917-FA5D-43C3-947C-AD977EA889E6}"/>
    <cellStyle name="Normal 4 2 6 7 2 2" xfId="50410" xr:uid="{EBAE1EDF-9BA8-414D-9DA9-3E123A261FE0}"/>
    <cellStyle name="Normal 4 2 6 7 2 3" xfId="31814" xr:uid="{1E4D1E5D-C876-4E4B-BB89-D3A734D9CB9E}"/>
    <cellStyle name="Normal 4 2 6 7 3" xfId="41113" xr:uid="{668908A3-E7D1-4D70-B8DF-819F570077AD}"/>
    <cellStyle name="Normal 4 2 6 7 4" xfId="22515" xr:uid="{48331FCF-8259-4911-9A39-F39A5AEC9026}"/>
    <cellStyle name="Normal 4 2 6 8" xfId="8962" xr:uid="{1A1596D6-3914-4465-A638-E540359059D2}"/>
    <cellStyle name="Normal 4 2 6 8 2" xfId="36032" xr:uid="{1D647409-99F7-44CF-891A-5A4D897E1579}"/>
    <cellStyle name="Normal 4 2 6 8 2 2" xfId="54627" xr:uid="{6449F7BC-24C6-476C-B531-1B8032E059CB}"/>
    <cellStyle name="Normal 4 2 6 8 3" xfId="45330" xr:uid="{BBC0912E-FE3A-4539-8666-D66D30C04A51}"/>
    <cellStyle name="Normal 4 2 6 8 4" xfId="26733" xr:uid="{377ED982-EC05-474B-8376-42E93913AA80}"/>
    <cellStyle name="Normal 4 2 6 9" xfId="9851" xr:uid="{4B4D97B1-BC35-4B45-89E5-6FBB314B6E6B}"/>
    <cellStyle name="Normal 4 2 6 9 2" xfId="46193" xr:uid="{5C4C05FA-8D55-4680-9E27-DFC987225F7F}"/>
    <cellStyle name="Normal 4 2 6 9 3" xfId="27597" xr:uid="{29994A1A-5D7F-400F-A969-D1E7F570E29B}"/>
    <cellStyle name="Normal 4 2 7" xfId="9165" xr:uid="{6363F967-7399-442D-B2CE-00085FF7F1E8}"/>
    <cellStyle name="Normal 4 2 7 2" xfId="36229" xr:uid="{1A4F2854-4C4F-4DD7-B23B-9078817D9DD6}"/>
    <cellStyle name="Normal 4 2 7 2 2" xfId="54823" xr:uid="{7E9CEFD0-226F-48E6-8505-DBD6F1A779B0}"/>
    <cellStyle name="Normal 4 2 7 3" xfId="45526" xr:uid="{007F1D5A-225F-4DA8-BBAF-16B8817583CE}"/>
    <cellStyle name="Normal 4 2 7 4" xfId="26930" xr:uid="{D4E6D661-BCA4-4738-96E7-B829B2AA97AA}"/>
    <cellStyle name="Normal 4 2 8" xfId="8743" xr:uid="{E2B8331F-47F9-4829-99C7-E05840A106B9}"/>
    <cellStyle name="Normal 4 2 8 2" xfId="35813" xr:uid="{6D09680C-AC30-4FE4-AE39-B1B45D36AEBB}"/>
    <cellStyle name="Normal 4 2 8 2 2" xfId="54408" xr:uid="{3CEC3FDB-64C2-441D-AEEC-FAAD63F65CDC}"/>
    <cellStyle name="Normal 4 2 8 3" xfId="45111" xr:uid="{26D1E6F4-680C-4DDA-9735-87930A4358F6}"/>
    <cellStyle name="Normal 4 2 8 4" xfId="26514" xr:uid="{3E237036-2819-4D44-9BB2-04B405EBE5C9}"/>
    <cellStyle name="Normal 4 3" xfId="366" xr:uid="{00000000-0005-0000-0000-000007140000}"/>
    <cellStyle name="Normal 4 3 10" xfId="9852" xr:uid="{5B2796CE-A6D7-4650-8030-A5FB01104D0B}"/>
    <cellStyle name="Normal 4 3 10 2" xfId="46194" xr:uid="{0361E331-4A7C-441E-9BF7-60E00ADCE115}"/>
    <cellStyle name="Normal 4 3 10 3" xfId="27598" xr:uid="{93F60893-7D59-4C2D-9E39-3D2AAC3288ED}"/>
    <cellStyle name="Normal 4 3 11" xfId="36897" xr:uid="{11619249-E0BA-4DD5-9AAC-C7CB7560C64F}"/>
    <cellStyle name="Normal 4 3 12" xfId="18299" xr:uid="{BA0FC3AA-7F59-478E-BABE-F3EB2508ECAC}"/>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10 2" xfId="35892" xr:uid="{89C08563-9593-4DD3-B3F2-6E0C82147707}"/>
    <cellStyle name="Normal 4 3 2 2 2 10 2 2" xfId="54487" xr:uid="{30D5F344-7BA7-486C-BD3E-F9B4AA2D9575}"/>
    <cellStyle name="Normal 4 3 2 2 2 10 3" xfId="45190" xr:uid="{30CD4C41-1592-4DAD-8726-59164B5F9B8D}"/>
    <cellStyle name="Normal 4 3 2 2 2 10 4" xfId="26593" xr:uid="{E7BFF026-FA94-4502-B212-ACD04D8E81E3}"/>
    <cellStyle name="Normal 4 3 2 2 2 11" xfId="9853" xr:uid="{53B558B5-40D2-4E8B-BC8B-6CE1A46E4562}"/>
    <cellStyle name="Normal 4 3 2 2 2 11 2" xfId="46195" xr:uid="{444587C1-792D-438D-9A98-2B11B1129CA1}"/>
    <cellStyle name="Normal 4 3 2 2 2 11 3" xfId="27599" xr:uid="{D812F600-F8F4-4669-8DD9-D56A3D2AB901}"/>
    <cellStyle name="Normal 4 3 2 2 2 12" xfId="36898" xr:uid="{D4CE0D25-69E9-426C-8F99-2A8C71187F27}"/>
    <cellStyle name="Normal 4 3 2 2 2 13" xfId="18300" xr:uid="{C67F55B2-7CEB-4F2F-ACF6-4BBE8B5CD809}"/>
    <cellStyle name="Normal 4 3 2 2 2 2" xfId="370" xr:uid="{00000000-0005-0000-0000-00000B140000}"/>
    <cellStyle name="Normal 4 3 2 2 2 2 10" xfId="9854" xr:uid="{B93D8E84-77AD-471D-8D35-05A7091B01E9}"/>
    <cellStyle name="Normal 4 3 2 2 2 2 10 2" xfId="46196" xr:uid="{ADBB82EC-BF5A-403B-95C3-395295402F3F}"/>
    <cellStyle name="Normal 4 3 2 2 2 2 10 3" xfId="27600" xr:uid="{453AD493-E52D-49E5-BC33-873E4CC4DD53}"/>
    <cellStyle name="Normal 4 3 2 2 2 2 11" xfId="36899" xr:uid="{1F1992F9-0B21-4694-87BF-9E85CF5C584B}"/>
    <cellStyle name="Normal 4 3 2 2 2 2 12" xfId="18301" xr:uid="{20A86F2D-3BE7-4FFA-B405-E1A611F3CF58}"/>
    <cellStyle name="Normal 4 3 2 2 2 2 2" xfId="371" xr:uid="{00000000-0005-0000-0000-00000C140000}"/>
    <cellStyle name="Normal 4 3 2 2 2 2 2 10" xfId="36900" xr:uid="{0EF9B2D4-FAFE-49EB-938E-04030E481D26}"/>
    <cellStyle name="Normal 4 3 2 2 2 2 2 11" xfId="18302" xr:uid="{93C3DF47-5B72-4AA9-B9F2-2D939126A794}"/>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16630" xr:uid="{2163887D-A69B-4FB1-B5E0-6F87A3B9B2A6}"/>
    <cellStyle name="Normal 4 3 2 2 2 2 2 2 2 2 2 2" xfId="52972" xr:uid="{B72C3C72-8C41-4A71-9882-4A5A32C02139}"/>
    <cellStyle name="Normal 4 3 2 2 2 2 2 2 2 2 2 3" xfId="34376" xr:uid="{69381EAC-D4B2-4A19-8BD2-43766DA95BC1}"/>
    <cellStyle name="Normal 4 3 2 2 2 2 2 2 2 2 3" xfId="43675" xr:uid="{C2664FEF-D814-4088-A4A5-7E0678F2F8C7}"/>
    <cellStyle name="Normal 4 3 2 2 2 2 2 2 2 2 4" xfId="25077" xr:uid="{4A9B28C4-B988-4BA4-91B1-FE103362A390}"/>
    <cellStyle name="Normal 4 3 2 2 2 2 2 2 2 3" xfId="12413" xr:uid="{FFBB68AA-D596-4C0F-A9FD-37A4B81347A3}"/>
    <cellStyle name="Normal 4 3 2 2 2 2 2 2 2 3 2" xfId="48755" xr:uid="{1018E4AA-B1BB-4812-BDF3-A6DC0A6E17F3}"/>
    <cellStyle name="Normal 4 3 2 2 2 2 2 2 2 3 3" xfId="30159" xr:uid="{ECEE8264-A7A4-4960-BC6A-BE3320B1978C}"/>
    <cellStyle name="Normal 4 3 2 2 2 2 2 2 2 4" xfId="39458" xr:uid="{8D086F50-57E3-4EDB-BE89-477586EDC1BD}"/>
    <cellStyle name="Normal 4 3 2 2 2 2 2 2 2 5" xfId="20860" xr:uid="{622B06BD-731C-4411-9516-CA48BD23DF16}"/>
    <cellStyle name="Normal 4 3 2 2 2 2 2 2 3" xfId="5159" xr:uid="{00000000-0005-0000-0000-000010140000}"/>
    <cellStyle name="Normal 4 3 2 2 2 2 2 2 3 2" xfId="14485" xr:uid="{CD60CB38-FA5D-47D0-8C5A-E045831467C7}"/>
    <cellStyle name="Normal 4 3 2 2 2 2 2 2 3 2 2" xfId="50827" xr:uid="{399A1E9E-F108-4AB5-8E27-3813F1896F37}"/>
    <cellStyle name="Normal 4 3 2 2 2 2 2 2 3 2 3" xfId="32231" xr:uid="{6DA6A36F-55C1-44DA-8382-80B09CFD9BAA}"/>
    <cellStyle name="Normal 4 3 2 2 2 2 2 2 3 3" xfId="41530" xr:uid="{30D6B4FE-2D89-4642-A980-CCFDF4EEED05}"/>
    <cellStyle name="Normal 4 3 2 2 2 2 2 2 3 4" xfId="22932" xr:uid="{A47568C6-6392-45E1-81B7-C0D859E373BF}"/>
    <cellStyle name="Normal 4 3 2 2 2 2 2 2 4" xfId="9557" xr:uid="{4F6BDD99-7BF1-4D2F-9EDC-4F75F1942DB4}"/>
    <cellStyle name="Normal 4 3 2 2 2 2 2 2 4 2" xfId="36618" xr:uid="{570D21CB-413F-47A2-AC62-C7B6D38CD862}"/>
    <cellStyle name="Normal 4 3 2 2 2 2 2 2 4 2 2" xfId="55212" xr:uid="{17C64E2F-4790-4720-B56D-74909921FB53}"/>
    <cellStyle name="Normal 4 3 2 2 2 2 2 2 4 3" xfId="45915" xr:uid="{673D3366-1EC9-4CFE-B561-A633CEE50121}"/>
    <cellStyle name="Normal 4 3 2 2 2 2 2 2 4 4" xfId="27319" xr:uid="{91E1F9EB-61A0-475C-8BBA-70E77C078A4F}"/>
    <cellStyle name="Normal 4 3 2 2 2 2 2 2 5" xfId="10268" xr:uid="{AA64AF8F-76DF-4C97-82AB-18524E04C3D0}"/>
    <cellStyle name="Normal 4 3 2 2 2 2 2 2 5 2" xfId="46610" xr:uid="{127C9778-E5A3-4F9C-87B6-1F9D0EE1C946}"/>
    <cellStyle name="Normal 4 3 2 2 2 2 2 2 5 3" xfId="28014" xr:uid="{C7AD68C8-142F-4152-9767-BFB8939EEC20}"/>
    <cellStyle name="Normal 4 3 2 2 2 2 2 2 6" xfId="37313" xr:uid="{B38D832A-9864-4218-9BF0-0C88D724D0D4}"/>
    <cellStyle name="Normal 4 3 2 2 2 2 2 2 7" xfId="18715" xr:uid="{2BDB87CE-7E38-4B37-9903-F2BECA05F957}"/>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17043" xr:uid="{78A810EF-9739-457D-98E4-6C294D60C8CA}"/>
    <cellStyle name="Normal 4 3 2 2 2 2 2 3 2 2 2 2" xfId="53385" xr:uid="{2F0C8B17-005C-444B-84C3-900DF93D3C58}"/>
    <cellStyle name="Normal 4 3 2 2 2 2 2 3 2 2 2 3" xfId="34789" xr:uid="{9EEEB5AC-619D-431D-B951-A09683DEE097}"/>
    <cellStyle name="Normal 4 3 2 2 2 2 2 3 2 2 3" xfId="44088" xr:uid="{73121101-731B-45F1-8720-39199E545C94}"/>
    <cellStyle name="Normal 4 3 2 2 2 2 2 3 2 2 4" xfId="25490" xr:uid="{4DC96E5C-232B-4965-8D12-489923590B45}"/>
    <cellStyle name="Normal 4 3 2 2 2 2 2 3 2 3" xfId="12826" xr:uid="{49F9F2DA-9720-450D-A96E-E4F45B6C2883}"/>
    <cellStyle name="Normal 4 3 2 2 2 2 2 3 2 3 2" xfId="49168" xr:uid="{7A9D2CB1-20D8-412F-93DB-A6AEEADEBF81}"/>
    <cellStyle name="Normal 4 3 2 2 2 2 2 3 2 3 3" xfId="30572" xr:uid="{35212CD6-2C02-41DD-A545-1FC1326DE8E1}"/>
    <cellStyle name="Normal 4 3 2 2 2 2 2 3 2 4" xfId="39871" xr:uid="{B0F2F2E4-D187-4A9C-B726-8941ACD5D5A3}"/>
    <cellStyle name="Normal 4 3 2 2 2 2 2 3 2 5" xfId="21273" xr:uid="{82917AD0-FB50-4D90-B064-2E0FC51B172F}"/>
    <cellStyle name="Normal 4 3 2 2 2 2 2 3 3" xfId="5572" xr:uid="{00000000-0005-0000-0000-000014140000}"/>
    <cellStyle name="Normal 4 3 2 2 2 2 2 3 3 2" xfId="14898" xr:uid="{607931FC-80A4-46C0-82BD-ABFAC4A708D6}"/>
    <cellStyle name="Normal 4 3 2 2 2 2 2 3 3 2 2" xfId="51240" xr:uid="{ED8B3D5F-D49E-4B83-BA10-0384D6A4AA88}"/>
    <cellStyle name="Normal 4 3 2 2 2 2 2 3 3 2 3" xfId="32644" xr:uid="{38F77F98-0CF3-4186-A7C7-500EF4393189}"/>
    <cellStyle name="Normal 4 3 2 2 2 2 2 3 3 3" xfId="41943" xr:uid="{461F2E30-9427-4E47-9101-C5C584E52D60}"/>
    <cellStyle name="Normal 4 3 2 2 2 2 2 3 3 4" xfId="23345" xr:uid="{DA299BAA-6D57-4F3D-901E-161D2C331D8E}"/>
    <cellStyle name="Normal 4 3 2 2 2 2 2 3 4" xfId="10681" xr:uid="{57217C16-ED4B-486E-9552-DDC102FEE079}"/>
    <cellStyle name="Normal 4 3 2 2 2 2 2 3 4 2" xfId="47023" xr:uid="{D67FC3A2-1D6E-4A3B-AED2-3FAA1E2E24A8}"/>
    <cellStyle name="Normal 4 3 2 2 2 2 2 3 4 3" xfId="28427" xr:uid="{199224AB-C433-4D90-8BD8-782AF157A084}"/>
    <cellStyle name="Normal 4 3 2 2 2 2 2 3 5" xfId="37726" xr:uid="{4599EE46-C5C7-4D8D-A25B-81512DA109AD}"/>
    <cellStyle name="Normal 4 3 2 2 2 2 2 3 6" xfId="19128" xr:uid="{48061040-93FD-48DE-B33B-77B267C11F19}"/>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17456" xr:uid="{108C6972-5BAE-4AB9-9770-96593E61BAA4}"/>
    <cellStyle name="Normal 4 3 2 2 2 2 2 4 2 2 2 2" xfId="53798" xr:uid="{9CB58DCD-BCC5-420E-AD84-DEB2CF178522}"/>
    <cellStyle name="Normal 4 3 2 2 2 2 2 4 2 2 2 3" xfId="35202" xr:uid="{E856444C-CC6D-42E9-BE47-C11723434F47}"/>
    <cellStyle name="Normal 4 3 2 2 2 2 2 4 2 2 3" xfId="44501" xr:uid="{BB06DE13-0FF9-47D1-A00F-DEDB47C07C9C}"/>
    <cellStyle name="Normal 4 3 2 2 2 2 2 4 2 2 4" xfId="25903" xr:uid="{5BAB0A6C-310B-4357-8910-103491991CEE}"/>
    <cellStyle name="Normal 4 3 2 2 2 2 2 4 2 3" xfId="13239" xr:uid="{964FD75B-67D4-4EB4-9CFC-7DE4CA527BA5}"/>
    <cellStyle name="Normal 4 3 2 2 2 2 2 4 2 3 2" xfId="49581" xr:uid="{747F39DF-E2FA-429E-846A-203AEDDCD99D}"/>
    <cellStyle name="Normal 4 3 2 2 2 2 2 4 2 3 3" xfId="30985" xr:uid="{3064A74E-CB4C-45DB-A9FC-1A72B7AC7EAB}"/>
    <cellStyle name="Normal 4 3 2 2 2 2 2 4 2 4" xfId="40284" xr:uid="{FD126347-B023-4553-ACA9-DD0CA9EC4752}"/>
    <cellStyle name="Normal 4 3 2 2 2 2 2 4 2 5" xfId="21686" xr:uid="{F6F9381B-1CF7-4F8F-A976-BD67F3390D59}"/>
    <cellStyle name="Normal 4 3 2 2 2 2 2 4 3" xfId="5985" xr:uid="{00000000-0005-0000-0000-000018140000}"/>
    <cellStyle name="Normal 4 3 2 2 2 2 2 4 3 2" xfId="15311" xr:uid="{7D373BA8-1385-4CDE-AF4A-1E563D05706C}"/>
    <cellStyle name="Normal 4 3 2 2 2 2 2 4 3 2 2" xfId="51653" xr:uid="{3320147D-3423-483F-A052-26D2C8E7975F}"/>
    <cellStyle name="Normal 4 3 2 2 2 2 2 4 3 2 3" xfId="33057" xr:uid="{EA924433-A524-419A-AB17-E5B89B0BD939}"/>
    <cellStyle name="Normal 4 3 2 2 2 2 2 4 3 3" xfId="42356" xr:uid="{AA3C63DC-1209-4BE8-B804-A0E01DD71C5D}"/>
    <cellStyle name="Normal 4 3 2 2 2 2 2 4 3 4" xfId="23758" xr:uid="{6447352C-FB34-4DE2-B1F6-1CC698CC003D}"/>
    <cellStyle name="Normal 4 3 2 2 2 2 2 4 4" xfId="11094" xr:uid="{F364674B-F2FE-46A7-AAFD-3E529F3B82CF}"/>
    <cellStyle name="Normal 4 3 2 2 2 2 2 4 4 2" xfId="47436" xr:uid="{D079E824-50E1-42BD-AC31-7074AD8DC8D1}"/>
    <cellStyle name="Normal 4 3 2 2 2 2 2 4 4 3" xfId="28840" xr:uid="{9AE34A7E-DAD6-415D-9243-526D595CA6FD}"/>
    <cellStyle name="Normal 4 3 2 2 2 2 2 4 5" xfId="38139" xr:uid="{A4907706-35A8-4A98-8414-8973E5EFB308}"/>
    <cellStyle name="Normal 4 3 2 2 2 2 2 4 6" xfId="19541" xr:uid="{4CD3312A-F016-4C2E-A3F2-314FC567FF74}"/>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17869" xr:uid="{B628427C-50A9-461A-B10A-33CACA064BC7}"/>
    <cellStyle name="Normal 4 3 2 2 2 2 2 5 2 2 2 2" xfId="54211" xr:uid="{906A661C-D5F6-4004-88CE-133E4F9C373D}"/>
    <cellStyle name="Normal 4 3 2 2 2 2 2 5 2 2 2 3" xfId="35615" xr:uid="{0FBB733E-7BAE-4DB4-B2F4-660AA5627C2B}"/>
    <cellStyle name="Normal 4 3 2 2 2 2 2 5 2 2 3" xfId="44914" xr:uid="{590E1CB9-C412-4F9C-A712-095093B0B6B0}"/>
    <cellStyle name="Normal 4 3 2 2 2 2 2 5 2 2 4" xfId="26316" xr:uid="{B9B88AD5-F8F1-476C-8283-366A07A004D0}"/>
    <cellStyle name="Normal 4 3 2 2 2 2 2 5 2 3" xfId="13652" xr:uid="{8A2B0263-9A79-4574-BBFC-DBCAB84D149B}"/>
    <cellStyle name="Normal 4 3 2 2 2 2 2 5 2 3 2" xfId="49994" xr:uid="{41F3D8B8-F5DF-4701-A2AE-E122A41CDBAA}"/>
    <cellStyle name="Normal 4 3 2 2 2 2 2 5 2 3 3" xfId="31398" xr:uid="{4C68EC0F-E8C9-496C-B49E-02340FE7E05A}"/>
    <cellStyle name="Normal 4 3 2 2 2 2 2 5 2 4" xfId="40697" xr:uid="{8322C8F7-DF27-4D7A-B157-EB1ADC6156A3}"/>
    <cellStyle name="Normal 4 3 2 2 2 2 2 5 2 5" xfId="22099" xr:uid="{7E0A8811-75C5-4979-8054-1E1C3E2F5E1E}"/>
    <cellStyle name="Normal 4 3 2 2 2 2 2 5 3" xfId="6398" xr:uid="{00000000-0005-0000-0000-00001C140000}"/>
    <cellStyle name="Normal 4 3 2 2 2 2 2 5 3 2" xfId="15724" xr:uid="{9170CD31-1F08-480D-9701-07764B819421}"/>
    <cellStyle name="Normal 4 3 2 2 2 2 2 5 3 2 2" xfId="52066" xr:uid="{B44EC838-76D8-4D32-85E4-81CB319A061B}"/>
    <cellStyle name="Normal 4 3 2 2 2 2 2 5 3 2 3" xfId="33470" xr:uid="{CFE081F8-AAAC-444F-86DC-81AD30DFFF75}"/>
    <cellStyle name="Normal 4 3 2 2 2 2 2 5 3 3" xfId="42769" xr:uid="{F4C3A20D-70D8-4462-BFCD-94CC859A8C76}"/>
    <cellStyle name="Normal 4 3 2 2 2 2 2 5 3 4" xfId="24171" xr:uid="{30FF58DF-7D8C-4714-BED6-F1AD5E857607}"/>
    <cellStyle name="Normal 4 3 2 2 2 2 2 5 4" xfId="11507" xr:uid="{76F1222B-38FE-4B9A-B301-1BDCCE1A7732}"/>
    <cellStyle name="Normal 4 3 2 2 2 2 2 5 4 2" xfId="47849" xr:uid="{0A46D0C2-9B80-415A-85AB-9F8F4B0BFAC2}"/>
    <cellStyle name="Normal 4 3 2 2 2 2 2 5 4 3" xfId="29253" xr:uid="{3836D165-4ECF-4AB3-A93F-B823C543C960}"/>
    <cellStyle name="Normal 4 3 2 2 2 2 2 5 5" xfId="38552" xr:uid="{0B660DB4-2D02-4AB0-AA2F-63A9E9010CF4}"/>
    <cellStyle name="Normal 4 3 2 2 2 2 2 5 6" xfId="19954" xr:uid="{F30A2DFE-C8F6-4E22-A0B0-FF9A9AE1192C}"/>
    <cellStyle name="Normal 4 3 2 2 2 2 2 6" xfId="2528" xr:uid="{00000000-0005-0000-0000-00001D140000}"/>
    <cellStyle name="Normal 4 3 2 2 2 2 2 6 2" xfId="6811" xr:uid="{00000000-0005-0000-0000-00001E140000}"/>
    <cellStyle name="Normal 4 3 2 2 2 2 2 6 2 2" xfId="16137" xr:uid="{EFEE02E3-000B-4CAE-85FF-F7E793A4C9DB}"/>
    <cellStyle name="Normal 4 3 2 2 2 2 2 6 2 2 2" xfId="52479" xr:uid="{DE5C11BF-36B9-4317-BED0-F57CE9E74F82}"/>
    <cellStyle name="Normal 4 3 2 2 2 2 2 6 2 2 3" xfId="33883" xr:uid="{5E7C204E-3E9A-4A4E-9975-8886EFE5AF15}"/>
    <cellStyle name="Normal 4 3 2 2 2 2 2 6 2 3" xfId="43182" xr:uid="{195898A9-A07C-4088-BD3D-B203FAC7B485}"/>
    <cellStyle name="Normal 4 3 2 2 2 2 2 6 2 4" xfId="24584" xr:uid="{6E663362-FB33-49FE-A5E5-CF3D4AA8B1CD}"/>
    <cellStyle name="Normal 4 3 2 2 2 2 2 6 3" xfId="11920" xr:uid="{B4826C5B-0077-4F06-9035-E16DB1744365}"/>
    <cellStyle name="Normal 4 3 2 2 2 2 2 6 3 2" xfId="48262" xr:uid="{B5BAEFC0-3519-452B-A6E5-EAEA7E929E47}"/>
    <cellStyle name="Normal 4 3 2 2 2 2 2 6 3 3" xfId="29666" xr:uid="{3C365869-9832-4835-8F02-98C6047A9AED}"/>
    <cellStyle name="Normal 4 3 2 2 2 2 2 6 4" xfId="38965" xr:uid="{1E701A81-CB03-41E7-88BE-89ABA6AB63F4}"/>
    <cellStyle name="Normal 4 3 2 2 2 2 2 6 5" xfId="20367" xr:uid="{B649950F-3AED-486C-87F5-B546636D5A11}"/>
    <cellStyle name="Normal 4 3 2 2 2 2 2 7" xfId="4746" xr:uid="{00000000-0005-0000-0000-00001F140000}"/>
    <cellStyle name="Normal 4 3 2 2 2 2 2 7 2" xfId="14072" xr:uid="{DE7A021F-A14C-41D4-B4B6-B73D58AEA63F}"/>
    <cellStyle name="Normal 4 3 2 2 2 2 2 7 2 2" xfId="50414" xr:uid="{F32D17E2-7D85-4FF6-ABC9-40113741E33A}"/>
    <cellStyle name="Normal 4 3 2 2 2 2 2 7 2 3" xfId="31818" xr:uid="{1B753014-10B8-4C71-A4C9-722D75C9C17D}"/>
    <cellStyle name="Normal 4 3 2 2 2 2 2 7 3" xfId="41117" xr:uid="{C8763ED6-788A-426C-9254-9E4ABDDCA2B2}"/>
    <cellStyle name="Normal 4 3 2 2 2 2 2 7 4" xfId="22519" xr:uid="{2AA2C151-C1E2-4292-8FC6-80449263CA2B}"/>
    <cellStyle name="Normal 4 3 2 2 2 2 2 8" xfId="9132" xr:uid="{14F6ED12-EABF-4C82-AD59-55D351026913}"/>
    <cellStyle name="Normal 4 3 2 2 2 2 2 8 2" xfId="36202" xr:uid="{2AA8DCC2-8DF5-4834-A4E4-A695027F6598}"/>
    <cellStyle name="Normal 4 3 2 2 2 2 2 8 2 2" xfId="54797" xr:uid="{C70A09E6-CB7E-4DF4-9445-C47D9E958AC7}"/>
    <cellStyle name="Normal 4 3 2 2 2 2 2 8 3" xfId="45500" xr:uid="{031FE73B-A9C0-4E26-BD6B-A1C939B16368}"/>
    <cellStyle name="Normal 4 3 2 2 2 2 2 8 4" xfId="26903" xr:uid="{B9FC6ACC-F251-414C-9844-6209D064504B}"/>
    <cellStyle name="Normal 4 3 2 2 2 2 2 9" xfId="9855" xr:uid="{E21BE497-3FE7-4584-A950-8BCC8C0B3E0C}"/>
    <cellStyle name="Normal 4 3 2 2 2 2 2 9 2" xfId="46197" xr:uid="{1D4F9A83-24CA-4F7C-9CA7-4059ED038799}"/>
    <cellStyle name="Normal 4 3 2 2 2 2 2 9 3" xfId="27601" xr:uid="{BA842557-2E8B-48F6-BB3C-77C84F416EE9}"/>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16629" xr:uid="{54378C8D-B1D3-4626-9120-034362670E2D}"/>
    <cellStyle name="Normal 4 3 2 2 2 2 3 2 2 2 2" xfId="52971" xr:uid="{BFF9779A-B727-4720-BE46-B33ADEF094EF}"/>
    <cellStyle name="Normal 4 3 2 2 2 2 3 2 2 2 3" xfId="34375" xr:uid="{937B6E10-525F-4326-9C46-D00C370A4B02}"/>
    <cellStyle name="Normal 4 3 2 2 2 2 3 2 2 3" xfId="43674" xr:uid="{E21F574B-777A-40C8-A5D8-EFD2D8027A20}"/>
    <cellStyle name="Normal 4 3 2 2 2 2 3 2 2 4" xfId="25076" xr:uid="{6472196F-EDBE-46BE-807E-864863AFCC6F}"/>
    <cellStyle name="Normal 4 3 2 2 2 2 3 2 3" xfId="12412" xr:uid="{48494B7E-1C77-4FED-AD04-33753AB60004}"/>
    <cellStyle name="Normal 4 3 2 2 2 2 3 2 3 2" xfId="48754" xr:uid="{78141548-389A-41D6-878C-18C2060C4676}"/>
    <cellStyle name="Normal 4 3 2 2 2 2 3 2 3 3" xfId="30158" xr:uid="{F6D9B62D-F38F-4F3B-8F2C-D23BE1B7F78D}"/>
    <cellStyle name="Normal 4 3 2 2 2 2 3 2 4" xfId="39457" xr:uid="{A7577320-4609-4DFB-AB80-C17398EBDAD6}"/>
    <cellStyle name="Normal 4 3 2 2 2 2 3 2 5" xfId="20859" xr:uid="{E132EB67-CC2A-4EE7-862C-D98702860FE3}"/>
    <cellStyle name="Normal 4 3 2 2 2 2 3 3" xfId="5158" xr:uid="{00000000-0005-0000-0000-000023140000}"/>
    <cellStyle name="Normal 4 3 2 2 2 2 3 3 2" xfId="14484" xr:uid="{D5174C3E-402F-4A70-84F8-A88F3A8767D5}"/>
    <cellStyle name="Normal 4 3 2 2 2 2 3 3 2 2" xfId="50826" xr:uid="{DBF7889B-40B5-407B-AFEC-0728D5144265}"/>
    <cellStyle name="Normal 4 3 2 2 2 2 3 3 2 3" xfId="32230" xr:uid="{FD37EE4F-5C4B-4F7E-8B70-27ADB5C6F3B8}"/>
    <cellStyle name="Normal 4 3 2 2 2 2 3 3 3" xfId="41529" xr:uid="{372A8DC2-1C68-45AD-9A6F-4D15169170CB}"/>
    <cellStyle name="Normal 4 3 2 2 2 2 3 3 4" xfId="22931" xr:uid="{CBC058A0-182D-4801-985E-4609741FCCAB}"/>
    <cellStyle name="Normal 4 3 2 2 2 2 3 4" xfId="9350" xr:uid="{DFFEAFB7-A284-4FD9-B115-C19DA011CCC7}"/>
    <cellStyle name="Normal 4 3 2 2 2 2 3 4 2" xfId="36411" xr:uid="{AD0B83A3-3AA9-4E5C-B1A4-F443B704E815}"/>
    <cellStyle name="Normal 4 3 2 2 2 2 3 4 2 2" xfId="55005" xr:uid="{F4558B83-FC90-4633-AF88-886F1645176C}"/>
    <cellStyle name="Normal 4 3 2 2 2 2 3 4 3" xfId="45708" xr:uid="{6521C465-DA99-459D-BFA5-4572FEF004BF}"/>
    <cellStyle name="Normal 4 3 2 2 2 2 3 4 4" xfId="27112" xr:uid="{ED0F4A46-C45E-486F-8884-B2056F7ECDAC}"/>
    <cellStyle name="Normal 4 3 2 2 2 2 3 5" xfId="10267" xr:uid="{8733CE5F-1AAC-4C03-8885-86A63477F7AC}"/>
    <cellStyle name="Normal 4 3 2 2 2 2 3 5 2" xfId="46609" xr:uid="{925D4D2E-3500-40FD-88A5-7DB3D0EECEF9}"/>
    <cellStyle name="Normal 4 3 2 2 2 2 3 5 3" xfId="28013" xr:uid="{10948691-EA48-4DC0-986D-0949D3A27F9A}"/>
    <cellStyle name="Normal 4 3 2 2 2 2 3 6" xfId="37312" xr:uid="{D785A671-4431-4D5C-BEDF-233AC545641F}"/>
    <cellStyle name="Normal 4 3 2 2 2 2 3 7" xfId="18714" xr:uid="{6FB8ED4A-21D8-4428-AE6E-C2998601D42D}"/>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17042" xr:uid="{0EC3C617-E843-43AF-960D-FC9E68745F41}"/>
    <cellStyle name="Normal 4 3 2 2 2 2 4 2 2 2 2" xfId="53384" xr:uid="{67FEEC17-EE2F-4869-82EE-9CB0485CE7C6}"/>
    <cellStyle name="Normal 4 3 2 2 2 2 4 2 2 2 3" xfId="34788" xr:uid="{FC9491DC-947F-4EE0-BB91-35F6D392F786}"/>
    <cellStyle name="Normal 4 3 2 2 2 2 4 2 2 3" xfId="44087" xr:uid="{73E97694-D7EA-46BD-92C6-531A0A445DB2}"/>
    <cellStyle name="Normal 4 3 2 2 2 2 4 2 2 4" xfId="25489" xr:uid="{696E6F13-FFE5-4134-AB65-7B16942601AE}"/>
    <cellStyle name="Normal 4 3 2 2 2 2 4 2 3" xfId="12825" xr:uid="{13686E27-202C-4D5E-A20E-AB246132D8FD}"/>
    <cellStyle name="Normal 4 3 2 2 2 2 4 2 3 2" xfId="49167" xr:uid="{34AD655E-D94D-482C-98F8-A45567B7C719}"/>
    <cellStyle name="Normal 4 3 2 2 2 2 4 2 3 3" xfId="30571" xr:uid="{6EFAB5D7-C67F-409F-B4ED-CBEB4D60F2BF}"/>
    <cellStyle name="Normal 4 3 2 2 2 2 4 2 4" xfId="39870" xr:uid="{0F0AD68D-505B-43ED-8338-07F56D355190}"/>
    <cellStyle name="Normal 4 3 2 2 2 2 4 2 5" xfId="21272" xr:uid="{7AFBA975-C788-4450-93CF-39EDBE319858}"/>
    <cellStyle name="Normal 4 3 2 2 2 2 4 3" xfId="5571" xr:uid="{00000000-0005-0000-0000-000027140000}"/>
    <cellStyle name="Normal 4 3 2 2 2 2 4 3 2" xfId="14897" xr:uid="{A500D3B6-0519-4AC9-82A3-52D397697B7C}"/>
    <cellStyle name="Normal 4 3 2 2 2 2 4 3 2 2" xfId="51239" xr:uid="{16C79C65-386A-4C57-801C-4B7E3827BC51}"/>
    <cellStyle name="Normal 4 3 2 2 2 2 4 3 2 3" xfId="32643" xr:uid="{C1979A53-FF2D-4DCB-B107-800AF05179B5}"/>
    <cellStyle name="Normal 4 3 2 2 2 2 4 3 3" xfId="41942" xr:uid="{FE5CBE75-9B84-47E0-A6A1-9D65DCE242B5}"/>
    <cellStyle name="Normal 4 3 2 2 2 2 4 3 4" xfId="23344" xr:uid="{36B17299-5072-4CDD-BC7B-132B6F283C8C}"/>
    <cellStyle name="Normal 4 3 2 2 2 2 4 4" xfId="10680" xr:uid="{7E12BCBD-E939-4969-9B4F-C7B7919B9BA3}"/>
    <cellStyle name="Normal 4 3 2 2 2 2 4 4 2" xfId="47022" xr:uid="{88BD78B1-BE82-4086-B1F8-E8565D3740AF}"/>
    <cellStyle name="Normal 4 3 2 2 2 2 4 4 3" xfId="28426" xr:uid="{B7497B97-1355-44F1-BB55-5514C7E13DA2}"/>
    <cellStyle name="Normal 4 3 2 2 2 2 4 5" xfId="37725" xr:uid="{55D39C83-58BA-4F47-9CAC-05874D2430B7}"/>
    <cellStyle name="Normal 4 3 2 2 2 2 4 6" xfId="19127" xr:uid="{D45FCA78-BF1F-47B4-BE4B-A97AD754AC5E}"/>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17455" xr:uid="{D746BBFB-8037-4772-B650-F2EBFAC3E1D4}"/>
    <cellStyle name="Normal 4 3 2 2 2 2 5 2 2 2 2" xfId="53797" xr:uid="{37654615-D094-4FE2-A0AB-190269BF6C1C}"/>
    <cellStyle name="Normal 4 3 2 2 2 2 5 2 2 2 3" xfId="35201" xr:uid="{2425913A-98E7-403F-94F2-F1C5257EEE12}"/>
    <cellStyle name="Normal 4 3 2 2 2 2 5 2 2 3" xfId="44500" xr:uid="{D4530D94-1F96-4F6C-9B86-AF8E138D22F4}"/>
    <cellStyle name="Normal 4 3 2 2 2 2 5 2 2 4" xfId="25902" xr:uid="{8F1AD3D7-6AC7-47E7-BE45-924AF46FBEC4}"/>
    <cellStyle name="Normal 4 3 2 2 2 2 5 2 3" xfId="13238" xr:uid="{595B9C16-BE65-49E8-BDE6-1DCC1528A3A8}"/>
    <cellStyle name="Normal 4 3 2 2 2 2 5 2 3 2" xfId="49580" xr:uid="{9ACE1BE2-3F42-4845-AC50-F016166EBDC5}"/>
    <cellStyle name="Normal 4 3 2 2 2 2 5 2 3 3" xfId="30984" xr:uid="{CF44FFC7-BD48-4569-B7BE-2A1CAB4035CF}"/>
    <cellStyle name="Normal 4 3 2 2 2 2 5 2 4" xfId="40283" xr:uid="{7BD628BA-0C1D-441B-80C4-476B03A98A4C}"/>
    <cellStyle name="Normal 4 3 2 2 2 2 5 2 5" xfId="21685" xr:uid="{B5A2CC5B-1F75-4682-BE46-7BC4E0BE5056}"/>
    <cellStyle name="Normal 4 3 2 2 2 2 5 3" xfId="5984" xr:uid="{00000000-0005-0000-0000-00002B140000}"/>
    <cellStyle name="Normal 4 3 2 2 2 2 5 3 2" xfId="15310" xr:uid="{BE534429-1630-4BA3-8278-AA41A8085AD3}"/>
    <cellStyle name="Normal 4 3 2 2 2 2 5 3 2 2" xfId="51652" xr:uid="{2ED95280-F709-4309-826C-7EAC21AFAF00}"/>
    <cellStyle name="Normal 4 3 2 2 2 2 5 3 2 3" xfId="33056" xr:uid="{AAFD3796-0A8E-4E77-A785-E35911217BB3}"/>
    <cellStyle name="Normal 4 3 2 2 2 2 5 3 3" xfId="42355" xr:uid="{F6C8A045-4F33-43AC-9328-51064827A488}"/>
    <cellStyle name="Normal 4 3 2 2 2 2 5 3 4" xfId="23757" xr:uid="{278D2711-48FD-4DCB-A2EE-780273EE6F9B}"/>
    <cellStyle name="Normal 4 3 2 2 2 2 5 4" xfId="11093" xr:uid="{B9709C17-E591-4409-850A-6A017884E567}"/>
    <cellStyle name="Normal 4 3 2 2 2 2 5 4 2" xfId="47435" xr:uid="{F9B7D695-3B38-4F9C-9307-91571B5B0F39}"/>
    <cellStyle name="Normal 4 3 2 2 2 2 5 4 3" xfId="28839" xr:uid="{ADD35F92-0337-432A-AC40-73A5416F0887}"/>
    <cellStyle name="Normal 4 3 2 2 2 2 5 5" xfId="38138" xr:uid="{470B23A8-C707-4DF4-8F96-2922EFB6298C}"/>
    <cellStyle name="Normal 4 3 2 2 2 2 5 6" xfId="19540" xr:uid="{AAE6A707-B9CC-40A6-8A86-0236FDA218C3}"/>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17868" xr:uid="{6191CD97-04BA-4F98-937C-6569DFEC3C6D}"/>
    <cellStyle name="Normal 4 3 2 2 2 2 6 2 2 2 2" xfId="54210" xr:uid="{32D7D820-2718-44D5-93A9-CF3D68EEDEEF}"/>
    <cellStyle name="Normal 4 3 2 2 2 2 6 2 2 2 3" xfId="35614" xr:uid="{F6626433-3BA6-4837-BFA5-B6ED4475FF70}"/>
    <cellStyle name="Normal 4 3 2 2 2 2 6 2 2 3" xfId="44913" xr:uid="{E80AEEF3-7ABA-4C25-8904-E2BD3CD56069}"/>
    <cellStyle name="Normal 4 3 2 2 2 2 6 2 2 4" xfId="26315" xr:uid="{A4C565D5-740C-4DCC-B803-F2B2DAA51C0C}"/>
    <cellStyle name="Normal 4 3 2 2 2 2 6 2 3" xfId="13651" xr:uid="{9B000A3E-96A3-4AB0-BA53-EDE4A332F3C6}"/>
    <cellStyle name="Normal 4 3 2 2 2 2 6 2 3 2" xfId="49993" xr:uid="{AA4B19EF-CB27-4990-A6DD-5D187184AA96}"/>
    <cellStyle name="Normal 4 3 2 2 2 2 6 2 3 3" xfId="31397" xr:uid="{454659AF-045D-4FFB-A8F4-74AF57917B23}"/>
    <cellStyle name="Normal 4 3 2 2 2 2 6 2 4" xfId="40696" xr:uid="{50522338-6155-4E58-8680-3AAD89C67BCE}"/>
    <cellStyle name="Normal 4 3 2 2 2 2 6 2 5" xfId="22098" xr:uid="{12491CF7-F855-4341-AF3D-2F70712D03FC}"/>
    <cellStyle name="Normal 4 3 2 2 2 2 6 3" xfId="6397" xr:uid="{00000000-0005-0000-0000-00002F140000}"/>
    <cellStyle name="Normal 4 3 2 2 2 2 6 3 2" xfId="15723" xr:uid="{C7E00FBF-9DDC-449D-8875-F24C85ACE3EA}"/>
    <cellStyle name="Normal 4 3 2 2 2 2 6 3 2 2" xfId="52065" xr:uid="{20B2693D-8638-445E-B7E6-7427D16EEBA3}"/>
    <cellStyle name="Normal 4 3 2 2 2 2 6 3 2 3" xfId="33469" xr:uid="{F67F2988-3234-4AB2-9453-C7684A0A3AA2}"/>
    <cellStyle name="Normal 4 3 2 2 2 2 6 3 3" xfId="42768" xr:uid="{C3C9FFB6-823D-4FF2-B6DA-8DB01708FF81}"/>
    <cellStyle name="Normal 4 3 2 2 2 2 6 3 4" xfId="24170" xr:uid="{71F39A50-2DB0-40B9-B52C-F6A2AFC19D92}"/>
    <cellStyle name="Normal 4 3 2 2 2 2 6 4" xfId="11506" xr:uid="{A28DC610-CB31-419D-A2F9-0A7EEFC125E0}"/>
    <cellStyle name="Normal 4 3 2 2 2 2 6 4 2" xfId="47848" xr:uid="{6FC55EF4-84DF-4C8D-9AAF-41EC87FCE840}"/>
    <cellStyle name="Normal 4 3 2 2 2 2 6 4 3" xfId="29252" xr:uid="{43116C8F-E406-4DA2-A342-7F991104B217}"/>
    <cellStyle name="Normal 4 3 2 2 2 2 6 5" xfId="38551" xr:uid="{A225F413-E810-4B0B-B9D6-B18AE394057A}"/>
    <cellStyle name="Normal 4 3 2 2 2 2 6 6" xfId="19953" xr:uid="{774FCA15-E292-407C-8FD4-8A642B177F1A}"/>
    <cellStyle name="Normal 4 3 2 2 2 2 7" xfId="2527" xr:uid="{00000000-0005-0000-0000-000030140000}"/>
    <cellStyle name="Normal 4 3 2 2 2 2 7 2" xfId="6810" xr:uid="{00000000-0005-0000-0000-000031140000}"/>
    <cellStyle name="Normal 4 3 2 2 2 2 7 2 2" xfId="16136" xr:uid="{6CD30C55-4BDB-4323-8AC9-3114527F4655}"/>
    <cellStyle name="Normal 4 3 2 2 2 2 7 2 2 2" xfId="52478" xr:uid="{9EE389AD-8177-4C2E-91D2-E891E116E737}"/>
    <cellStyle name="Normal 4 3 2 2 2 2 7 2 2 3" xfId="33882" xr:uid="{00366E34-FEF1-401D-BFA8-66EFB9D6117F}"/>
    <cellStyle name="Normal 4 3 2 2 2 2 7 2 3" xfId="43181" xr:uid="{A58CC345-CD60-4375-B815-AF9A567266E8}"/>
    <cellStyle name="Normal 4 3 2 2 2 2 7 2 4" xfId="24583" xr:uid="{D4DCE51D-9875-4313-AD54-FD168944E2B2}"/>
    <cellStyle name="Normal 4 3 2 2 2 2 7 3" xfId="11919" xr:uid="{4F05DB41-8C32-40BA-9272-829BD010157B}"/>
    <cellStyle name="Normal 4 3 2 2 2 2 7 3 2" xfId="48261" xr:uid="{6CA78716-55E2-46C7-A610-EFAE8DBD6873}"/>
    <cellStyle name="Normal 4 3 2 2 2 2 7 3 3" xfId="29665" xr:uid="{63501B04-A1BD-4894-BF13-F4F07E31C437}"/>
    <cellStyle name="Normal 4 3 2 2 2 2 7 4" xfId="38964" xr:uid="{DF6B4F29-47C2-4A29-97AC-B9EBFF529145}"/>
    <cellStyle name="Normal 4 3 2 2 2 2 7 5" xfId="20366" xr:uid="{DF1011D1-B558-4BC8-8C34-8F50DEAF5988}"/>
    <cellStyle name="Normal 4 3 2 2 2 2 8" xfId="4745" xr:uid="{00000000-0005-0000-0000-000032140000}"/>
    <cellStyle name="Normal 4 3 2 2 2 2 8 2" xfId="14071" xr:uid="{5B169368-3619-4B5D-85AB-78E2C800A0BA}"/>
    <cellStyle name="Normal 4 3 2 2 2 2 8 2 2" xfId="50413" xr:uid="{BE3D0525-8C1E-420D-8A34-0EBF742FB7A5}"/>
    <cellStyle name="Normal 4 3 2 2 2 2 8 2 3" xfId="31817" xr:uid="{A63FB98F-4ECD-42B6-9DFB-FA412F9C5ED2}"/>
    <cellStyle name="Normal 4 3 2 2 2 2 8 3" xfId="41116" xr:uid="{535555C8-67FD-479E-9BAD-CEDEC2BA6DA8}"/>
    <cellStyle name="Normal 4 3 2 2 2 2 8 4" xfId="22518" xr:uid="{8B952A7D-AEFC-4EA8-B63D-E8DC4F7CB0C8}"/>
    <cellStyle name="Normal 4 3 2 2 2 2 9" xfId="8925" xr:uid="{71BB8AFA-37D7-474D-A12B-C284DDE23CE9}"/>
    <cellStyle name="Normal 4 3 2 2 2 2 9 2" xfId="35995" xr:uid="{94C86178-8B77-4814-9FD1-92A4A6514D39}"/>
    <cellStyle name="Normal 4 3 2 2 2 2 9 2 2" xfId="54590" xr:uid="{F12C8933-81A0-4B21-AC4C-7203CFC5F39B}"/>
    <cellStyle name="Normal 4 3 2 2 2 2 9 3" xfId="45293" xr:uid="{EFBE98AC-6863-4D55-A5B8-F09C126CF4F9}"/>
    <cellStyle name="Normal 4 3 2 2 2 2 9 4" xfId="26696" xr:uid="{B5C5BBA8-0DD4-4DB2-89D9-568AF9F261D9}"/>
    <cellStyle name="Normal 4 3 2 2 2 3" xfId="372" xr:uid="{00000000-0005-0000-0000-000033140000}"/>
    <cellStyle name="Normal 4 3 2 2 2 3 10" xfId="36901" xr:uid="{89362E42-78B4-477A-97E6-CDF01FBA5524}"/>
    <cellStyle name="Normal 4 3 2 2 2 3 11" xfId="18303" xr:uid="{3D06D32C-D4B8-45D9-B5A5-026549BBC8C7}"/>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16631" xr:uid="{0796582E-27E4-49D8-8AFA-C48A6AB6176E}"/>
    <cellStyle name="Normal 4 3 2 2 2 3 2 2 2 2 2" xfId="52973" xr:uid="{976432CD-5824-4F25-9C7F-DACB6A901DD6}"/>
    <cellStyle name="Normal 4 3 2 2 2 3 2 2 2 2 3" xfId="34377" xr:uid="{99B38646-17E9-4A54-B33A-1F1B193F1644}"/>
    <cellStyle name="Normal 4 3 2 2 2 3 2 2 2 3" xfId="43676" xr:uid="{97C93A7C-2611-4596-9A2D-6E8AA58059A9}"/>
    <cellStyle name="Normal 4 3 2 2 2 3 2 2 2 4" xfId="25078" xr:uid="{53F699CF-B4A0-4E66-BD0C-3429FD207BBE}"/>
    <cellStyle name="Normal 4 3 2 2 2 3 2 2 3" xfId="12414" xr:uid="{DD65D65C-7C6E-42BC-81C9-86DB000A3FBC}"/>
    <cellStyle name="Normal 4 3 2 2 2 3 2 2 3 2" xfId="48756" xr:uid="{D8CAB927-BB9D-4788-8B25-F27602691C03}"/>
    <cellStyle name="Normal 4 3 2 2 2 3 2 2 3 3" xfId="30160" xr:uid="{91D7CB7D-E4C6-4A7A-9911-F291E11C7B38}"/>
    <cellStyle name="Normal 4 3 2 2 2 3 2 2 4" xfId="39459" xr:uid="{FFD6B9F7-B5BC-43FC-9C41-9A5E42693A5A}"/>
    <cellStyle name="Normal 4 3 2 2 2 3 2 2 5" xfId="20861" xr:uid="{D410A037-BF3A-44E5-8FCB-D1122F33D574}"/>
    <cellStyle name="Normal 4 3 2 2 2 3 2 3" xfId="5160" xr:uid="{00000000-0005-0000-0000-000037140000}"/>
    <cellStyle name="Normal 4 3 2 2 2 3 2 3 2" xfId="14486" xr:uid="{227E594D-1E45-4EDC-8C4F-7A5DC6CE3AFA}"/>
    <cellStyle name="Normal 4 3 2 2 2 3 2 3 2 2" xfId="50828" xr:uid="{9F50C383-63E6-46BC-B8DC-2FDED06E148B}"/>
    <cellStyle name="Normal 4 3 2 2 2 3 2 3 2 3" xfId="32232" xr:uid="{1BDC34C9-4BC6-49EC-AD0F-1DB889C67C30}"/>
    <cellStyle name="Normal 4 3 2 2 2 3 2 3 3" xfId="41531" xr:uid="{F077ED3A-84C6-4039-88D3-4B084CA0120B}"/>
    <cellStyle name="Normal 4 3 2 2 2 3 2 3 4" xfId="22933" xr:uid="{D521EE6F-32B1-4AC3-8832-F01F94C4C64F}"/>
    <cellStyle name="Normal 4 3 2 2 2 3 2 4" xfId="9454" xr:uid="{B81F5EAA-7D8E-43B5-94D7-313E66088BA5}"/>
    <cellStyle name="Normal 4 3 2 2 2 3 2 4 2" xfId="36515" xr:uid="{41025DC9-C416-4FE3-B93F-F694516F89FA}"/>
    <cellStyle name="Normal 4 3 2 2 2 3 2 4 2 2" xfId="55109" xr:uid="{AB8FA27B-DFA7-48AD-85C9-37B8DED862A6}"/>
    <cellStyle name="Normal 4 3 2 2 2 3 2 4 3" xfId="45812" xr:uid="{E69D26C2-C722-462C-82F8-C622D4A265DF}"/>
    <cellStyle name="Normal 4 3 2 2 2 3 2 4 4" xfId="27216" xr:uid="{591D104C-40CF-469A-A77D-E69F172F6995}"/>
    <cellStyle name="Normal 4 3 2 2 2 3 2 5" xfId="10269" xr:uid="{A608832E-292B-46F8-8945-8AED1A280A7F}"/>
    <cellStyle name="Normal 4 3 2 2 2 3 2 5 2" xfId="46611" xr:uid="{F64C270F-7B30-4FCE-875F-62A3786FB2F2}"/>
    <cellStyle name="Normal 4 3 2 2 2 3 2 5 3" xfId="28015" xr:uid="{2D74B0EC-AFD5-4ED2-8429-1F134EA1E4F4}"/>
    <cellStyle name="Normal 4 3 2 2 2 3 2 6" xfId="37314" xr:uid="{A845B9B4-6981-4FCA-853D-6B60CBA4B66F}"/>
    <cellStyle name="Normal 4 3 2 2 2 3 2 7" xfId="18716" xr:uid="{D9897964-3C83-41A7-849C-6BD7771623B8}"/>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17044" xr:uid="{C7E3B711-8C16-4A5B-98E1-DD5189423125}"/>
    <cellStyle name="Normal 4 3 2 2 2 3 3 2 2 2 2" xfId="53386" xr:uid="{FD30A091-A914-4516-B1EA-EE3AAE40C114}"/>
    <cellStyle name="Normal 4 3 2 2 2 3 3 2 2 2 3" xfId="34790" xr:uid="{BF79CDC2-6424-40F0-9A19-1AF070B010A8}"/>
    <cellStyle name="Normal 4 3 2 2 2 3 3 2 2 3" xfId="44089" xr:uid="{D880DE01-F50C-494D-B35D-F4F10CF2899E}"/>
    <cellStyle name="Normal 4 3 2 2 2 3 3 2 2 4" xfId="25491" xr:uid="{6943E65D-C964-4139-8B09-E79FF8D97809}"/>
    <cellStyle name="Normal 4 3 2 2 2 3 3 2 3" xfId="12827" xr:uid="{C0784E12-16C2-4B62-B8B7-6EB8DF6314C6}"/>
    <cellStyle name="Normal 4 3 2 2 2 3 3 2 3 2" xfId="49169" xr:uid="{AB4CE4EF-8BA5-4E01-AF34-A7B84B232EB8}"/>
    <cellStyle name="Normal 4 3 2 2 2 3 3 2 3 3" xfId="30573" xr:uid="{C6088406-9CA6-4BD7-8BC9-CB8FFAE5EDFC}"/>
    <cellStyle name="Normal 4 3 2 2 2 3 3 2 4" xfId="39872" xr:uid="{470BAF9D-D1CA-4E49-B8F2-F12A3FE48055}"/>
    <cellStyle name="Normal 4 3 2 2 2 3 3 2 5" xfId="21274" xr:uid="{499A0D61-D9ED-4AF7-B1B5-3D59D793A98B}"/>
    <cellStyle name="Normal 4 3 2 2 2 3 3 3" xfId="5573" xr:uid="{00000000-0005-0000-0000-00003B140000}"/>
    <cellStyle name="Normal 4 3 2 2 2 3 3 3 2" xfId="14899" xr:uid="{D42D7C20-EE2E-4728-AD01-8DCBDAC713E0}"/>
    <cellStyle name="Normal 4 3 2 2 2 3 3 3 2 2" xfId="51241" xr:uid="{140B308C-CFFB-44FB-AB2D-99DD4C3F076C}"/>
    <cellStyle name="Normal 4 3 2 2 2 3 3 3 2 3" xfId="32645" xr:uid="{86EEE662-4764-4866-BB96-5215E5DFB587}"/>
    <cellStyle name="Normal 4 3 2 2 2 3 3 3 3" xfId="41944" xr:uid="{378FCE83-F128-4C37-8FBD-E7B3A0CD1175}"/>
    <cellStyle name="Normal 4 3 2 2 2 3 3 3 4" xfId="23346" xr:uid="{3D7C05C8-13B2-4F75-B64A-A9FACD1300D1}"/>
    <cellStyle name="Normal 4 3 2 2 2 3 3 4" xfId="10682" xr:uid="{65C87702-AC36-4E44-BCA0-00AD2215E24B}"/>
    <cellStyle name="Normal 4 3 2 2 2 3 3 4 2" xfId="47024" xr:uid="{BDC3C173-655C-40AB-93A7-FFB84B3BA6F3}"/>
    <cellStyle name="Normal 4 3 2 2 2 3 3 4 3" xfId="28428" xr:uid="{75BDB2D1-A210-40D5-8A80-390EBAAB3954}"/>
    <cellStyle name="Normal 4 3 2 2 2 3 3 5" xfId="37727" xr:uid="{4254A023-84A2-40C6-8D6A-3754C473F22B}"/>
    <cellStyle name="Normal 4 3 2 2 2 3 3 6" xfId="19129" xr:uid="{99991375-730D-4340-A87E-60967B4E8915}"/>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17457" xr:uid="{3A5D79E2-0C1D-4C55-B692-D58C395CECA4}"/>
    <cellStyle name="Normal 4 3 2 2 2 3 4 2 2 2 2" xfId="53799" xr:uid="{B96605B7-78AB-4020-A9A1-D13A864F258A}"/>
    <cellStyle name="Normal 4 3 2 2 2 3 4 2 2 2 3" xfId="35203" xr:uid="{55E087EE-C034-489E-ADF7-7DF0A73CA192}"/>
    <cellStyle name="Normal 4 3 2 2 2 3 4 2 2 3" xfId="44502" xr:uid="{BAC30E88-E11E-401B-A00A-6EB24F55D6F7}"/>
    <cellStyle name="Normal 4 3 2 2 2 3 4 2 2 4" xfId="25904" xr:uid="{E56F8EFA-4931-4DBD-8916-8FEF0219353D}"/>
    <cellStyle name="Normal 4 3 2 2 2 3 4 2 3" xfId="13240" xr:uid="{8CFDF14C-AFB2-4DFB-8E5E-E692B05AE24C}"/>
    <cellStyle name="Normal 4 3 2 2 2 3 4 2 3 2" xfId="49582" xr:uid="{7D579974-26D1-4857-9914-CCACE011E704}"/>
    <cellStyle name="Normal 4 3 2 2 2 3 4 2 3 3" xfId="30986" xr:uid="{645BA6E0-71FF-40B2-A6B7-61F13BFF6CE6}"/>
    <cellStyle name="Normal 4 3 2 2 2 3 4 2 4" xfId="40285" xr:uid="{2716DF31-6BA2-4A1F-8F47-F75BBEC90A98}"/>
    <cellStyle name="Normal 4 3 2 2 2 3 4 2 5" xfId="21687" xr:uid="{64EF277F-7556-42C3-BFDC-E00CD13A01B8}"/>
    <cellStyle name="Normal 4 3 2 2 2 3 4 3" xfId="5986" xr:uid="{00000000-0005-0000-0000-00003F140000}"/>
    <cellStyle name="Normal 4 3 2 2 2 3 4 3 2" xfId="15312" xr:uid="{0AF18A99-F31D-48C7-946C-33B87DD2A453}"/>
    <cellStyle name="Normal 4 3 2 2 2 3 4 3 2 2" xfId="51654" xr:uid="{D2A3BCC4-FE04-45B4-B515-59D01790F5D0}"/>
    <cellStyle name="Normal 4 3 2 2 2 3 4 3 2 3" xfId="33058" xr:uid="{C022AF00-7DAE-4564-AF66-67DEB5A4A1C2}"/>
    <cellStyle name="Normal 4 3 2 2 2 3 4 3 3" xfId="42357" xr:uid="{23F58F5C-7ACD-4A88-8F4B-9948E4C7C637}"/>
    <cellStyle name="Normal 4 3 2 2 2 3 4 3 4" xfId="23759" xr:uid="{BF78550C-4AEE-4C46-87D2-BE097C6A9F6D}"/>
    <cellStyle name="Normal 4 3 2 2 2 3 4 4" xfId="11095" xr:uid="{B13D4512-88C4-46D9-80EA-9A313FC3BD89}"/>
    <cellStyle name="Normal 4 3 2 2 2 3 4 4 2" xfId="47437" xr:uid="{34654DBD-20C8-40F8-AF47-CD7AB2C02FA0}"/>
    <cellStyle name="Normal 4 3 2 2 2 3 4 4 3" xfId="28841" xr:uid="{5B5F33C0-618F-4FEC-949E-283F4164B381}"/>
    <cellStyle name="Normal 4 3 2 2 2 3 4 5" xfId="38140" xr:uid="{DFCE7426-2D57-4B52-9BE3-0721F6FBEA92}"/>
    <cellStyle name="Normal 4 3 2 2 2 3 4 6" xfId="19542" xr:uid="{C592CEA7-724A-4CB1-9546-9684B77DB7BA}"/>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17870" xr:uid="{B062AF4C-9A70-4DA6-A5B4-0BA77432F769}"/>
    <cellStyle name="Normal 4 3 2 2 2 3 5 2 2 2 2" xfId="54212" xr:uid="{AC4F118B-2812-4424-A03F-772D1F97FB63}"/>
    <cellStyle name="Normal 4 3 2 2 2 3 5 2 2 2 3" xfId="35616" xr:uid="{2E60CD70-3828-4C44-8ADD-01DA61B996D4}"/>
    <cellStyle name="Normal 4 3 2 2 2 3 5 2 2 3" xfId="44915" xr:uid="{F3EB3F6C-F3B8-4F2B-B3BC-3628F19A162F}"/>
    <cellStyle name="Normal 4 3 2 2 2 3 5 2 2 4" xfId="26317" xr:uid="{29CC7EA7-19BB-4EC6-A136-B0A3F21C41AF}"/>
    <cellStyle name="Normal 4 3 2 2 2 3 5 2 3" xfId="13653" xr:uid="{B501C9DB-26DC-46B9-8AFB-FA7E213112D3}"/>
    <cellStyle name="Normal 4 3 2 2 2 3 5 2 3 2" xfId="49995" xr:uid="{E4B31FED-792E-4BB8-8E9E-6969B3A9B0B9}"/>
    <cellStyle name="Normal 4 3 2 2 2 3 5 2 3 3" xfId="31399" xr:uid="{ADDE588C-25DD-4C7B-BC40-C333CF126F74}"/>
    <cellStyle name="Normal 4 3 2 2 2 3 5 2 4" xfId="40698" xr:uid="{03589C1B-4181-4CA8-B0F9-F6418CD5407F}"/>
    <cellStyle name="Normal 4 3 2 2 2 3 5 2 5" xfId="22100" xr:uid="{C0C78168-2F0F-44C2-B271-2F24B544A88D}"/>
    <cellStyle name="Normal 4 3 2 2 2 3 5 3" xfId="6399" xr:uid="{00000000-0005-0000-0000-000043140000}"/>
    <cellStyle name="Normal 4 3 2 2 2 3 5 3 2" xfId="15725" xr:uid="{678AD08C-DDEE-4DD5-AE86-F0D2899346F3}"/>
    <cellStyle name="Normal 4 3 2 2 2 3 5 3 2 2" xfId="52067" xr:uid="{A6A9C58A-D57F-46A9-AB99-A49AE39712E1}"/>
    <cellStyle name="Normal 4 3 2 2 2 3 5 3 2 3" xfId="33471" xr:uid="{635CBDB2-C7C1-4F15-889C-6D5E366F2DA7}"/>
    <cellStyle name="Normal 4 3 2 2 2 3 5 3 3" xfId="42770" xr:uid="{8F1E4465-5D20-4567-BBD0-F25D7308374B}"/>
    <cellStyle name="Normal 4 3 2 2 2 3 5 3 4" xfId="24172" xr:uid="{D2FE2FDD-26CE-4B1E-9CC4-A153DE4C3567}"/>
    <cellStyle name="Normal 4 3 2 2 2 3 5 4" xfId="11508" xr:uid="{CFE93727-0B67-4154-9283-65788F553625}"/>
    <cellStyle name="Normal 4 3 2 2 2 3 5 4 2" xfId="47850" xr:uid="{F8460760-F6E6-4E3F-B839-7B6708D24D23}"/>
    <cellStyle name="Normal 4 3 2 2 2 3 5 4 3" xfId="29254" xr:uid="{2DEEE517-3864-42B1-AF6F-AE04078EEFDE}"/>
    <cellStyle name="Normal 4 3 2 2 2 3 5 5" xfId="38553" xr:uid="{6A5A05DD-2AB0-4545-A902-12DDA37DF172}"/>
    <cellStyle name="Normal 4 3 2 2 2 3 5 6" xfId="19955" xr:uid="{7BE17934-E945-4EBC-9781-157DF32D920D}"/>
    <cellStyle name="Normal 4 3 2 2 2 3 6" xfId="2529" xr:uid="{00000000-0005-0000-0000-000044140000}"/>
    <cellStyle name="Normal 4 3 2 2 2 3 6 2" xfId="6812" xr:uid="{00000000-0005-0000-0000-000045140000}"/>
    <cellStyle name="Normal 4 3 2 2 2 3 6 2 2" xfId="16138" xr:uid="{4A30F7DE-9D81-4416-BFA6-EB610899EDD3}"/>
    <cellStyle name="Normal 4 3 2 2 2 3 6 2 2 2" xfId="52480" xr:uid="{0D17C84C-31C0-4142-9F22-C7DB22967C2E}"/>
    <cellStyle name="Normal 4 3 2 2 2 3 6 2 2 3" xfId="33884" xr:uid="{FAEF6479-112B-4A0A-A935-557D51DAC34F}"/>
    <cellStyle name="Normal 4 3 2 2 2 3 6 2 3" xfId="43183" xr:uid="{60D5E6D6-5704-4458-8B5E-70E384014134}"/>
    <cellStyle name="Normal 4 3 2 2 2 3 6 2 4" xfId="24585" xr:uid="{AB27E315-44A4-4F5A-856F-6EF2FA2391A1}"/>
    <cellStyle name="Normal 4 3 2 2 2 3 6 3" xfId="11921" xr:uid="{45903CA5-701C-4A1A-A931-3E45CBA88735}"/>
    <cellStyle name="Normal 4 3 2 2 2 3 6 3 2" xfId="48263" xr:uid="{8DE16782-6482-448B-9BB4-EABA2DFE553E}"/>
    <cellStyle name="Normal 4 3 2 2 2 3 6 3 3" xfId="29667" xr:uid="{8F65AE73-324D-423D-B373-6FFD2417D59D}"/>
    <cellStyle name="Normal 4 3 2 2 2 3 6 4" xfId="38966" xr:uid="{629C2C51-8783-40DD-ABA0-29B685AC8E3A}"/>
    <cellStyle name="Normal 4 3 2 2 2 3 6 5" xfId="20368" xr:uid="{51C1F1FE-5B7F-48FE-943B-D28CE5D24F6F}"/>
    <cellStyle name="Normal 4 3 2 2 2 3 7" xfId="4747" xr:uid="{00000000-0005-0000-0000-000046140000}"/>
    <cellStyle name="Normal 4 3 2 2 2 3 7 2" xfId="14073" xr:uid="{7D56D9FA-26B1-4560-A668-1B5BB3717E16}"/>
    <cellStyle name="Normal 4 3 2 2 2 3 7 2 2" xfId="50415" xr:uid="{F9804DDB-6F01-49B5-B678-FBE25F385B64}"/>
    <cellStyle name="Normal 4 3 2 2 2 3 7 2 3" xfId="31819" xr:uid="{98BB87D2-00EE-464B-A3A5-BDA63D217EA1}"/>
    <cellStyle name="Normal 4 3 2 2 2 3 7 3" xfId="41118" xr:uid="{B32B57C1-9109-47D8-83AE-DD213C8208B2}"/>
    <cellStyle name="Normal 4 3 2 2 2 3 7 4" xfId="22520" xr:uid="{2502CBA5-7500-44F8-93B6-445CB19A1942}"/>
    <cellStyle name="Normal 4 3 2 2 2 3 8" xfId="9029" xr:uid="{CC421D7E-69EF-4D96-A95C-E67F046F8D14}"/>
    <cellStyle name="Normal 4 3 2 2 2 3 8 2" xfId="36099" xr:uid="{121E7688-D57A-4F7C-936E-AF54A01E83BA}"/>
    <cellStyle name="Normal 4 3 2 2 2 3 8 2 2" xfId="54694" xr:uid="{FCB559DF-F682-47DB-A897-839BAFB92545}"/>
    <cellStyle name="Normal 4 3 2 2 2 3 8 3" xfId="45397" xr:uid="{85AE76C2-3EDD-4D8F-9F5D-AF7722F3689A}"/>
    <cellStyle name="Normal 4 3 2 2 2 3 8 4" xfId="26800" xr:uid="{0C63C31E-36EE-42D2-BA34-22BFED5A8551}"/>
    <cellStyle name="Normal 4 3 2 2 2 3 9" xfId="9856" xr:uid="{E4C9D928-E38A-4CE9-AB5C-4F319B7E0A00}"/>
    <cellStyle name="Normal 4 3 2 2 2 3 9 2" xfId="46198" xr:uid="{5BEA456F-B102-4008-A060-B0D16F0DA8C8}"/>
    <cellStyle name="Normal 4 3 2 2 2 3 9 3" xfId="27602" xr:uid="{A46B5B4B-F0B4-4520-9B82-6A614682B16C}"/>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16628" xr:uid="{D979AA22-9C66-4302-9F3C-5D9F2225130B}"/>
    <cellStyle name="Normal 4 3 2 2 2 4 2 2 2 2" xfId="52970" xr:uid="{87A60B14-3323-4E13-A074-C7A6AD58848D}"/>
    <cellStyle name="Normal 4 3 2 2 2 4 2 2 2 3" xfId="34374" xr:uid="{46C4942E-B387-44E9-84F1-8C287F6B9E0B}"/>
    <cellStyle name="Normal 4 3 2 2 2 4 2 2 3" xfId="43673" xr:uid="{BF1D6C25-AB7C-486D-A6DE-D1D55F76CC14}"/>
    <cellStyle name="Normal 4 3 2 2 2 4 2 2 4" xfId="25075" xr:uid="{39B886AA-F0B1-48BB-B415-5D6FF5930831}"/>
    <cellStyle name="Normal 4 3 2 2 2 4 2 3" xfId="12411" xr:uid="{D9DD283F-4676-4309-89CA-C5D403E98DE2}"/>
    <cellStyle name="Normal 4 3 2 2 2 4 2 3 2" xfId="48753" xr:uid="{1B6236A4-490A-495A-BA6C-4FA4B469D3BB}"/>
    <cellStyle name="Normal 4 3 2 2 2 4 2 3 3" xfId="30157" xr:uid="{C1F87FC7-7260-47CB-999A-2DBA0EE65BBB}"/>
    <cellStyle name="Normal 4 3 2 2 2 4 2 4" xfId="39456" xr:uid="{6E09B96C-ACCB-4A34-B37F-F50537076663}"/>
    <cellStyle name="Normal 4 3 2 2 2 4 2 5" xfId="20858" xr:uid="{562EF67B-62F7-4138-B1B8-D200F5B5E01E}"/>
    <cellStyle name="Normal 4 3 2 2 2 4 3" xfId="5157" xr:uid="{00000000-0005-0000-0000-00004A140000}"/>
    <cellStyle name="Normal 4 3 2 2 2 4 3 2" xfId="14483" xr:uid="{78D34B9D-3722-4818-943B-FD9AEC2DB7EE}"/>
    <cellStyle name="Normal 4 3 2 2 2 4 3 2 2" xfId="50825" xr:uid="{20E4BCBD-5551-4FD2-A6A5-9F8836B0CFEE}"/>
    <cellStyle name="Normal 4 3 2 2 2 4 3 2 3" xfId="32229" xr:uid="{765BD0D8-C4B9-4189-A456-27D2B53A6B20}"/>
    <cellStyle name="Normal 4 3 2 2 2 4 3 3" xfId="41528" xr:uid="{FBED66CA-C1C8-47D2-B22F-7B6BDF3D51B2}"/>
    <cellStyle name="Normal 4 3 2 2 2 4 3 4" xfId="22930" xr:uid="{35FFE515-EFDB-405A-B22D-9CF5B4B5CB56}"/>
    <cellStyle name="Normal 4 3 2 2 2 4 4" xfId="9247" xr:uid="{70D9D224-DB0B-42B4-B4A9-BC88F455C395}"/>
    <cellStyle name="Normal 4 3 2 2 2 4 4 2" xfId="36308" xr:uid="{6EA5D2C7-98BF-4D69-B398-F459BA70AED1}"/>
    <cellStyle name="Normal 4 3 2 2 2 4 4 2 2" xfId="54902" xr:uid="{80290569-2595-4E84-B7E5-C9C16FDEAA9D}"/>
    <cellStyle name="Normal 4 3 2 2 2 4 4 3" xfId="45605" xr:uid="{855F1379-4CFF-4414-AB00-6FC3930C530D}"/>
    <cellStyle name="Normal 4 3 2 2 2 4 4 4" xfId="27009" xr:uid="{0915728E-7614-43D5-B6C5-22DAA891F8B6}"/>
    <cellStyle name="Normal 4 3 2 2 2 4 5" xfId="10266" xr:uid="{7AD0265D-B48D-4FF5-AD09-62C3B289C3D2}"/>
    <cellStyle name="Normal 4 3 2 2 2 4 5 2" xfId="46608" xr:uid="{55A60410-C389-453E-9B09-9B1E7E238590}"/>
    <cellStyle name="Normal 4 3 2 2 2 4 5 3" xfId="28012" xr:uid="{5B3EBCB2-721A-4501-8A44-C044A733740D}"/>
    <cellStyle name="Normal 4 3 2 2 2 4 6" xfId="37311" xr:uid="{C54BCD09-704A-463B-B72C-E740603E73E4}"/>
    <cellStyle name="Normal 4 3 2 2 2 4 7" xfId="18713" xr:uid="{60742344-B548-475B-B8A7-83DA448863F6}"/>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17041" xr:uid="{B95757F7-8ABA-4C8A-A2B1-DAC733BF60B8}"/>
    <cellStyle name="Normal 4 3 2 2 2 5 2 2 2 2" xfId="53383" xr:uid="{ACFC44F9-FE42-4B10-9FEC-EBA95306374F}"/>
    <cellStyle name="Normal 4 3 2 2 2 5 2 2 2 3" xfId="34787" xr:uid="{8FBE4CBC-B0AB-464B-9ABB-AA4577B5A552}"/>
    <cellStyle name="Normal 4 3 2 2 2 5 2 2 3" xfId="44086" xr:uid="{381DC74F-7991-4B3C-90CA-18707B750DD9}"/>
    <cellStyle name="Normal 4 3 2 2 2 5 2 2 4" xfId="25488" xr:uid="{B57B0849-828D-434B-BD1E-78B4500F157C}"/>
    <cellStyle name="Normal 4 3 2 2 2 5 2 3" xfId="12824" xr:uid="{69EC0CFF-C526-45D2-9678-ECD38B1B6C78}"/>
    <cellStyle name="Normal 4 3 2 2 2 5 2 3 2" xfId="49166" xr:uid="{DBC6CCEB-2FDC-480E-868F-C2B5B6F9193F}"/>
    <cellStyle name="Normal 4 3 2 2 2 5 2 3 3" xfId="30570" xr:uid="{70DECE43-5240-4F90-871C-80BE296ED4CC}"/>
    <cellStyle name="Normal 4 3 2 2 2 5 2 4" xfId="39869" xr:uid="{15C4A111-A979-4C3E-AE33-3C906835CEAF}"/>
    <cellStyle name="Normal 4 3 2 2 2 5 2 5" xfId="21271" xr:uid="{AD51BAC0-0650-4608-B946-B7A2C5FA1C0F}"/>
    <cellStyle name="Normal 4 3 2 2 2 5 3" xfId="5570" xr:uid="{00000000-0005-0000-0000-00004E140000}"/>
    <cellStyle name="Normal 4 3 2 2 2 5 3 2" xfId="14896" xr:uid="{FB8DBC5B-5CC6-4A56-9F8D-17AD993E09AC}"/>
    <cellStyle name="Normal 4 3 2 2 2 5 3 2 2" xfId="51238" xr:uid="{7B3958F9-F6AD-4245-BC23-791C384D370C}"/>
    <cellStyle name="Normal 4 3 2 2 2 5 3 2 3" xfId="32642" xr:uid="{37470F88-D75C-4EFE-A3BE-71C49DFC6C8E}"/>
    <cellStyle name="Normal 4 3 2 2 2 5 3 3" xfId="41941" xr:uid="{3DF0A037-8C5D-4B90-B124-4FD9B9B875D3}"/>
    <cellStyle name="Normal 4 3 2 2 2 5 3 4" xfId="23343" xr:uid="{BA557E91-1C09-40EE-B560-145FA3186F3C}"/>
    <cellStyle name="Normal 4 3 2 2 2 5 4" xfId="10679" xr:uid="{CD801C26-AE73-4DC5-A59C-8ACEB0BA6154}"/>
    <cellStyle name="Normal 4 3 2 2 2 5 4 2" xfId="47021" xr:uid="{EEF2A02F-4C96-41C7-81F8-7F58E68F754A}"/>
    <cellStyle name="Normal 4 3 2 2 2 5 4 3" xfId="28425" xr:uid="{C3DEDB76-346E-40DB-B036-F7B87FDBD44D}"/>
    <cellStyle name="Normal 4 3 2 2 2 5 5" xfId="37724" xr:uid="{DF46F2D2-523C-4CE4-A9F6-5BEE5F32493B}"/>
    <cellStyle name="Normal 4 3 2 2 2 5 6" xfId="19126" xr:uid="{D900C109-9FA9-4AF2-8B78-38940734E89E}"/>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17454" xr:uid="{D67348E2-FCC5-48A8-BB7A-3416C21F6533}"/>
    <cellStyle name="Normal 4 3 2 2 2 6 2 2 2 2" xfId="53796" xr:uid="{49F3D92D-E07B-43E2-9430-0DE2D4ABD721}"/>
    <cellStyle name="Normal 4 3 2 2 2 6 2 2 2 3" xfId="35200" xr:uid="{E984CADC-3BC4-45ED-83FE-A500EB3CD18D}"/>
    <cellStyle name="Normal 4 3 2 2 2 6 2 2 3" xfId="44499" xr:uid="{F265421E-FFA7-4A6A-B1D1-0DEFD001D443}"/>
    <cellStyle name="Normal 4 3 2 2 2 6 2 2 4" xfId="25901" xr:uid="{16C178BF-0B50-4716-9F69-6996ACD6A7FA}"/>
    <cellStyle name="Normal 4 3 2 2 2 6 2 3" xfId="13237" xr:uid="{AF3F71DD-0E10-4695-8DD4-92B24733069F}"/>
    <cellStyle name="Normal 4 3 2 2 2 6 2 3 2" xfId="49579" xr:uid="{E534DDD8-E70C-43A7-803D-A76E0D9F8D8B}"/>
    <cellStyle name="Normal 4 3 2 2 2 6 2 3 3" xfId="30983" xr:uid="{1B7EF95E-FA49-40EB-AFF3-28B5583131E4}"/>
    <cellStyle name="Normal 4 3 2 2 2 6 2 4" xfId="40282" xr:uid="{385F01C5-5FD4-4BCD-BE44-D2C4903321F4}"/>
    <cellStyle name="Normal 4 3 2 2 2 6 2 5" xfId="21684" xr:uid="{78A37421-DC31-4764-974B-9E8000B6E88F}"/>
    <cellStyle name="Normal 4 3 2 2 2 6 3" xfId="5983" xr:uid="{00000000-0005-0000-0000-000052140000}"/>
    <cellStyle name="Normal 4 3 2 2 2 6 3 2" xfId="15309" xr:uid="{7B9DAE96-15F9-4F31-98F1-A5991A8C6116}"/>
    <cellStyle name="Normal 4 3 2 2 2 6 3 2 2" xfId="51651" xr:uid="{B2D8A300-08E5-457C-AFE5-18B256F960F7}"/>
    <cellStyle name="Normal 4 3 2 2 2 6 3 2 3" xfId="33055" xr:uid="{E9949EB6-1394-44AB-9364-2F89E3322D3D}"/>
    <cellStyle name="Normal 4 3 2 2 2 6 3 3" xfId="42354" xr:uid="{76DCF0BF-FF62-4DE7-8BE4-1053B45BA3BC}"/>
    <cellStyle name="Normal 4 3 2 2 2 6 3 4" xfId="23756" xr:uid="{491AE127-B549-4461-A97E-E41EEEEFA9F6}"/>
    <cellStyle name="Normal 4 3 2 2 2 6 4" xfId="11092" xr:uid="{C0FBFD0B-BE8B-49D9-B522-B04128414B12}"/>
    <cellStyle name="Normal 4 3 2 2 2 6 4 2" xfId="47434" xr:uid="{DC85B9BB-0071-4263-A06E-424423A5E518}"/>
    <cellStyle name="Normal 4 3 2 2 2 6 4 3" xfId="28838" xr:uid="{A3D72FD1-6007-43E4-822E-46E64CAE2A81}"/>
    <cellStyle name="Normal 4 3 2 2 2 6 5" xfId="38137" xr:uid="{A1AC2A7B-897B-491D-A2C5-B8489E27A065}"/>
    <cellStyle name="Normal 4 3 2 2 2 6 6" xfId="19539" xr:uid="{72C215A3-42FB-496F-81FF-E3129F88A288}"/>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17867" xr:uid="{387DBB86-9E9E-474C-995F-11FAC8FBF073}"/>
    <cellStyle name="Normal 4 3 2 2 2 7 2 2 2 2" xfId="54209" xr:uid="{CF308797-BDEC-405C-A9CA-6D7F013902DF}"/>
    <cellStyle name="Normal 4 3 2 2 2 7 2 2 2 3" xfId="35613" xr:uid="{705984EA-9EB6-4A68-9CC4-F04781A17CA0}"/>
    <cellStyle name="Normal 4 3 2 2 2 7 2 2 3" xfId="44912" xr:uid="{3DE64C40-DEC1-457A-8226-9E4CB5DB62C8}"/>
    <cellStyle name="Normal 4 3 2 2 2 7 2 2 4" xfId="26314" xr:uid="{B7CD503C-6914-42A5-B859-27D46703D246}"/>
    <cellStyle name="Normal 4 3 2 2 2 7 2 3" xfId="13650" xr:uid="{B88486A7-65BC-417A-9F50-586B85D1EFCA}"/>
    <cellStyle name="Normal 4 3 2 2 2 7 2 3 2" xfId="49992" xr:uid="{C378054E-61A8-4F95-8B76-EFA6FEA797C1}"/>
    <cellStyle name="Normal 4 3 2 2 2 7 2 3 3" xfId="31396" xr:uid="{93F52DE5-E42E-4CAC-A9D8-6AFC88002067}"/>
    <cellStyle name="Normal 4 3 2 2 2 7 2 4" xfId="40695" xr:uid="{7509D884-1D0B-4143-92D2-2C449380690C}"/>
    <cellStyle name="Normal 4 3 2 2 2 7 2 5" xfId="22097" xr:uid="{CD359125-32B0-49E3-B212-A40320F61765}"/>
    <cellStyle name="Normal 4 3 2 2 2 7 3" xfId="6396" xr:uid="{00000000-0005-0000-0000-000056140000}"/>
    <cellStyle name="Normal 4 3 2 2 2 7 3 2" xfId="15722" xr:uid="{02BCE054-765D-42FD-AB8B-699CC7C5BCF9}"/>
    <cellStyle name="Normal 4 3 2 2 2 7 3 2 2" xfId="52064" xr:uid="{5C3F00BD-DD21-4226-9793-CCF6B4D401D5}"/>
    <cellStyle name="Normal 4 3 2 2 2 7 3 2 3" xfId="33468" xr:uid="{3AF8D4DF-6834-4287-AD44-6D47CD7DF96A}"/>
    <cellStyle name="Normal 4 3 2 2 2 7 3 3" xfId="42767" xr:uid="{10840B0A-E507-4B90-9873-8E8E53B39585}"/>
    <cellStyle name="Normal 4 3 2 2 2 7 3 4" xfId="24169" xr:uid="{210967B4-62CD-47C0-B633-26C9F5495357}"/>
    <cellStyle name="Normal 4 3 2 2 2 7 4" xfId="11505" xr:uid="{06FB98A0-3A5F-46C5-88CC-3948903E0684}"/>
    <cellStyle name="Normal 4 3 2 2 2 7 4 2" xfId="47847" xr:uid="{5D1C43E4-63D4-418E-A45D-95877BC62567}"/>
    <cellStyle name="Normal 4 3 2 2 2 7 4 3" xfId="29251" xr:uid="{CDC71CBA-3ED6-4135-B11B-C4F6EB493B86}"/>
    <cellStyle name="Normal 4 3 2 2 2 7 5" xfId="38550" xr:uid="{1C2E7540-E427-46AC-AA8D-47DB0C3EF783}"/>
    <cellStyle name="Normal 4 3 2 2 2 7 6" xfId="19952" xr:uid="{D4866D0B-779F-48F0-98D8-600F1042FEC8}"/>
    <cellStyle name="Normal 4 3 2 2 2 8" xfId="2526" xr:uid="{00000000-0005-0000-0000-000057140000}"/>
    <cellStyle name="Normal 4 3 2 2 2 8 2" xfId="6809" xr:uid="{00000000-0005-0000-0000-000058140000}"/>
    <cellStyle name="Normal 4 3 2 2 2 8 2 2" xfId="16135" xr:uid="{C0439DD6-061F-409B-8754-625E0E2A10F9}"/>
    <cellStyle name="Normal 4 3 2 2 2 8 2 2 2" xfId="52477" xr:uid="{D65F62BA-13B7-49DA-9776-2C2190645AC5}"/>
    <cellStyle name="Normal 4 3 2 2 2 8 2 2 3" xfId="33881" xr:uid="{C5DF3FDE-67D7-4721-AF88-9752404BFCB8}"/>
    <cellStyle name="Normal 4 3 2 2 2 8 2 3" xfId="43180" xr:uid="{7A49117E-DC40-4CC6-A188-66F6A228A5BD}"/>
    <cellStyle name="Normal 4 3 2 2 2 8 2 4" xfId="24582" xr:uid="{06A7B18F-B88B-4F53-8E59-726C89270235}"/>
    <cellStyle name="Normal 4 3 2 2 2 8 3" xfId="11918" xr:uid="{FF462AB7-AFF4-4129-BDD3-57D1E4714706}"/>
    <cellStyle name="Normal 4 3 2 2 2 8 3 2" xfId="48260" xr:uid="{9212287C-ECC8-4538-B828-CB6C5F8A78D3}"/>
    <cellStyle name="Normal 4 3 2 2 2 8 3 3" xfId="29664" xr:uid="{854CA944-8AC4-4B4C-AEBE-B9940BD06D2A}"/>
    <cellStyle name="Normal 4 3 2 2 2 8 4" xfId="38963" xr:uid="{34795C1E-652D-4E89-9DA4-411D84AE1481}"/>
    <cellStyle name="Normal 4 3 2 2 2 8 5" xfId="20365" xr:uid="{C50137A8-87C3-426F-B955-49B7103FAFB6}"/>
    <cellStyle name="Normal 4 3 2 2 2 9" xfId="4744" xr:uid="{00000000-0005-0000-0000-000059140000}"/>
    <cellStyle name="Normal 4 3 2 2 2 9 2" xfId="14070" xr:uid="{284880C3-164C-44EC-944D-A6A88502D8EB}"/>
    <cellStyle name="Normal 4 3 2 2 2 9 2 2" xfId="50412" xr:uid="{0FBFA925-73F5-46B2-B40D-537ACBA90AF4}"/>
    <cellStyle name="Normal 4 3 2 2 2 9 2 3" xfId="31816" xr:uid="{EE61F43C-7F70-43E3-9ECA-7B8FF1EB3389}"/>
    <cellStyle name="Normal 4 3 2 2 2 9 3" xfId="41115" xr:uid="{430D63DA-BC11-4BC1-83F4-3C0998D7E3BF}"/>
    <cellStyle name="Normal 4 3 2 2 2 9 4" xfId="22517" xr:uid="{7D27EB53-16A4-4916-8675-0033029C2922}"/>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10 2" xfId="35891" xr:uid="{AF4217B9-3462-49AB-AF35-7A912E6F4E9C}"/>
    <cellStyle name="Normal 4 3 3 10 2 2" xfId="54486" xr:uid="{B6BF5C93-3D61-4E18-8060-04EF58554880}"/>
    <cellStyle name="Normal 4 3 3 10 3" xfId="45189" xr:uid="{999067F0-B6C9-4F8B-B479-4BA923576CEF}"/>
    <cellStyle name="Normal 4 3 3 10 4" xfId="26592" xr:uid="{4DC5B1AB-BCE9-47C0-9B2E-D2BB84C3CD24}"/>
    <cellStyle name="Normal 4 3 3 11" xfId="9857" xr:uid="{11667B41-70E3-4111-9691-169CA641E9A1}"/>
    <cellStyle name="Normal 4 3 3 11 2" xfId="46199" xr:uid="{E112ED9C-2280-4191-957B-AD21BC00C829}"/>
    <cellStyle name="Normal 4 3 3 11 3" xfId="27603" xr:uid="{9EF7E0B6-9CEB-477C-B44F-D173162DB33F}"/>
    <cellStyle name="Normal 4 3 3 12" xfId="36902" xr:uid="{BD93538C-54A5-4EDA-811D-70DF6BEC50AE}"/>
    <cellStyle name="Normal 4 3 3 13" xfId="18304" xr:uid="{BFF6D279-330D-49FE-AD81-38DE73E57DE4}"/>
    <cellStyle name="Normal 4 3 3 2" xfId="375" xr:uid="{00000000-0005-0000-0000-00005E140000}"/>
    <cellStyle name="Normal 4 3 3 2 10" xfId="9858" xr:uid="{61F22DAD-7444-4FB2-9C8F-15F4E0F3EF86}"/>
    <cellStyle name="Normal 4 3 3 2 10 2" xfId="46200" xr:uid="{2E2B0B07-0BDA-41F3-9E75-59CFFB2E9E07}"/>
    <cellStyle name="Normal 4 3 3 2 10 3" xfId="27604" xr:uid="{6ED620FF-3E4A-40E2-A6FE-419D9539C705}"/>
    <cellStyle name="Normal 4 3 3 2 11" xfId="36903" xr:uid="{C036AE87-644B-489D-8B1D-6C5B8EDF65DD}"/>
    <cellStyle name="Normal 4 3 3 2 12" xfId="18305" xr:uid="{C16D9429-4D01-455B-AF1E-B9F8AD776005}"/>
    <cellStyle name="Normal 4 3 3 2 2" xfId="376" xr:uid="{00000000-0005-0000-0000-00005F140000}"/>
    <cellStyle name="Normal 4 3 3 2 2 10" xfId="36904" xr:uid="{FC137F79-586F-4430-879D-A8F459263613}"/>
    <cellStyle name="Normal 4 3 3 2 2 11" xfId="18306" xr:uid="{561BC484-511A-4AA9-913C-7C003E77C2FB}"/>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16634" xr:uid="{A8142822-2727-4E33-9660-58D7426EA26F}"/>
    <cellStyle name="Normal 4 3 3 2 2 2 2 2 2 2" xfId="52976" xr:uid="{E69CF327-FC82-455B-A730-16A59BF7112F}"/>
    <cellStyle name="Normal 4 3 3 2 2 2 2 2 2 3" xfId="34380" xr:uid="{757D245E-122D-4517-8C71-FD78FC585820}"/>
    <cellStyle name="Normal 4 3 3 2 2 2 2 2 3" xfId="43679" xr:uid="{00E54E23-88C4-4829-9CAB-BAF262517896}"/>
    <cellStyle name="Normal 4 3 3 2 2 2 2 2 4" xfId="25081" xr:uid="{F5E50285-4BAE-49F2-BCAC-FE6A2E1944C6}"/>
    <cellStyle name="Normal 4 3 3 2 2 2 2 3" xfId="12417" xr:uid="{607A245B-C20E-4FC2-99F2-80DC31353FCC}"/>
    <cellStyle name="Normal 4 3 3 2 2 2 2 3 2" xfId="48759" xr:uid="{88995682-5AA9-44F4-A694-24F49B32B833}"/>
    <cellStyle name="Normal 4 3 3 2 2 2 2 3 3" xfId="30163" xr:uid="{7988746B-7537-487C-9A35-98716DF6C978}"/>
    <cellStyle name="Normal 4 3 3 2 2 2 2 4" xfId="39462" xr:uid="{42F0ACE7-C3B2-4ED6-B165-5FC1FEF6665B}"/>
    <cellStyle name="Normal 4 3 3 2 2 2 2 5" xfId="20864" xr:uid="{9DCE5562-5F3B-4AAF-846F-553711A1CC94}"/>
    <cellStyle name="Normal 4 3 3 2 2 2 3" xfId="5163" xr:uid="{00000000-0005-0000-0000-000063140000}"/>
    <cellStyle name="Normal 4 3 3 2 2 2 3 2" xfId="14489" xr:uid="{80ADBBEC-D0F7-4648-AA24-D9D6CDF5AAAF}"/>
    <cellStyle name="Normal 4 3 3 2 2 2 3 2 2" xfId="50831" xr:uid="{38D91BC5-67C2-4BF1-BB80-C6CB64D1EEC9}"/>
    <cellStyle name="Normal 4 3 3 2 2 2 3 2 3" xfId="32235" xr:uid="{F211F351-C583-499D-9ECA-C4BB40F510EF}"/>
    <cellStyle name="Normal 4 3 3 2 2 2 3 3" xfId="41534" xr:uid="{F156A718-E071-4987-A0BD-4907E7D4EEBA}"/>
    <cellStyle name="Normal 4 3 3 2 2 2 3 4" xfId="22936" xr:uid="{39CCED09-78E4-4F2D-A8AC-F2AA68C25435}"/>
    <cellStyle name="Normal 4 3 3 2 2 2 4" xfId="9556" xr:uid="{7233D5E9-9F1E-43FF-8391-DCCFDF8A705D}"/>
    <cellStyle name="Normal 4 3 3 2 2 2 4 2" xfId="36617" xr:uid="{BE24BA96-3FB7-47B8-85D4-C780323F0356}"/>
    <cellStyle name="Normal 4 3 3 2 2 2 4 2 2" xfId="55211" xr:uid="{DCA3B19E-1F62-4F48-B7ED-6D512BCFFE4B}"/>
    <cellStyle name="Normal 4 3 3 2 2 2 4 3" xfId="45914" xr:uid="{0306F9FE-A096-452B-8BEA-B8D0C406597D}"/>
    <cellStyle name="Normal 4 3 3 2 2 2 4 4" xfId="27318" xr:uid="{B8B8B0CF-BFA3-464E-B334-961CB1F70A63}"/>
    <cellStyle name="Normal 4 3 3 2 2 2 5" xfId="10272" xr:uid="{6941C37E-F68E-4D43-8CAF-6207ED5269A3}"/>
    <cellStyle name="Normal 4 3 3 2 2 2 5 2" xfId="46614" xr:uid="{9EB20C3C-E2D8-4568-B0B9-D41FC39C6D93}"/>
    <cellStyle name="Normal 4 3 3 2 2 2 5 3" xfId="28018" xr:uid="{53ED587C-1AFE-41DA-87D9-8526C14F9484}"/>
    <cellStyle name="Normal 4 3 3 2 2 2 6" xfId="37317" xr:uid="{B8043842-4B40-4479-A7E2-20B4FD8B0DB4}"/>
    <cellStyle name="Normal 4 3 3 2 2 2 7" xfId="18719" xr:uid="{178C0B6D-3227-4BDF-8143-4840EBD87D16}"/>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17047" xr:uid="{3CE550EE-1740-44BE-AE61-383077C57F10}"/>
    <cellStyle name="Normal 4 3 3 2 2 3 2 2 2 2" xfId="53389" xr:uid="{25508F64-73CF-4684-85A1-3CF60E31E8D0}"/>
    <cellStyle name="Normal 4 3 3 2 2 3 2 2 2 3" xfId="34793" xr:uid="{7635E83A-0B91-406C-A6FB-2CD1818EB6C7}"/>
    <cellStyle name="Normal 4 3 3 2 2 3 2 2 3" xfId="44092" xr:uid="{CB367404-A8EC-4121-ACF3-EDC85EDE1E1C}"/>
    <cellStyle name="Normal 4 3 3 2 2 3 2 2 4" xfId="25494" xr:uid="{9E5800C5-DAF7-4B01-AF54-523D26BE4B02}"/>
    <cellStyle name="Normal 4 3 3 2 2 3 2 3" xfId="12830" xr:uid="{A4EC53D2-608A-4DA1-84CF-FD76BFC963C5}"/>
    <cellStyle name="Normal 4 3 3 2 2 3 2 3 2" xfId="49172" xr:uid="{DC34B33F-EA33-440B-BF1C-24D89CB18907}"/>
    <cellStyle name="Normal 4 3 3 2 2 3 2 3 3" xfId="30576" xr:uid="{E7071795-F14B-4ABE-B003-85331AFE826E}"/>
    <cellStyle name="Normal 4 3 3 2 2 3 2 4" xfId="39875" xr:uid="{A55D80BF-4C39-4C91-ABE7-EC896102130B}"/>
    <cellStyle name="Normal 4 3 3 2 2 3 2 5" xfId="21277" xr:uid="{ED4E8D78-81A5-492D-BD89-B46ADE9430DE}"/>
    <cellStyle name="Normal 4 3 3 2 2 3 3" xfId="5576" xr:uid="{00000000-0005-0000-0000-000067140000}"/>
    <cellStyle name="Normal 4 3 3 2 2 3 3 2" xfId="14902" xr:uid="{69D19252-F1C3-467C-95D8-14D368D69E67}"/>
    <cellStyle name="Normal 4 3 3 2 2 3 3 2 2" xfId="51244" xr:uid="{DC4610C4-EB8E-42B0-8FF9-47F1248269D3}"/>
    <cellStyle name="Normal 4 3 3 2 2 3 3 2 3" xfId="32648" xr:uid="{B95052B0-D7F5-4444-8D64-1B22A61B3B47}"/>
    <cellStyle name="Normal 4 3 3 2 2 3 3 3" xfId="41947" xr:uid="{5477F87A-7370-4C9E-A8D5-2D559448BEB8}"/>
    <cellStyle name="Normal 4 3 3 2 2 3 3 4" xfId="23349" xr:uid="{696F1561-DF81-4EDD-A34D-0ED9CA3C44C8}"/>
    <cellStyle name="Normal 4 3 3 2 2 3 4" xfId="10685" xr:uid="{7A6F6D75-2A5D-483F-BAB1-3F7D31A53A9E}"/>
    <cellStyle name="Normal 4 3 3 2 2 3 4 2" xfId="47027" xr:uid="{D78BF058-C85F-427A-AD63-F9DCA3188FD8}"/>
    <cellStyle name="Normal 4 3 3 2 2 3 4 3" xfId="28431" xr:uid="{909075B6-F3A4-4D2B-B839-81AE7DF828C7}"/>
    <cellStyle name="Normal 4 3 3 2 2 3 5" xfId="37730" xr:uid="{F2F0C203-BD44-4D10-B83C-F8934548BB18}"/>
    <cellStyle name="Normal 4 3 3 2 2 3 6" xfId="19132" xr:uid="{487B959E-2FB9-4517-974C-DE30D67B3E4E}"/>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17460" xr:uid="{32912C17-CCEF-463C-90E1-352DDE90ACD1}"/>
    <cellStyle name="Normal 4 3 3 2 2 4 2 2 2 2" xfId="53802" xr:uid="{DA5DC6B5-B5E7-41BB-926A-0DAF1BF2210E}"/>
    <cellStyle name="Normal 4 3 3 2 2 4 2 2 2 3" xfId="35206" xr:uid="{D6D928B9-1298-4C6E-99C5-456A232C8FBE}"/>
    <cellStyle name="Normal 4 3 3 2 2 4 2 2 3" xfId="44505" xr:uid="{C26ECCC5-8FFA-498F-8272-36544EDABB71}"/>
    <cellStyle name="Normal 4 3 3 2 2 4 2 2 4" xfId="25907" xr:uid="{E23D0E7C-A799-4121-8A3F-9DFA7E6899D8}"/>
    <cellStyle name="Normal 4 3 3 2 2 4 2 3" xfId="13243" xr:uid="{F3D8DC71-106A-4A66-9165-F2F49C70A4A1}"/>
    <cellStyle name="Normal 4 3 3 2 2 4 2 3 2" xfId="49585" xr:uid="{2ADF5E06-0516-4B23-B112-2B30F2732323}"/>
    <cellStyle name="Normal 4 3 3 2 2 4 2 3 3" xfId="30989" xr:uid="{7B32191F-70C2-495B-946F-53E8F6703635}"/>
    <cellStyle name="Normal 4 3 3 2 2 4 2 4" xfId="40288" xr:uid="{7A1ECA84-F3F0-49A0-903A-9AF4452811F6}"/>
    <cellStyle name="Normal 4 3 3 2 2 4 2 5" xfId="21690" xr:uid="{AC04DC71-174E-4647-84A2-1F780BE6E918}"/>
    <cellStyle name="Normal 4 3 3 2 2 4 3" xfId="5989" xr:uid="{00000000-0005-0000-0000-00006B140000}"/>
    <cellStyle name="Normal 4 3 3 2 2 4 3 2" xfId="15315" xr:uid="{4ACD1B11-6344-4B7F-943F-02891EEFF707}"/>
    <cellStyle name="Normal 4 3 3 2 2 4 3 2 2" xfId="51657" xr:uid="{92A18912-36F8-4786-8065-E3C8FB2FD358}"/>
    <cellStyle name="Normal 4 3 3 2 2 4 3 2 3" xfId="33061" xr:uid="{5F9D1848-6FB5-4374-B59A-D104AE3C253D}"/>
    <cellStyle name="Normal 4 3 3 2 2 4 3 3" xfId="42360" xr:uid="{6E037A3B-7F90-4A2E-8351-D37C08F2BF43}"/>
    <cellStyle name="Normal 4 3 3 2 2 4 3 4" xfId="23762" xr:uid="{1FEB0FC9-125C-45F3-8D10-F237015DD1AE}"/>
    <cellStyle name="Normal 4 3 3 2 2 4 4" xfId="11098" xr:uid="{6F3C7049-3B36-4C37-BD59-BAC6238B7137}"/>
    <cellStyle name="Normal 4 3 3 2 2 4 4 2" xfId="47440" xr:uid="{A565B5C5-AB05-4124-ACF8-F9422C57BD7D}"/>
    <cellStyle name="Normal 4 3 3 2 2 4 4 3" xfId="28844" xr:uid="{C4521486-B817-48EA-85A8-B3AC41A760F3}"/>
    <cellStyle name="Normal 4 3 3 2 2 4 5" xfId="38143" xr:uid="{A7B0C3B9-538B-49B3-A542-1440EC411A2A}"/>
    <cellStyle name="Normal 4 3 3 2 2 4 6" xfId="19545" xr:uid="{AE26E3F7-ACF4-4CF4-9CE5-372EEC20C6B6}"/>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17873" xr:uid="{6BB424D7-8CAF-44C0-BFC1-E244F9B56B9E}"/>
    <cellStyle name="Normal 4 3 3 2 2 5 2 2 2 2" xfId="54215" xr:uid="{CCCC7081-A88F-4C26-8B21-A1C5A5D413B2}"/>
    <cellStyle name="Normal 4 3 3 2 2 5 2 2 2 3" xfId="35619" xr:uid="{F4580B9A-93A3-41AF-92B5-D39E47363564}"/>
    <cellStyle name="Normal 4 3 3 2 2 5 2 2 3" xfId="44918" xr:uid="{A6B12290-A90B-4879-BFCF-D746187D37CF}"/>
    <cellStyle name="Normal 4 3 3 2 2 5 2 2 4" xfId="26320" xr:uid="{DF8FAD93-EFEB-4486-B186-7C61092607C8}"/>
    <cellStyle name="Normal 4 3 3 2 2 5 2 3" xfId="13656" xr:uid="{B4A9EE89-F577-4EC8-97FF-A209E442EA6F}"/>
    <cellStyle name="Normal 4 3 3 2 2 5 2 3 2" xfId="49998" xr:uid="{E44D9ADF-FFA6-4659-B1D1-914422E69A43}"/>
    <cellStyle name="Normal 4 3 3 2 2 5 2 3 3" xfId="31402" xr:uid="{9B9BC0F5-346C-49FA-80E4-E87B7EC9D89A}"/>
    <cellStyle name="Normal 4 3 3 2 2 5 2 4" xfId="40701" xr:uid="{A987A722-41DF-4AF6-B88C-9D9FBD45F323}"/>
    <cellStyle name="Normal 4 3 3 2 2 5 2 5" xfId="22103" xr:uid="{7732284C-8A0A-43AF-A4E0-6E9EF8C22217}"/>
    <cellStyle name="Normal 4 3 3 2 2 5 3" xfId="6402" xr:uid="{00000000-0005-0000-0000-00006F140000}"/>
    <cellStyle name="Normal 4 3 3 2 2 5 3 2" xfId="15728" xr:uid="{E11832A9-719F-4B75-9AE4-93EA520E6648}"/>
    <cellStyle name="Normal 4 3 3 2 2 5 3 2 2" xfId="52070" xr:uid="{731C9D66-9E74-4133-86BA-87AD8FF3E468}"/>
    <cellStyle name="Normal 4 3 3 2 2 5 3 2 3" xfId="33474" xr:uid="{30606294-666F-46BF-A8B2-74CD6762FFDD}"/>
    <cellStyle name="Normal 4 3 3 2 2 5 3 3" xfId="42773" xr:uid="{04734854-3718-4A7A-B099-A404FD3728DE}"/>
    <cellStyle name="Normal 4 3 3 2 2 5 3 4" xfId="24175" xr:uid="{B5CDBBA4-79C0-43A0-B76B-A0F0F7F763A0}"/>
    <cellStyle name="Normal 4 3 3 2 2 5 4" xfId="11511" xr:uid="{86D27940-5348-448A-BB2A-819DE74E6069}"/>
    <cellStyle name="Normal 4 3 3 2 2 5 4 2" xfId="47853" xr:uid="{878AFA69-31AD-4F90-81FF-8A4189108370}"/>
    <cellStyle name="Normal 4 3 3 2 2 5 4 3" xfId="29257" xr:uid="{06C13E88-D111-4B65-8193-E25D08BC03C1}"/>
    <cellStyle name="Normal 4 3 3 2 2 5 5" xfId="38556" xr:uid="{8287748B-6706-4AF6-96CE-77E31290FE76}"/>
    <cellStyle name="Normal 4 3 3 2 2 5 6" xfId="19958" xr:uid="{DAA43638-786E-47EE-A16A-E62F8E7AE746}"/>
    <cellStyle name="Normal 4 3 3 2 2 6" xfId="2532" xr:uid="{00000000-0005-0000-0000-000070140000}"/>
    <cellStyle name="Normal 4 3 3 2 2 6 2" xfId="6815" xr:uid="{00000000-0005-0000-0000-000071140000}"/>
    <cellStyle name="Normal 4 3 3 2 2 6 2 2" xfId="16141" xr:uid="{BB4EFEBC-B4D9-4A07-87E8-6BC8571CCE65}"/>
    <cellStyle name="Normal 4 3 3 2 2 6 2 2 2" xfId="52483" xr:uid="{1BAE09BD-201F-42B2-8D3D-691FCB3CED1C}"/>
    <cellStyle name="Normal 4 3 3 2 2 6 2 2 3" xfId="33887" xr:uid="{C434D140-0524-4D90-94AC-9C83235DA02D}"/>
    <cellStyle name="Normal 4 3 3 2 2 6 2 3" xfId="43186" xr:uid="{471F1BED-8B72-45D4-A3F9-57F2DE95E9AA}"/>
    <cellStyle name="Normal 4 3 3 2 2 6 2 4" xfId="24588" xr:uid="{9A8E8EB4-0BEE-42A6-875E-0FCF90F6D540}"/>
    <cellStyle name="Normal 4 3 3 2 2 6 3" xfId="11924" xr:uid="{2699AECF-5B20-4757-A95F-8D37FE431763}"/>
    <cellStyle name="Normal 4 3 3 2 2 6 3 2" xfId="48266" xr:uid="{0BE7A06D-71BE-4DD7-A2A2-FE04F634BE67}"/>
    <cellStyle name="Normal 4 3 3 2 2 6 3 3" xfId="29670" xr:uid="{946C538D-B80D-4667-810D-5645CE0ABB2F}"/>
    <cellStyle name="Normal 4 3 3 2 2 6 4" xfId="38969" xr:uid="{D6B5C56D-4617-46D2-B433-C667E273F46F}"/>
    <cellStyle name="Normal 4 3 3 2 2 6 5" xfId="20371" xr:uid="{A7046462-031D-4251-BB80-46C571E7E12D}"/>
    <cellStyle name="Normal 4 3 3 2 2 7" xfId="4750" xr:uid="{00000000-0005-0000-0000-000072140000}"/>
    <cellStyle name="Normal 4 3 3 2 2 7 2" xfId="14076" xr:uid="{F032E951-DBCC-4512-A0DC-1FEA09088EB5}"/>
    <cellStyle name="Normal 4 3 3 2 2 7 2 2" xfId="50418" xr:uid="{7FB4D86F-5A52-4618-82CA-912892E85E8D}"/>
    <cellStyle name="Normal 4 3 3 2 2 7 2 3" xfId="31822" xr:uid="{3E876E38-2342-47E6-8B93-F8BE8536C703}"/>
    <cellStyle name="Normal 4 3 3 2 2 7 3" xfId="41121" xr:uid="{F7A19246-48B0-44E2-9DB7-01ADE61CB89A}"/>
    <cellStyle name="Normal 4 3 3 2 2 7 4" xfId="22523" xr:uid="{62BE81D5-3874-4490-A160-97ACE377A47F}"/>
    <cellStyle name="Normal 4 3 3 2 2 8" xfId="9131" xr:uid="{D7BA3B10-6765-4B57-99D1-3AF7343772F8}"/>
    <cellStyle name="Normal 4 3 3 2 2 8 2" xfId="36201" xr:uid="{3661CE9E-B742-4D04-9F18-E6CF753E968F}"/>
    <cellStyle name="Normal 4 3 3 2 2 8 2 2" xfId="54796" xr:uid="{FBD72B96-CC46-4D00-BED7-515C728266FB}"/>
    <cellStyle name="Normal 4 3 3 2 2 8 3" xfId="45499" xr:uid="{57BADDD9-020B-41E9-9441-FC512475AADC}"/>
    <cellStyle name="Normal 4 3 3 2 2 8 4" xfId="26902" xr:uid="{3A23D590-5E84-437D-9BFC-4A95F4751023}"/>
    <cellStyle name="Normal 4 3 3 2 2 9" xfId="9859" xr:uid="{1F126E61-E21C-4BF3-A397-FCE64EF44253}"/>
    <cellStyle name="Normal 4 3 3 2 2 9 2" xfId="46201" xr:uid="{0543C853-8741-400E-8948-D51AF6AF18DF}"/>
    <cellStyle name="Normal 4 3 3 2 2 9 3" xfId="27605" xr:uid="{6FC71427-F862-4630-9FE3-2CF39061FDBA}"/>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16633" xr:uid="{63CFDFAA-61B6-420B-960B-028C8CC735F8}"/>
    <cellStyle name="Normal 4 3 3 2 3 2 2 2 2" xfId="52975" xr:uid="{B1362183-2CD3-426B-AEB7-E3F9EDDE8AD8}"/>
    <cellStyle name="Normal 4 3 3 2 3 2 2 2 3" xfId="34379" xr:uid="{0EAEABEC-5702-42AB-8E14-89DAC2F5027A}"/>
    <cellStyle name="Normal 4 3 3 2 3 2 2 3" xfId="43678" xr:uid="{CCD46B8B-AE0F-400F-90B7-E532B43692F6}"/>
    <cellStyle name="Normal 4 3 3 2 3 2 2 4" xfId="25080" xr:uid="{2F65451A-80A5-4E01-8FB0-6AEF9021E2E1}"/>
    <cellStyle name="Normal 4 3 3 2 3 2 3" xfId="12416" xr:uid="{8B97FC33-3688-4EE4-8497-FD34BE817ED3}"/>
    <cellStyle name="Normal 4 3 3 2 3 2 3 2" xfId="48758" xr:uid="{79FB13DB-D7F8-408A-A2BC-1CC69E317D9B}"/>
    <cellStyle name="Normal 4 3 3 2 3 2 3 3" xfId="30162" xr:uid="{18A2E7EC-8F1E-4BD8-AE1D-B7CBA268BA8E}"/>
    <cellStyle name="Normal 4 3 3 2 3 2 4" xfId="39461" xr:uid="{3F326756-73C2-4B1C-A1BF-0D1E920E6823}"/>
    <cellStyle name="Normal 4 3 3 2 3 2 5" xfId="20863" xr:uid="{1991F0E3-BDAA-49F5-87BE-63C83C98C967}"/>
    <cellStyle name="Normal 4 3 3 2 3 3" xfId="5162" xr:uid="{00000000-0005-0000-0000-000076140000}"/>
    <cellStyle name="Normal 4 3 3 2 3 3 2" xfId="14488" xr:uid="{D36A51CA-F2FC-4410-A408-68A5733FBBD3}"/>
    <cellStyle name="Normal 4 3 3 2 3 3 2 2" xfId="50830" xr:uid="{C1F7D622-206A-4588-8CF9-76A65BDB0664}"/>
    <cellStyle name="Normal 4 3 3 2 3 3 2 3" xfId="32234" xr:uid="{36F53EDB-FD08-45AA-A873-1C7AD3B73C9F}"/>
    <cellStyle name="Normal 4 3 3 2 3 3 3" xfId="41533" xr:uid="{7E058D2F-1218-4C7D-BE01-F5C66EB4BA2C}"/>
    <cellStyle name="Normal 4 3 3 2 3 3 4" xfId="22935" xr:uid="{09CE4734-30C6-4E0D-BB2E-AFA38F00D3F1}"/>
    <cellStyle name="Normal 4 3 3 2 3 4" xfId="9349" xr:uid="{E498700C-D7AE-42FC-8EB1-59BA2C1BA6B9}"/>
    <cellStyle name="Normal 4 3 3 2 3 4 2" xfId="36410" xr:uid="{51DA9662-A27F-4CA8-9F4B-52149E046490}"/>
    <cellStyle name="Normal 4 3 3 2 3 4 2 2" xfId="55004" xr:uid="{4B12BCC3-689A-42F1-982F-994CC0F518A2}"/>
    <cellStyle name="Normal 4 3 3 2 3 4 3" xfId="45707" xr:uid="{3FB87527-FB71-4F2E-BA05-91B8515F9B03}"/>
    <cellStyle name="Normal 4 3 3 2 3 4 4" xfId="27111" xr:uid="{85884000-7DB8-4C3F-BCF7-9DE1DDA67347}"/>
    <cellStyle name="Normal 4 3 3 2 3 5" xfId="10271" xr:uid="{88470768-40A3-4754-99E3-F7D9E6AB8604}"/>
    <cellStyle name="Normal 4 3 3 2 3 5 2" xfId="46613" xr:uid="{EB872E39-A9AC-4A9C-B726-EAA012848E3E}"/>
    <cellStyle name="Normal 4 3 3 2 3 5 3" xfId="28017" xr:uid="{6DDB68AB-D144-47EA-B13C-8C94A78A3857}"/>
    <cellStyle name="Normal 4 3 3 2 3 6" xfId="37316" xr:uid="{AC16FEB4-59B8-4F0F-9C22-2A0D6D413810}"/>
    <cellStyle name="Normal 4 3 3 2 3 7" xfId="18718" xr:uid="{75FC80DD-04BB-4487-85D1-22A50010CF65}"/>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17046" xr:uid="{BD69FA9A-837F-4E4C-9757-AB2F47738816}"/>
    <cellStyle name="Normal 4 3 3 2 4 2 2 2 2" xfId="53388" xr:uid="{B23466EC-4850-46BA-98B8-64D5F718A314}"/>
    <cellStyle name="Normal 4 3 3 2 4 2 2 2 3" xfId="34792" xr:uid="{6369BA3E-DFA1-44A7-B2F8-A1271418616E}"/>
    <cellStyle name="Normal 4 3 3 2 4 2 2 3" xfId="44091" xr:uid="{4C640D97-A1E9-461B-89E7-E009B7917F87}"/>
    <cellStyle name="Normal 4 3 3 2 4 2 2 4" xfId="25493" xr:uid="{007C4827-A725-44C7-8C17-F35B0043D292}"/>
    <cellStyle name="Normal 4 3 3 2 4 2 3" xfId="12829" xr:uid="{1B86F9B8-2B01-47AF-B5C1-A4CA37418231}"/>
    <cellStyle name="Normal 4 3 3 2 4 2 3 2" xfId="49171" xr:uid="{B89D5085-CB27-44DE-BE1E-2BE19CB18319}"/>
    <cellStyle name="Normal 4 3 3 2 4 2 3 3" xfId="30575" xr:uid="{A395AD2F-3955-4C63-991F-224E7A7F310D}"/>
    <cellStyle name="Normal 4 3 3 2 4 2 4" xfId="39874" xr:uid="{AAAAD17A-646F-419C-8C5E-5D37A3598C92}"/>
    <cellStyle name="Normal 4 3 3 2 4 2 5" xfId="21276" xr:uid="{4729D390-D403-4122-8466-0FFC7058F80B}"/>
    <cellStyle name="Normal 4 3 3 2 4 3" xfId="5575" xr:uid="{00000000-0005-0000-0000-00007A140000}"/>
    <cellStyle name="Normal 4 3 3 2 4 3 2" xfId="14901" xr:uid="{E663B7A4-E878-4678-B36D-A92F2EEB17B7}"/>
    <cellStyle name="Normal 4 3 3 2 4 3 2 2" xfId="51243" xr:uid="{E3FBDB41-F540-4B0E-89E9-397A301248B7}"/>
    <cellStyle name="Normal 4 3 3 2 4 3 2 3" xfId="32647" xr:uid="{8D7368C0-0F4B-4199-A203-69FC41313EC3}"/>
    <cellStyle name="Normal 4 3 3 2 4 3 3" xfId="41946" xr:uid="{E4C12B00-D33E-430F-A9B5-C1D75F509402}"/>
    <cellStyle name="Normal 4 3 3 2 4 3 4" xfId="23348" xr:uid="{E47EB8F7-3CF1-482B-B1B1-3576F563A08D}"/>
    <cellStyle name="Normal 4 3 3 2 4 4" xfId="10684" xr:uid="{DEC72566-FC25-46D4-B6B8-D54C5AF79DBC}"/>
    <cellStyle name="Normal 4 3 3 2 4 4 2" xfId="47026" xr:uid="{FBA039D5-6252-4A22-BFD9-250A3A2F1AD5}"/>
    <cellStyle name="Normal 4 3 3 2 4 4 3" xfId="28430" xr:uid="{2823AF2D-5EA2-454D-8B0A-41C1847BA1FA}"/>
    <cellStyle name="Normal 4 3 3 2 4 5" xfId="37729" xr:uid="{FA23E52C-288A-4DD6-BA35-A93D3B61446A}"/>
    <cellStyle name="Normal 4 3 3 2 4 6" xfId="19131" xr:uid="{852A9187-3DA2-4CA5-B101-07117BE5EA1B}"/>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17459" xr:uid="{FF54275A-000F-4159-9C86-CC20D62A915A}"/>
    <cellStyle name="Normal 4 3 3 2 5 2 2 2 2" xfId="53801" xr:uid="{0217ADE1-8042-4186-A522-0334DE3BDA35}"/>
    <cellStyle name="Normal 4 3 3 2 5 2 2 2 3" xfId="35205" xr:uid="{ACF25354-A958-485E-BD9C-BE88AAC37623}"/>
    <cellStyle name="Normal 4 3 3 2 5 2 2 3" xfId="44504" xr:uid="{35556752-DE7C-4211-B7DE-3BC1F80F1085}"/>
    <cellStyle name="Normal 4 3 3 2 5 2 2 4" xfId="25906" xr:uid="{19AC3ED7-E70E-450F-B5F1-3BD24801B229}"/>
    <cellStyle name="Normal 4 3 3 2 5 2 3" xfId="13242" xr:uid="{B2048472-D15F-489F-B7F0-26C9AFD4EACF}"/>
    <cellStyle name="Normal 4 3 3 2 5 2 3 2" xfId="49584" xr:uid="{B1FF157D-8BDC-4717-88EA-EFC8BB3C86C7}"/>
    <cellStyle name="Normal 4 3 3 2 5 2 3 3" xfId="30988" xr:uid="{3908E0F6-6A67-49F8-87D6-5FC2DFABCB74}"/>
    <cellStyle name="Normal 4 3 3 2 5 2 4" xfId="40287" xr:uid="{445E8668-A5FC-4552-9366-C98AA15381A7}"/>
    <cellStyle name="Normal 4 3 3 2 5 2 5" xfId="21689" xr:uid="{F1577665-031B-4242-BBF7-21650F06EBAA}"/>
    <cellStyle name="Normal 4 3 3 2 5 3" xfId="5988" xr:uid="{00000000-0005-0000-0000-00007E140000}"/>
    <cellStyle name="Normal 4 3 3 2 5 3 2" xfId="15314" xr:uid="{D680570B-51C5-4EA8-88F1-B0BD2EF7796D}"/>
    <cellStyle name="Normal 4 3 3 2 5 3 2 2" xfId="51656" xr:uid="{F2B239AF-4A2E-4ED2-ABC1-C876F846ED14}"/>
    <cellStyle name="Normal 4 3 3 2 5 3 2 3" xfId="33060" xr:uid="{EAB54660-7AD5-4F06-BFBB-E0E16C18393A}"/>
    <cellStyle name="Normal 4 3 3 2 5 3 3" xfId="42359" xr:uid="{3CA341D8-32A4-42F8-B1F5-20E05B262DF2}"/>
    <cellStyle name="Normal 4 3 3 2 5 3 4" xfId="23761" xr:uid="{984DED50-1D76-4D58-8587-EA3261F94F30}"/>
    <cellStyle name="Normal 4 3 3 2 5 4" xfId="11097" xr:uid="{267C9C60-9A08-4A98-BC59-FBBB13BFAE63}"/>
    <cellStyle name="Normal 4 3 3 2 5 4 2" xfId="47439" xr:uid="{14A39A1A-8E9E-4E5A-8B17-434E31A322D1}"/>
    <cellStyle name="Normal 4 3 3 2 5 4 3" xfId="28843" xr:uid="{007E9AEA-67F1-427E-B4F3-3E8B926E1E9C}"/>
    <cellStyle name="Normal 4 3 3 2 5 5" xfId="38142" xr:uid="{D81A9EBA-EAEB-4D17-8281-C5EC3248167C}"/>
    <cellStyle name="Normal 4 3 3 2 5 6" xfId="19544" xr:uid="{C14F1C62-1AC4-41E1-BBFF-7C0AFD46AB33}"/>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17872" xr:uid="{BA639F37-F002-490F-9DE2-68C640AEC2D4}"/>
    <cellStyle name="Normal 4 3 3 2 6 2 2 2 2" xfId="54214" xr:uid="{325326A7-A235-459F-A254-E46715706B0F}"/>
    <cellStyle name="Normal 4 3 3 2 6 2 2 2 3" xfId="35618" xr:uid="{433DED8D-68F1-4F80-92C2-A4B3874153CA}"/>
    <cellStyle name="Normal 4 3 3 2 6 2 2 3" xfId="44917" xr:uid="{CA376529-1012-46A2-BBFF-5040EF6128E0}"/>
    <cellStyle name="Normal 4 3 3 2 6 2 2 4" xfId="26319" xr:uid="{85EB6E39-DCE6-4444-AE99-F82D61290360}"/>
    <cellStyle name="Normal 4 3 3 2 6 2 3" xfId="13655" xr:uid="{7DB6091B-FD32-44A9-8594-823E08BF3943}"/>
    <cellStyle name="Normal 4 3 3 2 6 2 3 2" xfId="49997" xr:uid="{454D4622-4DEB-4D3A-8C8E-7F819359EE4E}"/>
    <cellStyle name="Normal 4 3 3 2 6 2 3 3" xfId="31401" xr:uid="{CA627574-1808-41D0-A074-691D88EF8BEB}"/>
    <cellStyle name="Normal 4 3 3 2 6 2 4" xfId="40700" xr:uid="{71B4A75B-EE5B-439A-ACB4-2973265A8511}"/>
    <cellStyle name="Normal 4 3 3 2 6 2 5" xfId="22102" xr:uid="{C6E44331-9D72-4D49-8F7F-3FE026FF4516}"/>
    <cellStyle name="Normal 4 3 3 2 6 3" xfId="6401" xr:uid="{00000000-0005-0000-0000-000082140000}"/>
    <cellStyle name="Normal 4 3 3 2 6 3 2" xfId="15727" xr:uid="{9AD10EF5-BFFF-469B-8E2D-4A0EC108B4CC}"/>
    <cellStyle name="Normal 4 3 3 2 6 3 2 2" xfId="52069" xr:uid="{6FB57F83-8066-40DE-B6E2-72E588BFD2B8}"/>
    <cellStyle name="Normal 4 3 3 2 6 3 2 3" xfId="33473" xr:uid="{A0F99F70-21DC-4629-A7F8-3ACA8A4B6E39}"/>
    <cellStyle name="Normal 4 3 3 2 6 3 3" xfId="42772" xr:uid="{624191D5-B2AA-4DDB-AF10-D162DDF29007}"/>
    <cellStyle name="Normal 4 3 3 2 6 3 4" xfId="24174" xr:uid="{E3E378A0-58AC-4B13-AE97-3021A9E29D58}"/>
    <cellStyle name="Normal 4 3 3 2 6 4" xfId="11510" xr:uid="{022BAD7F-98F3-40CC-A02D-747660819389}"/>
    <cellStyle name="Normal 4 3 3 2 6 4 2" xfId="47852" xr:uid="{21BFB37E-AE7D-470E-8C6A-CCA3A86F072A}"/>
    <cellStyle name="Normal 4 3 3 2 6 4 3" xfId="29256" xr:uid="{3E2CFFE4-CC14-44BA-BF78-B9D90DA07707}"/>
    <cellStyle name="Normal 4 3 3 2 6 5" xfId="38555" xr:uid="{77CB2EC5-022B-482F-9217-0BC543DA4957}"/>
    <cellStyle name="Normal 4 3 3 2 6 6" xfId="19957" xr:uid="{A0D70717-E661-4A12-9863-EB85E882B4B0}"/>
    <cellStyle name="Normal 4 3 3 2 7" xfId="2531" xr:uid="{00000000-0005-0000-0000-000083140000}"/>
    <cellStyle name="Normal 4 3 3 2 7 2" xfId="6814" xr:uid="{00000000-0005-0000-0000-000084140000}"/>
    <cellStyle name="Normal 4 3 3 2 7 2 2" xfId="16140" xr:uid="{9FF2F6E9-890B-4718-89F4-1174A1928770}"/>
    <cellStyle name="Normal 4 3 3 2 7 2 2 2" xfId="52482" xr:uid="{273ABEE2-2DD7-42F8-A3B1-75D8A38F231C}"/>
    <cellStyle name="Normal 4 3 3 2 7 2 2 3" xfId="33886" xr:uid="{48B72972-6D59-4FFF-8351-31CF016DE657}"/>
    <cellStyle name="Normal 4 3 3 2 7 2 3" xfId="43185" xr:uid="{BEC8B6BB-7D43-4482-89EF-D9C508FEB6C6}"/>
    <cellStyle name="Normal 4 3 3 2 7 2 4" xfId="24587" xr:uid="{5AE9A684-53BF-4374-A1BA-8EA5BAB621AC}"/>
    <cellStyle name="Normal 4 3 3 2 7 3" xfId="11923" xr:uid="{05E676C4-9E83-4295-A693-1821C53E7448}"/>
    <cellStyle name="Normal 4 3 3 2 7 3 2" xfId="48265" xr:uid="{C5EFF359-5070-46C8-AE4E-92C05BE9BCB6}"/>
    <cellStyle name="Normal 4 3 3 2 7 3 3" xfId="29669" xr:uid="{B01D48C0-D8A9-4E01-B40B-2DDE1CBD1922}"/>
    <cellStyle name="Normal 4 3 3 2 7 4" xfId="38968" xr:uid="{93C4C7BA-F6B2-43EF-9623-A46B0CEBA70C}"/>
    <cellStyle name="Normal 4 3 3 2 7 5" xfId="20370" xr:uid="{0FEE919A-8077-4E44-9AC3-1F56D6A0BD0F}"/>
    <cellStyle name="Normal 4 3 3 2 8" xfId="4749" xr:uid="{00000000-0005-0000-0000-000085140000}"/>
    <cellStyle name="Normal 4 3 3 2 8 2" xfId="14075" xr:uid="{F9245A87-6747-43D7-99EF-DC419F06DC21}"/>
    <cellStyle name="Normal 4 3 3 2 8 2 2" xfId="50417" xr:uid="{88C0ECC8-6DA6-4A24-A4A9-7BD0F1C12CDB}"/>
    <cellStyle name="Normal 4 3 3 2 8 2 3" xfId="31821" xr:uid="{7E7BEA66-AC90-4AB5-ACE4-4C0EA689B4BD}"/>
    <cellStyle name="Normal 4 3 3 2 8 3" xfId="41120" xr:uid="{73436442-1D5E-4E58-AE2F-FECB9A56598D}"/>
    <cellStyle name="Normal 4 3 3 2 8 4" xfId="22522" xr:uid="{2F71A4D1-A9E7-40B9-AB95-EF6D0DB69FFE}"/>
    <cellStyle name="Normal 4 3 3 2 9" xfId="8924" xr:uid="{F9E914C5-63E8-4CB8-8EA1-7427CE35C4AA}"/>
    <cellStyle name="Normal 4 3 3 2 9 2" xfId="35994" xr:uid="{F973D803-BB09-44A5-B7C7-830116DFA7AB}"/>
    <cellStyle name="Normal 4 3 3 2 9 2 2" xfId="54589" xr:uid="{A484D066-4686-4D0B-9C87-48EA8B9B6BCC}"/>
    <cellStyle name="Normal 4 3 3 2 9 3" xfId="45292" xr:uid="{9C9E8994-D164-4783-9BD7-A7B877D77581}"/>
    <cellStyle name="Normal 4 3 3 2 9 4" xfId="26695" xr:uid="{79AC3771-380E-4D92-AF76-9D79B06F83A2}"/>
    <cellStyle name="Normal 4 3 3 3" xfId="377" xr:uid="{00000000-0005-0000-0000-000086140000}"/>
    <cellStyle name="Normal 4 3 3 3 10" xfId="36905" xr:uid="{190973F6-7832-4CB7-9227-34DF7D7A6C11}"/>
    <cellStyle name="Normal 4 3 3 3 11" xfId="18307" xr:uid="{67990B4D-7554-4124-A195-451D100AF168}"/>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16635" xr:uid="{F4E93771-34BD-40A7-B5CF-5ECF0FCC13A4}"/>
    <cellStyle name="Normal 4 3 3 3 2 2 2 2 2" xfId="52977" xr:uid="{CEEFC276-7A34-42E8-BC3C-24F68E661A75}"/>
    <cellStyle name="Normal 4 3 3 3 2 2 2 2 3" xfId="34381" xr:uid="{62B3EA3D-B640-4D14-872F-A7F3A04FCB06}"/>
    <cellStyle name="Normal 4 3 3 3 2 2 2 3" xfId="43680" xr:uid="{F2574F74-8657-408E-A8C6-9C695278E33E}"/>
    <cellStyle name="Normal 4 3 3 3 2 2 2 4" xfId="25082" xr:uid="{6C8D4C1E-FA5E-488B-9F3C-58E6CB3456E7}"/>
    <cellStyle name="Normal 4 3 3 3 2 2 3" xfId="12418" xr:uid="{62C71460-03CB-4703-98B2-E0120E2C6DD4}"/>
    <cellStyle name="Normal 4 3 3 3 2 2 3 2" xfId="48760" xr:uid="{A585F3EA-549B-4D4F-98DF-D7A55CD8525D}"/>
    <cellStyle name="Normal 4 3 3 3 2 2 3 3" xfId="30164" xr:uid="{7EE90CF2-1D60-4C3B-A047-A774BD5DFB34}"/>
    <cellStyle name="Normal 4 3 3 3 2 2 4" xfId="39463" xr:uid="{F4EC3E5D-23B3-4863-A08E-A3A26799457B}"/>
    <cellStyle name="Normal 4 3 3 3 2 2 5" xfId="20865" xr:uid="{01D6DB33-DE84-4F7F-864B-BC154081B65E}"/>
    <cellStyle name="Normal 4 3 3 3 2 3" xfId="5164" xr:uid="{00000000-0005-0000-0000-00008A140000}"/>
    <cellStyle name="Normal 4 3 3 3 2 3 2" xfId="14490" xr:uid="{3187F6D6-F550-4DCA-BE18-4B444EA4FA87}"/>
    <cellStyle name="Normal 4 3 3 3 2 3 2 2" xfId="50832" xr:uid="{4286C9C8-3830-4217-B35A-4B5E5AB4E873}"/>
    <cellStyle name="Normal 4 3 3 3 2 3 2 3" xfId="32236" xr:uid="{F83BFF94-222F-4783-8237-13708E34FA60}"/>
    <cellStyle name="Normal 4 3 3 3 2 3 3" xfId="41535" xr:uid="{06D0FBDE-754A-4661-B07E-7914FC02A0FD}"/>
    <cellStyle name="Normal 4 3 3 3 2 3 4" xfId="22937" xr:uid="{E9A46D43-C204-4CF3-9956-665C3D370E60}"/>
    <cellStyle name="Normal 4 3 3 3 2 4" xfId="9453" xr:uid="{18D68920-503C-42C1-A733-EBE17DC6D008}"/>
    <cellStyle name="Normal 4 3 3 3 2 4 2" xfId="36514" xr:uid="{123D54AA-33AB-4CA0-917A-44CFCA999ADC}"/>
    <cellStyle name="Normal 4 3 3 3 2 4 2 2" xfId="55108" xr:uid="{E5CBD933-6F3F-4048-97CB-DAB883796354}"/>
    <cellStyle name="Normal 4 3 3 3 2 4 3" xfId="45811" xr:uid="{8F1236C7-DBEE-4160-8B42-A5E89A0699D1}"/>
    <cellStyle name="Normal 4 3 3 3 2 4 4" xfId="27215" xr:uid="{7EBD1053-11E9-422E-986A-5503935EFA2D}"/>
    <cellStyle name="Normal 4 3 3 3 2 5" xfId="10273" xr:uid="{D57B47C5-2FC7-4D43-8125-065278ACCF20}"/>
    <cellStyle name="Normal 4 3 3 3 2 5 2" xfId="46615" xr:uid="{0F4436F9-A5D1-4666-B600-951173262986}"/>
    <cellStyle name="Normal 4 3 3 3 2 5 3" xfId="28019" xr:uid="{007CE9D8-C082-4B93-B867-264BEDED9587}"/>
    <cellStyle name="Normal 4 3 3 3 2 6" xfId="37318" xr:uid="{0B821B0A-F898-4314-B515-BF73651E1524}"/>
    <cellStyle name="Normal 4 3 3 3 2 7" xfId="18720" xr:uid="{0E89DB48-8425-4F05-A5B9-213135F510B1}"/>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17048" xr:uid="{67392A38-855D-49CD-A47A-4F7F9A814AC6}"/>
    <cellStyle name="Normal 4 3 3 3 3 2 2 2 2" xfId="53390" xr:uid="{763F7511-B514-4BAF-ABD8-D295499CE694}"/>
    <cellStyle name="Normal 4 3 3 3 3 2 2 2 3" xfId="34794" xr:uid="{84A25E86-BBC1-4941-9601-8B5A45118D7C}"/>
    <cellStyle name="Normal 4 3 3 3 3 2 2 3" xfId="44093" xr:uid="{128C7FC7-7779-43B6-AA83-B7DF46B8BDE0}"/>
    <cellStyle name="Normal 4 3 3 3 3 2 2 4" xfId="25495" xr:uid="{02DA8769-3F0A-42C0-8373-C107B769EA28}"/>
    <cellStyle name="Normal 4 3 3 3 3 2 3" xfId="12831" xr:uid="{0B2AA13C-2E8C-4304-90B1-7C9B491759C1}"/>
    <cellStyle name="Normal 4 3 3 3 3 2 3 2" xfId="49173" xr:uid="{551C2412-229C-4D9D-ADC4-E58D561A2C88}"/>
    <cellStyle name="Normal 4 3 3 3 3 2 3 3" xfId="30577" xr:uid="{82E9786B-F63B-4E30-8761-3DFCEF66373D}"/>
    <cellStyle name="Normal 4 3 3 3 3 2 4" xfId="39876" xr:uid="{F4BA8479-C1C1-40D7-A284-CA8C28F67183}"/>
    <cellStyle name="Normal 4 3 3 3 3 2 5" xfId="21278" xr:uid="{65C1FDA1-7D26-4BEE-86AC-2A892FEAC5B6}"/>
    <cellStyle name="Normal 4 3 3 3 3 3" xfId="5577" xr:uid="{00000000-0005-0000-0000-00008E140000}"/>
    <cellStyle name="Normal 4 3 3 3 3 3 2" xfId="14903" xr:uid="{69214809-891A-4508-987E-0CDA85B4C101}"/>
    <cellStyle name="Normal 4 3 3 3 3 3 2 2" xfId="51245" xr:uid="{341B08D6-07C0-4F39-898F-41CC04282C57}"/>
    <cellStyle name="Normal 4 3 3 3 3 3 2 3" xfId="32649" xr:uid="{164419A3-821E-4F1D-B70E-A383E0CF68A8}"/>
    <cellStyle name="Normal 4 3 3 3 3 3 3" xfId="41948" xr:uid="{FCC1EA74-C2FB-42D0-81AD-CD02FDB0894F}"/>
    <cellStyle name="Normal 4 3 3 3 3 3 4" xfId="23350" xr:uid="{E49900B1-53D2-45C6-AD04-9D9FC7F1DCFC}"/>
    <cellStyle name="Normal 4 3 3 3 3 4" xfId="10686" xr:uid="{83FB6CB5-59A6-4A0E-9B25-4FA992FE5790}"/>
    <cellStyle name="Normal 4 3 3 3 3 4 2" xfId="47028" xr:uid="{ACAD9B2B-8AF6-4F2B-A23B-CC0DDE647F3E}"/>
    <cellStyle name="Normal 4 3 3 3 3 4 3" xfId="28432" xr:uid="{2F98454A-3DF0-4A63-BAD6-73A5CBA99528}"/>
    <cellStyle name="Normal 4 3 3 3 3 5" xfId="37731" xr:uid="{84E7192D-9C5A-4910-97D1-84ECB17E7040}"/>
    <cellStyle name="Normal 4 3 3 3 3 6" xfId="19133" xr:uid="{6D8690DD-BA4B-4C01-9761-3833F694B0B5}"/>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17461" xr:uid="{F09664DE-C840-4DA7-9684-B30063516F50}"/>
    <cellStyle name="Normal 4 3 3 3 4 2 2 2 2" xfId="53803" xr:uid="{D7903A6A-E673-4129-B2A8-EAC49444F825}"/>
    <cellStyle name="Normal 4 3 3 3 4 2 2 2 3" xfId="35207" xr:uid="{F0A355A8-7712-461C-8B68-C9E2C8B1114D}"/>
    <cellStyle name="Normal 4 3 3 3 4 2 2 3" xfId="44506" xr:uid="{DA1D6A21-39DF-417B-9908-3C089C9F964A}"/>
    <cellStyle name="Normal 4 3 3 3 4 2 2 4" xfId="25908" xr:uid="{BFBBAC5F-0A9D-413B-8962-50F73FECCB97}"/>
    <cellStyle name="Normal 4 3 3 3 4 2 3" xfId="13244" xr:uid="{DD0B5891-99E6-4E61-9DAB-17AC57AE48F0}"/>
    <cellStyle name="Normal 4 3 3 3 4 2 3 2" xfId="49586" xr:uid="{01CA499A-3ABE-4D5D-AAFC-FDD6F42453C7}"/>
    <cellStyle name="Normal 4 3 3 3 4 2 3 3" xfId="30990" xr:uid="{75AEB9F2-F538-40AE-B91E-F82A767EBE1D}"/>
    <cellStyle name="Normal 4 3 3 3 4 2 4" xfId="40289" xr:uid="{B06DFF72-207B-4A76-9D2E-0A9EC95F3D7E}"/>
    <cellStyle name="Normal 4 3 3 3 4 2 5" xfId="21691" xr:uid="{658B3EE7-8E17-4315-914B-C9CFD0C31A0B}"/>
    <cellStyle name="Normal 4 3 3 3 4 3" xfId="5990" xr:uid="{00000000-0005-0000-0000-000092140000}"/>
    <cellStyle name="Normal 4 3 3 3 4 3 2" xfId="15316" xr:uid="{E2708EA6-E904-48BB-B5B3-CA5E65B1F43D}"/>
    <cellStyle name="Normal 4 3 3 3 4 3 2 2" xfId="51658" xr:uid="{DDF7B660-3E50-4963-8E90-1FD57C454575}"/>
    <cellStyle name="Normal 4 3 3 3 4 3 2 3" xfId="33062" xr:uid="{BD5B23F7-C0E1-4657-9142-3A6ED4524AD7}"/>
    <cellStyle name="Normal 4 3 3 3 4 3 3" xfId="42361" xr:uid="{769D9CC7-4EC5-44A4-B547-CF90EADADEC0}"/>
    <cellStyle name="Normal 4 3 3 3 4 3 4" xfId="23763" xr:uid="{39FB2835-443E-4018-BC6C-5D0F6904F815}"/>
    <cellStyle name="Normal 4 3 3 3 4 4" xfId="11099" xr:uid="{7D6886D5-8ACD-48F0-BAF1-C18821D65211}"/>
    <cellStyle name="Normal 4 3 3 3 4 4 2" xfId="47441" xr:uid="{EACBF8C2-73D9-49B2-97BF-2E3FBE5F9726}"/>
    <cellStyle name="Normal 4 3 3 3 4 4 3" xfId="28845" xr:uid="{977D61FB-0BBF-447C-A210-C42FAC53D542}"/>
    <cellStyle name="Normal 4 3 3 3 4 5" xfId="38144" xr:uid="{1D46A890-66ED-46A0-82B5-EE376BE07E29}"/>
    <cellStyle name="Normal 4 3 3 3 4 6" xfId="19546" xr:uid="{38EF237D-D40F-4F77-9F83-3504CA32D221}"/>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17874" xr:uid="{28D02C45-2279-4319-8C36-78B36C806FD4}"/>
    <cellStyle name="Normal 4 3 3 3 5 2 2 2 2" xfId="54216" xr:uid="{C4D8038D-150E-4609-B0A5-D51BBEC59BB2}"/>
    <cellStyle name="Normal 4 3 3 3 5 2 2 2 3" xfId="35620" xr:uid="{EAD746E7-3A5D-4D25-BE8E-649BFCBE60D2}"/>
    <cellStyle name="Normal 4 3 3 3 5 2 2 3" xfId="44919" xr:uid="{6E23454A-F3C8-43E0-9FED-3DAA81D9E266}"/>
    <cellStyle name="Normal 4 3 3 3 5 2 2 4" xfId="26321" xr:uid="{56D5C1A9-6C50-41D8-92FF-D5172EE0B286}"/>
    <cellStyle name="Normal 4 3 3 3 5 2 3" xfId="13657" xr:uid="{902FB6ED-1584-4BE1-88BD-DAEC2728280D}"/>
    <cellStyle name="Normal 4 3 3 3 5 2 3 2" xfId="49999" xr:uid="{5C4EA535-7634-4F6D-B818-38121B9E7385}"/>
    <cellStyle name="Normal 4 3 3 3 5 2 3 3" xfId="31403" xr:uid="{1C6D3DBE-F420-4237-B28F-97B4FC1AF4C8}"/>
    <cellStyle name="Normal 4 3 3 3 5 2 4" xfId="40702" xr:uid="{FC7457AA-131D-4B7D-A234-9154DCCE9013}"/>
    <cellStyle name="Normal 4 3 3 3 5 2 5" xfId="22104" xr:uid="{4737864A-A2F1-4056-A2A7-D33BC606127D}"/>
    <cellStyle name="Normal 4 3 3 3 5 3" xfId="6403" xr:uid="{00000000-0005-0000-0000-000096140000}"/>
    <cellStyle name="Normal 4 3 3 3 5 3 2" xfId="15729" xr:uid="{4EF6E174-7808-4CDE-AE8C-450630FF7CA6}"/>
    <cellStyle name="Normal 4 3 3 3 5 3 2 2" xfId="52071" xr:uid="{1DADAF7F-76F7-4053-8469-177470BCFA1D}"/>
    <cellStyle name="Normal 4 3 3 3 5 3 2 3" xfId="33475" xr:uid="{BC9717EF-ED64-4BB2-9C42-CF4225BB93E6}"/>
    <cellStyle name="Normal 4 3 3 3 5 3 3" xfId="42774" xr:uid="{1A4A747A-2F3C-48DD-88D5-45AFE14F8569}"/>
    <cellStyle name="Normal 4 3 3 3 5 3 4" xfId="24176" xr:uid="{61F0BE04-60FE-4F74-9509-E489E0195231}"/>
    <cellStyle name="Normal 4 3 3 3 5 4" xfId="11512" xr:uid="{D79423DC-6CD8-4E69-B0DF-EE5ACED949C4}"/>
    <cellStyle name="Normal 4 3 3 3 5 4 2" xfId="47854" xr:uid="{38376595-3206-4852-A6E7-C99E88212C88}"/>
    <cellStyle name="Normal 4 3 3 3 5 4 3" xfId="29258" xr:uid="{C946FFBA-06DF-4452-97F6-B5C88B26E89E}"/>
    <cellStyle name="Normal 4 3 3 3 5 5" xfId="38557" xr:uid="{1836F4DF-6A73-4BC7-A64E-9DB6DB7D65E6}"/>
    <cellStyle name="Normal 4 3 3 3 5 6" xfId="19959" xr:uid="{3DFA3842-1403-45DC-B596-9B7FC309A873}"/>
    <cellStyle name="Normal 4 3 3 3 6" xfId="2533" xr:uid="{00000000-0005-0000-0000-000097140000}"/>
    <cellStyle name="Normal 4 3 3 3 6 2" xfId="6816" xr:uid="{00000000-0005-0000-0000-000098140000}"/>
    <cellStyle name="Normal 4 3 3 3 6 2 2" xfId="16142" xr:uid="{8AF624B1-41F6-498B-93C7-2497E14F5B47}"/>
    <cellStyle name="Normal 4 3 3 3 6 2 2 2" xfId="52484" xr:uid="{33BD58D8-1120-42E5-90BE-4329945DD2A6}"/>
    <cellStyle name="Normal 4 3 3 3 6 2 2 3" xfId="33888" xr:uid="{781B63B3-5C87-4499-96DC-C5EE6C459FEE}"/>
    <cellStyle name="Normal 4 3 3 3 6 2 3" xfId="43187" xr:uid="{27A9110D-71D5-4AE6-A11A-201B796E0EC2}"/>
    <cellStyle name="Normal 4 3 3 3 6 2 4" xfId="24589" xr:uid="{F15EBA9D-662A-43A5-BDEA-23345A153584}"/>
    <cellStyle name="Normal 4 3 3 3 6 3" xfId="11925" xr:uid="{7465494D-4883-4015-951C-C259A830C055}"/>
    <cellStyle name="Normal 4 3 3 3 6 3 2" xfId="48267" xr:uid="{BF5F089C-4F21-4C4D-9616-3F8D6BFE34B0}"/>
    <cellStyle name="Normal 4 3 3 3 6 3 3" xfId="29671" xr:uid="{1F337DE6-BED5-4220-BE9C-EF988080F883}"/>
    <cellStyle name="Normal 4 3 3 3 6 4" xfId="38970" xr:uid="{7F316D86-9678-4917-812D-59D4DE7EB295}"/>
    <cellStyle name="Normal 4 3 3 3 6 5" xfId="20372" xr:uid="{AE3C0530-86BB-42ED-86E0-1766BB084031}"/>
    <cellStyle name="Normal 4 3 3 3 7" xfId="4751" xr:uid="{00000000-0005-0000-0000-000099140000}"/>
    <cellStyle name="Normal 4 3 3 3 7 2" xfId="14077" xr:uid="{0D76B569-7075-438C-AE43-94AB3C34DAA7}"/>
    <cellStyle name="Normal 4 3 3 3 7 2 2" xfId="50419" xr:uid="{FA2AAFB4-0986-4302-A7E3-F76C3021D4AA}"/>
    <cellStyle name="Normal 4 3 3 3 7 2 3" xfId="31823" xr:uid="{8AE30ACC-025A-440B-BAF5-E5677FADB9C7}"/>
    <cellStyle name="Normal 4 3 3 3 7 3" xfId="41122" xr:uid="{01E03012-9F5E-4810-9E0E-678913116AAF}"/>
    <cellStyle name="Normal 4 3 3 3 7 4" xfId="22524" xr:uid="{C0AAEB14-3BDB-4173-8034-8705178F3251}"/>
    <cellStyle name="Normal 4 3 3 3 8" xfId="9028" xr:uid="{A0BD85BE-0D8B-455E-B326-708B8FF8A8C8}"/>
    <cellStyle name="Normal 4 3 3 3 8 2" xfId="36098" xr:uid="{DA072B1D-6216-4FFF-BE0F-F8FC38F82E13}"/>
    <cellStyle name="Normal 4 3 3 3 8 2 2" xfId="54693" xr:uid="{EC69DA88-58DB-4AB8-AFC8-60E90B1FBBB8}"/>
    <cellStyle name="Normal 4 3 3 3 8 3" xfId="45396" xr:uid="{D8B793A0-2EE2-42AC-B875-A9710F95FD91}"/>
    <cellStyle name="Normal 4 3 3 3 8 4" xfId="26799" xr:uid="{2D983762-D7FA-498F-AC80-D71AF00ACD81}"/>
    <cellStyle name="Normal 4 3 3 3 9" xfId="9860" xr:uid="{CE49AF36-9897-486F-A481-7542A61CC906}"/>
    <cellStyle name="Normal 4 3 3 3 9 2" xfId="46202" xr:uid="{37CA981C-DC9F-45D1-A7CC-CECFC9F5618A}"/>
    <cellStyle name="Normal 4 3 3 3 9 3" xfId="27606" xr:uid="{2985AAD9-BB44-4A9A-B642-CE86C2420B22}"/>
    <cellStyle name="Normal 4 3 3 4" xfId="849" xr:uid="{00000000-0005-0000-0000-00009A140000}"/>
    <cellStyle name="Normal 4 3 3 4 2" xfId="3084" xr:uid="{00000000-0005-0000-0000-00009B140000}"/>
    <cellStyle name="Normal 4 3 3 4 2 2" xfId="7306" xr:uid="{00000000-0005-0000-0000-00009C140000}"/>
    <cellStyle name="Normal 4 3 3 4 2 2 2" xfId="16632" xr:uid="{03F28CB0-481E-4273-A8EC-CCBF8EC9A803}"/>
    <cellStyle name="Normal 4 3 3 4 2 2 2 2" xfId="52974" xr:uid="{82D76BD5-8950-4F9F-AAAC-ADBEA302D104}"/>
    <cellStyle name="Normal 4 3 3 4 2 2 2 3" xfId="34378" xr:uid="{25ECBDE7-8A79-41BB-8D06-6B0E3B25525C}"/>
    <cellStyle name="Normal 4 3 3 4 2 2 3" xfId="43677" xr:uid="{7CEFDCAF-8CD9-42F3-AE20-6A5007E7A28D}"/>
    <cellStyle name="Normal 4 3 3 4 2 2 4" xfId="25079" xr:uid="{AF47F160-6A84-4C53-8BB8-1CB075ABDB53}"/>
    <cellStyle name="Normal 4 3 3 4 2 3" xfId="12415" xr:uid="{09874624-1BCA-49F1-8396-73EA35D65D10}"/>
    <cellStyle name="Normal 4 3 3 4 2 3 2" xfId="48757" xr:uid="{8CB5D25E-9A84-453C-A766-E8A800D903B6}"/>
    <cellStyle name="Normal 4 3 3 4 2 3 3" xfId="30161" xr:uid="{E53D0E65-66EE-422D-BCF9-1D23D6981AA0}"/>
    <cellStyle name="Normal 4 3 3 4 2 4" xfId="39460" xr:uid="{0BEFEB5D-68EF-4D64-8290-99738DF0E19F}"/>
    <cellStyle name="Normal 4 3 3 4 2 5" xfId="20862" xr:uid="{F5FD2DF7-C6A3-4A60-8A50-098B972D6239}"/>
    <cellStyle name="Normal 4 3 3 4 3" xfId="5161" xr:uid="{00000000-0005-0000-0000-00009D140000}"/>
    <cellStyle name="Normal 4 3 3 4 3 2" xfId="14487" xr:uid="{5462731F-6DEE-4390-AA44-8C0D958CA105}"/>
    <cellStyle name="Normal 4 3 3 4 3 2 2" xfId="50829" xr:uid="{81F190F6-A0D5-4DD9-B72F-1EE98A5C5ACB}"/>
    <cellStyle name="Normal 4 3 3 4 3 2 3" xfId="32233" xr:uid="{9CA24FDB-CD67-40A6-B6B8-9FEE5AE94288}"/>
    <cellStyle name="Normal 4 3 3 4 3 3" xfId="41532" xr:uid="{2A827108-3AB1-457B-9783-EBFB368C3112}"/>
    <cellStyle name="Normal 4 3 3 4 3 4" xfId="22934" xr:uid="{DE3EDF4E-2895-4737-867A-12B4950A8475}"/>
    <cellStyle name="Normal 4 3 3 4 4" xfId="9246" xr:uid="{E1107DA9-8F13-4216-80A2-CEA1D2EF57FC}"/>
    <cellStyle name="Normal 4 3 3 4 4 2" xfId="36307" xr:uid="{7051B9B9-A624-4AF7-B5C7-655817F8A6B5}"/>
    <cellStyle name="Normal 4 3 3 4 4 2 2" xfId="54901" xr:uid="{462E5B44-7AFD-4D21-BFC3-8C10B3F005FC}"/>
    <cellStyle name="Normal 4 3 3 4 4 3" xfId="45604" xr:uid="{B7DF6591-90FC-48F0-AEEA-EB07A6BCEEB8}"/>
    <cellStyle name="Normal 4 3 3 4 4 4" xfId="27008" xr:uid="{CD090EDF-DD4F-41CA-9EA4-1CA919E8CD39}"/>
    <cellStyle name="Normal 4 3 3 4 5" xfId="10270" xr:uid="{61F4B120-8746-4287-A391-DF2972DFD8E1}"/>
    <cellStyle name="Normal 4 3 3 4 5 2" xfId="46612" xr:uid="{9242F79C-3DB8-47BF-B88C-F162FBF7C3F0}"/>
    <cellStyle name="Normal 4 3 3 4 5 3" xfId="28016" xr:uid="{C61B0F9C-4CA5-4629-BB82-812F7BBE51A1}"/>
    <cellStyle name="Normal 4 3 3 4 6" xfId="37315" xr:uid="{FBB67CDE-7BFA-4594-B051-46B7E34434AA}"/>
    <cellStyle name="Normal 4 3 3 4 7" xfId="18717" xr:uid="{9D3B6BC1-E9C8-427F-8B89-2B6FFCAC2E1A}"/>
    <cellStyle name="Normal 4 3 3 5" xfId="1267" xr:uid="{00000000-0005-0000-0000-00009E140000}"/>
    <cellStyle name="Normal 4 3 3 5 2" xfId="3497" xr:uid="{00000000-0005-0000-0000-00009F140000}"/>
    <cellStyle name="Normal 4 3 3 5 2 2" xfId="7719" xr:uid="{00000000-0005-0000-0000-0000A0140000}"/>
    <cellStyle name="Normal 4 3 3 5 2 2 2" xfId="17045" xr:uid="{6D654FD9-EEDB-41FE-86B0-44045E760E2E}"/>
    <cellStyle name="Normal 4 3 3 5 2 2 2 2" xfId="53387" xr:uid="{5B56F2DB-CA54-4A5F-8AEA-5A7C28A6D274}"/>
    <cellStyle name="Normal 4 3 3 5 2 2 2 3" xfId="34791" xr:uid="{B6D8E018-0E45-4FE4-A7D6-AE8ED7AB4BF4}"/>
    <cellStyle name="Normal 4 3 3 5 2 2 3" xfId="44090" xr:uid="{6D7727B6-AE46-4DC7-A29D-32489DC7D68C}"/>
    <cellStyle name="Normal 4 3 3 5 2 2 4" xfId="25492" xr:uid="{49E4C873-2261-46D8-8CB6-CB082D57D9B5}"/>
    <cellStyle name="Normal 4 3 3 5 2 3" xfId="12828" xr:uid="{CED2FE7A-A7E5-44D9-ABDF-EC8990E4073C}"/>
    <cellStyle name="Normal 4 3 3 5 2 3 2" xfId="49170" xr:uid="{DC3DC0FE-3E01-4E55-917B-C21BF19960FF}"/>
    <cellStyle name="Normal 4 3 3 5 2 3 3" xfId="30574" xr:uid="{D6A91D8A-001C-4109-AA05-1B6363E608CE}"/>
    <cellStyle name="Normal 4 3 3 5 2 4" xfId="39873" xr:uid="{6A1F32EC-6251-4741-8783-1355833243F4}"/>
    <cellStyle name="Normal 4 3 3 5 2 5" xfId="21275" xr:uid="{79DCDAB5-EA8E-49E2-B4BC-83700D2CC17F}"/>
    <cellStyle name="Normal 4 3 3 5 3" xfId="5574" xr:uid="{00000000-0005-0000-0000-0000A1140000}"/>
    <cellStyle name="Normal 4 3 3 5 3 2" xfId="14900" xr:uid="{6EF36AF2-78C0-4362-884E-3A249B3CC2C3}"/>
    <cellStyle name="Normal 4 3 3 5 3 2 2" xfId="51242" xr:uid="{D0E72BCD-29F4-4CFE-95A2-08C332E7FAE6}"/>
    <cellStyle name="Normal 4 3 3 5 3 2 3" xfId="32646" xr:uid="{B622537B-B00D-4BF6-9F10-8CAF1BB67640}"/>
    <cellStyle name="Normal 4 3 3 5 3 3" xfId="41945" xr:uid="{D2A7C96A-A00A-47AE-8904-F157797EA0E6}"/>
    <cellStyle name="Normal 4 3 3 5 3 4" xfId="23347" xr:uid="{9220E2F2-9D59-47A7-9146-54D0A3132415}"/>
    <cellStyle name="Normal 4 3 3 5 4" xfId="10683" xr:uid="{E493A4E3-C179-4AAD-A6C8-04C8FCD6551E}"/>
    <cellStyle name="Normal 4 3 3 5 4 2" xfId="47025" xr:uid="{BE17D18A-8FCD-4B44-AEC2-856C4CB33CE8}"/>
    <cellStyle name="Normal 4 3 3 5 4 3" xfId="28429" xr:uid="{10585DED-3897-4F58-B170-785885F27538}"/>
    <cellStyle name="Normal 4 3 3 5 5" xfId="37728" xr:uid="{48110BD4-1E39-4D64-8A66-9DFC73ECC3C5}"/>
    <cellStyle name="Normal 4 3 3 5 6" xfId="19130" xr:uid="{B2516390-B9C0-4555-AA47-A982DC351107}"/>
    <cellStyle name="Normal 4 3 3 6" xfId="1680" xr:uid="{00000000-0005-0000-0000-0000A2140000}"/>
    <cellStyle name="Normal 4 3 3 6 2" xfId="3910" xr:uid="{00000000-0005-0000-0000-0000A3140000}"/>
    <cellStyle name="Normal 4 3 3 6 2 2" xfId="8132" xr:uid="{00000000-0005-0000-0000-0000A4140000}"/>
    <cellStyle name="Normal 4 3 3 6 2 2 2" xfId="17458" xr:uid="{9B2B9B4B-541F-4580-9D45-F2087D7E839B}"/>
    <cellStyle name="Normal 4 3 3 6 2 2 2 2" xfId="53800" xr:uid="{D825FE93-FD14-4C4D-92A1-33A5AE17D056}"/>
    <cellStyle name="Normal 4 3 3 6 2 2 2 3" xfId="35204" xr:uid="{2CE556F1-3741-44F4-AFF4-2FF9E41DFE24}"/>
    <cellStyle name="Normal 4 3 3 6 2 2 3" xfId="44503" xr:uid="{BDA86797-5830-47A5-95AC-859EA79C36A9}"/>
    <cellStyle name="Normal 4 3 3 6 2 2 4" xfId="25905" xr:uid="{E31E6D02-F0D7-41BA-B656-332B704D8A3C}"/>
    <cellStyle name="Normal 4 3 3 6 2 3" xfId="13241" xr:uid="{51019D53-92EE-46DC-BEA8-A974E0049C44}"/>
    <cellStyle name="Normal 4 3 3 6 2 3 2" xfId="49583" xr:uid="{86CAFE9A-8180-4C21-B3C1-E397D124B173}"/>
    <cellStyle name="Normal 4 3 3 6 2 3 3" xfId="30987" xr:uid="{A672A246-1270-4B34-9CAB-7F8F68012E62}"/>
    <cellStyle name="Normal 4 3 3 6 2 4" xfId="40286" xr:uid="{A2470A0F-60EE-4E6B-8DD8-D893C5387CB9}"/>
    <cellStyle name="Normal 4 3 3 6 2 5" xfId="21688" xr:uid="{5107A60B-C2C9-496D-8C99-F78BF9829F31}"/>
    <cellStyle name="Normal 4 3 3 6 3" xfId="5987" xr:uid="{00000000-0005-0000-0000-0000A5140000}"/>
    <cellStyle name="Normal 4 3 3 6 3 2" xfId="15313" xr:uid="{C971B03C-FA05-4A5C-A778-9232C508C04D}"/>
    <cellStyle name="Normal 4 3 3 6 3 2 2" xfId="51655" xr:uid="{E7C04843-128A-4D17-96A6-CD4D5C3EE941}"/>
    <cellStyle name="Normal 4 3 3 6 3 2 3" xfId="33059" xr:uid="{CD825811-A616-4501-9BAB-E6B8D9C56CEF}"/>
    <cellStyle name="Normal 4 3 3 6 3 3" xfId="42358" xr:uid="{AF178690-CF7E-4DF7-A403-CBCD22A4341E}"/>
    <cellStyle name="Normal 4 3 3 6 3 4" xfId="23760" xr:uid="{CF3AC4AF-E1F6-4139-8C6E-A4962859096D}"/>
    <cellStyle name="Normal 4 3 3 6 4" xfId="11096" xr:uid="{F4377C3C-872A-40C5-8C94-C8AE329AB0DE}"/>
    <cellStyle name="Normal 4 3 3 6 4 2" xfId="47438" xr:uid="{C36ECE5D-1D71-454C-9B04-01E125E91C28}"/>
    <cellStyle name="Normal 4 3 3 6 4 3" xfId="28842" xr:uid="{E014FD82-3CE0-4C25-AD09-2EDCA067ED46}"/>
    <cellStyle name="Normal 4 3 3 6 5" xfId="38141" xr:uid="{A65D384D-5A98-4EE1-B77B-E67542F28D11}"/>
    <cellStyle name="Normal 4 3 3 6 6" xfId="19543" xr:uid="{A81990CA-1E86-4DB3-8C41-88651AD13A4A}"/>
    <cellStyle name="Normal 4 3 3 7" xfId="2094" xr:uid="{00000000-0005-0000-0000-0000A6140000}"/>
    <cellStyle name="Normal 4 3 3 7 2" xfId="4323" xr:uid="{00000000-0005-0000-0000-0000A7140000}"/>
    <cellStyle name="Normal 4 3 3 7 2 2" xfId="8545" xr:uid="{00000000-0005-0000-0000-0000A8140000}"/>
    <cellStyle name="Normal 4 3 3 7 2 2 2" xfId="17871" xr:uid="{4B6AF970-8FA3-4FAA-A05F-7B2B8471A777}"/>
    <cellStyle name="Normal 4 3 3 7 2 2 2 2" xfId="54213" xr:uid="{21B2988B-C73E-4B0F-8E2E-B2EA42754BB9}"/>
    <cellStyle name="Normal 4 3 3 7 2 2 2 3" xfId="35617" xr:uid="{0FB5BDC9-1B2E-49EC-9F1C-2B1F1E51CE91}"/>
    <cellStyle name="Normal 4 3 3 7 2 2 3" xfId="44916" xr:uid="{1B9F825E-DE5D-40E5-A984-A6E8F1FAD85D}"/>
    <cellStyle name="Normal 4 3 3 7 2 2 4" xfId="26318" xr:uid="{B38269BA-0D98-44A9-BFE1-9EB5602EB002}"/>
    <cellStyle name="Normal 4 3 3 7 2 3" xfId="13654" xr:uid="{FC333ADA-D730-4BA7-850B-897C72CAF375}"/>
    <cellStyle name="Normal 4 3 3 7 2 3 2" xfId="49996" xr:uid="{6E3B5DD9-D14D-4C0F-A161-C6119E06A8FC}"/>
    <cellStyle name="Normal 4 3 3 7 2 3 3" xfId="31400" xr:uid="{9EEE9ECE-EE18-48CE-9E95-6BD04EF90723}"/>
    <cellStyle name="Normal 4 3 3 7 2 4" xfId="40699" xr:uid="{F6EB2EC5-E3C1-4129-BD90-09893B308CEF}"/>
    <cellStyle name="Normal 4 3 3 7 2 5" xfId="22101" xr:uid="{6689EB26-D21A-46BE-AA69-A68B3C7FDCC4}"/>
    <cellStyle name="Normal 4 3 3 7 3" xfId="6400" xr:uid="{00000000-0005-0000-0000-0000A9140000}"/>
    <cellStyle name="Normal 4 3 3 7 3 2" xfId="15726" xr:uid="{5F588812-837A-44B2-9C4B-E3192EF11D0E}"/>
    <cellStyle name="Normal 4 3 3 7 3 2 2" xfId="52068" xr:uid="{C682AF81-8A3E-40B5-A5C5-35C2C389C9E2}"/>
    <cellStyle name="Normal 4 3 3 7 3 2 3" xfId="33472" xr:uid="{D0FDEB70-6092-45B9-B501-DC94AC5DD827}"/>
    <cellStyle name="Normal 4 3 3 7 3 3" xfId="42771" xr:uid="{A559A2B9-FBEF-481B-B494-861D252CD8FB}"/>
    <cellStyle name="Normal 4 3 3 7 3 4" xfId="24173" xr:uid="{EEFA6786-EBAC-43E5-8816-B39BDF858197}"/>
    <cellStyle name="Normal 4 3 3 7 4" xfId="11509" xr:uid="{2559B2DC-8B15-4D24-85D0-BA39F26F2080}"/>
    <cellStyle name="Normal 4 3 3 7 4 2" xfId="47851" xr:uid="{5AEAF9F1-0DA3-463C-B982-93B11A36198F}"/>
    <cellStyle name="Normal 4 3 3 7 4 3" xfId="29255" xr:uid="{A9A2A4F3-2B43-4107-B2DB-5B0E8753CB0A}"/>
    <cellStyle name="Normal 4 3 3 7 5" xfId="38554" xr:uid="{60A9785E-17C8-4C60-8F01-2A78900C390B}"/>
    <cellStyle name="Normal 4 3 3 7 6" xfId="19956" xr:uid="{058C8A63-624D-42CD-A134-7BA7E3D0B6CC}"/>
    <cellStyle name="Normal 4 3 3 8" xfId="2530" xr:uid="{00000000-0005-0000-0000-0000AA140000}"/>
    <cellStyle name="Normal 4 3 3 8 2" xfId="6813" xr:uid="{00000000-0005-0000-0000-0000AB140000}"/>
    <cellStyle name="Normal 4 3 3 8 2 2" xfId="16139" xr:uid="{9D209216-C15F-4D4C-B057-9BC1A5147789}"/>
    <cellStyle name="Normal 4 3 3 8 2 2 2" xfId="52481" xr:uid="{A5564B21-48C5-4ED7-96FE-20F05D8C0EB2}"/>
    <cellStyle name="Normal 4 3 3 8 2 2 3" xfId="33885" xr:uid="{32CBF400-9B2E-41E6-A969-3D2260218959}"/>
    <cellStyle name="Normal 4 3 3 8 2 3" xfId="43184" xr:uid="{1D9F9F7C-D59E-437B-A7FD-A96676ABE366}"/>
    <cellStyle name="Normal 4 3 3 8 2 4" xfId="24586" xr:uid="{F1D47F6E-2CE1-452C-98AB-3C46759A5A31}"/>
    <cellStyle name="Normal 4 3 3 8 3" xfId="11922" xr:uid="{2E980AE2-0A46-4A21-8692-0CCC2022A843}"/>
    <cellStyle name="Normal 4 3 3 8 3 2" xfId="48264" xr:uid="{3A440E26-2811-4E6A-84DB-87D62C59FC46}"/>
    <cellStyle name="Normal 4 3 3 8 3 3" xfId="29668" xr:uid="{0719EF5D-049B-4B0B-8348-DC0E6ACC3AF3}"/>
    <cellStyle name="Normal 4 3 3 8 4" xfId="38967" xr:uid="{B5A146AB-BD56-4369-8C60-53E27C99AD3A}"/>
    <cellStyle name="Normal 4 3 3 8 5" xfId="20369" xr:uid="{14821D9C-4015-4BA4-9F0D-ADA241AC8C50}"/>
    <cellStyle name="Normal 4 3 3 9" xfId="4748" xr:uid="{00000000-0005-0000-0000-0000AC140000}"/>
    <cellStyle name="Normal 4 3 3 9 2" xfId="14074" xr:uid="{EF16AEDD-D131-4E9A-9789-06A56767052F}"/>
    <cellStyle name="Normal 4 3 3 9 2 2" xfId="50416" xr:uid="{4C9488CC-C0DD-4D45-B647-A4250F8D2E0C}"/>
    <cellStyle name="Normal 4 3 3 9 2 3" xfId="31820" xr:uid="{B89203A9-6F14-4857-AE90-6A7FA3231453}"/>
    <cellStyle name="Normal 4 3 3 9 3" xfId="41119" xr:uid="{9BB41FA6-2C02-45BF-90C2-5BBAFA843458}"/>
    <cellStyle name="Normal 4 3 3 9 4" xfId="22521" xr:uid="{7FC8995A-5484-40FC-8364-271B0B1016D1}"/>
    <cellStyle name="Normal 4 3 4" xfId="842" xr:uid="{00000000-0005-0000-0000-0000AD140000}"/>
    <cellStyle name="Normal 4 3 4 2" xfId="3079" xr:uid="{00000000-0005-0000-0000-0000AE140000}"/>
    <cellStyle name="Normal 4 3 4 2 2" xfId="7301" xr:uid="{00000000-0005-0000-0000-0000AF140000}"/>
    <cellStyle name="Normal 4 3 4 2 2 2" xfId="16627" xr:uid="{B48DD40A-3D3B-4296-83D3-3C73EB6E84C7}"/>
    <cellStyle name="Normal 4 3 4 2 2 2 2" xfId="52969" xr:uid="{C8078133-388A-447A-AB43-A3C811CF88CF}"/>
    <cellStyle name="Normal 4 3 4 2 2 2 3" xfId="34373" xr:uid="{B698E3E2-A811-4562-85A4-338B6EE38042}"/>
    <cellStyle name="Normal 4 3 4 2 2 3" xfId="43672" xr:uid="{68CB81B9-A5AF-404E-99A2-76C0DF264014}"/>
    <cellStyle name="Normal 4 3 4 2 2 4" xfId="25074" xr:uid="{AC742C86-5BCF-498D-B0DC-AC746C333ACE}"/>
    <cellStyle name="Normal 4 3 4 2 3" xfId="12410" xr:uid="{1B9CCF89-80D9-40E6-9671-EF10FC0C7400}"/>
    <cellStyle name="Normal 4 3 4 2 3 2" xfId="48752" xr:uid="{7FC7E7BB-AE61-4CA2-95EE-F6CE075C58F8}"/>
    <cellStyle name="Normal 4 3 4 2 3 3" xfId="30156" xr:uid="{D8E3CBA0-D250-4C22-A0E0-75BA4B8D77E4}"/>
    <cellStyle name="Normal 4 3 4 2 4" xfId="39455" xr:uid="{123A3FC6-BDB4-48B7-B53C-868F39AADAD9}"/>
    <cellStyle name="Normal 4 3 4 2 5" xfId="20857" xr:uid="{AB38D701-F937-4B7B-934C-A1EA889E37C3}"/>
    <cellStyle name="Normal 4 3 4 3" xfId="5156" xr:uid="{00000000-0005-0000-0000-0000B0140000}"/>
    <cellStyle name="Normal 4 3 4 3 2" xfId="14482" xr:uid="{23A36D2F-8ED7-4B10-BE98-ECB3260F79A7}"/>
    <cellStyle name="Normal 4 3 4 3 2 2" xfId="50824" xr:uid="{1150AA38-839E-4C08-81B7-E9200C194892}"/>
    <cellStyle name="Normal 4 3 4 3 2 3" xfId="32228" xr:uid="{6FB1C555-9FE6-4B19-92D7-60B79D6E390E}"/>
    <cellStyle name="Normal 4 3 4 3 3" xfId="41527" xr:uid="{E68B7193-E90C-4A79-A3D2-9642AADDC6B8}"/>
    <cellStyle name="Normal 4 3 4 3 4" xfId="22929" xr:uid="{E3C83464-5616-49A9-ACE2-78A3AD9072A5}"/>
    <cellStyle name="Normal 4 3 4 4" xfId="9608" xr:uid="{C2EFFD2B-01D5-4B2B-BD85-BB4245D6A35E}"/>
    <cellStyle name="Normal 4 3 4 4 2" xfId="36655" xr:uid="{E013244D-5C25-4525-8D0B-E2EA98BD188A}"/>
    <cellStyle name="Normal 4 3 4 4 2 2" xfId="55249" xr:uid="{0009C214-E523-4DF7-AB26-AFF12BFB6132}"/>
    <cellStyle name="Normal 4 3 4 4 3" xfId="45952" xr:uid="{327B3518-0B07-4012-B443-138D98CB3C22}"/>
    <cellStyle name="Normal 4 3 4 4 4" xfId="27356" xr:uid="{08D33BA3-CAE6-4AFD-B191-9A19E571D6C0}"/>
    <cellStyle name="Normal 4 3 4 5" xfId="10265" xr:uid="{84E5E306-B851-4919-951A-9750B1EBECDC}"/>
    <cellStyle name="Normal 4 3 4 5 2" xfId="46607" xr:uid="{80923421-45ED-47AE-BEE8-6590B86AC5E2}"/>
    <cellStyle name="Normal 4 3 4 5 3" xfId="28011" xr:uid="{98AD4F3F-296B-4869-912E-36796AD95109}"/>
    <cellStyle name="Normal 4 3 4 6" xfId="37310" xr:uid="{123C6304-FAE0-4333-BDC0-247A7A375F80}"/>
    <cellStyle name="Normal 4 3 4 7" xfId="18712" xr:uid="{AB78DD38-5D35-4180-B0DD-921AE5042ACC}"/>
    <cellStyle name="Normal 4 3 5" xfId="1262" xr:uid="{00000000-0005-0000-0000-0000B1140000}"/>
    <cellStyle name="Normal 4 3 5 2" xfId="3492" xr:uid="{00000000-0005-0000-0000-0000B2140000}"/>
    <cellStyle name="Normal 4 3 5 2 2" xfId="7714" xr:uid="{00000000-0005-0000-0000-0000B3140000}"/>
    <cellStyle name="Normal 4 3 5 2 2 2" xfId="17040" xr:uid="{2921556A-77C6-440E-A2BA-8B4CDD332B58}"/>
    <cellStyle name="Normal 4 3 5 2 2 2 2" xfId="53382" xr:uid="{1C705EEC-69D7-44DB-9655-495C828E492E}"/>
    <cellStyle name="Normal 4 3 5 2 2 2 3" xfId="34786" xr:uid="{F9719921-629C-479C-8083-0A5985387CC0}"/>
    <cellStyle name="Normal 4 3 5 2 2 3" xfId="44085" xr:uid="{F40CF1B8-F3F8-42D5-9E59-FC7F60BE430E}"/>
    <cellStyle name="Normal 4 3 5 2 2 4" xfId="25487" xr:uid="{F5B1A3AE-FF61-4A1D-86A2-8A51F3EB805F}"/>
    <cellStyle name="Normal 4 3 5 2 3" xfId="12823" xr:uid="{358060C8-5C21-4640-9E94-88C8E6E52CEA}"/>
    <cellStyle name="Normal 4 3 5 2 3 2" xfId="49165" xr:uid="{4D4BDD0D-4855-4040-B531-5F59C9793015}"/>
    <cellStyle name="Normal 4 3 5 2 3 3" xfId="30569" xr:uid="{F2554435-93F2-48B1-B67A-CB50930E7772}"/>
    <cellStyle name="Normal 4 3 5 2 4" xfId="39868" xr:uid="{CC5DE725-9DD3-4E0A-89AB-E0018A2E8DD9}"/>
    <cellStyle name="Normal 4 3 5 2 5" xfId="21270" xr:uid="{156500E7-7C5C-44E5-92C7-DDF03DDF757E}"/>
    <cellStyle name="Normal 4 3 5 3" xfId="5569" xr:uid="{00000000-0005-0000-0000-0000B4140000}"/>
    <cellStyle name="Normal 4 3 5 3 2" xfId="14895" xr:uid="{15D8EDDF-0952-4E8C-9B28-1C9BC70DAD10}"/>
    <cellStyle name="Normal 4 3 5 3 2 2" xfId="51237" xr:uid="{C19D4198-FFAD-4830-AEE2-DB4EE4D0EBAE}"/>
    <cellStyle name="Normal 4 3 5 3 2 3" xfId="32641" xr:uid="{9B247B21-DBFC-46C5-8542-8DA5D34B1C2B}"/>
    <cellStyle name="Normal 4 3 5 3 3" xfId="41940" xr:uid="{BD80946B-85EC-492D-ABCF-3E8FC32BB0FC}"/>
    <cellStyle name="Normal 4 3 5 3 4" xfId="23342" xr:uid="{DC4E547C-405E-46AB-A6BF-1E0E696EE606}"/>
    <cellStyle name="Normal 4 3 5 4" xfId="10678" xr:uid="{9F512A62-D1CF-4D31-A321-D18CF9E97083}"/>
    <cellStyle name="Normal 4 3 5 4 2" xfId="47020" xr:uid="{419421E2-486D-4F7A-86E7-68D3ECBD4E44}"/>
    <cellStyle name="Normal 4 3 5 4 3" xfId="28424" xr:uid="{153FC01F-C21E-4053-AA1F-F22BAAD28B1E}"/>
    <cellStyle name="Normal 4 3 5 5" xfId="37723" xr:uid="{7DE09487-A309-42AF-908F-D526AC5BD122}"/>
    <cellStyle name="Normal 4 3 5 6" xfId="19125" xr:uid="{55A897CD-ED9C-4CA4-820E-EA0099B2EBA2}"/>
    <cellStyle name="Normal 4 3 6" xfId="1675" xr:uid="{00000000-0005-0000-0000-0000B5140000}"/>
    <cellStyle name="Normal 4 3 6 2" xfId="3905" xr:uid="{00000000-0005-0000-0000-0000B6140000}"/>
    <cellStyle name="Normal 4 3 6 2 2" xfId="8127" xr:uid="{00000000-0005-0000-0000-0000B7140000}"/>
    <cellStyle name="Normal 4 3 6 2 2 2" xfId="17453" xr:uid="{2D0DEC3F-960D-4F51-89D2-68F31B370BBF}"/>
    <cellStyle name="Normal 4 3 6 2 2 2 2" xfId="53795" xr:uid="{1FA058A8-BC0E-4BDF-85FA-A19EDF603395}"/>
    <cellStyle name="Normal 4 3 6 2 2 2 3" xfId="35199" xr:uid="{916C218D-4BEE-4FA3-869C-072197FE5582}"/>
    <cellStyle name="Normal 4 3 6 2 2 3" xfId="44498" xr:uid="{C73BFF22-9513-4AF2-8DC8-C6DBA85BA781}"/>
    <cellStyle name="Normal 4 3 6 2 2 4" xfId="25900" xr:uid="{09B74A80-82ED-4C42-B3E2-1E6951A2ABAF}"/>
    <cellStyle name="Normal 4 3 6 2 3" xfId="13236" xr:uid="{C15F185A-524E-4064-9262-BE7BB6DFC856}"/>
    <cellStyle name="Normal 4 3 6 2 3 2" xfId="49578" xr:uid="{465BD15D-4FEB-4ED6-9F11-7613600AD3F5}"/>
    <cellStyle name="Normal 4 3 6 2 3 3" xfId="30982" xr:uid="{33456E22-78B9-45D6-837B-EA018E7D373F}"/>
    <cellStyle name="Normal 4 3 6 2 4" xfId="40281" xr:uid="{82DA8732-34CE-4608-92A5-7C113E8C85DB}"/>
    <cellStyle name="Normal 4 3 6 2 5" xfId="21683" xr:uid="{690FE84E-3008-4121-BA62-48283EB74EC5}"/>
    <cellStyle name="Normal 4 3 6 3" xfId="5982" xr:uid="{00000000-0005-0000-0000-0000B8140000}"/>
    <cellStyle name="Normal 4 3 6 3 2" xfId="15308" xr:uid="{29D86FB8-0B98-478D-A4BD-92D366615E1E}"/>
    <cellStyle name="Normal 4 3 6 3 2 2" xfId="51650" xr:uid="{4FDF79E1-DF1C-427E-AED0-BB35174AC68B}"/>
    <cellStyle name="Normal 4 3 6 3 2 3" xfId="33054" xr:uid="{7A6734EC-F22F-479F-A703-21F9C2C62418}"/>
    <cellStyle name="Normal 4 3 6 3 3" xfId="42353" xr:uid="{82A36783-2726-4538-9336-CF9B8303883F}"/>
    <cellStyle name="Normal 4 3 6 3 4" xfId="23755" xr:uid="{36E0DBB8-6051-4923-9A71-544BE591C588}"/>
    <cellStyle name="Normal 4 3 6 4" xfId="11091" xr:uid="{482B79B7-4C66-407F-8AB4-6BA572116AE9}"/>
    <cellStyle name="Normal 4 3 6 4 2" xfId="47433" xr:uid="{FBBBF238-179B-41F2-A360-5F5473B3DD1F}"/>
    <cellStyle name="Normal 4 3 6 4 3" xfId="28837" xr:uid="{B2E9E31B-C2A8-4318-96E6-8F8028143E8D}"/>
    <cellStyle name="Normal 4 3 6 5" xfId="38136" xr:uid="{202226D7-A2C5-4C3C-85BD-2F645E67E417}"/>
    <cellStyle name="Normal 4 3 6 6" xfId="19538" xr:uid="{71AE96AC-1126-4083-9105-36FBA258E8D7}"/>
    <cellStyle name="Normal 4 3 7" xfId="2089" xr:uid="{00000000-0005-0000-0000-0000B9140000}"/>
    <cellStyle name="Normal 4 3 7 2" xfId="4318" xr:uid="{00000000-0005-0000-0000-0000BA140000}"/>
    <cellStyle name="Normal 4 3 7 2 2" xfId="8540" xr:uid="{00000000-0005-0000-0000-0000BB140000}"/>
    <cellStyle name="Normal 4 3 7 2 2 2" xfId="17866" xr:uid="{AA6642FF-F8AE-4005-9427-C4D24EDA0075}"/>
    <cellStyle name="Normal 4 3 7 2 2 2 2" xfId="54208" xr:uid="{C7BC836C-76F4-41F3-9EA1-9106D9C5F9EB}"/>
    <cellStyle name="Normal 4 3 7 2 2 2 3" xfId="35612" xr:uid="{97C5F869-588B-4651-B432-61A6FB3EB27C}"/>
    <cellStyle name="Normal 4 3 7 2 2 3" xfId="44911" xr:uid="{C25F75DE-A40C-4E41-966A-B2C39AE69ABE}"/>
    <cellStyle name="Normal 4 3 7 2 2 4" xfId="26313" xr:uid="{E282C2B9-1656-4A52-9330-6A7B4F1763D8}"/>
    <cellStyle name="Normal 4 3 7 2 3" xfId="13649" xr:uid="{57481EB8-215E-4A7B-B9A7-C090A1E95499}"/>
    <cellStyle name="Normal 4 3 7 2 3 2" xfId="49991" xr:uid="{F1FEBBDA-0692-4C3D-9918-3D84C7C5F499}"/>
    <cellStyle name="Normal 4 3 7 2 3 3" xfId="31395" xr:uid="{E8E2A2CB-D506-4B88-AC7E-AF0184996824}"/>
    <cellStyle name="Normal 4 3 7 2 4" xfId="40694" xr:uid="{D8C6A638-B424-4F2F-9A89-2C11626AF7F2}"/>
    <cellStyle name="Normal 4 3 7 2 5" xfId="22096" xr:uid="{CA753F72-2296-4F73-A0EA-0798DD5571DE}"/>
    <cellStyle name="Normal 4 3 7 3" xfId="6395" xr:uid="{00000000-0005-0000-0000-0000BC140000}"/>
    <cellStyle name="Normal 4 3 7 3 2" xfId="15721" xr:uid="{A32FEB9C-00F2-4484-B5C9-CBB54CE32F9A}"/>
    <cellStyle name="Normal 4 3 7 3 2 2" xfId="52063" xr:uid="{9D7C3D3E-810C-42CA-9E27-554B5A26E393}"/>
    <cellStyle name="Normal 4 3 7 3 2 3" xfId="33467" xr:uid="{D6BC75F5-5D59-4C9C-A6D1-F627A1689C20}"/>
    <cellStyle name="Normal 4 3 7 3 3" xfId="42766" xr:uid="{E9D8E027-BD35-4DF1-84BF-BE3C4D946648}"/>
    <cellStyle name="Normal 4 3 7 3 4" xfId="24168" xr:uid="{F74E2DA7-0CC2-4771-9411-63D0280DE544}"/>
    <cellStyle name="Normal 4 3 7 4" xfId="11504" xr:uid="{EAC9C002-A408-477B-A190-3BE0A07298F5}"/>
    <cellStyle name="Normal 4 3 7 4 2" xfId="47846" xr:uid="{2ED94F81-0CF7-4E34-9220-FC1EA2CF4C10}"/>
    <cellStyle name="Normal 4 3 7 4 3" xfId="29250" xr:uid="{07A449F7-2E59-40B9-ADD0-00622A9A8D4E}"/>
    <cellStyle name="Normal 4 3 7 5" xfId="38549" xr:uid="{0F626A4F-67F4-4B6E-8AB5-8DCFF7DE6E04}"/>
    <cellStyle name="Normal 4 3 7 6" xfId="19951" xr:uid="{2F714E17-7CCD-4F35-A2AA-6270DD7A01C3}"/>
    <cellStyle name="Normal 4 3 8" xfId="2525" xr:uid="{00000000-0005-0000-0000-0000BD140000}"/>
    <cellStyle name="Normal 4 3 8 2" xfId="6808" xr:uid="{00000000-0005-0000-0000-0000BE140000}"/>
    <cellStyle name="Normal 4 3 8 2 2" xfId="16134" xr:uid="{D389E79D-2DF7-4B2A-AC65-64A3BA074CB2}"/>
    <cellStyle name="Normal 4 3 8 2 2 2" xfId="52476" xr:uid="{D126C876-73C7-45DC-B102-733EAB4C7371}"/>
    <cellStyle name="Normal 4 3 8 2 2 3" xfId="33880" xr:uid="{DBC714BE-EF10-45DF-B7A8-1189397D5C95}"/>
    <cellStyle name="Normal 4 3 8 2 3" xfId="43179" xr:uid="{29FFE0A0-D802-49B9-803B-65240D75E110}"/>
    <cellStyle name="Normal 4 3 8 2 4" xfId="24581" xr:uid="{FFCB329C-EE27-4FED-86A5-546C32323DFC}"/>
    <cellStyle name="Normal 4 3 8 3" xfId="11917" xr:uid="{564DC8D4-7F42-4F21-885B-B5B3834A31D7}"/>
    <cellStyle name="Normal 4 3 8 3 2" xfId="48259" xr:uid="{378A8354-463A-4B0A-9EAA-16B9F0B6A022}"/>
    <cellStyle name="Normal 4 3 8 3 3" xfId="29663" xr:uid="{990510EB-D19B-4C77-B70A-549F4BF3D239}"/>
    <cellStyle name="Normal 4 3 8 4" xfId="38962" xr:uid="{67A3171F-98B9-4D1B-9564-63DC070D4DF7}"/>
    <cellStyle name="Normal 4 3 8 5" xfId="20364" xr:uid="{B6F6AA01-86EB-4E27-89D4-AE86CC64356A}"/>
    <cellStyle name="Normal 4 3 9" xfId="4743" xr:uid="{00000000-0005-0000-0000-0000BF140000}"/>
    <cellStyle name="Normal 4 3 9 2" xfId="14069" xr:uid="{AC34F503-F581-456E-A2B6-E4E2BA48FBE3}"/>
    <cellStyle name="Normal 4 3 9 2 2" xfId="50411" xr:uid="{47C3536A-74B1-4780-9119-CA82D6D1DAA1}"/>
    <cellStyle name="Normal 4 3 9 2 3" xfId="31815" xr:uid="{AD6E0D14-075F-4381-BAD5-FA7F461A7678}"/>
    <cellStyle name="Normal 4 3 9 3" xfId="41114" xr:uid="{FFC29787-03AB-493E-8616-1E79795D1AC2}"/>
    <cellStyle name="Normal 4 3 9 4" xfId="22516" xr:uid="{78BFF9E5-37EA-48A1-9311-F0AB69DA0D04}"/>
    <cellStyle name="Normal 4 4" xfId="378" xr:uid="{00000000-0005-0000-0000-0000C0140000}"/>
    <cellStyle name="Normal 4 4 10" xfId="2534" xr:uid="{00000000-0005-0000-0000-0000C1140000}"/>
    <cellStyle name="Normal 4 4 10 2" xfId="6817" xr:uid="{00000000-0005-0000-0000-0000C2140000}"/>
    <cellStyle name="Normal 4 4 10 2 2" xfId="16143" xr:uid="{FADF6AEA-521E-46F2-B5B9-FF3F4B82F7BA}"/>
    <cellStyle name="Normal 4 4 10 2 2 2" xfId="52485" xr:uid="{6CD03A52-1941-4EFD-B1EE-9DC8E3DD062E}"/>
    <cellStyle name="Normal 4 4 10 2 2 3" xfId="33889" xr:uid="{7ECE36CE-F024-4CD7-95C0-93DE3170088C}"/>
    <cellStyle name="Normal 4 4 10 2 3" xfId="43188" xr:uid="{14346641-E84C-4DA8-98F7-2136BE9811A3}"/>
    <cellStyle name="Normal 4 4 10 2 4" xfId="24590" xr:uid="{1E9C6816-5E24-487D-BBA3-45D2B2523FE9}"/>
    <cellStyle name="Normal 4 4 10 3" xfId="11926" xr:uid="{030872B3-D7C4-44D5-8922-FB47E84C04EC}"/>
    <cellStyle name="Normal 4 4 10 3 2" xfId="48268" xr:uid="{E68448BA-43AB-4C98-9B59-C621A0EC8468}"/>
    <cellStyle name="Normal 4 4 10 3 3" xfId="29672" xr:uid="{A01259E7-AAE2-4822-9AE1-3B2C21486AC9}"/>
    <cellStyle name="Normal 4 4 10 4" xfId="38971" xr:uid="{0F65C297-B9BC-43C3-9A72-6EBE2C5FC952}"/>
    <cellStyle name="Normal 4 4 10 5" xfId="20373" xr:uid="{DEE655C3-752B-41E1-9290-03FBB1EDA37E}"/>
    <cellStyle name="Normal 4 4 11" xfId="4752" xr:uid="{00000000-0005-0000-0000-0000C3140000}"/>
    <cellStyle name="Normal 4 4 11 2" xfId="14078" xr:uid="{3009E2C4-A3E6-47DB-873C-937D786AAB47}"/>
    <cellStyle name="Normal 4 4 11 2 2" xfId="50420" xr:uid="{2299AB9D-DCDF-458B-8AD7-ADA04D79C091}"/>
    <cellStyle name="Normal 4 4 11 2 3" xfId="31824" xr:uid="{9ADEA477-7878-48F9-8925-9402E8945005}"/>
    <cellStyle name="Normal 4 4 11 3" xfId="41123" xr:uid="{661DFB4C-B587-4802-AC58-9DC4DEADFD05}"/>
    <cellStyle name="Normal 4 4 11 4" xfId="22525" xr:uid="{22C7B98D-3C7A-42EA-B4CB-93D94E108B83}"/>
    <cellStyle name="Normal 4 4 12" xfId="8749" xr:uid="{A91736B6-873D-4B1A-8B29-18DC69E5E65F}"/>
    <cellStyle name="Normal 4 4 12 2" xfId="35819" xr:uid="{60D09C4A-50F3-499E-8E1A-BADBEA58D421}"/>
    <cellStyle name="Normal 4 4 12 2 2" xfId="54414" xr:uid="{91565458-D83C-46FC-8D38-98CD412CBB5E}"/>
    <cellStyle name="Normal 4 4 12 3" xfId="45117" xr:uid="{A76B2AC5-9C71-4284-8F77-EC477A1366BA}"/>
    <cellStyle name="Normal 4 4 12 4" xfId="26520" xr:uid="{BC589CB7-89B2-49B0-96CA-E486B52F8A52}"/>
    <cellStyle name="Normal 4 4 13" xfId="9861" xr:uid="{4D3F0209-C701-408F-998B-5B4247B10710}"/>
    <cellStyle name="Normal 4 4 13 2" xfId="46203" xr:uid="{B49558B9-45D1-484C-A924-EC4ED149C813}"/>
    <cellStyle name="Normal 4 4 13 3" xfId="27607" xr:uid="{C190E003-0CF9-483C-BDF2-C45232495FD6}"/>
    <cellStyle name="Normal 4 4 14" xfId="36906" xr:uid="{6D8E2FE9-9172-4E15-BBB4-D477B7F0600F}"/>
    <cellStyle name="Normal 4 4 15" xfId="18308" xr:uid="{7E9E349C-8BBF-4AB3-88D3-565DF5D3DADF}"/>
    <cellStyle name="Normal 4 4 2" xfId="379" xr:uid="{00000000-0005-0000-0000-0000C4140000}"/>
    <cellStyle name="Normal 4 4 2 10" xfId="4753" xr:uid="{00000000-0005-0000-0000-0000C5140000}"/>
    <cellStyle name="Normal 4 4 2 10 2" xfId="14079" xr:uid="{F5E240D5-C039-4412-83A1-0C82BE86B9D6}"/>
    <cellStyle name="Normal 4 4 2 10 2 2" xfId="50421" xr:uid="{35F77917-35DF-4FCF-ABF1-039C4D24AB47}"/>
    <cellStyle name="Normal 4 4 2 10 2 3" xfId="31825" xr:uid="{F7CCD01D-7B12-4C2D-B768-B53301AD8324}"/>
    <cellStyle name="Normal 4 4 2 10 3" xfId="41124" xr:uid="{2FE5365D-CF8F-4B4A-B6E4-6F319E656F9D}"/>
    <cellStyle name="Normal 4 4 2 10 4" xfId="22526" xr:uid="{4B070E84-5A3D-48DB-8BFB-4FA362705BEE}"/>
    <cellStyle name="Normal 4 4 2 11" xfId="8781" xr:uid="{12B8F0AD-1EB8-4D0A-9CAD-21DEEFEDAE41}"/>
    <cellStyle name="Normal 4 4 2 11 2" xfId="35851" xr:uid="{FFEB01FB-1720-4801-832E-24F53CF922E0}"/>
    <cellStyle name="Normal 4 4 2 11 2 2" xfId="54446" xr:uid="{61CCFED0-2B5D-4C3B-B012-C07D3772FA1D}"/>
    <cellStyle name="Normal 4 4 2 11 3" xfId="45149" xr:uid="{336F7BC0-56EE-44E4-9F72-80A73C0F3D2A}"/>
    <cellStyle name="Normal 4 4 2 11 4" xfId="26552" xr:uid="{E936318A-7240-4DF9-B594-EE7AAA1A7A5F}"/>
    <cellStyle name="Normal 4 4 2 12" xfId="9862" xr:uid="{4F8F4E72-986A-4F10-B59B-E89B62E59B25}"/>
    <cellStyle name="Normal 4 4 2 12 2" xfId="46204" xr:uid="{F4C1C288-ECC1-42E3-B4C1-A2123D32E3C2}"/>
    <cellStyle name="Normal 4 4 2 12 3" xfId="27608" xr:uid="{6464DD34-B13E-4183-A0DE-30F3E0794EFC}"/>
    <cellStyle name="Normal 4 4 2 13" xfId="36907" xr:uid="{8EA84294-4E45-4E0D-94F9-50698E45BC7D}"/>
    <cellStyle name="Normal 4 4 2 14" xfId="18309" xr:uid="{B024C98A-7F3F-48CD-91F4-05CABA44E0CD}"/>
    <cellStyle name="Normal 4 4 2 2" xfId="380" xr:uid="{00000000-0005-0000-0000-0000C6140000}"/>
    <cellStyle name="Normal 4 4 2 2 10" xfId="8824" xr:uid="{FF218EA8-00A9-476B-AA88-FBBBBED2D06B}"/>
    <cellStyle name="Normal 4 4 2 2 10 2" xfId="35894" xr:uid="{D76D8EA9-6386-4C1B-A90D-FE651342658F}"/>
    <cellStyle name="Normal 4 4 2 2 10 2 2" xfId="54489" xr:uid="{14141682-3A45-4D81-8B2F-1554988E7EE5}"/>
    <cellStyle name="Normal 4 4 2 2 10 3" xfId="45192" xr:uid="{0549A26E-6058-45EF-918F-BA7C1DB802A5}"/>
    <cellStyle name="Normal 4 4 2 2 10 4" xfId="26595" xr:uid="{BAFF2DFD-A4D3-48C2-BBE9-2404D8449A6A}"/>
    <cellStyle name="Normal 4 4 2 2 11" xfId="9863" xr:uid="{C2031342-A77B-4076-B7C0-98B4B1AE5BDB}"/>
    <cellStyle name="Normal 4 4 2 2 11 2" xfId="46205" xr:uid="{69EBD18B-E968-4DAF-ACFA-A5F58FE4401B}"/>
    <cellStyle name="Normal 4 4 2 2 11 3" xfId="27609" xr:uid="{D9243485-AE18-403C-A3BA-77EC538A8DD3}"/>
    <cellStyle name="Normal 4 4 2 2 12" xfId="36908" xr:uid="{0736C79E-2C0C-42C8-9D2E-BAD36C7A63E9}"/>
    <cellStyle name="Normal 4 4 2 2 13" xfId="18310" xr:uid="{DD26AC8F-BD28-4538-9965-F71C6412AEC4}"/>
    <cellStyle name="Normal 4 4 2 2 2" xfId="381" xr:uid="{00000000-0005-0000-0000-0000C7140000}"/>
    <cellStyle name="Normal 4 4 2 2 2 10" xfId="9864" xr:uid="{8A025AD4-DDC2-4C90-A96E-A6484714EB86}"/>
    <cellStyle name="Normal 4 4 2 2 2 10 2" xfId="46206" xr:uid="{A41F9498-B5F4-4DE9-8FCE-A946C06923AC}"/>
    <cellStyle name="Normal 4 4 2 2 2 10 3" xfId="27610" xr:uid="{D20AC6A5-7586-4A51-875D-1098C49A41FB}"/>
    <cellStyle name="Normal 4 4 2 2 2 11" xfId="36909" xr:uid="{E2FC560F-5FD0-42BC-A241-F2FBE60E7246}"/>
    <cellStyle name="Normal 4 4 2 2 2 12" xfId="18311" xr:uid="{106F9DEB-273A-4943-AAF6-820924EE1FEC}"/>
    <cellStyle name="Normal 4 4 2 2 2 2" xfId="382" xr:uid="{00000000-0005-0000-0000-0000C8140000}"/>
    <cellStyle name="Normal 4 4 2 2 2 2 10" xfId="36910" xr:uid="{22EA5102-D545-4EC6-BBFB-7AB757F48B53}"/>
    <cellStyle name="Normal 4 4 2 2 2 2 11" xfId="18312" xr:uid="{94C9D1BC-3245-4340-82DD-1EEFDC693EBF}"/>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16640" xr:uid="{051A40F6-2814-41DD-B654-932C91374509}"/>
    <cellStyle name="Normal 4 4 2 2 2 2 2 2 2 2 2" xfId="52982" xr:uid="{D40B8387-7948-4730-B709-0BDB1CD8CE57}"/>
    <cellStyle name="Normal 4 4 2 2 2 2 2 2 2 2 3" xfId="34386" xr:uid="{5BC1C3D9-41A3-4B4E-87BC-BE3E94CE02E7}"/>
    <cellStyle name="Normal 4 4 2 2 2 2 2 2 2 3" xfId="43685" xr:uid="{A2DE2463-CE72-4071-9F83-53508F81266D}"/>
    <cellStyle name="Normal 4 4 2 2 2 2 2 2 2 4" xfId="25087" xr:uid="{DB6DBB04-2F50-4A38-A2CF-8DFB28F40FCE}"/>
    <cellStyle name="Normal 4 4 2 2 2 2 2 2 3" xfId="12423" xr:uid="{0E75EF2E-1F6E-4A83-A472-DC892DD0202E}"/>
    <cellStyle name="Normal 4 4 2 2 2 2 2 2 3 2" xfId="48765" xr:uid="{1DF55849-B75A-45F8-9FFB-2F4D823EF5C3}"/>
    <cellStyle name="Normal 4 4 2 2 2 2 2 2 3 3" xfId="30169" xr:uid="{0C39C7D5-85BD-422E-AA74-C2085ED3585A}"/>
    <cellStyle name="Normal 4 4 2 2 2 2 2 2 4" xfId="39468" xr:uid="{B7FCF176-6F98-4C22-8454-96A4AAAE76A4}"/>
    <cellStyle name="Normal 4 4 2 2 2 2 2 2 5" xfId="20870" xr:uid="{80F8004E-7C9F-49EF-9A00-8BEFF2CF03AF}"/>
    <cellStyle name="Normal 4 4 2 2 2 2 2 3" xfId="5169" xr:uid="{00000000-0005-0000-0000-0000CC140000}"/>
    <cellStyle name="Normal 4 4 2 2 2 2 2 3 2" xfId="14495" xr:uid="{287A8BA6-9CDD-46C3-9E4F-9E1E439A9551}"/>
    <cellStyle name="Normal 4 4 2 2 2 2 2 3 2 2" xfId="50837" xr:uid="{5033F320-9E8D-43CC-860C-1BBB3938A821}"/>
    <cellStyle name="Normal 4 4 2 2 2 2 2 3 2 3" xfId="32241" xr:uid="{405EBAF9-FC12-4D0D-8F26-5B296B62A2DF}"/>
    <cellStyle name="Normal 4 4 2 2 2 2 2 3 3" xfId="41540" xr:uid="{AA34CC69-FC48-4FE8-A6DA-8AFD1FBEC579}"/>
    <cellStyle name="Normal 4 4 2 2 2 2 2 3 4" xfId="22942" xr:uid="{4750923C-A82F-4DB9-823C-10B75285BB96}"/>
    <cellStyle name="Normal 4 4 2 2 2 2 2 4" xfId="9559" xr:uid="{6E5E886C-D83F-47E6-AD2B-552CC2A98FD0}"/>
    <cellStyle name="Normal 4 4 2 2 2 2 2 4 2" xfId="36620" xr:uid="{B6A0530D-2482-4122-9EAF-28A29E11EDDB}"/>
    <cellStyle name="Normal 4 4 2 2 2 2 2 4 2 2" xfId="55214" xr:uid="{194F0EDA-F6F0-4235-8F5E-5BED2DA2E11B}"/>
    <cellStyle name="Normal 4 4 2 2 2 2 2 4 3" xfId="45917" xr:uid="{409FE81C-87FB-4667-863D-71A9EB15E517}"/>
    <cellStyle name="Normal 4 4 2 2 2 2 2 4 4" xfId="27321" xr:uid="{30C81589-A2C3-4349-A3AF-D74BB5EA05E2}"/>
    <cellStyle name="Normal 4 4 2 2 2 2 2 5" xfId="10278" xr:uid="{7E498CBF-9454-4048-9D0B-BCD4CC74810C}"/>
    <cellStyle name="Normal 4 4 2 2 2 2 2 5 2" xfId="46620" xr:uid="{28D98E0C-C83A-4728-965F-7D084DE552F8}"/>
    <cellStyle name="Normal 4 4 2 2 2 2 2 5 3" xfId="28024" xr:uid="{B3332FAF-5EF0-4DCF-8A3A-661120FCA4EB}"/>
    <cellStyle name="Normal 4 4 2 2 2 2 2 6" xfId="37323" xr:uid="{A6DC0535-DE62-42AE-9879-B245728D0F12}"/>
    <cellStyle name="Normal 4 4 2 2 2 2 2 7" xfId="18725" xr:uid="{29109CFB-369A-4DD4-A0B5-F8D738CA4E9A}"/>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17053" xr:uid="{70E0C4F4-AB71-4893-ADBB-F3069589B162}"/>
    <cellStyle name="Normal 4 4 2 2 2 2 3 2 2 2 2" xfId="53395" xr:uid="{86F9743A-7BC6-476B-88DF-E5C8E20779FB}"/>
    <cellStyle name="Normal 4 4 2 2 2 2 3 2 2 2 3" xfId="34799" xr:uid="{B92607C5-D5B5-4B1C-A2C0-1D0404F2840F}"/>
    <cellStyle name="Normal 4 4 2 2 2 2 3 2 2 3" xfId="44098" xr:uid="{45A6D668-D55F-428F-8FAC-9E3C3D1B1B5E}"/>
    <cellStyle name="Normal 4 4 2 2 2 2 3 2 2 4" xfId="25500" xr:uid="{0742FA1F-5F4F-4740-9546-3C695F9F5FD1}"/>
    <cellStyle name="Normal 4 4 2 2 2 2 3 2 3" xfId="12836" xr:uid="{9AAC8A45-0058-4857-9493-E1E519395089}"/>
    <cellStyle name="Normal 4 4 2 2 2 2 3 2 3 2" xfId="49178" xr:uid="{BA3E8D2F-F45F-472E-892E-4089D19F4ADD}"/>
    <cellStyle name="Normal 4 4 2 2 2 2 3 2 3 3" xfId="30582" xr:uid="{268B9461-F084-4CF9-B6D7-FBA0F75CC351}"/>
    <cellStyle name="Normal 4 4 2 2 2 2 3 2 4" xfId="39881" xr:uid="{777EBEA9-E4C7-4DC6-9C71-441E2C13646B}"/>
    <cellStyle name="Normal 4 4 2 2 2 2 3 2 5" xfId="21283" xr:uid="{C6F98A97-6AC3-4AAC-AA70-CAB53A3D52C8}"/>
    <cellStyle name="Normal 4 4 2 2 2 2 3 3" xfId="5582" xr:uid="{00000000-0005-0000-0000-0000D0140000}"/>
    <cellStyle name="Normal 4 4 2 2 2 2 3 3 2" xfId="14908" xr:uid="{6E289D22-4588-4D81-A197-4238D6502C9F}"/>
    <cellStyle name="Normal 4 4 2 2 2 2 3 3 2 2" xfId="51250" xr:uid="{347E8F2A-7BCA-4D03-9CBA-5D2B39B79980}"/>
    <cellStyle name="Normal 4 4 2 2 2 2 3 3 2 3" xfId="32654" xr:uid="{0827A44D-FF8C-4883-A380-7B9ABCB258D8}"/>
    <cellStyle name="Normal 4 4 2 2 2 2 3 3 3" xfId="41953" xr:uid="{3BFD7A96-2E45-4774-9477-01BDFF47CA9E}"/>
    <cellStyle name="Normal 4 4 2 2 2 2 3 3 4" xfId="23355" xr:uid="{BDDBBADD-9D0C-4B27-B7E9-D172F74846C1}"/>
    <cellStyle name="Normal 4 4 2 2 2 2 3 4" xfId="10691" xr:uid="{6E34A833-CB5A-48EA-9E7E-1CAD3B1C9A8A}"/>
    <cellStyle name="Normal 4 4 2 2 2 2 3 4 2" xfId="47033" xr:uid="{98A9D60B-42BB-47E9-A4EF-438EE831DB8F}"/>
    <cellStyle name="Normal 4 4 2 2 2 2 3 4 3" xfId="28437" xr:uid="{4E9CE8B2-F37E-48A3-9E4D-FF8B5B99C0D2}"/>
    <cellStyle name="Normal 4 4 2 2 2 2 3 5" xfId="37736" xr:uid="{4DC4602F-9241-4CB5-B146-2D8013A8F37D}"/>
    <cellStyle name="Normal 4 4 2 2 2 2 3 6" xfId="19138" xr:uid="{F2EDC1FE-8A63-4737-A53D-4F7D35144E37}"/>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17466" xr:uid="{CEB545E0-75F2-425F-8385-6443518AD7BA}"/>
    <cellStyle name="Normal 4 4 2 2 2 2 4 2 2 2 2" xfId="53808" xr:uid="{F85984FA-A135-48B0-A86A-16069575DEE2}"/>
    <cellStyle name="Normal 4 4 2 2 2 2 4 2 2 2 3" xfId="35212" xr:uid="{118F412E-9034-4829-805A-2A36099AF9D5}"/>
    <cellStyle name="Normal 4 4 2 2 2 2 4 2 2 3" xfId="44511" xr:uid="{9E606BC1-44DA-44FC-A30A-EBEADC16DA98}"/>
    <cellStyle name="Normal 4 4 2 2 2 2 4 2 2 4" xfId="25913" xr:uid="{7451C529-0DD6-4DA0-864F-4BD5E54FCDA8}"/>
    <cellStyle name="Normal 4 4 2 2 2 2 4 2 3" xfId="13249" xr:uid="{756AC7C8-58FD-44BC-BAC8-3568EC699B56}"/>
    <cellStyle name="Normal 4 4 2 2 2 2 4 2 3 2" xfId="49591" xr:uid="{A76DD084-7C71-401D-8A0E-F9292CAE7C81}"/>
    <cellStyle name="Normal 4 4 2 2 2 2 4 2 3 3" xfId="30995" xr:uid="{7AE82245-59B6-495B-8A60-C36A8D435836}"/>
    <cellStyle name="Normal 4 4 2 2 2 2 4 2 4" xfId="40294" xr:uid="{E7DCCF7B-B599-4F09-B3B5-84A27981EB79}"/>
    <cellStyle name="Normal 4 4 2 2 2 2 4 2 5" xfId="21696" xr:uid="{F37ED919-8EC7-4B04-8751-F374A519AE77}"/>
    <cellStyle name="Normal 4 4 2 2 2 2 4 3" xfId="5995" xr:uid="{00000000-0005-0000-0000-0000D4140000}"/>
    <cellStyle name="Normal 4 4 2 2 2 2 4 3 2" xfId="15321" xr:uid="{F2AB2C57-E661-44F1-8653-FC5A5FBE66C1}"/>
    <cellStyle name="Normal 4 4 2 2 2 2 4 3 2 2" xfId="51663" xr:uid="{329C2FB4-DB65-4EA2-BB5D-762E849D3AD3}"/>
    <cellStyle name="Normal 4 4 2 2 2 2 4 3 2 3" xfId="33067" xr:uid="{67877D91-364D-43F9-9D03-83C8F0297859}"/>
    <cellStyle name="Normal 4 4 2 2 2 2 4 3 3" xfId="42366" xr:uid="{2FF4D9B2-9233-4A82-B3EC-CFC584ED2BEC}"/>
    <cellStyle name="Normal 4 4 2 2 2 2 4 3 4" xfId="23768" xr:uid="{F9E2C8A1-5CC0-44F6-93CC-2A54412A65CF}"/>
    <cellStyle name="Normal 4 4 2 2 2 2 4 4" xfId="11104" xr:uid="{55B2629D-A967-4031-AFAA-02CE005C77EE}"/>
    <cellStyle name="Normal 4 4 2 2 2 2 4 4 2" xfId="47446" xr:uid="{19F81032-0919-4B21-97D1-AF381A60FC3B}"/>
    <cellStyle name="Normal 4 4 2 2 2 2 4 4 3" xfId="28850" xr:uid="{28E80CCC-47C4-443A-BBFF-A984A553DF9D}"/>
    <cellStyle name="Normal 4 4 2 2 2 2 4 5" xfId="38149" xr:uid="{8B9929C0-A8D9-494A-9F6A-7C67E545102F}"/>
    <cellStyle name="Normal 4 4 2 2 2 2 4 6" xfId="19551" xr:uid="{1A1F13B5-9B22-4BF0-BE35-0FFEACF89725}"/>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17879" xr:uid="{7BBA09E6-CC07-4719-B4D8-EFBF2C8C3B1A}"/>
    <cellStyle name="Normal 4 4 2 2 2 2 5 2 2 2 2" xfId="54221" xr:uid="{66D275CB-7154-441B-93D1-2BD48B9CF56E}"/>
    <cellStyle name="Normal 4 4 2 2 2 2 5 2 2 2 3" xfId="35625" xr:uid="{B4B31007-4DF2-47BE-A16D-0BA6727C0D7E}"/>
    <cellStyle name="Normal 4 4 2 2 2 2 5 2 2 3" xfId="44924" xr:uid="{3D56EC15-37AC-48EA-9943-C1E47080B450}"/>
    <cellStyle name="Normal 4 4 2 2 2 2 5 2 2 4" xfId="26326" xr:uid="{21891AA1-6897-4659-88FA-F1B5A77091EE}"/>
    <cellStyle name="Normal 4 4 2 2 2 2 5 2 3" xfId="13662" xr:uid="{50FCFFF9-1F4F-47CF-90A9-5B70D71047AE}"/>
    <cellStyle name="Normal 4 4 2 2 2 2 5 2 3 2" xfId="50004" xr:uid="{103128E7-601C-411D-A1FE-62C8CF8217D8}"/>
    <cellStyle name="Normal 4 4 2 2 2 2 5 2 3 3" xfId="31408" xr:uid="{C926FAD6-A655-455C-A844-1F87D94E44F3}"/>
    <cellStyle name="Normal 4 4 2 2 2 2 5 2 4" xfId="40707" xr:uid="{5298BE77-2651-41CA-B000-2E2DA26CA11A}"/>
    <cellStyle name="Normal 4 4 2 2 2 2 5 2 5" xfId="22109" xr:uid="{861328E4-7A42-46A3-8EA1-AFDF899343E9}"/>
    <cellStyle name="Normal 4 4 2 2 2 2 5 3" xfId="6408" xr:uid="{00000000-0005-0000-0000-0000D8140000}"/>
    <cellStyle name="Normal 4 4 2 2 2 2 5 3 2" xfId="15734" xr:uid="{7616D064-7519-402F-BF75-366B27F7061F}"/>
    <cellStyle name="Normal 4 4 2 2 2 2 5 3 2 2" xfId="52076" xr:uid="{92F8BD7B-F4CB-4002-BF8D-E4712044ED96}"/>
    <cellStyle name="Normal 4 4 2 2 2 2 5 3 2 3" xfId="33480" xr:uid="{974640DF-83A4-486C-AC71-9E5D5B260210}"/>
    <cellStyle name="Normal 4 4 2 2 2 2 5 3 3" xfId="42779" xr:uid="{4FE18FCA-6719-4F19-BB29-0BCF8D12AD8E}"/>
    <cellStyle name="Normal 4 4 2 2 2 2 5 3 4" xfId="24181" xr:uid="{BC95EEE1-80C6-4FB1-A462-16215828FDA5}"/>
    <cellStyle name="Normal 4 4 2 2 2 2 5 4" xfId="11517" xr:uid="{377FBC91-5339-4B54-BBCA-ECCBF1E09B7F}"/>
    <cellStyle name="Normal 4 4 2 2 2 2 5 4 2" xfId="47859" xr:uid="{E4980BFB-2DC1-4B9D-84C7-07935088B856}"/>
    <cellStyle name="Normal 4 4 2 2 2 2 5 4 3" xfId="29263" xr:uid="{BC8C0B16-97A0-4148-8B26-2ED46FD08BBE}"/>
    <cellStyle name="Normal 4 4 2 2 2 2 5 5" xfId="38562" xr:uid="{8CD5BDF1-F2D5-4DC7-8578-C69563CF2360}"/>
    <cellStyle name="Normal 4 4 2 2 2 2 5 6" xfId="19964" xr:uid="{105D8FA4-0501-47A2-BEDD-4CDA39749E5C}"/>
    <cellStyle name="Normal 4 4 2 2 2 2 6" xfId="2538" xr:uid="{00000000-0005-0000-0000-0000D9140000}"/>
    <cellStyle name="Normal 4 4 2 2 2 2 6 2" xfId="6821" xr:uid="{00000000-0005-0000-0000-0000DA140000}"/>
    <cellStyle name="Normal 4 4 2 2 2 2 6 2 2" xfId="16147" xr:uid="{873C43BB-ED73-4F8C-B980-BABBECD8567A}"/>
    <cellStyle name="Normal 4 4 2 2 2 2 6 2 2 2" xfId="52489" xr:uid="{F4E37D5D-B9BF-49FF-9370-414CD4A87C00}"/>
    <cellStyle name="Normal 4 4 2 2 2 2 6 2 2 3" xfId="33893" xr:uid="{FD902E42-76EE-4168-98AD-B40BAEB601FA}"/>
    <cellStyle name="Normal 4 4 2 2 2 2 6 2 3" xfId="43192" xr:uid="{E9C1C91A-F2E3-4FD7-B4CB-AB4C0CE9CC1E}"/>
    <cellStyle name="Normal 4 4 2 2 2 2 6 2 4" xfId="24594" xr:uid="{1EBAAEC4-AB28-4374-BF53-F229E641280B}"/>
    <cellStyle name="Normal 4 4 2 2 2 2 6 3" xfId="11930" xr:uid="{B6FA098B-D7F3-41D1-869B-CCFE3648DCAF}"/>
    <cellStyle name="Normal 4 4 2 2 2 2 6 3 2" xfId="48272" xr:uid="{DD0E4DEF-E0A5-4344-95C9-2EFB3BBA5C01}"/>
    <cellStyle name="Normal 4 4 2 2 2 2 6 3 3" xfId="29676" xr:uid="{8B4C8666-FEBB-4964-8746-4E8B23BB66AB}"/>
    <cellStyle name="Normal 4 4 2 2 2 2 6 4" xfId="38975" xr:uid="{945C89A6-E221-42B3-8625-28191E08FE3C}"/>
    <cellStyle name="Normal 4 4 2 2 2 2 6 5" xfId="20377" xr:uid="{D5AFDF99-EBE2-483A-A58D-701A0414612B}"/>
    <cellStyle name="Normal 4 4 2 2 2 2 7" xfId="4756" xr:uid="{00000000-0005-0000-0000-0000DB140000}"/>
    <cellStyle name="Normal 4 4 2 2 2 2 7 2" xfId="14082" xr:uid="{A21A8BF1-4932-4157-A077-492DBAB3E735}"/>
    <cellStyle name="Normal 4 4 2 2 2 2 7 2 2" xfId="50424" xr:uid="{124219B3-E747-4BCB-BEA9-A5215146FA54}"/>
    <cellStyle name="Normal 4 4 2 2 2 2 7 2 3" xfId="31828" xr:uid="{809FE618-197E-4907-B05B-376ED89F1507}"/>
    <cellStyle name="Normal 4 4 2 2 2 2 7 3" xfId="41127" xr:uid="{E2EF88AD-EF7B-4E69-97FD-3B804D3F7DA7}"/>
    <cellStyle name="Normal 4 4 2 2 2 2 7 4" xfId="22529" xr:uid="{73053DDA-8F8B-42F5-9F6D-DAEEF827A8BA}"/>
    <cellStyle name="Normal 4 4 2 2 2 2 8" xfId="9134" xr:uid="{B37D4C66-6754-4A5E-BFF7-77694E4355C2}"/>
    <cellStyle name="Normal 4 4 2 2 2 2 8 2" xfId="36204" xr:uid="{ED21FD0B-86C6-41EB-833F-7F96318AA2A9}"/>
    <cellStyle name="Normal 4 4 2 2 2 2 8 2 2" xfId="54799" xr:uid="{DD1D607B-9860-4968-8B91-D225588B9714}"/>
    <cellStyle name="Normal 4 4 2 2 2 2 8 3" xfId="45502" xr:uid="{F890C8D9-6532-4873-B6A0-B98BB4FD4B2F}"/>
    <cellStyle name="Normal 4 4 2 2 2 2 8 4" xfId="26905" xr:uid="{A0350DB5-A1F6-4366-B706-B19C7D29AE0C}"/>
    <cellStyle name="Normal 4 4 2 2 2 2 9" xfId="9865" xr:uid="{728EC511-E3AC-485E-968B-26CEA4D68C90}"/>
    <cellStyle name="Normal 4 4 2 2 2 2 9 2" xfId="46207" xr:uid="{70F9654D-C92F-4E8B-977C-43827DFB4445}"/>
    <cellStyle name="Normal 4 4 2 2 2 2 9 3" xfId="27611" xr:uid="{86AA8290-426F-4A1A-A4AA-7AB0683E1B7D}"/>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16639" xr:uid="{D5A71272-9629-4EA6-96A6-CE3B1A9AD195}"/>
    <cellStyle name="Normal 4 4 2 2 2 3 2 2 2 2" xfId="52981" xr:uid="{9EB0C274-FADC-4D8A-8D32-6A3E05BA009B}"/>
    <cellStyle name="Normal 4 4 2 2 2 3 2 2 2 3" xfId="34385" xr:uid="{2175D6B7-33BD-4B78-A0F4-342178A04123}"/>
    <cellStyle name="Normal 4 4 2 2 2 3 2 2 3" xfId="43684" xr:uid="{6CAF55EF-A2AD-4DF4-B560-59E2AE2927F4}"/>
    <cellStyle name="Normal 4 4 2 2 2 3 2 2 4" xfId="25086" xr:uid="{46BDF46D-6490-4984-8332-87BBA17F6370}"/>
    <cellStyle name="Normal 4 4 2 2 2 3 2 3" xfId="12422" xr:uid="{706EC98C-F82E-4BFE-9A16-EA97D8C9C7D0}"/>
    <cellStyle name="Normal 4 4 2 2 2 3 2 3 2" xfId="48764" xr:uid="{62314BF4-1EFE-47C3-A4FE-046ED4D3EF38}"/>
    <cellStyle name="Normal 4 4 2 2 2 3 2 3 3" xfId="30168" xr:uid="{F223F7F0-14EF-4F70-B495-78ACAA412B4A}"/>
    <cellStyle name="Normal 4 4 2 2 2 3 2 4" xfId="39467" xr:uid="{E2E6149D-3C7D-46D9-B15F-2E3E4A18C7F6}"/>
    <cellStyle name="Normal 4 4 2 2 2 3 2 5" xfId="20869" xr:uid="{291794C4-FAFE-48BE-ADC9-B58FA54BE525}"/>
    <cellStyle name="Normal 4 4 2 2 2 3 3" xfId="5168" xr:uid="{00000000-0005-0000-0000-0000DF140000}"/>
    <cellStyle name="Normal 4 4 2 2 2 3 3 2" xfId="14494" xr:uid="{8E1E664A-9C9D-426D-874D-27DACECB3F58}"/>
    <cellStyle name="Normal 4 4 2 2 2 3 3 2 2" xfId="50836" xr:uid="{11E456A2-1ADC-403D-981D-552BCC83F86F}"/>
    <cellStyle name="Normal 4 4 2 2 2 3 3 2 3" xfId="32240" xr:uid="{C444227D-49E7-41FC-A7DB-DD82188AC52C}"/>
    <cellStyle name="Normal 4 4 2 2 2 3 3 3" xfId="41539" xr:uid="{0AAE6774-7E77-44E4-822F-98D71F3B6444}"/>
    <cellStyle name="Normal 4 4 2 2 2 3 3 4" xfId="22941" xr:uid="{BECEA67B-59CB-4BDC-9305-3CB22F56DF55}"/>
    <cellStyle name="Normal 4 4 2 2 2 3 4" xfId="9352" xr:uid="{76F31DA2-44D0-447F-BA9C-6271BA6AAE96}"/>
    <cellStyle name="Normal 4 4 2 2 2 3 4 2" xfId="36413" xr:uid="{3B98E5EB-5288-4478-9A54-67073FC9E4DA}"/>
    <cellStyle name="Normal 4 4 2 2 2 3 4 2 2" xfId="55007" xr:uid="{3F31B81F-E8A6-4831-96CD-2A8574F12319}"/>
    <cellStyle name="Normal 4 4 2 2 2 3 4 3" xfId="45710" xr:uid="{EF18AD88-3B5B-4E9D-AF94-425A12D1DEA4}"/>
    <cellStyle name="Normal 4 4 2 2 2 3 4 4" xfId="27114" xr:uid="{E2849638-9B09-4686-A698-632BBEC3BC8B}"/>
    <cellStyle name="Normal 4 4 2 2 2 3 5" xfId="10277" xr:uid="{3AB4DB19-6FCD-446A-A321-7BC5AE2AB8E3}"/>
    <cellStyle name="Normal 4 4 2 2 2 3 5 2" xfId="46619" xr:uid="{EF3D59C1-54D7-4070-8319-F34A1F6C9358}"/>
    <cellStyle name="Normal 4 4 2 2 2 3 5 3" xfId="28023" xr:uid="{58D4E94B-61A9-4D7E-9032-AD98F9ABF975}"/>
    <cellStyle name="Normal 4 4 2 2 2 3 6" xfId="37322" xr:uid="{7D8AE62A-93BD-4A97-B96E-E057AEAD406E}"/>
    <cellStyle name="Normal 4 4 2 2 2 3 7" xfId="18724" xr:uid="{592220A3-4FAC-4D5D-828F-A6E0D632F6B9}"/>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17052" xr:uid="{5E4B4BFA-9F9B-42E5-87EA-E3D78DA815DE}"/>
    <cellStyle name="Normal 4 4 2 2 2 4 2 2 2 2" xfId="53394" xr:uid="{C0AAB6AD-B06E-429F-840C-507B47A9FE94}"/>
    <cellStyle name="Normal 4 4 2 2 2 4 2 2 2 3" xfId="34798" xr:uid="{9BB1A7DA-7660-4A1C-A471-9DC14ECD7EF6}"/>
    <cellStyle name="Normal 4 4 2 2 2 4 2 2 3" xfId="44097" xr:uid="{22E90775-A67A-4080-892C-140F0414755E}"/>
    <cellStyle name="Normal 4 4 2 2 2 4 2 2 4" xfId="25499" xr:uid="{1295E3C7-4CED-4F7D-8DB1-BF0CCE2D50F2}"/>
    <cellStyle name="Normal 4 4 2 2 2 4 2 3" xfId="12835" xr:uid="{3EE68E4E-9430-4693-BCCF-655D7AFBAFFE}"/>
    <cellStyle name="Normal 4 4 2 2 2 4 2 3 2" xfId="49177" xr:uid="{FA80902C-7388-4104-93C3-4B6518156693}"/>
    <cellStyle name="Normal 4 4 2 2 2 4 2 3 3" xfId="30581" xr:uid="{1E109F01-F966-4E08-91E5-B078F29C29EB}"/>
    <cellStyle name="Normal 4 4 2 2 2 4 2 4" xfId="39880" xr:uid="{E894D8BB-12F3-49C4-A73C-BF113ED5CE33}"/>
    <cellStyle name="Normal 4 4 2 2 2 4 2 5" xfId="21282" xr:uid="{6DB021D9-29B1-48A3-A610-905D18B48EDA}"/>
    <cellStyle name="Normal 4 4 2 2 2 4 3" xfId="5581" xr:uid="{00000000-0005-0000-0000-0000E3140000}"/>
    <cellStyle name="Normal 4 4 2 2 2 4 3 2" xfId="14907" xr:uid="{2DD45442-286B-4DA1-8DB5-BBDB7099C165}"/>
    <cellStyle name="Normal 4 4 2 2 2 4 3 2 2" xfId="51249" xr:uid="{E79553F6-2793-4C6E-9D15-A5015ED4CA01}"/>
    <cellStyle name="Normal 4 4 2 2 2 4 3 2 3" xfId="32653" xr:uid="{4EB2338B-7DC0-4DB8-ABE2-E423C408A4E1}"/>
    <cellStyle name="Normal 4 4 2 2 2 4 3 3" xfId="41952" xr:uid="{3C4092D0-171A-4A47-90E5-D6B4E64D1270}"/>
    <cellStyle name="Normal 4 4 2 2 2 4 3 4" xfId="23354" xr:uid="{2BE28DA6-CAB2-445D-874E-A5E5CB72C59F}"/>
    <cellStyle name="Normal 4 4 2 2 2 4 4" xfId="10690" xr:uid="{75A52E65-1E6F-420C-AED9-82F00B3FA0DD}"/>
    <cellStyle name="Normal 4 4 2 2 2 4 4 2" xfId="47032" xr:uid="{23BE25C3-0B1E-4BCE-8D95-25B795EA670F}"/>
    <cellStyle name="Normal 4 4 2 2 2 4 4 3" xfId="28436" xr:uid="{FE016F2E-1D9B-4AF0-96DD-7BE2FCB2F0BE}"/>
    <cellStyle name="Normal 4 4 2 2 2 4 5" xfId="37735" xr:uid="{C8E3D4B5-288D-4D93-92D6-8D5A8004A931}"/>
    <cellStyle name="Normal 4 4 2 2 2 4 6" xfId="19137" xr:uid="{3CF1FA0D-876F-4FF5-8CCB-5278DD8CF349}"/>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17465" xr:uid="{5F08F87B-9B85-4419-8242-964CE9E08C8A}"/>
    <cellStyle name="Normal 4 4 2 2 2 5 2 2 2 2" xfId="53807" xr:uid="{3B8A7035-1016-4598-B7A2-661319AD891E}"/>
    <cellStyle name="Normal 4 4 2 2 2 5 2 2 2 3" xfId="35211" xr:uid="{CFB7B6BF-BBFD-4426-A4AD-C54DC8D104FA}"/>
    <cellStyle name="Normal 4 4 2 2 2 5 2 2 3" xfId="44510" xr:uid="{71534C8D-DF32-4B26-93A7-D7A52F450778}"/>
    <cellStyle name="Normal 4 4 2 2 2 5 2 2 4" xfId="25912" xr:uid="{50479A4A-DB0A-444D-9663-AA97EFF526AF}"/>
    <cellStyle name="Normal 4 4 2 2 2 5 2 3" xfId="13248" xr:uid="{A35685B2-A248-4148-8D59-1FCB63CEBA02}"/>
    <cellStyle name="Normal 4 4 2 2 2 5 2 3 2" xfId="49590" xr:uid="{510A2F60-9A97-4C55-AE7F-65C5D1D899FB}"/>
    <cellStyle name="Normal 4 4 2 2 2 5 2 3 3" xfId="30994" xr:uid="{F5B77617-12E1-4E39-8E70-D8B8FA54C2E7}"/>
    <cellStyle name="Normal 4 4 2 2 2 5 2 4" xfId="40293" xr:uid="{7340DEC0-296D-4EBF-8CC9-1426BB899398}"/>
    <cellStyle name="Normal 4 4 2 2 2 5 2 5" xfId="21695" xr:uid="{5208D451-AC49-4AF6-AE3A-8AF9DC5D0045}"/>
    <cellStyle name="Normal 4 4 2 2 2 5 3" xfId="5994" xr:uid="{00000000-0005-0000-0000-0000E7140000}"/>
    <cellStyle name="Normal 4 4 2 2 2 5 3 2" xfId="15320" xr:uid="{ECD073D4-1AF1-4442-BA16-483EBF79CCAE}"/>
    <cellStyle name="Normal 4 4 2 2 2 5 3 2 2" xfId="51662" xr:uid="{01306288-57F4-4F7C-9234-9AE23D04127C}"/>
    <cellStyle name="Normal 4 4 2 2 2 5 3 2 3" xfId="33066" xr:uid="{1FF88407-B1A7-4D19-9F67-1D250B7FDB1E}"/>
    <cellStyle name="Normal 4 4 2 2 2 5 3 3" xfId="42365" xr:uid="{DDD6987C-C210-4313-9876-44AFD4B461E5}"/>
    <cellStyle name="Normal 4 4 2 2 2 5 3 4" xfId="23767" xr:uid="{3FCE7B95-9F0A-46AF-BBB0-E9865AF25D62}"/>
    <cellStyle name="Normal 4 4 2 2 2 5 4" xfId="11103" xr:uid="{D271B67B-9BEC-4CA7-85FC-265E62EB85E2}"/>
    <cellStyle name="Normal 4 4 2 2 2 5 4 2" xfId="47445" xr:uid="{286902CF-0020-4D15-83D2-6E4346DA38EA}"/>
    <cellStyle name="Normal 4 4 2 2 2 5 4 3" xfId="28849" xr:uid="{EBD234EE-CCA6-44CC-A493-87CCDBC622FA}"/>
    <cellStyle name="Normal 4 4 2 2 2 5 5" xfId="38148" xr:uid="{F52A90D6-12B1-4B45-A1FD-D7A23548EBF1}"/>
    <cellStyle name="Normal 4 4 2 2 2 5 6" xfId="19550" xr:uid="{4168DD10-DFFC-4590-AF02-5088B7C6756A}"/>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17878" xr:uid="{AA495982-4FD9-49C3-84D9-E19E31A6BB67}"/>
    <cellStyle name="Normal 4 4 2 2 2 6 2 2 2 2" xfId="54220" xr:uid="{B941DE5C-D710-46A3-BD6A-E517AEB05142}"/>
    <cellStyle name="Normal 4 4 2 2 2 6 2 2 2 3" xfId="35624" xr:uid="{12286CE7-9064-457F-876F-3618CBC1CF63}"/>
    <cellStyle name="Normal 4 4 2 2 2 6 2 2 3" xfId="44923" xr:uid="{326C2227-D08E-4C99-9415-48B8B513E33D}"/>
    <cellStyle name="Normal 4 4 2 2 2 6 2 2 4" xfId="26325" xr:uid="{0FBB99E0-B207-4392-AF30-C8EF54E94127}"/>
    <cellStyle name="Normal 4 4 2 2 2 6 2 3" xfId="13661" xr:uid="{ABBEBF7E-5DDA-415F-846F-00776B3ADD8F}"/>
    <cellStyle name="Normal 4 4 2 2 2 6 2 3 2" xfId="50003" xr:uid="{7E232709-5AA2-4B37-A774-6C6D85FBF4FC}"/>
    <cellStyle name="Normal 4 4 2 2 2 6 2 3 3" xfId="31407" xr:uid="{01217F6B-0D7E-4D08-BD05-45C51E507522}"/>
    <cellStyle name="Normal 4 4 2 2 2 6 2 4" xfId="40706" xr:uid="{00732FD3-9458-43F4-ACEE-4016A2C5319A}"/>
    <cellStyle name="Normal 4 4 2 2 2 6 2 5" xfId="22108" xr:uid="{60B65965-8F4A-4D23-9BF7-3BB959CCD8FB}"/>
    <cellStyle name="Normal 4 4 2 2 2 6 3" xfId="6407" xr:uid="{00000000-0005-0000-0000-0000EB140000}"/>
    <cellStyle name="Normal 4 4 2 2 2 6 3 2" xfId="15733" xr:uid="{CC24F176-A8E6-4FA9-A89A-2503BA252583}"/>
    <cellStyle name="Normal 4 4 2 2 2 6 3 2 2" xfId="52075" xr:uid="{5D378177-E79C-438C-9888-106123466883}"/>
    <cellStyle name="Normal 4 4 2 2 2 6 3 2 3" xfId="33479" xr:uid="{D98C8364-39D0-4DFF-A96B-8925F3CB6877}"/>
    <cellStyle name="Normal 4 4 2 2 2 6 3 3" xfId="42778" xr:uid="{D57F48C0-DAFC-41F4-85A5-99A938CC2A0E}"/>
    <cellStyle name="Normal 4 4 2 2 2 6 3 4" xfId="24180" xr:uid="{64450D0A-7EAB-44D0-A4D6-F0671F28C7E2}"/>
    <cellStyle name="Normal 4 4 2 2 2 6 4" xfId="11516" xr:uid="{BAC7D52C-58AE-4CEC-A761-6D6E1F1EE30F}"/>
    <cellStyle name="Normal 4 4 2 2 2 6 4 2" xfId="47858" xr:uid="{FEF0F52C-A0AC-4787-9B7D-02696C2F42CB}"/>
    <cellStyle name="Normal 4 4 2 2 2 6 4 3" xfId="29262" xr:uid="{1DC072D8-7EEC-4BC0-933A-1A93E5DA6B50}"/>
    <cellStyle name="Normal 4 4 2 2 2 6 5" xfId="38561" xr:uid="{B4357A1F-CD24-4D85-8775-3F1D40B23ECC}"/>
    <cellStyle name="Normal 4 4 2 2 2 6 6" xfId="19963" xr:uid="{87AE0AF7-0A2E-4DEA-B355-6E2FDAF03225}"/>
    <cellStyle name="Normal 4 4 2 2 2 7" xfId="2537" xr:uid="{00000000-0005-0000-0000-0000EC140000}"/>
    <cellStyle name="Normal 4 4 2 2 2 7 2" xfId="6820" xr:uid="{00000000-0005-0000-0000-0000ED140000}"/>
    <cellStyle name="Normal 4 4 2 2 2 7 2 2" xfId="16146" xr:uid="{7C4D37F4-8E72-4366-B28F-4A1F6352F760}"/>
    <cellStyle name="Normal 4 4 2 2 2 7 2 2 2" xfId="52488" xr:uid="{72CC49FB-EAB4-4D3E-953D-941D7EADD5BE}"/>
    <cellStyle name="Normal 4 4 2 2 2 7 2 2 3" xfId="33892" xr:uid="{65881E06-1E6B-4D25-AB6C-B096B1229236}"/>
    <cellStyle name="Normal 4 4 2 2 2 7 2 3" xfId="43191" xr:uid="{49DB68B4-75C8-4094-B68B-61610204B446}"/>
    <cellStyle name="Normal 4 4 2 2 2 7 2 4" xfId="24593" xr:uid="{407C121F-2EEF-4F3B-873D-54E1CA2CF369}"/>
    <cellStyle name="Normal 4 4 2 2 2 7 3" xfId="11929" xr:uid="{91CF5791-0FBE-4DC1-A1E9-C81E68953E76}"/>
    <cellStyle name="Normal 4 4 2 2 2 7 3 2" xfId="48271" xr:uid="{0947C206-71CF-429B-9DF2-BB42413C55D3}"/>
    <cellStyle name="Normal 4 4 2 2 2 7 3 3" xfId="29675" xr:uid="{75933183-7C19-4ABB-8259-6A22B192C5BB}"/>
    <cellStyle name="Normal 4 4 2 2 2 7 4" xfId="38974" xr:uid="{92BC81BD-64C7-451E-9AF4-08AF4729F880}"/>
    <cellStyle name="Normal 4 4 2 2 2 7 5" xfId="20376" xr:uid="{459611F7-5755-4CCE-8E06-8CB33FF6176B}"/>
    <cellStyle name="Normal 4 4 2 2 2 8" xfId="4755" xr:uid="{00000000-0005-0000-0000-0000EE140000}"/>
    <cellStyle name="Normal 4 4 2 2 2 8 2" xfId="14081" xr:uid="{F384ED74-2253-44B5-944F-AEC1DD9EA931}"/>
    <cellStyle name="Normal 4 4 2 2 2 8 2 2" xfId="50423" xr:uid="{162D68AA-6C2E-4B5F-BEF8-8FC2CBB1996D}"/>
    <cellStyle name="Normal 4 4 2 2 2 8 2 3" xfId="31827" xr:uid="{C5C79408-6886-4BD7-B385-68927708173A}"/>
    <cellStyle name="Normal 4 4 2 2 2 8 3" xfId="41126" xr:uid="{31B00EF8-4D34-4A0F-8873-3DBCC671D4C4}"/>
    <cellStyle name="Normal 4 4 2 2 2 8 4" xfId="22528" xr:uid="{CFC7B8B8-69E5-43D1-80D6-CC54F8B23E75}"/>
    <cellStyle name="Normal 4 4 2 2 2 9" xfId="8927" xr:uid="{195B9197-F273-4D3B-B7A6-9CBAA360D528}"/>
    <cellStyle name="Normal 4 4 2 2 2 9 2" xfId="35997" xr:uid="{FD2ADE6A-472B-4D4B-AA61-9C68AFE21F7A}"/>
    <cellStyle name="Normal 4 4 2 2 2 9 2 2" xfId="54592" xr:uid="{76A6B1D7-8304-46CC-AEA1-661724EA3174}"/>
    <cellStyle name="Normal 4 4 2 2 2 9 3" xfId="45295" xr:uid="{36B43F7F-5B51-4B34-A014-361460166029}"/>
    <cellStyle name="Normal 4 4 2 2 2 9 4" xfId="26698" xr:uid="{D254AC3F-0523-495A-B169-56667784752A}"/>
    <cellStyle name="Normal 4 4 2 2 3" xfId="383" xr:uid="{00000000-0005-0000-0000-0000EF140000}"/>
    <cellStyle name="Normal 4 4 2 2 3 10" xfId="36911" xr:uid="{84EA0CFE-0B16-4C5C-873E-FD0C191E2572}"/>
    <cellStyle name="Normal 4 4 2 2 3 11" xfId="18313" xr:uid="{F2A0FBCB-5529-47E2-B740-AE277B84D38A}"/>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16641" xr:uid="{B1A5B170-80C0-41F8-B373-13465E3885F9}"/>
    <cellStyle name="Normal 4 4 2 2 3 2 2 2 2 2" xfId="52983" xr:uid="{49A36CB0-1951-433D-91DA-1343B1813BB5}"/>
    <cellStyle name="Normal 4 4 2 2 3 2 2 2 2 3" xfId="34387" xr:uid="{04A5A297-D8D9-4386-8289-9595A24BE35A}"/>
    <cellStyle name="Normal 4 4 2 2 3 2 2 2 3" xfId="43686" xr:uid="{B5A6F617-874D-437E-B170-EEB71FEB80EA}"/>
    <cellStyle name="Normal 4 4 2 2 3 2 2 2 4" xfId="25088" xr:uid="{3DFB185D-4AFD-479F-B7F8-24A698A4D940}"/>
    <cellStyle name="Normal 4 4 2 2 3 2 2 3" xfId="12424" xr:uid="{BE5779B3-AB1A-4D34-BA07-58C39017AB35}"/>
    <cellStyle name="Normal 4 4 2 2 3 2 2 3 2" xfId="48766" xr:uid="{028B155A-22D6-4371-9CDE-A38D108C2A4E}"/>
    <cellStyle name="Normal 4 4 2 2 3 2 2 3 3" xfId="30170" xr:uid="{3943AF11-292C-465D-ACFC-D4F6EE7EFC46}"/>
    <cellStyle name="Normal 4 4 2 2 3 2 2 4" xfId="39469" xr:uid="{268EAF5C-2AD7-4A82-BAA1-51BB75FE344F}"/>
    <cellStyle name="Normal 4 4 2 2 3 2 2 5" xfId="20871" xr:uid="{F6643D22-476B-438B-8CDE-C400BB9343C4}"/>
    <cellStyle name="Normal 4 4 2 2 3 2 3" xfId="5170" xr:uid="{00000000-0005-0000-0000-0000F3140000}"/>
    <cellStyle name="Normal 4 4 2 2 3 2 3 2" xfId="14496" xr:uid="{3F4BD72F-FC03-41D9-A649-F2817D6FD872}"/>
    <cellStyle name="Normal 4 4 2 2 3 2 3 2 2" xfId="50838" xr:uid="{5235F337-EF84-4D34-9685-C5614107664D}"/>
    <cellStyle name="Normal 4 4 2 2 3 2 3 2 3" xfId="32242" xr:uid="{1957A54D-5D51-4776-B06C-D7E7C250F16B}"/>
    <cellStyle name="Normal 4 4 2 2 3 2 3 3" xfId="41541" xr:uid="{3B3F7036-A146-4CEB-ADE8-C1408138DAF2}"/>
    <cellStyle name="Normal 4 4 2 2 3 2 3 4" xfId="22943" xr:uid="{896FF89B-5140-4084-96AA-3CE18E10BEFE}"/>
    <cellStyle name="Normal 4 4 2 2 3 2 4" xfId="9456" xr:uid="{7CB0B972-68D8-4A2C-A3A7-1D2BD109E44A}"/>
    <cellStyle name="Normal 4 4 2 2 3 2 4 2" xfId="36517" xr:uid="{AA7C2B32-A1D3-4E17-8412-C45F4113878E}"/>
    <cellStyle name="Normal 4 4 2 2 3 2 4 2 2" xfId="55111" xr:uid="{A689DFA7-06E5-41CD-AE75-14B1F4C7F06F}"/>
    <cellStyle name="Normal 4 4 2 2 3 2 4 3" xfId="45814" xr:uid="{D3E08B4B-7F5C-4D9D-A7D1-8FB2F881C98C}"/>
    <cellStyle name="Normal 4 4 2 2 3 2 4 4" xfId="27218" xr:uid="{C1DBC170-F8CA-4F65-885B-905F325ADDA7}"/>
    <cellStyle name="Normal 4 4 2 2 3 2 5" xfId="10279" xr:uid="{D9EC83D5-1959-4ACA-B845-490B07C8250B}"/>
    <cellStyle name="Normal 4 4 2 2 3 2 5 2" xfId="46621" xr:uid="{3B76FEF5-9344-491E-8153-C98BA57DF38E}"/>
    <cellStyle name="Normal 4 4 2 2 3 2 5 3" xfId="28025" xr:uid="{C2C3A07E-EC74-4584-BD40-B4C00ECE1C89}"/>
    <cellStyle name="Normal 4 4 2 2 3 2 6" xfId="37324" xr:uid="{2A07F47C-0876-4A63-BDAF-AF7B17F9B4EB}"/>
    <cellStyle name="Normal 4 4 2 2 3 2 7" xfId="18726" xr:uid="{8DF0FC27-4445-401C-A2C5-B49CE0DAC8CB}"/>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17054" xr:uid="{7DF9B5B3-914D-4210-A134-E8A5941B9281}"/>
    <cellStyle name="Normal 4 4 2 2 3 3 2 2 2 2" xfId="53396" xr:uid="{AAD331D6-7813-4187-9AC3-DCBC699141E8}"/>
    <cellStyle name="Normal 4 4 2 2 3 3 2 2 2 3" xfId="34800" xr:uid="{66E10E97-8654-499E-BB9D-5AE0CEA3DAAA}"/>
    <cellStyle name="Normal 4 4 2 2 3 3 2 2 3" xfId="44099" xr:uid="{20B55611-6C17-4D91-8A63-D3AD2C51D5F6}"/>
    <cellStyle name="Normal 4 4 2 2 3 3 2 2 4" xfId="25501" xr:uid="{EB3B8D70-EADA-4526-850C-5451CAAC8B7F}"/>
    <cellStyle name="Normal 4 4 2 2 3 3 2 3" xfId="12837" xr:uid="{13D73B7C-EED9-4743-BCF7-A4A0F40FB8F2}"/>
    <cellStyle name="Normal 4 4 2 2 3 3 2 3 2" xfId="49179" xr:uid="{E6D2DA5A-2444-4541-80E4-7903DF5D4180}"/>
    <cellStyle name="Normal 4 4 2 2 3 3 2 3 3" xfId="30583" xr:uid="{0D7DB1D1-A02E-4955-88BB-54568ADB3805}"/>
    <cellStyle name="Normal 4 4 2 2 3 3 2 4" xfId="39882" xr:uid="{0D27459D-472A-48A7-8065-21803D7CFFCF}"/>
    <cellStyle name="Normal 4 4 2 2 3 3 2 5" xfId="21284" xr:uid="{A7E6AECD-0709-474B-B0D9-017A790944EF}"/>
    <cellStyle name="Normal 4 4 2 2 3 3 3" xfId="5583" xr:uid="{00000000-0005-0000-0000-0000F7140000}"/>
    <cellStyle name="Normal 4 4 2 2 3 3 3 2" xfId="14909" xr:uid="{F71E5AE5-E26C-413F-95AE-1AC5951B333B}"/>
    <cellStyle name="Normal 4 4 2 2 3 3 3 2 2" xfId="51251" xr:uid="{2A687D60-D8BF-4887-AC30-23EF7B9FD5BF}"/>
    <cellStyle name="Normal 4 4 2 2 3 3 3 2 3" xfId="32655" xr:uid="{9B91EC64-82CF-4F64-8DA4-EE32F580CA8C}"/>
    <cellStyle name="Normal 4 4 2 2 3 3 3 3" xfId="41954" xr:uid="{39302B90-35C2-4128-9B3D-720BE9317D3E}"/>
    <cellStyle name="Normal 4 4 2 2 3 3 3 4" xfId="23356" xr:uid="{855EB303-6B9C-4420-9D12-221638182438}"/>
    <cellStyle name="Normal 4 4 2 2 3 3 4" xfId="10692" xr:uid="{477B8F31-DF10-41E9-B335-221DC0EC6C24}"/>
    <cellStyle name="Normal 4 4 2 2 3 3 4 2" xfId="47034" xr:uid="{A05493D7-ED20-4156-ADDE-2C2368F0127E}"/>
    <cellStyle name="Normal 4 4 2 2 3 3 4 3" xfId="28438" xr:uid="{1DF2BDFD-877D-4ADB-8F58-00EE52154E0E}"/>
    <cellStyle name="Normal 4 4 2 2 3 3 5" xfId="37737" xr:uid="{067BAF05-0409-4099-951A-31667D5E55E5}"/>
    <cellStyle name="Normal 4 4 2 2 3 3 6" xfId="19139" xr:uid="{E69681D8-8F8D-437E-82BB-0E49570EEA56}"/>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17467" xr:uid="{5B203AF1-6BAE-4033-A3D0-7D9F5F32A471}"/>
    <cellStyle name="Normal 4 4 2 2 3 4 2 2 2 2" xfId="53809" xr:uid="{B022E598-4687-4ADC-BE25-E538A3EE7418}"/>
    <cellStyle name="Normal 4 4 2 2 3 4 2 2 2 3" xfId="35213" xr:uid="{53D589F2-B78A-4F5A-9EE4-42FD26402382}"/>
    <cellStyle name="Normal 4 4 2 2 3 4 2 2 3" xfId="44512" xr:uid="{39D7ADB9-6EE9-41BF-A12C-09D755A8E4EF}"/>
    <cellStyle name="Normal 4 4 2 2 3 4 2 2 4" xfId="25914" xr:uid="{C08A20D9-A717-46D3-BA51-D8C4F424EEE7}"/>
    <cellStyle name="Normal 4 4 2 2 3 4 2 3" xfId="13250" xr:uid="{427802E5-0946-4F50-B115-A4E1FFC7A320}"/>
    <cellStyle name="Normal 4 4 2 2 3 4 2 3 2" xfId="49592" xr:uid="{6A7D08EC-9BFA-48B7-986E-42A5222F32B7}"/>
    <cellStyle name="Normal 4 4 2 2 3 4 2 3 3" xfId="30996" xr:uid="{44B45CA4-2AF0-4EF6-B343-C900D4E67E35}"/>
    <cellStyle name="Normal 4 4 2 2 3 4 2 4" xfId="40295" xr:uid="{2B1A8EB4-B9B4-49A6-AED5-343BF0E0333B}"/>
    <cellStyle name="Normal 4 4 2 2 3 4 2 5" xfId="21697" xr:uid="{A538CEF5-80F1-4FE3-A2C9-0F9C978D5E6C}"/>
    <cellStyle name="Normal 4 4 2 2 3 4 3" xfId="5996" xr:uid="{00000000-0005-0000-0000-0000FB140000}"/>
    <cellStyle name="Normal 4 4 2 2 3 4 3 2" xfId="15322" xr:uid="{90E42631-C1E8-4482-B090-D66813DA1BD5}"/>
    <cellStyle name="Normal 4 4 2 2 3 4 3 2 2" xfId="51664" xr:uid="{4192AF22-62F0-42FD-9A95-65177E0C2611}"/>
    <cellStyle name="Normal 4 4 2 2 3 4 3 2 3" xfId="33068" xr:uid="{4A072087-A06C-48E8-A6D5-E81890E83E63}"/>
    <cellStyle name="Normal 4 4 2 2 3 4 3 3" xfId="42367" xr:uid="{75BEA7C2-C806-4819-A02E-195ED23A3F6F}"/>
    <cellStyle name="Normal 4 4 2 2 3 4 3 4" xfId="23769" xr:uid="{601F9AAE-8B75-461A-B8CA-75BDDB030F80}"/>
    <cellStyle name="Normal 4 4 2 2 3 4 4" xfId="11105" xr:uid="{2C3E04C0-29B6-422F-AEC0-AC96E329AD85}"/>
    <cellStyle name="Normal 4 4 2 2 3 4 4 2" xfId="47447" xr:uid="{4B87EE3F-D24B-4703-9C09-777A5083FF1A}"/>
    <cellStyle name="Normal 4 4 2 2 3 4 4 3" xfId="28851" xr:uid="{8F8F1BE5-D49F-47B1-B09A-2EBBAE3D4FDE}"/>
    <cellStyle name="Normal 4 4 2 2 3 4 5" xfId="38150" xr:uid="{0AFEEDE7-6227-44A8-954F-3EEA9196DF2F}"/>
    <cellStyle name="Normal 4 4 2 2 3 4 6" xfId="19552" xr:uid="{FB836E38-C950-4342-AE00-74A395FC122C}"/>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17880" xr:uid="{9D42EC60-A58F-48AA-AAF5-4D0B1F3A9623}"/>
    <cellStyle name="Normal 4 4 2 2 3 5 2 2 2 2" xfId="54222" xr:uid="{039C7ABB-19E0-4FC7-896F-407178006134}"/>
    <cellStyle name="Normal 4 4 2 2 3 5 2 2 2 3" xfId="35626" xr:uid="{C63610EC-F29A-469C-B2DF-69F5A56408F4}"/>
    <cellStyle name="Normal 4 4 2 2 3 5 2 2 3" xfId="44925" xr:uid="{F3AA3606-4956-477E-87B7-9CD214E558DC}"/>
    <cellStyle name="Normal 4 4 2 2 3 5 2 2 4" xfId="26327" xr:uid="{D12F4462-BEED-4031-9E4D-ACC438573287}"/>
    <cellStyle name="Normal 4 4 2 2 3 5 2 3" xfId="13663" xr:uid="{35FFEAB6-CC9B-439A-AB82-86588DC1D6FE}"/>
    <cellStyle name="Normal 4 4 2 2 3 5 2 3 2" xfId="50005" xr:uid="{ABDC0A06-9F13-47A8-8DCD-0D9AB6F680FE}"/>
    <cellStyle name="Normal 4 4 2 2 3 5 2 3 3" xfId="31409" xr:uid="{81C3DB00-2076-4D32-BAC0-09244F85036F}"/>
    <cellStyle name="Normal 4 4 2 2 3 5 2 4" xfId="40708" xr:uid="{3146CF8A-E03B-4B5F-AAA2-CD381FC5ABBE}"/>
    <cellStyle name="Normal 4 4 2 2 3 5 2 5" xfId="22110" xr:uid="{039CF5DF-9AF2-42F0-BA34-4AD5E76A0CA4}"/>
    <cellStyle name="Normal 4 4 2 2 3 5 3" xfId="6409" xr:uid="{00000000-0005-0000-0000-0000FF140000}"/>
    <cellStyle name="Normal 4 4 2 2 3 5 3 2" xfId="15735" xr:uid="{8548F52D-CDAD-4476-9284-772FFA063B09}"/>
    <cellStyle name="Normal 4 4 2 2 3 5 3 2 2" xfId="52077" xr:uid="{8E65506A-1512-484B-8BCA-6CA6DA34457D}"/>
    <cellStyle name="Normal 4 4 2 2 3 5 3 2 3" xfId="33481" xr:uid="{1285ACB6-D325-4424-A0A6-B2D20E6A49C7}"/>
    <cellStyle name="Normal 4 4 2 2 3 5 3 3" xfId="42780" xr:uid="{2B58D8A1-DA95-4DB7-8F22-22F6E4CB9551}"/>
    <cellStyle name="Normal 4 4 2 2 3 5 3 4" xfId="24182" xr:uid="{9CF1DF64-FE5B-4D5D-BE09-63A5B6C7AE0B}"/>
    <cellStyle name="Normal 4 4 2 2 3 5 4" xfId="11518" xr:uid="{B525B9E0-5AD4-4567-9DA1-880A97285334}"/>
    <cellStyle name="Normal 4 4 2 2 3 5 4 2" xfId="47860" xr:uid="{922D5013-9E4B-4E81-977F-D62DAA637CD5}"/>
    <cellStyle name="Normal 4 4 2 2 3 5 4 3" xfId="29264" xr:uid="{5455BF5A-DAE1-4F74-921F-6B27343BDB75}"/>
    <cellStyle name="Normal 4 4 2 2 3 5 5" xfId="38563" xr:uid="{26C92BD8-0E80-40C7-A668-70D77E59803E}"/>
    <cellStyle name="Normal 4 4 2 2 3 5 6" xfId="19965" xr:uid="{6CA7CD59-6FEC-4BD2-AF84-5BD1A20F0C47}"/>
    <cellStyle name="Normal 4 4 2 2 3 6" xfId="2539" xr:uid="{00000000-0005-0000-0000-000000150000}"/>
    <cellStyle name="Normal 4 4 2 2 3 6 2" xfId="6822" xr:uid="{00000000-0005-0000-0000-000001150000}"/>
    <cellStyle name="Normal 4 4 2 2 3 6 2 2" xfId="16148" xr:uid="{08FF0815-C9D7-4191-A0B3-F02920136886}"/>
    <cellStyle name="Normal 4 4 2 2 3 6 2 2 2" xfId="52490" xr:uid="{1C2C87C2-9A77-4F8E-B22C-F5D1073178FC}"/>
    <cellStyle name="Normal 4 4 2 2 3 6 2 2 3" xfId="33894" xr:uid="{38211B37-D2C6-4AFE-BD42-E8F684EBD335}"/>
    <cellStyle name="Normal 4 4 2 2 3 6 2 3" xfId="43193" xr:uid="{8FE20FED-1330-43B5-A677-AF965823D6CE}"/>
    <cellStyle name="Normal 4 4 2 2 3 6 2 4" xfId="24595" xr:uid="{383FF24F-EB2B-417E-A0AE-8E923E293A7D}"/>
    <cellStyle name="Normal 4 4 2 2 3 6 3" xfId="11931" xr:uid="{560F2370-D110-4E06-A927-7B97216D6050}"/>
    <cellStyle name="Normal 4 4 2 2 3 6 3 2" xfId="48273" xr:uid="{4FA74D32-6EDD-437B-9FE4-FCDC0ADDDD76}"/>
    <cellStyle name="Normal 4 4 2 2 3 6 3 3" xfId="29677" xr:uid="{8ABE7E5A-4DBD-48AC-B180-3EBF230D7463}"/>
    <cellStyle name="Normal 4 4 2 2 3 6 4" xfId="38976" xr:uid="{1F06240E-51DD-4BAE-8B3E-B3C6319C31E2}"/>
    <cellStyle name="Normal 4 4 2 2 3 6 5" xfId="20378" xr:uid="{0B2C6E62-2F4A-4018-8621-C994088FB6D1}"/>
    <cellStyle name="Normal 4 4 2 2 3 7" xfId="4757" xr:uid="{00000000-0005-0000-0000-000002150000}"/>
    <cellStyle name="Normal 4 4 2 2 3 7 2" xfId="14083" xr:uid="{7600E2D6-8A69-4041-AA72-A846CEB27CC7}"/>
    <cellStyle name="Normal 4 4 2 2 3 7 2 2" xfId="50425" xr:uid="{C594671B-51B6-4D3D-A841-C4C2107291D5}"/>
    <cellStyle name="Normal 4 4 2 2 3 7 2 3" xfId="31829" xr:uid="{78182D2B-7066-4D0D-89CE-56F4F4D63060}"/>
    <cellStyle name="Normal 4 4 2 2 3 7 3" xfId="41128" xr:uid="{5AF8461C-D4AD-4538-AF75-3420703C3A9A}"/>
    <cellStyle name="Normal 4 4 2 2 3 7 4" xfId="22530" xr:uid="{5CE77838-3050-427A-9D01-106F6FECC8D3}"/>
    <cellStyle name="Normal 4 4 2 2 3 8" xfId="9031" xr:uid="{F1B59444-328A-4279-8A0A-A9F7E26061D5}"/>
    <cellStyle name="Normal 4 4 2 2 3 8 2" xfId="36101" xr:uid="{E1ECDA24-E3F5-4BAA-AAB3-8A4686F8BA2F}"/>
    <cellStyle name="Normal 4 4 2 2 3 8 2 2" xfId="54696" xr:uid="{6D7024F8-1F27-4621-ABAB-DC2B4E68232B}"/>
    <cellStyle name="Normal 4 4 2 2 3 8 3" xfId="45399" xr:uid="{623891A5-2B83-41A0-9A74-B3DA666258A4}"/>
    <cellStyle name="Normal 4 4 2 2 3 8 4" xfId="26802" xr:uid="{35E7CC2F-1D75-4CE5-B7DD-8401E869BF25}"/>
    <cellStyle name="Normal 4 4 2 2 3 9" xfId="9866" xr:uid="{1384250D-1253-4527-BB01-029628D0F487}"/>
    <cellStyle name="Normal 4 4 2 2 3 9 2" xfId="46208" xr:uid="{AC6D7917-E357-45B9-AD16-F120B4A48974}"/>
    <cellStyle name="Normal 4 4 2 2 3 9 3" xfId="27612" xr:uid="{FAF3DA8A-9432-43A2-BEEC-AFC488CCC14E}"/>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16638" xr:uid="{08622F51-1CD1-4AFF-9018-27F54454AF57}"/>
    <cellStyle name="Normal 4 4 2 2 4 2 2 2 2" xfId="52980" xr:uid="{D90E476C-DED8-46E3-9F0B-D10D0399FD0C}"/>
    <cellStyle name="Normal 4 4 2 2 4 2 2 2 3" xfId="34384" xr:uid="{BC64268F-E6A9-4D1D-9A03-DA75E4CC90FD}"/>
    <cellStyle name="Normal 4 4 2 2 4 2 2 3" xfId="43683" xr:uid="{D3481127-1FFA-433F-A569-542D95D1E146}"/>
    <cellStyle name="Normal 4 4 2 2 4 2 2 4" xfId="25085" xr:uid="{E020FFF8-57A4-4D1D-ACB9-1B713B44ADCE}"/>
    <cellStyle name="Normal 4 4 2 2 4 2 3" xfId="12421" xr:uid="{1A934B8E-68C6-4F32-AC04-43AF773D4541}"/>
    <cellStyle name="Normal 4 4 2 2 4 2 3 2" xfId="48763" xr:uid="{0F7C7B40-001E-40C7-AACC-7CB47B47DE9F}"/>
    <cellStyle name="Normal 4 4 2 2 4 2 3 3" xfId="30167" xr:uid="{54E8FDD5-3BF7-442D-AE36-9CD6A2FFAF01}"/>
    <cellStyle name="Normal 4 4 2 2 4 2 4" xfId="39466" xr:uid="{C1F7E0DE-AC8E-4680-A3AA-EE30EEC345D4}"/>
    <cellStyle name="Normal 4 4 2 2 4 2 5" xfId="20868" xr:uid="{9019EACD-3A2C-41C4-824B-F61C54544528}"/>
    <cellStyle name="Normal 4 4 2 2 4 3" xfId="5167" xr:uid="{00000000-0005-0000-0000-000006150000}"/>
    <cellStyle name="Normal 4 4 2 2 4 3 2" xfId="14493" xr:uid="{D3A91250-976F-4830-A049-D445658F48FD}"/>
    <cellStyle name="Normal 4 4 2 2 4 3 2 2" xfId="50835" xr:uid="{CAE1863A-C756-4419-AFD8-5E3E8F64F5C9}"/>
    <cellStyle name="Normal 4 4 2 2 4 3 2 3" xfId="32239" xr:uid="{5448D51C-0268-4338-A904-0C03BDDD8D64}"/>
    <cellStyle name="Normal 4 4 2 2 4 3 3" xfId="41538" xr:uid="{41C148CE-DF70-445C-A2AB-2B73F1D029EE}"/>
    <cellStyle name="Normal 4 4 2 2 4 3 4" xfId="22940" xr:uid="{59A8AF83-8EA4-41F0-A7F5-D3490056DAEB}"/>
    <cellStyle name="Normal 4 4 2 2 4 4" xfId="9249" xr:uid="{7E4CA7C7-738D-4CFA-907A-40590344548A}"/>
    <cellStyle name="Normal 4 4 2 2 4 4 2" xfId="36310" xr:uid="{417DA598-4A80-49F0-AC0D-8A7FAF92CB90}"/>
    <cellStyle name="Normal 4 4 2 2 4 4 2 2" xfId="54904" xr:uid="{E7CE731A-EE8F-42F6-9CDF-41046506E10B}"/>
    <cellStyle name="Normal 4 4 2 2 4 4 3" xfId="45607" xr:uid="{E2227109-DB4A-4B04-8FA0-6B3EF03DCC3C}"/>
    <cellStyle name="Normal 4 4 2 2 4 4 4" xfId="27011" xr:uid="{E43574C6-C383-483D-8407-85ED92EFA6DF}"/>
    <cellStyle name="Normal 4 4 2 2 4 5" xfId="10276" xr:uid="{736752B1-BA06-431B-8A18-4072AA398CF6}"/>
    <cellStyle name="Normal 4 4 2 2 4 5 2" xfId="46618" xr:uid="{A10C2967-5CE6-4EAD-B49D-8D566A75A65D}"/>
    <cellStyle name="Normal 4 4 2 2 4 5 3" xfId="28022" xr:uid="{22F20DCF-7476-45C8-9074-61481F5C72BE}"/>
    <cellStyle name="Normal 4 4 2 2 4 6" xfId="37321" xr:uid="{06D1FC8D-6859-4D79-AA0D-00FF8C8E6B40}"/>
    <cellStyle name="Normal 4 4 2 2 4 7" xfId="18723" xr:uid="{8FA31C27-9B4B-44D2-A8C0-3A7309B97D6F}"/>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17051" xr:uid="{CDF71942-779B-4176-96C5-E4A572CADED4}"/>
    <cellStyle name="Normal 4 4 2 2 5 2 2 2 2" xfId="53393" xr:uid="{76A4BD9B-5244-4351-B53E-08CBFA0376CC}"/>
    <cellStyle name="Normal 4 4 2 2 5 2 2 2 3" xfId="34797" xr:uid="{9987E97B-EDAB-40A7-B220-826E2E7B834D}"/>
    <cellStyle name="Normal 4 4 2 2 5 2 2 3" xfId="44096" xr:uid="{8292693B-71A0-487D-8C96-E73BEEBA3EA6}"/>
    <cellStyle name="Normal 4 4 2 2 5 2 2 4" xfId="25498" xr:uid="{ABA5D170-564C-462F-BFA6-D9F2C0E21795}"/>
    <cellStyle name="Normal 4 4 2 2 5 2 3" xfId="12834" xr:uid="{0877D84D-7459-44F2-AB9B-8723E4969683}"/>
    <cellStyle name="Normal 4 4 2 2 5 2 3 2" xfId="49176" xr:uid="{7A34B6A8-273A-4330-80AD-18076A6272F2}"/>
    <cellStyle name="Normal 4 4 2 2 5 2 3 3" xfId="30580" xr:uid="{4EA09D52-2285-4778-AE9F-3DE8E3666CC8}"/>
    <cellStyle name="Normal 4 4 2 2 5 2 4" xfId="39879" xr:uid="{83F22DB5-2768-4F6F-B6E8-9BB6D1CB189A}"/>
    <cellStyle name="Normal 4 4 2 2 5 2 5" xfId="21281" xr:uid="{FE04AD8D-53CD-431B-B63F-B4AE782C6530}"/>
    <cellStyle name="Normal 4 4 2 2 5 3" xfId="5580" xr:uid="{00000000-0005-0000-0000-00000A150000}"/>
    <cellStyle name="Normal 4 4 2 2 5 3 2" xfId="14906" xr:uid="{2EBF3BF7-3398-40B9-B894-0E4638BFCA5D}"/>
    <cellStyle name="Normal 4 4 2 2 5 3 2 2" xfId="51248" xr:uid="{3A25450C-E7B2-41E3-A5E0-E841DE3658BE}"/>
    <cellStyle name="Normal 4 4 2 2 5 3 2 3" xfId="32652" xr:uid="{B4A5A27B-EF61-4705-9C1F-E4B2C7D83DCA}"/>
    <cellStyle name="Normal 4 4 2 2 5 3 3" xfId="41951" xr:uid="{80DB2EE9-4C2C-4EF9-98BC-7EF743ED87ED}"/>
    <cellStyle name="Normal 4 4 2 2 5 3 4" xfId="23353" xr:uid="{7B8F2255-2FFA-420D-A327-CDC9661F1D9D}"/>
    <cellStyle name="Normal 4 4 2 2 5 4" xfId="10689" xr:uid="{65A672F9-24F4-42D3-B2E6-1396AC0A76D0}"/>
    <cellStyle name="Normal 4 4 2 2 5 4 2" xfId="47031" xr:uid="{2683A9E6-D388-48AB-90CF-A4A2896B291B}"/>
    <cellStyle name="Normal 4 4 2 2 5 4 3" xfId="28435" xr:uid="{12337E25-8B58-467D-9E8C-C968F96390E3}"/>
    <cellStyle name="Normal 4 4 2 2 5 5" xfId="37734" xr:uid="{2D7F9C41-20DF-4524-BD1C-B1EA14AA7FCA}"/>
    <cellStyle name="Normal 4 4 2 2 5 6" xfId="19136" xr:uid="{2EB6B232-7531-4A0B-8FA2-99781635FBFE}"/>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17464" xr:uid="{A871D28B-9034-44D9-9778-AE5668704B64}"/>
    <cellStyle name="Normal 4 4 2 2 6 2 2 2 2" xfId="53806" xr:uid="{074B73B4-ED38-4401-8929-AF582C5A02C7}"/>
    <cellStyle name="Normal 4 4 2 2 6 2 2 2 3" xfId="35210" xr:uid="{5A630B69-4D46-4A0D-91E8-9309DE045607}"/>
    <cellStyle name="Normal 4 4 2 2 6 2 2 3" xfId="44509" xr:uid="{B541D8F6-3515-4E8B-85A1-8284E605BA2A}"/>
    <cellStyle name="Normal 4 4 2 2 6 2 2 4" xfId="25911" xr:uid="{912F7D4E-BE31-4B0F-84B7-8DCC25791A9B}"/>
    <cellStyle name="Normal 4 4 2 2 6 2 3" xfId="13247" xr:uid="{CC44E754-C871-49E5-BB07-0967931A5768}"/>
    <cellStyle name="Normal 4 4 2 2 6 2 3 2" xfId="49589" xr:uid="{61B7F88A-99FD-4AAD-A2BA-F34A92F5BA7C}"/>
    <cellStyle name="Normal 4 4 2 2 6 2 3 3" xfId="30993" xr:uid="{753ACCB7-5FBA-4D48-A46E-635D1DD0090B}"/>
    <cellStyle name="Normal 4 4 2 2 6 2 4" xfId="40292" xr:uid="{EE481672-640C-4CFA-B960-5E0ADB9EA42E}"/>
    <cellStyle name="Normal 4 4 2 2 6 2 5" xfId="21694" xr:uid="{DFA8E5A0-7524-4E3C-8B19-F2DAC2F2B1B4}"/>
    <cellStyle name="Normal 4 4 2 2 6 3" xfId="5993" xr:uid="{00000000-0005-0000-0000-00000E150000}"/>
    <cellStyle name="Normal 4 4 2 2 6 3 2" xfId="15319" xr:uid="{F8256009-6693-4404-9211-D6097B0052E9}"/>
    <cellStyle name="Normal 4 4 2 2 6 3 2 2" xfId="51661" xr:uid="{CFD6095A-DC88-4F8E-8472-6A32DBC69B37}"/>
    <cellStyle name="Normal 4 4 2 2 6 3 2 3" xfId="33065" xr:uid="{98145C59-4C3C-4B49-9243-3B5FEECC175A}"/>
    <cellStyle name="Normal 4 4 2 2 6 3 3" xfId="42364" xr:uid="{0B53C428-72B7-4A8C-ABF8-1DEA6626A1DD}"/>
    <cellStyle name="Normal 4 4 2 2 6 3 4" xfId="23766" xr:uid="{8E7DF88D-03F8-4ACF-A967-75F99D27988C}"/>
    <cellStyle name="Normal 4 4 2 2 6 4" xfId="11102" xr:uid="{636FD5EA-B991-4B22-A000-51180ACDD7CD}"/>
    <cellStyle name="Normal 4 4 2 2 6 4 2" xfId="47444" xr:uid="{2BA51570-F251-4E57-9D90-79BB2B9C9BC7}"/>
    <cellStyle name="Normal 4 4 2 2 6 4 3" xfId="28848" xr:uid="{8A59EEF4-A8E0-4571-BE48-1400EE517D09}"/>
    <cellStyle name="Normal 4 4 2 2 6 5" xfId="38147" xr:uid="{0015BEC9-3AD1-44FE-8F16-C91356BB5EEB}"/>
    <cellStyle name="Normal 4 4 2 2 6 6" xfId="19549" xr:uid="{BC39FBFB-3B1A-4D8D-B83D-CB75768A956A}"/>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17877" xr:uid="{0B3DC483-6179-41E7-A786-324B2D37880A}"/>
    <cellStyle name="Normal 4 4 2 2 7 2 2 2 2" xfId="54219" xr:uid="{D1B079EA-E521-4660-9618-FAFB01408989}"/>
    <cellStyle name="Normal 4 4 2 2 7 2 2 2 3" xfId="35623" xr:uid="{FAD020DD-75FE-4B73-B159-86234443BDAB}"/>
    <cellStyle name="Normal 4 4 2 2 7 2 2 3" xfId="44922" xr:uid="{FA948E53-BB03-4292-A1EB-C65A552F0086}"/>
    <cellStyle name="Normal 4 4 2 2 7 2 2 4" xfId="26324" xr:uid="{B02A2ED2-00F4-4B4F-AB96-AA3F4D78F3BB}"/>
    <cellStyle name="Normal 4 4 2 2 7 2 3" xfId="13660" xr:uid="{BA771E3F-1764-4919-90DF-59E8C05AB70B}"/>
    <cellStyle name="Normal 4 4 2 2 7 2 3 2" xfId="50002" xr:uid="{B4A2A289-053D-40B2-99D2-19435D71D9C8}"/>
    <cellStyle name="Normal 4 4 2 2 7 2 3 3" xfId="31406" xr:uid="{A73C9AAD-AFB8-4803-B60F-FFB0EFBB66E9}"/>
    <cellStyle name="Normal 4 4 2 2 7 2 4" xfId="40705" xr:uid="{919442CF-93EB-4F1D-92C3-BA945E3DE1F3}"/>
    <cellStyle name="Normal 4 4 2 2 7 2 5" xfId="22107" xr:uid="{F451F4C2-68FB-4B32-B23B-4C64A51506CB}"/>
    <cellStyle name="Normal 4 4 2 2 7 3" xfId="6406" xr:uid="{00000000-0005-0000-0000-000012150000}"/>
    <cellStyle name="Normal 4 4 2 2 7 3 2" xfId="15732" xr:uid="{E8FA4CB5-E276-4D06-AFC5-69E046D18059}"/>
    <cellStyle name="Normal 4 4 2 2 7 3 2 2" xfId="52074" xr:uid="{73972EB3-EA03-404A-AE0D-AE8D5A3E4F2C}"/>
    <cellStyle name="Normal 4 4 2 2 7 3 2 3" xfId="33478" xr:uid="{91BB390D-9B7B-4EA1-9E6D-DD09AC6D9692}"/>
    <cellStyle name="Normal 4 4 2 2 7 3 3" xfId="42777" xr:uid="{5EAF7C45-FE4C-46DB-BCCE-4D03815D7F66}"/>
    <cellStyle name="Normal 4 4 2 2 7 3 4" xfId="24179" xr:uid="{EDD7A4C1-2873-4EAC-97CA-54C5C8150E62}"/>
    <cellStyle name="Normal 4 4 2 2 7 4" xfId="11515" xr:uid="{6F84BB1C-965A-476E-BD25-EC2F34BA0AE2}"/>
    <cellStyle name="Normal 4 4 2 2 7 4 2" xfId="47857" xr:uid="{E0DD55CD-969A-4683-8448-E6018C247778}"/>
    <cellStyle name="Normal 4 4 2 2 7 4 3" xfId="29261" xr:uid="{440CCB8C-A0EB-47BA-8AEA-00F188A71792}"/>
    <cellStyle name="Normal 4 4 2 2 7 5" xfId="38560" xr:uid="{412E3499-3F16-43EB-99C2-94B02B1CDA23}"/>
    <cellStyle name="Normal 4 4 2 2 7 6" xfId="19962" xr:uid="{5CC6A411-6379-4BF1-A6E9-237EED7B9CB2}"/>
    <cellStyle name="Normal 4 4 2 2 8" xfId="2536" xr:uid="{00000000-0005-0000-0000-000013150000}"/>
    <cellStyle name="Normal 4 4 2 2 8 2" xfId="6819" xr:uid="{00000000-0005-0000-0000-000014150000}"/>
    <cellStyle name="Normal 4 4 2 2 8 2 2" xfId="16145" xr:uid="{4E877D48-F0A9-4B6D-AED7-83C0445CEA6E}"/>
    <cellStyle name="Normal 4 4 2 2 8 2 2 2" xfId="52487" xr:uid="{71152C4A-6D80-495F-94A3-7084C4D4E28A}"/>
    <cellStyle name="Normal 4 4 2 2 8 2 2 3" xfId="33891" xr:uid="{D18A4F8E-4335-48CA-A50E-30737B230C89}"/>
    <cellStyle name="Normal 4 4 2 2 8 2 3" xfId="43190" xr:uid="{C8556589-1D8C-4FC1-8689-BA50C8818006}"/>
    <cellStyle name="Normal 4 4 2 2 8 2 4" xfId="24592" xr:uid="{8331595C-4117-4AB0-92C5-CA69660601A7}"/>
    <cellStyle name="Normal 4 4 2 2 8 3" xfId="11928" xr:uid="{E78B3DC6-E04A-4A4D-A10B-C6624F633B75}"/>
    <cellStyle name="Normal 4 4 2 2 8 3 2" xfId="48270" xr:uid="{DD76DD13-788C-49C3-AD04-FDC65504B3A7}"/>
    <cellStyle name="Normal 4 4 2 2 8 3 3" xfId="29674" xr:uid="{0C288EF0-263F-4CBB-BF8F-109563A5C8E1}"/>
    <cellStyle name="Normal 4 4 2 2 8 4" xfId="38973" xr:uid="{BF0F6F71-6563-410D-9FF3-6FA04EBB4502}"/>
    <cellStyle name="Normal 4 4 2 2 8 5" xfId="20375" xr:uid="{F2A81112-3A9C-4C2D-89F0-5F1953709511}"/>
    <cellStyle name="Normal 4 4 2 2 9" xfId="4754" xr:uid="{00000000-0005-0000-0000-000015150000}"/>
    <cellStyle name="Normal 4 4 2 2 9 2" xfId="14080" xr:uid="{C95F8847-A415-488B-A098-A88FE60E6140}"/>
    <cellStyle name="Normal 4 4 2 2 9 2 2" xfId="50422" xr:uid="{EAF28BF2-D170-454B-BA0E-AFBE8D4E9A0D}"/>
    <cellStyle name="Normal 4 4 2 2 9 2 3" xfId="31826" xr:uid="{24C620FD-AD63-4996-A218-9D1C6EB50D83}"/>
    <cellStyle name="Normal 4 4 2 2 9 3" xfId="41125" xr:uid="{BDA0EFE8-27C6-4D88-8C3D-3266A59C2710}"/>
    <cellStyle name="Normal 4 4 2 2 9 4" xfId="22527" xr:uid="{BF5078BF-F07C-4765-8702-EA16319563D3}"/>
    <cellStyle name="Normal 4 4 2 3" xfId="384" xr:uid="{00000000-0005-0000-0000-000016150000}"/>
    <cellStyle name="Normal 4 4 2 3 10" xfId="9867" xr:uid="{48E65758-F2CD-4E97-B5FF-7E2D0961BD81}"/>
    <cellStyle name="Normal 4 4 2 3 10 2" xfId="46209" xr:uid="{EDB22464-F46C-4008-9085-427C9BD0570D}"/>
    <cellStyle name="Normal 4 4 2 3 10 3" xfId="27613" xr:uid="{C5056A23-D942-4533-BF4A-FE8A3E03CF1D}"/>
    <cellStyle name="Normal 4 4 2 3 11" xfId="36912" xr:uid="{0D61185E-068B-4DB1-A103-DFA0B398C79B}"/>
    <cellStyle name="Normal 4 4 2 3 12" xfId="18314" xr:uid="{E56FA8B6-9DB2-4357-820A-E930B6B115F0}"/>
    <cellStyle name="Normal 4 4 2 3 2" xfId="385" xr:uid="{00000000-0005-0000-0000-000017150000}"/>
    <cellStyle name="Normal 4 4 2 3 2 10" xfId="36913" xr:uid="{CD8B8B53-A4D2-449C-A48B-7F4219744635}"/>
    <cellStyle name="Normal 4 4 2 3 2 11" xfId="18315" xr:uid="{46E27417-D18E-49D7-9862-F579D0AF3FD3}"/>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16643" xr:uid="{308C3C3C-902D-45E1-8B2C-14A8E861D047}"/>
    <cellStyle name="Normal 4 4 2 3 2 2 2 2 2 2" xfId="52985" xr:uid="{DC40C1E8-D5D2-4DD8-92CE-8503AE881172}"/>
    <cellStyle name="Normal 4 4 2 3 2 2 2 2 2 3" xfId="34389" xr:uid="{90C3F82B-8912-4AE1-BA8C-A05E6B360F96}"/>
    <cellStyle name="Normal 4 4 2 3 2 2 2 2 3" xfId="43688" xr:uid="{ABDC8D06-AC20-471F-BA5F-3417C6AAC143}"/>
    <cellStyle name="Normal 4 4 2 3 2 2 2 2 4" xfId="25090" xr:uid="{84795842-1BA4-450F-94B7-54E7BA3EB107}"/>
    <cellStyle name="Normal 4 4 2 3 2 2 2 3" xfId="12426" xr:uid="{091F74F8-03B4-41AE-BAAB-0A7AF157B006}"/>
    <cellStyle name="Normal 4 4 2 3 2 2 2 3 2" xfId="48768" xr:uid="{5F2990A7-60FD-43AA-92A1-6B5DE3B92683}"/>
    <cellStyle name="Normal 4 4 2 3 2 2 2 3 3" xfId="30172" xr:uid="{A4C4FE8C-84DF-4293-88F5-7AC4E2F7BF37}"/>
    <cellStyle name="Normal 4 4 2 3 2 2 2 4" xfId="39471" xr:uid="{6E1EF7AE-D6BD-4EB8-BCBA-42C7936A7B70}"/>
    <cellStyle name="Normal 4 4 2 3 2 2 2 5" xfId="20873" xr:uid="{7C1FC8BB-CA12-4B48-B73A-593F5A89259F}"/>
    <cellStyle name="Normal 4 4 2 3 2 2 3" xfId="5172" xr:uid="{00000000-0005-0000-0000-00001B150000}"/>
    <cellStyle name="Normal 4 4 2 3 2 2 3 2" xfId="14498" xr:uid="{8AD8F2ED-312C-4F5A-94C6-F478FE9AF01F}"/>
    <cellStyle name="Normal 4 4 2 3 2 2 3 2 2" xfId="50840" xr:uid="{CC92E1EF-24B9-4A65-A01B-371EF3160633}"/>
    <cellStyle name="Normal 4 4 2 3 2 2 3 2 3" xfId="32244" xr:uid="{58D1D420-44B8-4EA4-BF85-EF5A01788D68}"/>
    <cellStyle name="Normal 4 4 2 3 2 2 3 3" xfId="41543" xr:uid="{84806666-4037-49B7-B371-AA73691F2231}"/>
    <cellStyle name="Normal 4 4 2 3 2 2 3 4" xfId="22945" xr:uid="{0C36C5EB-9E41-4D94-B70B-592343E4EB9A}"/>
    <cellStyle name="Normal 4 4 2 3 2 2 4" xfId="9516" xr:uid="{93008D3B-5827-4778-B167-5B518B5BF56F}"/>
    <cellStyle name="Normal 4 4 2 3 2 2 4 2" xfId="36577" xr:uid="{C084075B-6C36-41A8-A7A9-32153DAD7271}"/>
    <cellStyle name="Normal 4 4 2 3 2 2 4 2 2" xfId="55171" xr:uid="{0F5BDB86-D8E9-4AA6-8701-4BACE0EC0FB6}"/>
    <cellStyle name="Normal 4 4 2 3 2 2 4 3" xfId="45874" xr:uid="{385A4AC0-B39C-47B4-BCA8-F938A70BEE7E}"/>
    <cellStyle name="Normal 4 4 2 3 2 2 4 4" xfId="27278" xr:uid="{AA4AF8F0-DF8B-47C1-8966-4214D905E496}"/>
    <cellStyle name="Normal 4 4 2 3 2 2 5" xfId="10281" xr:uid="{11877ECC-0042-41D0-81B7-6075A62987D7}"/>
    <cellStyle name="Normal 4 4 2 3 2 2 5 2" xfId="46623" xr:uid="{358A0F39-C583-4433-AADA-9AC8CB89AD0F}"/>
    <cellStyle name="Normal 4 4 2 3 2 2 5 3" xfId="28027" xr:uid="{358064F3-9F8D-4BCC-AF39-4C4C9EE3A340}"/>
    <cellStyle name="Normal 4 4 2 3 2 2 6" xfId="37326" xr:uid="{A01D63E5-785C-459E-BF3B-E16439C59B71}"/>
    <cellStyle name="Normal 4 4 2 3 2 2 7" xfId="18728" xr:uid="{8E2838B4-D2B7-48F5-9382-28E3BA81C27B}"/>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17056" xr:uid="{B856564E-936A-4B47-B647-31C06F89A5BD}"/>
    <cellStyle name="Normal 4 4 2 3 2 3 2 2 2 2" xfId="53398" xr:uid="{319BF5D7-35D2-41DC-8CC2-602395B17D0C}"/>
    <cellStyle name="Normal 4 4 2 3 2 3 2 2 2 3" xfId="34802" xr:uid="{77E6B65A-E674-4CE9-A138-8CC2BF0035D3}"/>
    <cellStyle name="Normal 4 4 2 3 2 3 2 2 3" xfId="44101" xr:uid="{102FAE38-2E8A-4649-8225-27EB602CEE0B}"/>
    <cellStyle name="Normal 4 4 2 3 2 3 2 2 4" xfId="25503" xr:uid="{72A223E4-9B42-4C4A-B77E-65071A15E13A}"/>
    <cellStyle name="Normal 4 4 2 3 2 3 2 3" xfId="12839" xr:uid="{0CC49C67-1753-4635-9D72-A44E2E5B2663}"/>
    <cellStyle name="Normal 4 4 2 3 2 3 2 3 2" xfId="49181" xr:uid="{3AA79058-FCA9-49D6-B6A3-B993E1CE8D78}"/>
    <cellStyle name="Normal 4 4 2 3 2 3 2 3 3" xfId="30585" xr:uid="{A8927B09-FA50-468D-BD65-7EF9516CA203}"/>
    <cellStyle name="Normal 4 4 2 3 2 3 2 4" xfId="39884" xr:uid="{1B3D7AF2-CF99-4941-A253-17E126FF0A08}"/>
    <cellStyle name="Normal 4 4 2 3 2 3 2 5" xfId="21286" xr:uid="{C408E31A-76AD-48CE-B4D6-E2AB3EED07FF}"/>
    <cellStyle name="Normal 4 4 2 3 2 3 3" xfId="5585" xr:uid="{00000000-0005-0000-0000-00001F150000}"/>
    <cellStyle name="Normal 4 4 2 3 2 3 3 2" xfId="14911" xr:uid="{DD151BFC-FB14-4689-90F2-F4A089EF618D}"/>
    <cellStyle name="Normal 4 4 2 3 2 3 3 2 2" xfId="51253" xr:uid="{169DF1F2-6FA6-4839-8786-1A5C8ED53334}"/>
    <cellStyle name="Normal 4 4 2 3 2 3 3 2 3" xfId="32657" xr:uid="{59E5E564-8250-46C9-996A-34EBAB88A783}"/>
    <cellStyle name="Normal 4 4 2 3 2 3 3 3" xfId="41956" xr:uid="{C80BD8B5-310A-48CE-B849-70F35D9BA44E}"/>
    <cellStyle name="Normal 4 4 2 3 2 3 3 4" xfId="23358" xr:uid="{267A1E20-4DAA-48D3-9074-15BC5032BFC3}"/>
    <cellStyle name="Normal 4 4 2 3 2 3 4" xfId="10694" xr:uid="{1DFCAC04-6B7C-4034-8EFF-4D0368D601F8}"/>
    <cellStyle name="Normal 4 4 2 3 2 3 4 2" xfId="47036" xr:uid="{F78D4281-4963-4C81-9D18-4377B19AF900}"/>
    <cellStyle name="Normal 4 4 2 3 2 3 4 3" xfId="28440" xr:uid="{26EFAAA3-EEF7-43F7-8C41-ABB591015C96}"/>
    <cellStyle name="Normal 4 4 2 3 2 3 5" xfId="37739" xr:uid="{56F0C213-39EA-4757-871F-802EF0A060F0}"/>
    <cellStyle name="Normal 4 4 2 3 2 3 6" xfId="19141" xr:uid="{C474A381-2A0A-493E-94E5-BEAC7C70BEB5}"/>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17469" xr:uid="{CB16ADD4-C3D8-415D-B976-C071A39B72FD}"/>
    <cellStyle name="Normal 4 4 2 3 2 4 2 2 2 2" xfId="53811" xr:uid="{9B950A15-85E6-44F9-8B6B-35A2C17D5B2A}"/>
    <cellStyle name="Normal 4 4 2 3 2 4 2 2 2 3" xfId="35215" xr:uid="{F4FFB7DB-197C-4F0E-BE62-78D72796DD0F}"/>
    <cellStyle name="Normal 4 4 2 3 2 4 2 2 3" xfId="44514" xr:uid="{60CA2A68-ECDC-4BAD-B1E7-E8B0991F8CE5}"/>
    <cellStyle name="Normal 4 4 2 3 2 4 2 2 4" xfId="25916" xr:uid="{AE3E147E-97C9-45BA-8141-FBD64ECE20BD}"/>
    <cellStyle name="Normal 4 4 2 3 2 4 2 3" xfId="13252" xr:uid="{A14A46A7-690F-43F0-B923-B4CFC9D0DB7A}"/>
    <cellStyle name="Normal 4 4 2 3 2 4 2 3 2" xfId="49594" xr:uid="{569AF60D-3C80-4504-8101-3B3FE7994ECD}"/>
    <cellStyle name="Normal 4 4 2 3 2 4 2 3 3" xfId="30998" xr:uid="{DAF72204-065F-4F4D-B4E6-F4660D1E8A79}"/>
    <cellStyle name="Normal 4 4 2 3 2 4 2 4" xfId="40297" xr:uid="{71FA3FC5-4DA8-4160-BB4B-78BCE400B2CC}"/>
    <cellStyle name="Normal 4 4 2 3 2 4 2 5" xfId="21699" xr:uid="{434D80BC-2511-43BE-B396-01881845662C}"/>
    <cellStyle name="Normal 4 4 2 3 2 4 3" xfId="5998" xr:uid="{00000000-0005-0000-0000-000023150000}"/>
    <cellStyle name="Normal 4 4 2 3 2 4 3 2" xfId="15324" xr:uid="{E8AABEF6-45A4-4A3E-86D4-01E39DE39275}"/>
    <cellStyle name="Normal 4 4 2 3 2 4 3 2 2" xfId="51666" xr:uid="{A04879FF-8A7E-48BA-B616-5440150DA60E}"/>
    <cellStyle name="Normal 4 4 2 3 2 4 3 2 3" xfId="33070" xr:uid="{469B74C9-DC0E-4A21-B682-998A2BFA07FF}"/>
    <cellStyle name="Normal 4 4 2 3 2 4 3 3" xfId="42369" xr:uid="{702F31EB-D004-41D1-9BA0-061E9DF44479}"/>
    <cellStyle name="Normal 4 4 2 3 2 4 3 4" xfId="23771" xr:uid="{8F3BB730-C218-472F-A35A-8F58A7E54F16}"/>
    <cellStyle name="Normal 4 4 2 3 2 4 4" xfId="11107" xr:uid="{2FDA59AB-645D-45C4-AC50-7022936625A8}"/>
    <cellStyle name="Normal 4 4 2 3 2 4 4 2" xfId="47449" xr:uid="{7B72B323-9368-426E-A29E-EAFEF0D5A104}"/>
    <cellStyle name="Normal 4 4 2 3 2 4 4 3" xfId="28853" xr:uid="{16DCAD7A-8452-44FF-AB8C-7EF2A7529DA2}"/>
    <cellStyle name="Normal 4 4 2 3 2 4 5" xfId="38152" xr:uid="{635B2BB2-AB7E-493B-AF8A-EE875139C634}"/>
    <cellStyle name="Normal 4 4 2 3 2 4 6" xfId="19554" xr:uid="{C42B4B06-93AB-4467-9C7C-ADAD3F79471A}"/>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17882" xr:uid="{4CC4C9DF-D99B-44F7-AE99-74078EC07A22}"/>
    <cellStyle name="Normal 4 4 2 3 2 5 2 2 2 2" xfId="54224" xr:uid="{A92B733E-51D9-4AAC-AE6C-E582B846C552}"/>
    <cellStyle name="Normal 4 4 2 3 2 5 2 2 2 3" xfId="35628" xr:uid="{F4051898-CB09-4BDF-A552-8F7F3A976529}"/>
    <cellStyle name="Normal 4 4 2 3 2 5 2 2 3" xfId="44927" xr:uid="{F121B1A1-FFB0-496B-8324-978C21874665}"/>
    <cellStyle name="Normal 4 4 2 3 2 5 2 2 4" xfId="26329" xr:uid="{086A8407-4A8B-44D9-9196-CA357201661E}"/>
    <cellStyle name="Normal 4 4 2 3 2 5 2 3" xfId="13665" xr:uid="{4FDC362A-C240-458E-B028-8CF6A98FA24C}"/>
    <cellStyle name="Normal 4 4 2 3 2 5 2 3 2" xfId="50007" xr:uid="{30E5AA7C-39AE-4A45-99CA-95B1672EE159}"/>
    <cellStyle name="Normal 4 4 2 3 2 5 2 3 3" xfId="31411" xr:uid="{1CB6AAC8-85BF-4BE9-9398-D529180B7315}"/>
    <cellStyle name="Normal 4 4 2 3 2 5 2 4" xfId="40710" xr:uid="{8C4D114B-ECE4-473A-9BCD-BB62C8F64315}"/>
    <cellStyle name="Normal 4 4 2 3 2 5 2 5" xfId="22112" xr:uid="{6D28D0F8-4363-4D39-B0D0-E289200760AD}"/>
    <cellStyle name="Normal 4 4 2 3 2 5 3" xfId="6411" xr:uid="{00000000-0005-0000-0000-000027150000}"/>
    <cellStyle name="Normal 4 4 2 3 2 5 3 2" xfId="15737" xr:uid="{29C36E68-F73F-48EE-AFD6-0218DE146A03}"/>
    <cellStyle name="Normal 4 4 2 3 2 5 3 2 2" xfId="52079" xr:uid="{7EB4420B-0BD1-425C-8BE1-6119610969F6}"/>
    <cellStyle name="Normal 4 4 2 3 2 5 3 2 3" xfId="33483" xr:uid="{B0288E11-CAA5-4169-800B-8C41F697F374}"/>
    <cellStyle name="Normal 4 4 2 3 2 5 3 3" xfId="42782" xr:uid="{7A8565C9-867B-49F4-ABFA-135571F558FB}"/>
    <cellStyle name="Normal 4 4 2 3 2 5 3 4" xfId="24184" xr:uid="{4F71F2B0-E808-4BDD-BDA3-38A3566B07A0}"/>
    <cellStyle name="Normal 4 4 2 3 2 5 4" xfId="11520" xr:uid="{27734B9E-2BB7-4A03-950E-7F9758DBF4C5}"/>
    <cellStyle name="Normal 4 4 2 3 2 5 4 2" xfId="47862" xr:uid="{4B39C0B8-6E37-470B-B462-7ACB9A7AFCA5}"/>
    <cellStyle name="Normal 4 4 2 3 2 5 4 3" xfId="29266" xr:uid="{69AC2E64-7227-4344-AC69-26D4B8C73820}"/>
    <cellStyle name="Normal 4 4 2 3 2 5 5" xfId="38565" xr:uid="{439A5C51-3309-4E6D-9539-1AA8B1C82664}"/>
    <cellStyle name="Normal 4 4 2 3 2 5 6" xfId="19967" xr:uid="{A1C51C08-133A-4556-BD75-A0E3D3C6A1DD}"/>
    <cellStyle name="Normal 4 4 2 3 2 6" xfId="2541" xr:uid="{00000000-0005-0000-0000-000028150000}"/>
    <cellStyle name="Normal 4 4 2 3 2 6 2" xfId="6824" xr:uid="{00000000-0005-0000-0000-000029150000}"/>
    <cellStyle name="Normal 4 4 2 3 2 6 2 2" xfId="16150" xr:uid="{3872BFE1-182E-47B7-82AB-23FCF0C9B5E3}"/>
    <cellStyle name="Normal 4 4 2 3 2 6 2 2 2" xfId="52492" xr:uid="{FBA64FAB-913C-4D6C-A0BD-D75E05A50E21}"/>
    <cellStyle name="Normal 4 4 2 3 2 6 2 2 3" xfId="33896" xr:uid="{058A26F6-ED78-4CD1-B9F7-89B0C294934A}"/>
    <cellStyle name="Normal 4 4 2 3 2 6 2 3" xfId="43195" xr:uid="{126CB487-D61E-4061-B62A-96B35F8FCF13}"/>
    <cellStyle name="Normal 4 4 2 3 2 6 2 4" xfId="24597" xr:uid="{D48E9566-F4DA-4A39-AA80-9F7A80C7C935}"/>
    <cellStyle name="Normal 4 4 2 3 2 6 3" xfId="11933" xr:uid="{0171FE08-2546-4C5D-875A-737234BF19F9}"/>
    <cellStyle name="Normal 4 4 2 3 2 6 3 2" xfId="48275" xr:uid="{4B974DC8-6E79-48BE-9718-F16DD9CE572B}"/>
    <cellStyle name="Normal 4 4 2 3 2 6 3 3" xfId="29679" xr:uid="{BB2B5BBE-1ABB-491B-879F-226C051973D6}"/>
    <cellStyle name="Normal 4 4 2 3 2 6 4" xfId="38978" xr:uid="{75AB16DF-0046-4282-8818-D89BE68BF8F4}"/>
    <cellStyle name="Normal 4 4 2 3 2 6 5" xfId="20380" xr:uid="{59EBE4A3-1088-4DEA-9C31-74808915666F}"/>
    <cellStyle name="Normal 4 4 2 3 2 7" xfId="4759" xr:uid="{00000000-0005-0000-0000-00002A150000}"/>
    <cellStyle name="Normal 4 4 2 3 2 7 2" xfId="14085" xr:uid="{79E2CD66-546B-4A23-9A2E-00E0F3A4AD24}"/>
    <cellStyle name="Normal 4 4 2 3 2 7 2 2" xfId="50427" xr:uid="{7276AFD1-94E2-477C-9ACD-AD87892F2324}"/>
    <cellStyle name="Normal 4 4 2 3 2 7 2 3" xfId="31831" xr:uid="{72F16C89-1D1F-4AE6-BEBE-225D0A1814A3}"/>
    <cellStyle name="Normal 4 4 2 3 2 7 3" xfId="41130" xr:uid="{38650655-209C-4DFE-91A4-B9C0AE732A11}"/>
    <cellStyle name="Normal 4 4 2 3 2 7 4" xfId="22532" xr:uid="{9148C330-9ED7-432E-9364-187F41A5EF54}"/>
    <cellStyle name="Normal 4 4 2 3 2 8" xfId="9091" xr:uid="{9DBAED0A-05EE-4674-B1B7-8D03DBB53301}"/>
    <cellStyle name="Normal 4 4 2 3 2 8 2" xfId="36161" xr:uid="{4E79AFFA-1BF8-4EAA-BEDA-1F1D81A18500}"/>
    <cellStyle name="Normal 4 4 2 3 2 8 2 2" xfId="54756" xr:uid="{7B11857F-58B1-4110-990D-0EF89C50A22A}"/>
    <cellStyle name="Normal 4 4 2 3 2 8 3" xfId="45459" xr:uid="{51D26F47-9BBD-49CB-BA48-E6126D6BD57D}"/>
    <cellStyle name="Normal 4 4 2 3 2 8 4" xfId="26862" xr:uid="{30C3FBC0-9833-494C-999D-025ADA18967D}"/>
    <cellStyle name="Normal 4 4 2 3 2 9" xfId="9868" xr:uid="{D57A62DB-4C1D-4E2A-B834-7200F2C59575}"/>
    <cellStyle name="Normal 4 4 2 3 2 9 2" xfId="46210" xr:uid="{FD2FA7FC-FDBB-4014-90FC-6765F5B87D59}"/>
    <cellStyle name="Normal 4 4 2 3 2 9 3" xfId="27614" xr:uid="{AF2FAB3F-4127-4178-8CFC-885AD05D148D}"/>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16642" xr:uid="{B890E798-90D9-4954-B035-1C81CA412E3B}"/>
    <cellStyle name="Normal 4 4 2 3 3 2 2 2 2" xfId="52984" xr:uid="{D4AA4D90-828D-4B45-A5AF-E3238D0F12CF}"/>
    <cellStyle name="Normal 4 4 2 3 3 2 2 2 3" xfId="34388" xr:uid="{E4A50D7B-4974-4C66-BC66-3DF057A61216}"/>
    <cellStyle name="Normal 4 4 2 3 3 2 2 3" xfId="43687" xr:uid="{6D2B4A79-3239-477F-B78A-94DB1560AA59}"/>
    <cellStyle name="Normal 4 4 2 3 3 2 2 4" xfId="25089" xr:uid="{223A9DBA-ED90-4A0D-9407-62A719D5F3CB}"/>
    <cellStyle name="Normal 4 4 2 3 3 2 3" xfId="12425" xr:uid="{0E4A448F-0BE8-41E0-B683-6DFFF9E1DDC5}"/>
    <cellStyle name="Normal 4 4 2 3 3 2 3 2" xfId="48767" xr:uid="{51705A84-F99E-4ACE-87DA-3E8D947B701B}"/>
    <cellStyle name="Normal 4 4 2 3 3 2 3 3" xfId="30171" xr:uid="{B0A3AC46-9033-4294-BF7A-0417B3ACABED}"/>
    <cellStyle name="Normal 4 4 2 3 3 2 4" xfId="39470" xr:uid="{2ECEA555-E950-4D03-AD0A-826E7C70C41B}"/>
    <cellStyle name="Normal 4 4 2 3 3 2 5" xfId="20872" xr:uid="{B551E5BC-09BB-4A35-8A7B-90DC62F28BA7}"/>
    <cellStyle name="Normal 4 4 2 3 3 3" xfId="5171" xr:uid="{00000000-0005-0000-0000-00002E150000}"/>
    <cellStyle name="Normal 4 4 2 3 3 3 2" xfId="14497" xr:uid="{F6101512-96BC-4F69-A371-2A49558506AA}"/>
    <cellStyle name="Normal 4 4 2 3 3 3 2 2" xfId="50839" xr:uid="{55395169-DBDA-4362-A78B-DE3B199D6DE1}"/>
    <cellStyle name="Normal 4 4 2 3 3 3 2 3" xfId="32243" xr:uid="{367C750D-1483-4E29-B5A5-D42D563F1A0F}"/>
    <cellStyle name="Normal 4 4 2 3 3 3 3" xfId="41542" xr:uid="{2CFCDF5D-3094-494D-83DF-E1FE9A860536}"/>
    <cellStyle name="Normal 4 4 2 3 3 3 4" xfId="22944" xr:uid="{B77A95F4-2C91-405F-B3AE-98AD37E66DB5}"/>
    <cellStyle name="Normal 4 4 2 3 3 4" xfId="9309" xr:uid="{73E912F6-92AF-449E-AE53-1DEDEF686C0F}"/>
    <cellStyle name="Normal 4 4 2 3 3 4 2" xfId="36370" xr:uid="{636FD323-40BA-427F-B132-440EF3DB3395}"/>
    <cellStyle name="Normal 4 4 2 3 3 4 2 2" xfId="54964" xr:uid="{5612BE4F-3E36-41D5-AD4A-2897EA935512}"/>
    <cellStyle name="Normal 4 4 2 3 3 4 3" xfId="45667" xr:uid="{89ED1245-00AF-403D-B45D-1111906FAA7D}"/>
    <cellStyle name="Normal 4 4 2 3 3 4 4" xfId="27071" xr:uid="{3BB5EA5C-CA40-45A4-AB3B-8814DA912C69}"/>
    <cellStyle name="Normal 4 4 2 3 3 5" xfId="10280" xr:uid="{B1514498-2DD9-4BFE-A505-3DC2D49BDCE0}"/>
    <cellStyle name="Normal 4 4 2 3 3 5 2" xfId="46622" xr:uid="{5E579B05-F328-40CB-9AB8-94DE84D91678}"/>
    <cellStyle name="Normal 4 4 2 3 3 5 3" xfId="28026" xr:uid="{4633BC16-49A7-46A5-AE8D-50EC1292A1DF}"/>
    <cellStyle name="Normal 4 4 2 3 3 6" xfId="37325" xr:uid="{547F65E5-98EA-49B9-B1CB-39287784F072}"/>
    <cellStyle name="Normal 4 4 2 3 3 7" xfId="18727" xr:uid="{7FB5415F-2DFD-4844-BDFB-228D3B9AE289}"/>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17055" xr:uid="{F772C4A6-CC73-4697-B5B8-756502566355}"/>
    <cellStyle name="Normal 4 4 2 3 4 2 2 2 2" xfId="53397" xr:uid="{A9CD6589-9786-4129-8B36-93597412A6D2}"/>
    <cellStyle name="Normal 4 4 2 3 4 2 2 2 3" xfId="34801" xr:uid="{77191EB4-5018-4DDE-AB0F-9F8B39733645}"/>
    <cellStyle name="Normal 4 4 2 3 4 2 2 3" xfId="44100" xr:uid="{5C5C3208-0213-4978-A54C-A16DF3B66FFE}"/>
    <cellStyle name="Normal 4 4 2 3 4 2 2 4" xfId="25502" xr:uid="{7DDC0792-5FF6-4020-9333-4F88D13782F0}"/>
    <cellStyle name="Normal 4 4 2 3 4 2 3" xfId="12838" xr:uid="{CDA3AB2C-A4DA-4DA4-82C4-369B5D13B92F}"/>
    <cellStyle name="Normal 4 4 2 3 4 2 3 2" xfId="49180" xr:uid="{B6CA0CDE-4B3F-42E3-9918-B012B860AC77}"/>
    <cellStyle name="Normal 4 4 2 3 4 2 3 3" xfId="30584" xr:uid="{6D2A526C-64EA-44C4-93C6-16A3873C0218}"/>
    <cellStyle name="Normal 4 4 2 3 4 2 4" xfId="39883" xr:uid="{B439F5F9-0C5F-48F3-BDF0-B11C76E8BB2E}"/>
    <cellStyle name="Normal 4 4 2 3 4 2 5" xfId="21285" xr:uid="{56A808CC-CA58-40A2-9D5A-EF237C43415A}"/>
    <cellStyle name="Normal 4 4 2 3 4 3" xfId="5584" xr:uid="{00000000-0005-0000-0000-000032150000}"/>
    <cellStyle name="Normal 4 4 2 3 4 3 2" xfId="14910" xr:uid="{585FEBDD-8DE5-4DE6-B364-D89B2031A9A2}"/>
    <cellStyle name="Normal 4 4 2 3 4 3 2 2" xfId="51252" xr:uid="{5887E2AD-8499-409D-B112-A60F3353F00A}"/>
    <cellStyle name="Normal 4 4 2 3 4 3 2 3" xfId="32656" xr:uid="{1EFA8835-82F9-4F83-8AAB-9501DF44B285}"/>
    <cellStyle name="Normal 4 4 2 3 4 3 3" xfId="41955" xr:uid="{2E6D6AC1-DDB5-4617-A56A-3B704996AA8B}"/>
    <cellStyle name="Normal 4 4 2 3 4 3 4" xfId="23357" xr:uid="{F2E80BAD-213F-4D87-98A7-79C11B094D21}"/>
    <cellStyle name="Normal 4 4 2 3 4 4" xfId="10693" xr:uid="{A3C8A45F-14E8-4477-A80E-FF5A8065551F}"/>
    <cellStyle name="Normal 4 4 2 3 4 4 2" xfId="47035" xr:uid="{8507EF6D-A2B7-4C05-AB8F-0657A7BED886}"/>
    <cellStyle name="Normal 4 4 2 3 4 4 3" xfId="28439" xr:uid="{CCB3307C-0B2F-4371-9C1A-AEA03F81C056}"/>
    <cellStyle name="Normal 4 4 2 3 4 5" xfId="37738" xr:uid="{750F3594-7B93-49E0-8AEE-C6921ACCA66E}"/>
    <cellStyle name="Normal 4 4 2 3 4 6" xfId="19140" xr:uid="{288AA728-1874-4322-B596-06C3D1B031D8}"/>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17468" xr:uid="{116C1F73-9891-44BD-84E0-4FB0054BDC38}"/>
    <cellStyle name="Normal 4 4 2 3 5 2 2 2 2" xfId="53810" xr:uid="{D6CCB11D-5E8D-4391-B5BC-A52A42A0E9AD}"/>
    <cellStyle name="Normal 4 4 2 3 5 2 2 2 3" xfId="35214" xr:uid="{BA93AE3E-0489-4C42-8ACC-92FEE56A5A6E}"/>
    <cellStyle name="Normal 4 4 2 3 5 2 2 3" xfId="44513" xr:uid="{8A75246E-1D10-4507-AD5A-EDCCD14BA383}"/>
    <cellStyle name="Normal 4 4 2 3 5 2 2 4" xfId="25915" xr:uid="{507315F5-5407-495A-B407-03043D9C362E}"/>
    <cellStyle name="Normal 4 4 2 3 5 2 3" xfId="13251" xr:uid="{F8D34FCE-C530-4E37-8048-5509821D05C8}"/>
    <cellStyle name="Normal 4 4 2 3 5 2 3 2" xfId="49593" xr:uid="{B3B573F2-8B5F-43FF-B76B-8561B9CBB623}"/>
    <cellStyle name="Normal 4 4 2 3 5 2 3 3" xfId="30997" xr:uid="{A20C5EAC-8253-4F40-9537-81AE8E78017D}"/>
    <cellStyle name="Normal 4 4 2 3 5 2 4" xfId="40296" xr:uid="{61A6A165-18AA-4449-9138-E266FCD14EFF}"/>
    <cellStyle name="Normal 4 4 2 3 5 2 5" xfId="21698" xr:uid="{EEF99201-555C-4F17-8FDA-E05FE94A1EAF}"/>
    <cellStyle name="Normal 4 4 2 3 5 3" xfId="5997" xr:uid="{00000000-0005-0000-0000-000036150000}"/>
    <cellStyle name="Normal 4 4 2 3 5 3 2" xfId="15323" xr:uid="{D21B42AE-9288-4595-89AC-E76B2363C46A}"/>
    <cellStyle name="Normal 4 4 2 3 5 3 2 2" xfId="51665" xr:uid="{9F3B15E0-8A54-42C1-96CD-6C291D77FAE7}"/>
    <cellStyle name="Normal 4 4 2 3 5 3 2 3" xfId="33069" xr:uid="{3D62235C-A1E7-4A48-AEE8-F2DB51A633E4}"/>
    <cellStyle name="Normal 4 4 2 3 5 3 3" xfId="42368" xr:uid="{725F1E78-7024-4225-ADD0-9AEE6CB09E97}"/>
    <cellStyle name="Normal 4 4 2 3 5 3 4" xfId="23770" xr:uid="{706103F0-05C8-4720-B931-D7BA86E92A14}"/>
    <cellStyle name="Normal 4 4 2 3 5 4" xfId="11106" xr:uid="{BE7799CB-7879-43D0-92C0-35C6D77F2DDE}"/>
    <cellStyle name="Normal 4 4 2 3 5 4 2" xfId="47448" xr:uid="{7360EF3E-461C-4939-B495-B584DF7C1E30}"/>
    <cellStyle name="Normal 4 4 2 3 5 4 3" xfId="28852" xr:uid="{9B089572-441D-49A0-A1D9-142A996461CB}"/>
    <cellStyle name="Normal 4 4 2 3 5 5" xfId="38151" xr:uid="{5D5DCA4D-260D-4FDC-AEFA-17508E212368}"/>
    <cellStyle name="Normal 4 4 2 3 5 6" xfId="19553" xr:uid="{D523ECBE-8D16-4317-B01A-7878AF9F0EAD}"/>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17881" xr:uid="{40FB275C-5B85-48DB-945B-83BC8E91E9C0}"/>
    <cellStyle name="Normal 4 4 2 3 6 2 2 2 2" xfId="54223" xr:uid="{B9C663F5-D2C0-4C65-832E-37962811F192}"/>
    <cellStyle name="Normal 4 4 2 3 6 2 2 2 3" xfId="35627" xr:uid="{4D03AD3D-B84E-4E59-B8DF-37F889A46851}"/>
    <cellStyle name="Normal 4 4 2 3 6 2 2 3" xfId="44926" xr:uid="{77A33F48-BAF9-4B71-9B39-3EA5AA1E5395}"/>
    <cellStyle name="Normal 4 4 2 3 6 2 2 4" xfId="26328" xr:uid="{A811062F-0490-49C0-96A1-EFAFAA573FDE}"/>
    <cellStyle name="Normal 4 4 2 3 6 2 3" xfId="13664" xr:uid="{DF6AF3C9-5453-4211-A52B-CDFAF61FA309}"/>
    <cellStyle name="Normal 4 4 2 3 6 2 3 2" xfId="50006" xr:uid="{D9D6F8B2-533F-4155-A36E-4C6C0CCFF9CF}"/>
    <cellStyle name="Normal 4 4 2 3 6 2 3 3" xfId="31410" xr:uid="{D8BDC220-B77B-46BD-A760-4EFEE7498BE1}"/>
    <cellStyle name="Normal 4 4 2 3 6 2 4" xfId="40709" xr:uid="{E1C23D7D-8ACF-4BCD-8010-18ECDA743C65}"/>
    <cellStyle name="Normal 4 4 2 3 6 2 5" xfId="22111" xr:uid="{8227074B-2E59-418B-9339-0F7B80B7E23D}"/>
    <cellStyle name="Normal 4 4 2 3 6 3" xfId="6410" xr:uid="{00000000-0005-0000-0000-00003A150000}"/>
    <cellStyle name="Normal 4 4 2 3 6 3 2" xfId="15736" xr:uid="{4D5887A0-9AD0-45CE-A025-6F83A411CAA9}"/>
    <cellStyle name="Normal 4 4 2 3 6 3 2 2" xfId="52078" xr:uid="{D2F799E6-9061-468E-9D13-B9C3AB659F8B}"/>
    <cellStyle name="Normal 4 4 2 3 6 3 2 3" xfId="33482" xr:uid="{88D46F2B-2574-4C8A-9437-7FE2C960F0CB}"/>
    <cellStyle name="Normal 4 4 2 3 6 3 3" xfId="42781" xr:uid="{6DB85006-8971-4B43-A8DA-DB80482F8056}"/>
    <cellStyle name="Normal 4 4 2 3 6 3 4" xfId="24183" xr:uid="{81D92183-96AE-446A-99C9-E82FCA842123}"/>
    <cellStyle name="Normal 4 4 2 3 6 4" xfId="11519" xr:uid="{28B68D37-3556-4842-B951-3283355E04C9}"/>
    <cellStyle name="Normal 4 4 2 3 6 4 2" xfId="47861" xr:uid="{C2B6C753-A34C-4C40-B446-9DFDFCC0C75B}"/>
    <cellStyle name="Normal 4 4 2 3 6 4 3" xfId="29265" xr:uid="{200A6102-5C13-4433-8F68-1634DCD0A0DD}"/>
    <cellStyle name="Normal 4 4 2 3 6 5" xfId="38564" xr:uid="{511C723A-0079-48AA-9511-6541189D9042}"/>
    <cellStyle name="Normal 4 4 2 3 6 6" xfId="19966" xr:uid="{69F4F187-E6F5-48EB-9861-02561F9408BF}"/>
    <cellStyle name="Normal 4 4 2 3 7" xfId="2540" xr:uid="{00000000-0005-0000-0000-00003B150000}"/>
    <cellStyle name="Normal 4 4 2 3 7 2" xfId="6823" xr:uid="{00000000-0005-0000-0000-00003C150000}"/>
    <cellStyle name="Normal 4 4 2 3 7 2 2" xfId="16149" xr:uid="{237A82D8-1ACC-4754-9CFB-3AA1B6133354}"/>
    <cellStyle name="Normal 4 4 2 3 7 2 2 2" xfId="52491" xr:uid="{8C9E9C4F-0293-47F7-A1D3-7A1F76B8F30C}"/>
    <cellStyle name="Normal 4 4 2 3 7 2 2 3" xfId="33895" xr:uid="{502DC42D-76B0-44A5-8162-68C1472C255D}"/>
    <cellStyle name="Normal 4 4 2 3 7 2 3" xfId="43194" xr:uid="{FAA86136-C797-48D8-A0F0-97C1C82B209D}"/>
    <cellStyle name="Normal 4 4 2 3 7 2 4" xfId="24596" xr:uid="{BD16FA9B-BD88-464C-813B-F3ACD9DB02A6}"/>
    <cellStyle name="Normal 4 4 2 3 7 3" xfId="11932" xr:uid="{45A3A6D6-F47A-4EC5-A685-062961E539C1}"/>
    <cellStyle name="Normal 4 4 2 3 7 3 2" xfId="48274" xr:uid="{7B7ABED2-6259-4A75-A804-68F8A83FDDAE}"/>
    <cellStyle name="Normal 4 4 2 3 7 3 3" xfId="29678" xr:uid="{097AD9CE-0593-4302-A854-3BA59C93CFF4}"/>
    <cellStyle name="Normal 4 4 2 3 7 4" xfId="38977" xr:uid="{30288F6E-1A66-41A7-98F7-7CD363EB4AC8}"/>
    <cellStyle name="Normal 4 4 2 3 7 5" xfId="20379" xr:uid="{4EC16D8D-921C-4097-96FE-AF4EBB2D233B}"/>
    <cellStyle name="Normal 4 4 2 3 8" xfId="4758" xr:uid="{00000000-0005-0000-0000-00003D150000}"/>
    <cellStyle name="Normal 4 4 2 3 8 2" xfId="14084" xr:uid="{3B9082EC-9EBC-41AF-BDBA-80979BE129EE}"/>
    <cellStyle name="Normal 4 4 2 3 8 2 2" xfId="50426" xr:uid="{2EF58EAF-D56E-4174-9C4E-DEB68028ABBC}"/>
    <cellStyle name="Normal 4 4 2 3 8 2 3" xfId="31830" xr:uid="{D5867C6B-D4EF-4F23-8502-8ADB2DDE3D3F}"/>
    <cellStyle name="Normal 4 4 2 3 8 3" xfId="41129" xr:uid="{7FF08C72-F6FF-448B-8CBD-04CDC5258788}"/>
    <cellStyle name="Normal 4 4 2 3 8 4" xfId="22531" xr:uid="{58BF3A5B-B53D-45E3-AF7B-71B03FB21B77}"/>
    <cellStyle name="Normal 4 4 2 3 9" xfId="8884" xr:uid="{CBA8CCC0-D2E2-46C8-AC83-39734599F615}"/>
    <cellStyle name="Normal 4 4 2 3 9 2" xfId="35954" xr:uid="{754CB30B-83BA-4288-BB0C-7C711D0FE28B}"/>
    <cellStyle name="Normal 4 4 2 3 9 2 2" xfId="54549" xr:uid="{25189A62-3D11-41C6-B6F3-C00EB919B537}"/>
    <cellStyle name="Normal 4 4 2 3 9 3" xfId="45252" xr:uid="{5E63E6AC-6E98-443D-8E0D-F3E852C7189F}"/>
    <cellStyle name="Normal 4 4 2 3 9 4" xfId="26655" xr:uid="{B4F2CE66-35D7-4C1D-9E1C-973E828CA91C}"/>
    <cellStyle name="Normal 4 4 2 4" xfId="386" xr:uid="{00000000-0005-0000-0000-00003E150000}"/>
    <cellStyle name="Normal 4 4 2 4 10" xfId="36914" xr:uid="{C8808108-6DC0-4234-A8EF-FA4A787C2719}"/>
    <cellStyle name="Normal 4 4 2 4 11" xfId="18316" xr:uid="{5B0973D3-5BD2-4795-902D-3F828983F7D3}"/>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16644" xr:uid="{091EEE04-EE92-40E8-9AFD-01E91BC75253}"/>
    <cellStyle name="Normal 4 4 2 4 2 2 2 2 2" xfId="52986" xr:uid="{096D65F7-EA61-44A5-A049-23A74761825C}"/>
    <cellStyle name="Normal 4 4 2 4 2 2 2 2 3" xfId="34390" xr:uid="{FCE8C987-2872-4FF0-BAD7-0D06FE6DF418}"/>
    <cellStyle name="Normal 4 4 2 4 2 2 2 3" xfId="43689" xr:uid="{0FE54697-561C-4CFE-BF36-DAD0797A0AC7}"/>
    <cellStyle name="Normal 4 4 2 4 2 2 2 4" xfId="25091" xr:uid="{F926AB0C-4839-4990-B1A1-15A23BD4C63F}"/>
    <cellStyle name="Normal 4 4 2 4 2 2 3" xfId="12427" xr:uid="{6EFB5215-34CB-4FB2-B1ED-4920CE45C5FB}"/>
    <cellStyle name="Normal 4 4 2 4 2 2 3 2" xfId="48769" xr:uid="{99C5ECAF-EDB5-4A39-8697-7E3927B6117A}"/>
    <cellStyle name="Normal 4 4 2 4 2 2 3 3" xfId="30173" xr:uid="{ECD52882-4BFF-499A-BC95-4EB08936F3D6}"/>
    <cellStyle name="Normal 4 4 2 4 2 2 4" xfId="39472" xr:uid="{06C5A06F-86A0-4E54-BD58-F72873C3B0CF}"/>
    <cellStyle name="Normal 4 4 2 4 2 2 5" xfId="20874" xr:uid="{40C46DDB-60AB-4F90-BEA9-A623F788DEFF}"/>
    <cellStyle name="Normal 4 4 2 4 2 3" xfId="5173" xr:uid="{00000000-0005-0000-0000-000042150000}"/>
    <cellStyle name="Normal 4 4 2 4 2 3 2" xfId="14499" xr:uid="{C95EA570-85ED-4C18-9224-410EFD020BB0}"/>
    <cellStyle name="Normal 4 4 2 4 2 3 2 2" xfId="50841" xr:uid="{6502930E-5B3D-43AC-90A8-1BF5887DD8C9}"/>
    <cellStyle name="Normal 4 4 2 4 2 3 2 3" xfId="32245" xr:uid="{2170C04D-9125-4319-A613-73385F6D9535}"/>
    <cellStyle name="Normal 4 4 2 4 2 3 3" xfId="41544" xr:uid="{0A1BCDD8-5F9E-4541-802B-FB4247AEC0D0}"/>
    <cellStyle name="Normal 4 4 2 4 2 3 4" xfId="22946" xr:uid="{A0050FC2-4EDE-482B-B50E-AAFED788A8C4}"/>
    <cellStyle name="Normal 4 4 2 4 2 4" xfId="9413" xr:uid="{4DC092EA-7C69-4E02-9FE8-33F62D070F54}"/>
    <cellStyle name="Normal 4 4 2 4 2 4 2" xfId="36474" xr:uid="{EA8E249F-FB52-4D18-A33D-BD9CE366F53B}"/>
    <cellStyle name="Normal 4 4 2 4 2 4 2 2" xfId="55068" xr:uid="{0AD1A8B8-3787-492E-B74A-1CF95E1FBF3A}"/>
    <cellStyle name="Normal 4 4 2 4 2 4 3" xfId="45771" xr:uid="{CB716C21-4A4F-402F-8DB2-814F2AC3B627}"/>
    <cellStyle name="Normal 4 4 2 4 2 4 4" xfId="27175" xr:uid="{25620DF0-FE4B-41E0-9B27-D66302CF51AD}"/>
    <cellStyle name="Normal 4 4 2 4 2 5" xfId="10282" xr:uid="{F79384FF-BD98-4D5D-8E60-501BD68667CD}"/>
    <cellStyle name="Normal 4 4 2 4 2 5 2" xfId="46624" xr:uid="{A1B1839F-71BC-4987-B367-72C91C3FE8D6}"/>
    <cellStyle name="Normal 4 4 2 4 2 5 3" xfId="28028" xr:uid="{005CB3E9-BF1B-463F-AD5B-ECECEF9B898B}"/>
    <cellStyle name="Normal 4 4 2 4 2 6" xfId="37327" xr:uid="{9E1A9556-16E2-48D9-A9D9-8C18C92BE80A}"/>
    <cellStyle name="Normal 4 4 2 4 2 7" xfId="18729" xr:uid="{57D1EEE0-89C0-47D5-8DE9-3FB62C79927E}"/>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17057" xr:uid="{5C1320FD-34C2-40B3-A036-AC5D91429C79}"/>
    <cellStyle name="Normal 4 4 2 4 3 2 2 2 2" xfId="53399" xr:uid="{36D06DDD-5841-4396-B762-7736244879F1}"/>
    <cellStyle name="Normal 4 4 2 4 3 2 2 2 3" xfId="34803" xr:uid="{0E0C6E0C-C919-4420-A833-8A7184C1E126}"/>
    <cellStyle name="Normal 4 4 2 4 3 2 2 3" xfId="44102" xr:uid="{7585D8DF-D9D4-4887-8B3A-9AF4687F0EA3}"/>
    <cellStyle name="Normal 4 4 2 4 3 2 2 4" xfId="25504" xr:uid="{983A0F20-DBB7-4343-9BAD-9788E152715F}"/>
    <cellStyle name="Normal 4 4 2 4 3 2 3" xfId="12840" xr:uid="{29321787-D496-4D0F-897A-A94F4D2B9B59}"/>
    <cellStyle name="Normal 4 4 2 4 3 2 3 2" xfId="49182" xr:uid="{273BC2EF-B803-44D1-8DEA-24A139518025}"/>
    <cellStyle name="Normal 4 4 2 4 3 2 3 3" xfId="30586" xr:uid="{3FF32D7E-2E67-41EA-9653-223C6DDBC5A6}"/>
    <cellStyle name="Normal 4 4 2 4 3 2 4" xfId="39885" xr:uid="{2EABBD56-1182-4D05-9E86-705320EAD884}"/>
    <cellStyle name="Normal 4 4 2 4 3 2 5" xfId="21287" xr:uid="{5E009DA8-3F84-463F-A6F9-70BF8A5F30DF}"/>
    <cellStyle name="Normal 4 4 2 4 3 3" xfId="5586" xr:uid="{00000000-0005-0000-0000-000046150000}"/>
    <cellStyle name="Normal 4 4 2 4 3 3 2" xfId="14912" xr:uid="{97AB2679-94B3-400D-8C35-3253E24B290E}"/>
    <cellStyle name="Normal 4 4 2 4 3 3 2 2" xfId="51254" xr:uid="{BC1C9D45-6E3A-4285-B468-4613DBFBECCF}"/>
    <cellStyle name="Normal 4 4 2 4 3 3 2 3" xfId="32658" xr:uid="{C6373C28-B561-4A0A-B412-9E131735EC41}"/>
    <cellStyle name="Normal 4 4 2 4 3 3 3" xfId="41957" xr:uid="{0F88DEE6-3596-4F08-881F-99D5821222BE}"/>
    <cellStyle name="Normal 4 4 2 4 3 3 4" xfId="23359" xr:uid="{428D70C4-8BFC-4D34-877F-227E4C2CAA5B}"/>
    <cellStyle name="Normal 4 4 2 4 3 4" xfId="10695" xr:uid="{44C681D2-EBCA-4D59-9619-8E6A2DBF94E9}"/>
    <cellStyle name="Normal 4 4 2 4 3 4 2" xfId="47037" xr:uid="{F55A1EC3-CDC8-4407-A2FE-02DFF5ABDB03}"/>
    <cellStyle name="Normal 4 4 2 4 3 4 3" xfId="28441" xr:uid="{8633506A-7FF6-4A9A-921B-BC3C2F156125}"/>
    <cellStyle name="Normal 4 4 2 4 3 5" xfId="37740" xr:uid="{217B4E10-32A5-4A27-A434-7D9DAEE10F9E}"/>
    <cellStyle name="Normal 4 4 2 4 3 6" xfId="19142" xr:uid="{463A2CE3-45E7-482D-B580-2F4955151430}"/>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17470" xr:uid="{62863104-00A4-44E0-949B-604897B1AAF2}"/>
    <cellStyle name="Normal 4 4 2 4 4 2 2 2 2" xfId="53812" xr:uid="{98B77675-A5C3-4BC7-B4EE-2AAB36E4F07D}"/>
    <cellStyle name="Normal 4 4 2 4 4 2 2 2 3" xfId="35216" xr:uid="{A8AC8782-0B7A-4822-94C7-01B8A2DB954A}"/>
    <cellStyle name="Normal 4 4 2 4 4 2 2 3" xfId="44515" xr:uid="{3A445CB0-536E-4D6C-89F0-E45DC1734629}"/>
    <cellStyle name="Normal 4 4 2 4 4 2 2 4" xfId="25917" xr:uid="{0A40965B-6152-46B5-8675-988E20309832}"/>
    <cellStyle name="Normal 4 4 2 4 4 2 3" xfId="13253" xr:uid="{60DDD9F9-DD6F-497F-B0F0-5F95AA09CFF4}"/>
    <cellStyle name="Normal 4 4 2 4 4 2 3 2" xfId="49595" xr:uid="{D4A6C841-4549-40B8-9CFE-ED9FCDF110B3}"/>
    <cellStyle name="Normal 4 4 2 4 4 2 3 3" xfId="30999" xr:uid="{A4CFDEAB-5D7B-4512-AD06-AB5E03443B4B}"/>
    <cellStyle name="Normal 4 4 2 4 4 2 4" xfId="40298" xr:uid="{8124543B-8971-4782-9DF7-16DFD7C1BD53}"/>
    <cellStyle name="Normal 4 4 2 4 4 2 5" xfId="21700" xr:uid="{C42CBAD3-B3AE-4B57-977F-478B1C9D4519}"/>
    <cellStyle name="Normal 4 4 2 4 4 3" xfId="5999" xr:uid="{00000000-0005-0000-0000-00004A150000}"/>
    <cellStyle name="Normal 4 4 2 4 4 3 2" xfId="15325" xr:uid="{DBAA533A-6317-47E3-8032-C55CEEA19338}"/>
    <cellStyle name="Normal 4 4 2 4 4 3 2 2" xfId="51667" xr:uid="{4A6C610F-41FF-45D1-9F75-EF5800DB0C80}"/>
    <cellStyle name="Normal 4 4 2 4 4 3 2 3" xfId="33071" xr:uid="{0976BE22-2E3B-4DF7-9069-F94C3CC86BD6}"/>
    <cellStyle name="Normal 4 4 2 4 4 3 3" xfId="42370" xr:uid="{50940EE1-23C7-423B-AC32-327941C806DA}"/>
    <cellStyle name="Normal 4 4 2 4 4 3 4" xfId="23772" xr:uid="{619270C2-F84B-4940-BE40-39C36C137EF1}"/>
    <cellStyle name="Normal 4 4 2 4 4 4" xfId="11108" xr:uid="{7965B700-FA0E-4996-9971-49304C828022}"/>
    <cellStyle name="Normal 4 4 2 4 4 4 2" xfId="47450" xr:uid="{0C3D8D86-134E-4419-8032-442621DFA4D1}"/>
    <cellStyle name="Normal 4 4 2 4 4 4 3" xfId="28854" xr:uid="{08D288F7-8417-4EF8-8210-831D33A35779}"/>
    <cellStyle name="Normal 4 4 2 4 4 5" xfId="38153" xr:uid="{1D410CB0-FFD3-4130-8DE9-B58BB5D1BAFE}"/>
    <cellStyle name="Normal 4 4 2 4 4 6" xfId="19555" xr:uid="{10B74DDB-5B79-4931-B6B7-73BD029FC085}"/>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17883" xr:uid="{D70B2E2A-F105-46BB-9477-DAB61D800899}"/>
    <cellStyle name="Normal 4 4 2 4 5 2 2 2 2" xfId="54225" xr:uid="{113F3BD9-00F8-4B1B-B791-939FC2A6BD4F}"/>
    <cellStyle name="Normal 4 4 2 4 5 2 2 2 3" xfId="35629" xr:uid="{E2DA4D92-4CD6-4565-8C12-230558C51B05}"/>
    <cellStyle name="Normal 4 4 2 4 5 2 2 3" xfId="44928" xr:uid="{8FBC662C-596C-434C-B1A7-2A8AFF0AF17E}"/>
    <cellStyle name="Normal 4 4 2 4 5 2 2 4" xfId="26330" xr:uid="{98C4B7B2-96CD-4CF5-9612-0349E6345D8B}"/>
    <cellStyle name="Normal 4 4 2 4 5 2 3" xfId="13666" xr:uid="{C2048191-080C-472C-BE16-6BEB92E75009}"/>
    <cellStyle name="Normal 4 4 2 4 5 2 3 2" xfId="50008" xr:uid="{6FD93D82-EBB1-446E-A2FE-5814F415E8FD}"/>
    <cellStyle name="Normal 4 4 2 4 5 2 3 3" xfId="31412" xr:uid="{D05AA986-4320-4C0D-BC41-32354BA42D11}"/>
    <cellStyle name="Normal 4 4 2 4 5 2 4" xfId="40711" xr:uid="{850CE684-F6FC-4B91-B36F-D23CF819A34B}"/>
    <cellStyle name="Normal 4 4 2 4 5 2 5" xfId="22113" xr:uid="{D36D2D85-2D0C-4109-A42D-68501F1B0692}"/>
    <cellStyle name="Normal 4 4 2 4 5 3" xfId="6412" xr:uid="{00000000-0005-0000-0000-00004E150000}"/>
    <cellStyle name="Normal 4 4 2 4 5 3 2" xfId="15738" xr:uid="{BBE76D3A-43AD-4A4D-A024-B184D1BA893A}"/>
    <cellStyle name="Normal 4 4 2 4 5 3 2 2" xfId="52080" xr:uid="{3FB1971F-8AC8-4366-AF95-5DBFD3021663}"/>
    <cellStyle name="Normal 4 4 2 4 5 3 2 3" xfId="33484" xr:uid="{6924E2A6-DB6E-4816-A71A-67F445DEC125}"/>
    <cellStyle name="Normal 4 4 2 4 5 3 3" xfId="42783" xr:uid="{A707BB51-C85D-49E9-B199-313A61AB102F}"/>
    <cellStyle name="Normal 4 4 2 4 5 3 4" xfId="24185" xr:uid="{0599016C-EA1A-4C84-9DB7-230B05944694}"/>
    <cellStyle name="Normal 4 4 2 4 5 4" xfId="11521" xr:uid="{220F75FC-4873-4B12-A5AD-87C66B0F8435}"/>
    <cellStyle name="Normal 4 4 2 4 5 4 2" xfId="47863" xr:uid="{238EDFE9-32A1-4CD6-BADC-82FC2DAE8C75}"/>
    <cellStyle name="Normal 4 4 2 4 5 4 3" xfId="29267" xr:uid="{590029C9-DA7A-4EF3-8946-2DA4893AA119}"/>
    <cellStyle name="Normal 4 4 2 4 5 5" xfId="38566" xr:uid="{7746CD5D-F79F-4737-B82C-AA54473AB28C}"/>
    <cellStyle name="Normal 4 4 2 4 5 6" xfId="19968" xr:uid="{F0A5DC1C-B71F-4D2D-B833-D8F870D304A1}"/>
    <cellStyle name="Normal 4 4 2 4 6" xfId="2542" xr:uid="{00000000-0005-0000-0000-00004F150000}"/>
    <cellStyle name="Normal 4 4 2 4 6 2" xfId="6825" xr:uid="{00000000-0005-0000-0000-000050150000}"/>
    <cellStyle name="Normal 4 4 2 4 6 2 2" xfId="16151" xr:uid="{8D7A4A74-B9D3-4230-A426-EA203147F0FC}"/>
    <cellStyle name="Normal 4 4 2 4 6 2 2 2" xfId="52493" xr:uid="{F883DD5B-A25B-4E20-BDBA-C778B1C780F1}"/>
    <cellStyle name="Normal 4 4 2 4 6 2 2 3" xfId="33897" xr:uid="{C5E12014-3C09-4032-977F-3EFD44360DE6}"/>
    <cellStyle name="Normal 4 4 2 4 6 2 3" xfId="43196" xr:uid="{E2210BF6-B1C3-41DB-AAE5-968EA332D286}"/>
    <cellStyle name="Normal 4 4 2 4 6 2 4" xfId="24598" xr:uid="{4053C206-24A3-440E-85D3-DCC4B76BD5C4}"/>
    <cellStyle name="Normal 4 4 2 4 6 3" xfId="11934" xr:uid="{A3DD34D1-E806-4F80-8F0C-9AC07480E85C}"/>
    <cellStyle name="Normal 4 4 2 4 6 3 2" xfId="48276" xr:uid="{AAC19C91-7109-44C7-8C53-10A1B88A64B7}"/>
    <cellStyle name="Normal 4 4 2 4 6 3 3" xfId="29680" xr:uid="{7DFA9ACF-2EB0-4D3C-B187-7515522EDF50}"/>
    <cellStyle name="Normal 4 4 2 4 6 4" xfId="38979" xr:uid="{3643BBE2-F309-4C42-8A6B-41830FDAC953}"/>
    <cellStyle name="Normal 4 4 2 4 6 5" xfId="20381" xr:uid="{F0813306-570D-4DE4-932A-BBB48350FE18}"/>
    <cellStyle name="Normal 4 4 2 4 7" xfId="4760" xr:uid="{00000000-0005-0000-0000-000051150000}"/>
    <cellStyle name="Normal 4 4 2 4 7 2" xfId="14086" xr:uid="{3CE828FE-E304-4D19-AAFA-E8A906C8F955}"/>
    <cellStyle name="Normal 4 4 2 4 7 2 2" xfId="50428" xr:uid="{4BE2E29F-DB93-4C0B-8980-574D342F253B}"/>
    <cellStyle name="Normal 4 4 2 4 7 2 3" xfId="31832" xr:uid="{B569AACB-737D-4167-9B63-E365F068EE6F}"/>
    <cellStyle name="Normal 4 4 2 4 7 3" xfId="41131" xr:uid="{9D985D6B-EFE8-4886-B922-102018AC30B3}"/>
    <cellStyle name="Normal 4 4 2 4 7 4" xfId="22533" xr:uid="{C4D56114-1E83-49D0-BBD0-D4333C356276}"/>
    <cellStyle name="Normal 4 4 2 4 8" xfId="8988" xr:uid="{F852E7B0-7ACD-4401-B3B6-BE989A5C8AD5}"/>
    <cellStyle name="Normal 4 4 2 4 8 2" xfId="36058" xr:uid="{53E60242-4AB7-4AC7-AEA6-BE6B9326540E}"/>
    <cellStyle name="Normal 4 4 2 4 8 2 2" xfId="54653" xr:uid="{00CB2BF0-C750-46EF-969E-FEB9E0AE3C5A}"/>
    <cellStyle name="Normal 4 4 2 4 8 3" xfId="45356" xr:uid="{AF8C3933-7433-451C-9F32-7A50EC564D1F}"/>
    <cellStyle name="Normal 4 4 2 4 8 4" xfId="26759" xr:uid="{047E668C-BA90-433F-8B62-FDE35C0B262A}"/>
    <cellStyle name="Normal 4 4 2 4 9" xfId="9869" xr:uid="{93E91784-96BC-4870-8DB1-03CBBB9EE669}"/>
    <cellStyle name="Normal 4 4 2 4 9 2" xfId="46211" xr:uid="{61235E00-65B2-4C6F-8C39-620B0ADC9045}"/>
    <cellStyle name="Normal 4 4 2 4 9 3" xfId="27615" xr:uid="{E09AD1BB-8753-47D9-98E4-24596674786E}"/>
    <cellStyle name="Normal 4 4 2 5" xfId="854" xr:uid="{00000000-0005-0000-0000-000052150000}"/>
    <cellStyle name="Normal 4 4 2 5 2" xfId="3089" xr:uid="{00000000-0005-0000-0000-000053150000}"/>
    <cellStyle name="Normal 4 4 2 5 2 2" xfId="7311" xr:uid="{00000000-0005-0000-0000-000054150000}"/>
    <cellStyle name="Normal 4 4 2 5 2 2 2" xfId="16637" xr:uid="{ED99696C-D736-4768-8999-1E80FEA8895C}"/>
    <cellStyle name="Normal 4 4 2 5 2 2 2 2" xfId="52979" xr:uid="{24BFC8B2-8C3C-4294-B6EF-7590CF60BDDB}"/>
    <cellStyle name="Normal 4 4 2 5 2 2 2 3" xfId="34383" xr:uid="{059F556C-6986-460D-AF55-6720591842C7}"/>
    <cellStyle name="Normal 4 4 2 5 2 2 3" xfId="43682" xr:uid="{B55E47B1-5117-4CC2-812E-F6CC8810536E}"/>
    <cellStyle name="Normal 4 4 2 5 2 2 4" xfId="25084" xr:uid="{4A01AF18-E17F-45E0-BC22-43BCE9F769D0}"/>
    <cellStyle name="Normal 4 4 2 5 2 3" xfId="12420" xr:uid="{5AD944AB-A408-40B0-ADAD-140A46A54D4C}"/>
    <cellStyle name="Normal 4 4 2 5 2 3 2" xfId="48762" xr:uid="{7B493296-F081-4DC1-B661-3213656DC521}"/>
    <cellStyle name="Normal 4 4 2 5 2 3 3" xfId="30166" xr:uid="{FF8E7B7C-0B07-487A-ADFF-94CB5BEA3F10}"/>
    <cellStyle name="Normal 4 4 2 5 2 4" xfId="39465" xr:uid="{1829A386-3007-437A-A818-6A1548309339}"/>
    <cellStyle name="Normal 4 4 2 5 2 5" xfId="20867" xr:uid="{ED27C75B-C21A-4733-AFF9-162E701A30FB}"/>
    <cellStyle name="Normal 4 4 2 5 3" xfId="5166" xr:uid="{00000000-0005-0000-0000-000055150000}"/>
    <cellStyle name="Normal 4 4 2 5 3 2" xfId="14492" xr:uid="{324871E6-FE55-4407-BD29-E1598CF8D08B}"/>
    <cellStyle name="Normal 4 4 2 5 3 2 2" xfId="50834" xr:uid="{B22C353B-183F-4016-834C-CC4EB688E924}"/>
    <cellStyle name="Normal 4 4 2 5 3 2 3" xfId="32238" xr:uid="{61DAC722-0602-474D-B17B-DE59BADCE518}"/>
    <cellStyle name="Normal 4 4 2 5 3 3" xfId="41537" xr:uid="{4FEB8D8E-28CF-484C-A512-2A5C3D10C2BC}"/>
    <cellStyle name="Normal 4 4 2 5 3 4" xfId="22939" xr:uid="{4343A17A-B618-40E1-B8B7-6F8B8BBCA773}"/>
    <cellStyle name="Normal 4 4 2 5 4" xfId="9205" xr:uid="{A63DE01D-3EC8-40FC-A47E-E0EA001EED52}"/>
    <cellStyle name="Normal 4 4 2 5 4 2" xfId="36267" xr:uid="{5BF4CFA9-62B9-4AEF-B7A9-06E71B0FEE95}"/>
    <cellStyle name="Normal 4 4 2 5 4 2 2" xfId="54861" xr:uid="{1886ECA5-628D-455A-9A7F-705DBFFA66F6}"/>
    <cellStyle name="Normal 4 4 2 5 4 3" xfId="45564" xr:uid="{9DA7872B-B18E-4B40-8D86-D7591138706B}"/>
    <cellStyle name="Normal 4 4 2 5 4 4" xfId="26968" xr:uid="{45179E0B-689B-49F1-B352-40B0A2C07BB9}"/>
    <cellStyle name="Normal 4 4 2 5 5" xfId="10275" xr:uid="{77F91368-ECAF-4961-AB07-394A1A29DC23}"/>
    <cellStyle name="Normal 4 4 2 5 5 2" xfId="46617" xr:uid="{1E847F48-FE3C-4B9E-BCB9-01D2C7908E75}"/>
    <cellStyle name="Normal 4 4 2 5 5 3" xfId="28021" xr:uid="{DD68932F-5AEF-4204-8F2A-684A36E35053}"/>
    <cellStyle name="Normal 4 4 2 5 6" xfId="37320" xr:uid="{1580B50D-F200-40A4-A833-921A8DBDBD1E}"/>
    <cellStyle name="Normal 4 4 2 5 7" xfId="18722" xr:uid="{6932CAE5-3BDA-4AD5-861E-685803BCD413}"/>
    <cellStyle name="Normal 4 4 2 6" xfId="1272" xr:uid="{00000000-0005-0000-0000-000056150000}"/>
    <cellStyle name="Normal 4 4 2 6 2" xfId="3502" xr:uid="{00000000-0005-0000-0000-000057150000}"/>
    <cellStyle name="Normal 4 4 2 6 2 2" xfId="7724" xr:uid="{00000000-0005-0000-0000-000058150000}"/>
    <cellStyle name="Normal 4 4 2 6 2 2 2" xfId="17050" xr:uid="{F56156ED-B254-4CD7-902B-A49CC10BD608}"/>
    <cellStyle name="Normal 4 4 2 6 2 2 2 2" xfId="53392" xr:uid="{E211BB55-9B0B-4458-8AE1-2F42599D1CEC}"/>
    <cellStyle name="Normal 4 4 2 6 2 2 2 3" xfId="34796" xr:uid="{614B9854-D4D2-4065-A3B1-016797449C21}"/>
    <cellStyle name="Normal 4 4 2 6 2 2 3" xfId="44095" xr:uid="{6617858D-F2FE-4D0A-8F45-77EE9186AA21}"/>
    <cellStyle name="Normal 4 4 2 6 2 2 4" xfId="25497" xr:uid="{D994581D-575C-492C-A4C1-548E1547FA60}"/>
    <cellStyle name="Normal 4 4 2 6 2 3" xfId="12833" xr:uid="{594167CA-B516-40FC-9892-841D7DD10F71}"/>
    <cellStyle name="Normal 4 4 2 6 2 3 2" xfId="49175" xr:uid="{EA32185E-F51B-4EB1-AC11-BEB96A6616B7}"/>
    <cellStyle name="Normal 4 4 2 6 2 3 3" xfId="30579" xr:uid="{ED145888-AC50-45C3-9531-B7752AD0C68A}"/>
    <cellStyle name="Normal 4 4 2 6 2 4" xfId="39878" xr:uid="{938AA05A-F2AD-49CF-83F9-1B44A9FEF642}"/>
    <cellStyle name="Normal 4 4 2 6 2 5" xfId="21280" xr:uid="{1346B131-8DAA-4CDE-8714-4740105F6081}"/>
    <cellStyle name="Normal 4 4 2 6 3" xfId="5579" xr:uid="{00000000-0005-0000-0000-000059150000}"/>
    <cellStyle name="Normal 4 4 2 6 3 2" xfId="14905" xr:uid="{A2A1A4DA-0AFB-4A28-B445-AA4A7B5BF109}"/>
    <cellStyle name="Normal 4 4 2 6 3 2 2" xfId="51247" xr:uid="{5115FB34-B1AF-4BF7-B927-C7FF50BBFDF4}"/>
    <cellStyle name="Normal 4 4 2 6 3 2 3" xfId="32651" xr:uid="{D6F0539A-A501-4683-8C52-41D1B257A657}"/>
    <cellStyle name="Normal 4 4 2 6 3 3" xfId="41950" xr:uid="{473E73F9-BC5D-4D77-B237-A623CB3F5600}"/>
    <cellStyle name="Normal 4 4 2 6 3 4" xfId="23352" xr:uid="{E0D75751-A1CC-4586-AA4F-658ECA5DE008}"/>
    <cellStyle name="Normal 4 4 2 6 4" xfId="10688" xr:uid="{7A469DF1-79BC-4891-A1CF-E85EDFECDCCF}"/>
    <cellStyle name="Normal 4 4 2 6 4 2" xfId="47030" xr:uid="{1B974175-491C-4485-8BA0-CBA2780C9DB3}"/>
    <cellStyle name="Normal 4 4 2 6 4 3" xfId="28434" xr:uid="{E10595B1-F9D3-4884-A69C-15D2F171254F}"/>
    <cellStyle name="Normal 4 4 2 6 5" xfId="37733" xr:uid="{EA76792C-8E5F-459E-AE70-D4F59D3DDEC1}"/>
    <cellStyle name="Normal 4 4 2 6 6" xfId="19135" xr:uid="{CC05B56E-2191-4178-A372-5805EE106B4A}"/>
    <cellStyle name="Normal 4 4 2 7" xfId="1685" xr:uid="{00000000-0005-0000-0000-00005A150000}"/>
    <cellStyle name="Normal 4 4 2 7 2" xfId="3915" xr:uid="{00000000-0005-0000-0000-00005B150000}"/>
    <cellStyle name="Normal 4 4 2 7 2 2" xfId="8137" xr:uid="{00000000-0005-0000-0000-00005C150000}"/>
    <cellStyle name="Normal 4 4 2 7 2 2 2" xfId="17463" xr:uid="{DDC5C877-829E-405B-8BB9-85CCAC4E73C7}"/>
    <cellStyle name="Normal 4 4 2 7 2 2 2 2" xfId="53805" xr:uid="{3BAC224E-533C-4AAF-88D4-EB614FE25390}"/>
    <cellStyle name="Normal 4 4 2 7 2 2 2 3" xfId="35209" xr:uid="{D869B2AD-4CF4-452F-9186-084F8E5E7599}"/>
    <cellStyle name="Normal 4 4 2 7 2 2 3" xfId="44508" xr:uid="{980D10E4-612B-4B7F-8946-417DAAF53D35}"/>
    <cellStyle name="Normal 4 4 2 7 2 2 4" xfId="25910" xr:uid="{42224984-67AC-40D9-9744-4C958B0B760A}"/>
    <cellStyle name="Normal 4 4 2 7 2 3" xfId="13246" xr:uid="{D66119D6-BB8A-436F-B2D5-95016686BD4C}"/>
    <cellStyle name="Normal 4 4 2 7 2 3 2" xfId="49588" xr:uid="{AD34756D-6BCE-4635-953B-F85658BFB9C1}"/>
    <cellStyle name="Normal 4 4 2 7 2 3 3" xfId="30992" xr:uid="{ADF60283-3A49-408E-B00C-BB0DAFFD2DDE}"/>
    <cellStyle name="Normal 4 4 2 7 2 4" xfId="40291" xr:uid="{F937AFC1-1BB2-47EB-8479-FC206B5020A1}"/>
    <cellStyle name="Normal 4 4 2 7 2 5" xfId="21693" xr:uid="{1892DC12-0A33-4B57-B9BB-D4B8A8CEE7B1}"/>
    <cellStyle name="Normal 4 4 2 7 3" xfId="5992" xr:uid="{00000000-0005-0000-0000-00005D150000}"/>
    <cellStyle name="Normal 4 4 2 7 3 2" xfId="15318" xr:uid="{299128AF-6C36-4132-8D24-6EFCC0DD386F}"/>
    <cellStyle name="Normal 4 4 2 7 3 2 2" xfId="51660" xr:uid="{A5DE4C41-DD1A-40BD-8E83-584023C8E230}"/>
    <cellStyle name="Normal 4 4 2 7 3 2 3" xfId="33064" xr:uid="{DED0FD24-30CA-4459-840F-1C5DDF8D7F40}"/>
    <cellStyle name="Normal 4 4 2 7 3 3" xfId="42363" xr:uid="{CF497471-D7D0-41F4-BA6D-B8634C4D5673}"/>
    <cellStyle name="Normal 4 4 2 7 3 4" xfId="23765" xr:uid="{0433221D-AA78-43ED-9432-BF49C6B2FA6D}"/>
    <cellStyle name="Normal 4 4 2 7 4" xfId="11101" xr:uid="{370525E3-995D-4309-B4C5-8BAEA37764FC}"/>
    <cellStyle name="Normal 4 4 2 7 4 2" xfId="47443" xr:uid="{E6AB3726-C51F-4751-8C8F-EC0C052740F8}"/>
    <cellStyle name="Normal 4 4 2 7 4 3" xfId="28847" xr:uid="{1A3A54EF-70D4-4A2C-B6B5-034776997625}"/>
    <cellStyle name="Normal 4 4 2 7 5" xfId="38146" xr:uid="{20C30702-13CF-40ED-A2B7-D62CF26938A8}"/>
    <cellStyle name="Normal 4 4 2 7 6" xfId="19548" xr:uid="{CB9439E1-2A08-461E-B08E-AA42DD3FE7A1}"/>
    <cellStyle name="Normal 4 4 2 8" xfId="2099" xr:uid="{00000000-0005-0000-0000-00005E150000}"/>
    <cellStyle name="Normal 4 4 2 8 2" xfId="4328" xr:uid="{00000000-0005-0000-0000-00005F150000}"/>
    <cellStyle name="Normal 4 4 2 8 2 2" xfId="8550" xr:uid="{00000000-0005-0000-0000-000060150000}"/>
    <cellStyle name="Normal 4 4 2 8 2 2 2" xfId="17876" xr:uid="{06A610D6-206B-4BAC-B3A8-EDCBA56CAD70}"/>
    <cellStyle name="Normal 4 4 2 8 2 2 2 2" xfId="54218" xr:uid="{C74147F4-0208-4CEF-B4D7-D37850585D9A}"/>
    <cellStyle name="Normal 4 4 2 8 2 2 2 3" xfId="35622" xr:uid="{DA1B2EB8-4F79-4685-AFAE-B62D528B1FDA}"/>
    <cellStyle name="Normal 4 4 2 8 2 2 3" xfId="44921" xr:uid="{5DAA73D9-B163-42A4-810F-421278476650}"/>
    <cellStyle name="Normal 4 4 2 8 2 2 4" xfId="26323" xr:uid="{5D1CA7EE-4021-43F7-BD8C-8B33DFFCA2B1}"/>
    <cellStyle name="Normal 4 4 2 8 2 3" xfId="13659" xr:uid="{6E7B38AD-CC22-4879-A758-C9D330CB8AA9}"/>
    <cellStyle name="Normal 4 4 2 8 2 3 2" xfId="50001" xr:uid="{8F8CC033-E3A5-4FA8-A6A4-E8FA07489569}"/>
    <cellStyle name="Normal 4 4 2 8 2 3 3" xfId="31405" xr:uid="{B2DDAB27-5D08-4236-8313-952F037F098A}"/>
    <cellStyle name="Normal 4 4 2 8 2 4" xfId="40704" xr:uid="{FCB0B95A-FA51-49B6-958D-9F1F9DF7B2E6}"/>
    <cellStyle name="Normal 4 4 2 8 2 5" xfId="22106" xr:uid="{D80B9B68-C16A-4BD5-851A-20F6026CFEB1}"/>
    <cellStyle name="Normal 4 4 2 8 3" xfId="6405" xr:uid="{00000000-0005-0000-0000-000061150000}"/>
    <cellStyle name="Normal 4 4 2 8 3 2" xfId="15731" xr:uid="{2B1F9B3D-117F-4DB0-93EA-BC85441B35DB}"/>
    <cellStyle name="Normal 4 4 2 8 3 2 2" xfId="52073" xr:uid="{E7AB3714-F68A-401E-B6BC-E66735EA3096}"/>
    <cellStyle name="Normal 4 4 2 8 3 2 3" xfId="33477" xr:uid="{6AD302F4-76D4-460C-A7FC-C91F6B52520D}"/>
    <cellStyle name="Normal 4 4 2 8 3 3" xfId="42776" xr:uid="{D4D24369-4181-48A4-90B4-FBEA07F69433}"/>
    <cellStyle name="Normal 4 4 2 8 3 4" xfId="24178" xr:uid="{51D912A8-4A2A-4F6B-94FF-B1D5FA233BB2}"/>
    <cellStyle name="Normal 4 4 2 8 4" xfId="11514" xr:uid="{20EE6D26-355A-4B6C-B08F-BFD65EC07716}"/>
    <cellStyle name="Normal 4 4 2 8 4 2" xfId="47856" xr:uid="{424E379C-B6D2-4003-98A7-DB3506D5BA08}"/>
    <cellStyle name="Normal 4 4 2 8 4 3" xfId="29260" xr:uid="{0D7259E2-0DD5-46BA-8F70-5B2919B3BDDF}"/>
    <cellStyle name="Normal 4 4 2 8 5" xfId="38559" xr:uid="{D9734273-87D2-42ED-AB6A-DCC71408B52F}"/>
    <cellStyle name="Normal 4 4 2 8 6" xfId="19961" xr:uid="{965178D3-9341-4256-BDC2-10A235F8F901}"/>
    <cellStyle name="Normal 4 4 2 9" xfId="2535" xr:uid="{00000000-0005-0000-0000-000062150000}"/>
    <cellStyle name="Normal 4 4 2 9 2" xfId="6818" xr:uid="{00000000-0005-0000-0000-000063150000}"/>
    <cellStyle name="Normal 4 4 2 9 2 2" xfId="16144" xr:uid="{3BCC125E-65F9-442B-815C-5E703AB6FC32}"/>
    <cellStyle name="Normal 4 4 2 9 2 2 2" xfId="52486" xr:uid="{922CE999-571B-4D6E-B338-A1A23A3BF4A5}"/>
    <cellStyle name="Normal 4 4 2 9 2 2 3" xfId="33890" xr:uid="{483C51D4-C3CB-4D9A-B3E3-AB76D73E579B}"/>
    <cellStyle name="Normal 4 4 2 9 2 3" xfId="43189" xr:uid="{E3864445-1E2B-4C47-BAF7-9B55F52590B3}"/>
    <cellStyle name="Normal 4 4 2 9 2 4" xfId="24591" xr:uid="{35ADEDE4-3E00-442A-92B2-69474AAB9771}"/>
    <cellStyle name="Normal 4 4 2 9 3" xfId="11927" xr:uid="{5F0AB59B-1AAA-45FE-9F3C-523248700A46}"/>
    <cellStyle name="Normal 4 4 2 9 3 2" xfId="48269" xr:uid="{B80D5026-4D17-42C5-A5B1-549DDA36CB1A}"/>
    <cellStyle name="Normal 4 4 2 9 3 3" xfId="29673" xr:uid="{C8A332E1-B5E6-445B-940F-77867ED504AA}"/>
    <cellStyle name="Normal 4 4 2 9 4" xfId="38972" xr:uid="{1968BCD5-AFF6-4AD6-9A29-632D0C44B9B7}"/>
    <cellStyle name="Normal 4 4 2 9 5" xfId="20374" xr:uid="{989A74AA-0DE3-4427-A994-CCA04E03FD14}"/>
    <cellStyle name="Normal 4 4 3" xfId="387" xr:uid="{00000000-0005-0000-0000-000064150000}"/>
    <cellStyle name="Normal 4 4 3 10" xfId="8823" xr:uid="{E623F102-F69B-4FD0-BEDA-A1480AF4D892}"/>
    <cellStyle name="Normal 4 4 3 10 2" xfId="35893" xr:uid="{5A2EE028-3B11-4FE2-93A8-CE8D958C4028}"/>
    <cellStyle name="Normal 4 4 3 10 2 2" xfId="54488" xr:uid="{FC663683-E2D8-4397-972C-B3BCE5C8376D}"/>
    <cellStyle name="Normal 4 4 3 10 3" xfId="45191" xr:uid="{1650A4C0-EA7D-4504-A47F-404BE8290267}"/>
    <cellStyle name="Normal 4 4 3 10 4" xfId="26594" xr:uid="{37447F4E-7CF4-475C-8EC1-2A652C75453D}"/>
    <cellStyle name="Normal 4 4 3 11" xfId="9870" xr:uid="{20290654-AA4A-4B24-A689-F50ED5C5CDE1}"/>
    <cellStyle name="Normal 4 4 3 11 2" xfId="46212" xr:uid="{205C7735-4061-4A6F-B510-A291FFDB8096}"/>
    <cellStyle name="Normal 4 4 3 11 3" xfId="27616" xr:uid="{832E3C7C-1B76-4061-814C-CA19151BDC57}"/>
    <cellStyle name="Normal 4 4 3 12" xfId="36915" xr:uid="{7ED71749-FF3B-44DA-88D2-B33CF0C63160}"/>
    <cellStyle name="Normal 4 4 3 13" xfId="18317" xr:uid="{27E323B4-8CB1-43F5-9214-C0F5E5F11E87}"/>
    <cellStyle name="Normal 4 4 3 2" xfId="388" xr:uid="{00000000-0005-0000-0000-000065150000}"/>
    <cellStyle name="Normal 4 4 3 2 10" xfId="9871" xr:uid="{56445ACF-C870-4752-8E11-B277BDCB19BA}"/>
    <cellStyle name="Normal 4 4 3 2 10 2" xfId="46213" xr:uid="{D9ACD220-6D1E-49E8-9C8E-C70D1B03FF55}"/>
    <cellStyle name="Normal 4 4 3 2 10 3" xfId="27617" xr:uid="{F6865DF2-0D77-4A39-B793-A630D66BEC7F}"/>
    <cellStyle name="Normal 4 4 3 2 11" xfId="36916" xr:uid="{602E86E4-203C-45AC-987D-AE2CA7D43BFB}"/>
    <cellStyle name="Normal 4 4 3 2 12" xfId="18318" xr:uid="{E87D4ECD-DEC9-4370-8A9E-B34E4212EED3}"/>
    <cellStyle name="Normal 4 4 3 2 2" xfId="389" xr:uid="{00000000-0005-0000-0000-000066150000}"/>
    <cellStyle name="Normal 4 4 3 2 2 10" xfId="36917" xr:uid="{FDEA690C-4DFA-43E4-8CBE-53B59A986C08}"/>
    <cellStyle name="Normal 4 4 3 2 2 11" xfId="18319" xr:uid="{F3D35672-4D70-4E26-86F9-C625006D6F0C}"/>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16647" xr:uid="{6DFB6861-4539-4603-B317-041294BFAD68}"/>
    <cellStyle name="Normal 4 4 3 2 2 2 2 2 2 2" xfId="52989" xr:uid="{8C8396CA-BEAE-43B9-A875-AF36603B1121}"/>
    <cellStyle name="Normal 4 4 3 2 2 2 2 2 2 3" xfId="34393" xr:uid="{49981D67-CEB2-4F15-9EAF-B980CB3B12EA}"/>
    <cellStyle name="Normal 4 4 3 2 2 2 2 2 3" xfId="43692" xr:uid="{BAD00A14-582F-48FC-959D-17649542BDA3}"/>
    <cellStyle name="Normal 4 4 3 2 2 2 2 2 4" xfId="25094" xr:uid="{C1B4C344-E032-4779-B148-2DC30B44B61D}"/>
    <cellStyle name="Normal 4 4 3 2 2 2 2 3" xfId="12430" xr:uid="{F909A836-E17F-469E-A38C-06B650D95F11}"/>
    <cellStyle name="Normal 4 4 3 2 2 2 2 3 2" xfId="48772" xr:uid="{3DDBC112-4E3D-4237-B76A-4FE8F287F009}"/>
    <cellStyle name="Normal 4 4 3 2 2 2 2 3 3" xfId="30176" xr:uid="{402FCDF5-1DDA-4FBA-AD25-BD76A568E5A4}"/>
    <cellStyle name="Normal 4 4 3 2 2 2 2 4" xfId="39475" xr:uid="{9C23AE8E-6445-402B-8BA5-DE430583FBF6}"/>
    <cellStyle name="Normal 4 4 3 2 2 2 2 5" xfId="20877" xr:uid="{574E3052-CEEE-419A-A44D-FD6167F5925B}"/>
    <cellStyle name="Normal 4 4 3 2 2 2 3" xfId="5176" xr:uid="{00000000-0005-0000-0000-00006A150000}"/>
    <cellStyle name="Normal 4 4 3 2 2 2 3 2" xfId="14502" xr:uid="{B436DCAA-2D63-45BE-A107-AA3C3E8ACA18}"/>
    <cellStyle name="Normal 4 4 3 2 2 2 3 2 2" xfId="50844" xr:uid="{51E3C9A4-81AB-46FA-9D31-760A49C11BED}"/>
    <cellStyle name="Normal 4 4 3 2 2 2 3 2 3" xfId="32248" xr:uid="{866AEC8C-6F9F-4AC6-BC1D-70C6B54902EF}"/>
    <cellStyle name="Normal 4 4 3 2 2 2 3 3" xfId="41547" xr:uid="{B0DE4B04-6343-47B0-B4B6-0C113C44764F}"/>
    <cellStyle name="Normal 4 4 3 2 2 2 3 4" xfId="22949" xr:uid="{956A368F-7EF5-42EB-B70A-C91A6D73EE6D}"/>
    <cellStyle name="Normal 4 4 3 2 2 2 4" xfId="9558" xr:uid="{8C9519E6-5920-473D-9749-EC61E4877632}"/>
    <cellStyle name="Normal 4 4 3 2 2 2 4 2" xfId="36619" xr:uid="{B5BA29CD-91B1-4C16-A04C-C79520F68283}"/>
    <cellStyle name="Normal 4 4 3 2 2 2 4 2 2" xfId="55213" xr:uid="{91EF76D6-C5F7-4038-8E05-0DEA46394465}"/>
    <cellStyle name="Normal 4 4 3 2 2 2 4 3" xfId="45916" xr:uid="{746832A9-5B3C-43C4-BADE-5909808C4FA8}"/>
    <cellStyle name="Normal 4 4 3 2 2 2 4 4" xfId="27320" xr:uid="{4F0B96FC-ACCC-4D8E-B83C-138D535C8DCC}"/>
    <cellStyle name="Normal 4 4 3 2 2 2 5" xfId="10285" xr:uid="{49C601F3-2A1B-456E-A3D1-63456A093C7D}"/>
    <cellStyle name="Normal 4 4 3 2 2 2 5 2" xfId="46627" xr:uid="{981611DE-D01E-488A-AC65-882C88E71626}"/>
    <cellStyle name="Normal 4 4 3 2 2 2 5 3" xfId="28031" xr:uid="{E88CC346-98D6-49E0-BFBD-E2B8D11DFE63}"/>
    <cellStyle name="Normal 4 4 3 2 2 2 6" xfId="37330" xr:uid="{CB0E5861-A018-4F9B-86F6-37B87A95D538}"/>
    <cellStyle name="Normal 4 4 3 2 2 2 7" xfId="18732" xr:uid="{E8CCA043-ADE1-4C56-91B2-25E3968F3C4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17060" xr:uid="{4A6F3234-FF60-4B5F-8E4D-5C0B2E0C651F}"/>
    <cellStyle name="Normal 4 4 3 2 2 3 2 2 2 2" xfId="53402" xr:uid="{FD4D8BA3-58F6-4EEE-8D81-36E955F94820}"/>
    <cellStyle name="Normal 4 4 3 2 2 3 2 2 2 3" xfId="34806" xr:uid="{3219B6D9-9754-409A-88ED-CB0F4C595BD6}"/>
    <cellStyle name="Normal 4 4 3 2 2 3 2 2 3" xfId="44105" xr:uid="{782620C0-76DD-438B-B463-35CED54D79FE}"/>
    <cellStyle name="Normal 4 4 3 2 2 3 2 2 4" xfId="25507" xr:uid="{6EFEC8F9-3302-4307-A198-7FE8CBFA6080}"/>
    <cellStyle name="Normal 4 4 3 2 2 3 2 3" xfId="12843" xr:uid="{634EED30-33C8-4DD3-B61B-9DE7A950245C}"/>
    <cellStyle name="Normal 4 4 3 2 2 3 2 3 2" xfId="49185" xr:uid="{DC55935A-F357-407C-B69A-85BB1203ABD0}"/>
    <cellStyle name="Normal 4 4 3 2 2 3 2 3 3" xfId="30589" xr:uid="{B1171589-607C-420A-AC66-9939552E596E}"/>
    <cellStyle name="Normal 4 4 3 2 2 3 2 4" xfId="39888" xr:uid="{A742B996-7A62-4C6E-8C51-47C34BF321B4}"/>
    <cellStyle name="Normal 4 4 3 2 2 3 2 5" xfId="21290" xr:uid="{CEE6409B-29D2-420E-B69A-331CB144DF1E}"/>
    <cellStyle name="Normal 4 4 3 2 2 3 3" xfId="5589" xr:uid="{00000000-0005-0000-0000-00006E150000}"/>
    <cellStyle name="Normal 4 4 3 2 2 3 3 2" xfId="14915" xr:uid="{F0091CD7-F28A-429A-97C5-319353F55CFD}"/>
    <cellStyle name="Normal 4 4 3 2 2 3 3 2 2" xfId="51257" xr:uid="{81FE1738-9C69-4FB8-ADEC-A49D095EFFFC}"/>
    <cellStyle name="Normal 4 4 3 2 2 3 3 2 3" xfId="32661" xr:uid="{442396A2-ECAC-4DF8-97DE-0938EDDBC35C}"/>
    <cellStyle name="Normal 4 4 3 2 2 3 3 3" xfId="41960" xr:uid="{41EE0F1A-B10F-49A8-93AD-2E0C1C5FA7DF}"/>
    <cellStyle name="Normal 4 4 3 2 2 3 3 4" xfId="23362" xr:uid="{EA1011BD-0B60-43ED-9615-570474632A8D}"/>
    <cellStyle name="Normal 4 4 3 2 2 3 4" xfId="10698" xr:uid="{C1D8F5BA-887F-4722-AB81-F55BF1AC2D63}"/>
    <cellStyle name="Normal 4 4 3 2 2 3 4 2" xfId="47040" xr:uid="{9D398A56-6EE7-4E0B-8517-A3A91D7C26B0}"/>
    <cellStyle name="Normal 4 4 3 2 2 3 4 3" xfId="28444" xr:uid="{6874ADA1-B84B-41E8-A9FE-5FD6F9D85767}"/>
    <cellStyle name="Normal 4 4 3 2 2 3 5" xfId="37743" xr:uid="{E487EC88-8806-4CD5-9A8A-D469861153A3}"/>
    <cellStyle name="Normal 4 4 3 2 2 3 6" xfId="19145" xr:uid="{164478EA-A44A-4FDC-B321-6DC154E7E85C}"/>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17473" xr:uid="{49932CAD-2713-4498-94C9-24EFBD00F661}"/>
    <cellStyle name="Normal 4 4 3 2 2 4 2 2 2 2" xfId="53815" xr:uid="{99C6D23B-97C9-4EC2-92D8-D080F9A4605B}"/>
    <cellStyle name="Normal 4 4 3 2 2 4 2 2 2 3" xfId="35219" xr:uid="{314583E0-4228-40B6-9D1B-115642C39364}"/>
    <cellStyle name="Normal 4 4 3 2 2 4 2 2 3" xfId="44518" xr:uid="{9133A475-E6BA-4EC5-A7CD-0222B3BB55E8}"/>
    <cellStyle name="Normal 4 4 3 2 2 4 2 2 4" xfId="25920" xr:uid="{D3A735AA-44FF-408A-8CAE-857BFAFC3716}"/>
    <cellStyle name="Normal 4 4 3 2 2 4 2 3" xfId="13256" xr:uid="{3DB90B0D-D830-413C-8603-1894CA602AF8}"/>
    <cellStyle name="Normal 4 4 3 2 2 4 2 3 2" xfId="49598" xr:uid="{A86BA28F-0426-478B-88FD-61474E07704F}"/>
    <cellStyle name="Normal 4 4 3 2 2 4 2 3 3" xfId="31002" xr:uid="{E0205CB6-819F-4908-AA41-FB0E7C22C821}"/>
    <cellStyle name="Normal 4 4 3 2 2 4 2 4" xfId="40301" xr:uid="{C2D81B48-9866-4B3F-8124-6581E60C0485}"/>
    <cellStyle name="Normal 4 4 3 2 2 4 2 5" xfId="21703" xr:uid="{9C8A7D15-5C5D-4620-860F-E7C01B41DC25}"/>
    <cellStyle name="Normal 4 4 3 2 2 4 3" xfId="6002" xr:uid="{00000000-0005-0000-0000-000072150000}"/>
    <cellStyle name="Normal 4 4 3 2 2 4 3 2" xfId="15328" xr:uid="{8BFDF0DD-BB92-444E-A8D7-AD3891A27B4E}"/>
    <cellStyle name="Normal 4 4 3 2 2 4 3 2 2" xfId="51670" xr:uid="{8528C31A-F04A-4169-ABD2-118F2DBDEEED}"/>
    <cellStyle name="Normal 4 4 3 2 2 4 3 2 3" xfId="33074" xr:uid="{DC185A3A-A621-44D6-99A5-11AA0F9F8138}"/>
    <cellStyle name="Normal 4 4 3 2 2 4 3 3" xfId="42373" xr:uid="{E19D9A5F-47AD-4E70-A9EE-3894CB7CDEE6}"/>
    <cellStyle name="Normal 4 4 3 2 2 4 3 4" xfId="23775" xr:uid="{7F21BB47-073B-4795-BADA-A4FDD7B809B3}"/>
    <cellStyle name="Normal 4 4 3 2 2 4 4" xfId="11111" xr:uid="{C617201B-DFE0-4C24-ADD2-AB98B2B84843}"/>
    <cellStyle name="Normal 4 4 3 2 2 4 4 2" xfId="47453" xr:uid="{EDC569E9-EB1D-4939-8019-6B66840BDD6B}"/>
    <cellStyle name="Normal 4 4 3 2 2 4 4 3" xfId="28857" xr:uid="{EDB10340-0B40-440B-9603-E6E157811780}"/>
    <cellStyle name="Normal 4 4 3 2 2 4 5" xfId="38156" xr:uid="{5FB82D02-D66A-4E39-AFB3-1700EF955F08}"/>
    <cellStyle name="Normal 4 4 3 2 2 4 6" xfId="19558" xr:uid="{339921CD-CF1D-44AF-8F09-1B17BD9B2B5C}"/>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17886" xr:uid="{708F69B9-0DB3-4C46-B13D-7A02F9DAFE75}"/>
    <cellStyle name="Normal 4 4 3 2 2 5 2 2 2 2" xfId="54228" xr:uid="{488EDEAD-7C88-48B2-AE56-F9B2166A006A}"/>
    <cellStyle name="Normal 4 4 3 2 2 5 2 2 2 3" xfId="35632" xr:uid="{D398EE9C-3683-4CFE-86FE-CFB169D114FE}"/>
    <cellStyle name="Normal 4 4 3 2 2 5 2 2 3" xfId="44931" xr:uid="{54326FF6-FB04-4472-9DC4-0CBD610DBBA4}"/>
    <cellStyle name="Normal 4 4 3 2 2 5 2 2 4" xfId="26333" xr:uid="{DA59B72F-B52D-45B6-B10A-4191659C9EC9}"/>
    <cellStyle name="Normal 4 4 3 2 2 5 2 3" xfId="13669" xr:uid="{377DD962-322F-40E0-BE91-E32624641C99}"/>
    <cellStyle name="Normal 4 4 3 2 2 5 2 3 2" xfId="50011" xr:uid="{4CFBA5A8-D2EB-451E-AF17-4DA43138E8D8}"/>
    <cellStyle name="Normal 4 4 3 2 2 5 2 3 3" xfId="31415" xr:uid="{EEDABD57-70F7-41B0-A146-171FE89C476D}"/>
    <cellStyle name="Normal 4 4 3 2 2 5 2 4" xfId="40714" xr:uid="{294F4A2C-07BA-49FB-9A87-17504E058D93}"/>
    <cellStyle name="Normal 4 4 3 2 2 5 2 5" xfId="22116" xr:uid="{4EF56904-511F-43DC-88C1-AB2DA2073D82}"/>
    <cellStyle name="Normal 4 4 3 2 2 5 3" xfId="6415" xr:uid="{00000000-0005-0000-0000-000076150000}"/>
    <cellStyle name="Normal 4 4 3 2 2 5 3 2" xfId="15741" xr:uid="{B457DBAD-9751-40C6-9BB1-462C0AF04EFE}"/>
    <cellStyle name="Normal 4 4 3 2 2 5 3 2 2" xfId="52083" xr:uid="{D2EE0EC2-5187-43FA-B18D-B5ACE476979E}"/>
    <cellStyle name="Normal 4 4 3 2 2 5 3 2 3" xfId="33487" xr:uid="{DCBC816D-4031-4DD8-8F63-B9DB2C943354}"/>
    <cellStyle name="Normal 4 4 3 2 2 5 3 3" xfId="42786" xr:uid="{B652C164-75BC-4C8F-93B1-5E11DCF030C8}"/>
    <cellStyle name="Normal 4 4 3 2 2 5 3 4" xfId="24188" xr:uid="{1880F0BC-112C-41CE-8BAB-B20A04774DCD}"/>
    <cellStyle name="Normal 4 4 3 2 2 5 4" xfId="11524" xr:uid="{754E92DB-27F7-4D68-B80F-E56B96E03D52}"/>
    <cellStyle name="Normal 4 4 3 2 2 5 4 2" xfId="47866" xr:uid="{FE047BEB-5F93-4858-BA62-88D4FD4DFB5C}"/>
    <cellStyle name="Normal 4 4 3 2 2 5 4 3" xfId="29270" xr:uid="{8CE74F6A-6BB0-4219-876F-B15C565CFE90}"/>
    <cellStyle name="Normal 4 4 3 2 2 5 5" xfId="38569" xr:uid="{85F2A4F4-AA65-45C7-A5DF-74DCB6538286}"/>
    <cellStyle name="Normal 4 4 3 2 2 5 6" xfId="19971" xr:uid="{7C86E106-8A8C-4F68-B644-D85A5F7C1488}"/>
    <cellStyle name="Normal 4 4 3 2 2 6" xfId="2545" xr:uid="{00000000-0005-0000-0000-000077150000}"/>
    <cellStyle name="Normal 4 4 3 2 2 6 2" xfId="6828" xr:uid="{00000000-0005-0000-0000-000078150000}"/>
    <cellStyle name="Normal 4 4 3 2 2 6 2 2" xfId="16154" xr:uid="{2C6E094A-9D47-4F9F-828F-ABD7A34B2296}"/>
    <cellStyle name="Normal 4 4 3 2 2 6 2 2 2" xfId="52496" xr:uid="{B2A4385C-A8BE-440A-937A-32FE13CBF8EC}"/>
    <cellStyle name="Normal 4 4 3 2 2 6 2 2 3" xfId="33900" xr:uid="{077DA654-639C-4966-BB99-F1844E77CC3F}"/>
    <cellStyle name="Normal 4 4 3 2 2 6 2 3" xfId="43199" xr:uid="{85560A51-951A-4744-BB07-A62BF1C23295}"/>
    <cellStyle name="Normal 4 4 3 2 2 6 2 4" xfId="24601" xr:uid="{235AFF28-D41E-4B64-B52B-9DD445812742}"/>
    <cellStyle name="Normal 4 4 3 2 2 6 3" xfId="11937" xr:uid="{5636F781-0448-4CB3-BA38-ACC8BECBB192}"/>
    <cellStyle name="Normal 4 4 3 2 2 6 3 2" xfId="48279" xr:uid="{992BD1D8-B921-4B82-9DCD-B35FB3702298}"/>
    <cellStyle name="Normal 4 4 3 2 2 6 3 3" xfId="29683" xr:uid="{EC4788E7-8BF2-4A8E-976F-E3F657A92FB0}"/>
    <cellStyle name="Normal 4 4 3 2 2 6 4" xfId="38982" xr:uid="{C48CFC64-12E8-4537-96E2-58C629F90085}"/>
    <cellStyle name="Normal 4 4 3 2 2 6 5" xfId="20384" xr:uid="{2D7D2F60-4182-456E-836C-F043FB0D8111}"/>
    <cellStyle name="Normal 4 4 3 2 2 7" xfId="4763" xr:uid="{00000000-0005-0000-0000-000079150000}"/>
    <cellStyle name="Normal 4 4 3 2 2 7 2" xfId="14089" xr:uid="{3E1EA953-61F5-484A-B429-13B9C86EF45C}"/>
    <cellStyle name="Normal 4 4 3 2 2 7 2 2" xfId="50431" xr:uid="{2C38AE2F-5260-46C2-9D87-8180619F335F}"/>
    <cellStyle name="Normal 4 4 3 2 2 7 2 3" xfId="31835" xr:uid="{4C5030F1-B3AF-4850-A131-FDA27267F16E}"/>
    <cellStyle name="Normal 4 4 3 2 2 7 3" xfId="41134" xr:uid="{35EFBDB8-C774-410C-92BA-F1C9EDECCABD}"/>
    <cellStyle name="Normal 4 4 3 2 2 7 4" xfId="22536" xr:uid="{025F1905-BCD0-4276-8F23-1C9C5981588A}"/>
    <cellStyle name="Normal 4 4 3 2 2 8" xfId="9133" xr:uid="{37002A66-D58A-4EF9-8D22-8F1A3EE99E08}"/>
    <cellStyle name="Normal 4 4 3 2 2 8 2" xfId="36203" xr:uid="{FDB6A514-8EB1-4DEE-8AFA-D724302FA74A}"/>
    <cellStyle name="Normal 4 4 3 2 2 8 2 2" xfId="54798" xr:uid="{78B9A7F7-770C-4E71-A724-5C31DF396A2E}"/>
    <cellStyle name="Normal 4 4 3 2 2 8 3" xfId="45501" xr:uid="{0DE62F83-0CC8-4781-B87F-AAD82ECF774D}"/>
    <cellStyle name="Normal 4 4 3 2 2 8 4" xfId="26904" xr:uid="{5C560F5A-92C6-4AA2-9EE0-823FD59F53C7}"/>
    <cellStyle name="Normal 4 4 3 2 2 9" xfId="9872" xr:uid="{E926DA94-E44F-4AAA-8B42-316474634D06}"/>
    <cellStyle name="Normal 4 4 3 2 2 9 2" xfId="46214" xr:uid="{35EF17A9-8B11-4DBD-9061-1B662DF81BA0}"/>
    <cellStyle name="Normal 4 4 3 2 2 9 3" xfId="27618" xr:uid="{9E945D2A-B6F3-46CB-952E-2CA7AA7C36C6}"/>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16646" xr:uid="{94C830D2-CDF3-4EAC-AE46-6E2BE7BC5A04}"/>
    <cellStyle name="Normal 4 4 3 2 3 2 2 2 2" xfId="52988" xr:uid="{B8D7BE2E-600A-4B07-AECC-56F7D1FA6531}"/>
    <cellStyle name="Normal 4 4 3 2 3 2 2 2 3" xfId="34392" xr:uid="{9498B20A-8B75-42C8-AA79-72820B2AF0BE}"/>
    <cellStyle name="Normal 4 4 3 2 3 2 2 3" xfId="43691" xr:uid="{8FB26779-1AE8-46D7-BCA1-9D8393E8D390}"/>
    <cellStyle name="Normal 4 4 3 2 3 2 2 4" xfId="25093" xr:uid="{3BAE0F7D-F251-4751-ACEF-E4F6344D0C99}"/>
    <cellStyle name="Normal 4 4 3 2 3 2 3" xfId="12429" xr:uid="{76943E75-C25D-4F8F-B2A4-C74E46ED6B3A}"/>
    <cellStyle name="Normal 4 4 3 2 3 2 3 2" xfId="48771" xr:uid="{5B550A71-41D8-4D2C-87BC-A920EDE28EC3}"/>
    <cellStyle name="Normal 4 4 3 2 3 2 3 3" xfId="30175" xr:uid="{0094EAAA-4163-4CF9-8E82-52DA29ACD147}"/>
    <cellStyle name="Normal 4 4 3 2 3 2 4" xfId="39474" xr:uid="{8C6E5BED-75B9-44E5-8D14-111B24C7C74A}"/>
    <cellStyle name="Normal 4 4 3 2 3 2 5" xfId="20876" xr:uid="{FA66AF96-C1FA-4A42-8041-86F5DEFFAEDB}"/>
    <cellStyle name="Normal 4 4 3 2 3 3" xfId="5175" xr:uid="{00000000-0005-0000-0000-00007D150000}"/>
    <cellStyle name="Normal 4 4 3 2 3 3 2" xfId="14501" xr:uid="{D581529F-EB53-45E0-8956-2592CA317093}"/>
    <cellStyle name="Normal 4 4 3 2 3 3 2 2" xfId="50843" xr:uid="{394389B0-CD46-4F0D-B762-B950EAB6FCDA}"/>
    <cellStyle name="Normal 4 4 3 2 3 3 2 3" xfId="32247" xr:uid="{811FD0D6-A619-4D32-8683-310CC2183C82}"/>
    <cellStyle name="Normal 4 4 3 2 3 3 3" xfId="41546" xr:uid="{75675174-1969-4E2A-95C9-6F9F0E06F78C}"/>
    <cellStyle name="Normal 4 4 3 2 3 3 4" xfId="22948" xr:uid="{D1FC0959-8BC8-42DF-8980-62981314EDBA}"/>
    <cellStyle name="Normal 4 4 3 2 3 4" xfId="9351" xr:uid="{51AD2B95-755A-411D-AA40-98381F5D8294}"/>
    <cellStyle name="Normal 4 4 3 2 3 4 2" xfId="36412" xr:uid="{97DD2078-1148-4E0A-850E-4DC26A6165F5}"/>
    <cellStyle name="Normal 4 4 3 2 3 4 2 2" xfId="55006" xr:uid="{96DA4F8F-D52A-4F42-8265-F2CB4AC29FB8}"/>
    <cellStyle name="Normal 4 4 3 2 3 4 3" xfId="45709" xr:uid="{BF9A6BCF-0785-4A8C-B535-1518F369266E}"/>
    <cellStyle name="Normal 4 4 3 2 3 4 4" xfId="27113" xr:uid="{895F8668-388C-4973-91BA-D828A6B2F91E}"/>
    <cellStyle name="Normal 4 4 3 2 3 5" xfId="10284" xr:uid="{876D2867-545D-4DF8-A599-C54D17748080}"/>
    <cellStyle name="Normal 4 4 3 2 3 5 2" xfId="46626" xr:uid="{61C325A8-83B1-4506-9115-B7B7B642DEB2}"/>
    <cellStyle name="Normal 4 4 3 2 3 5 3" xfId="28030" xr:uid="{AF383E4F-9C81-421E-84A6-23E01A98218D}"/>
    <cellStyle name="Normal 4 4 3 2 3 6" xfId="37329" xr:uid="{39C09B9C-763C-416E-B981-8C7358BBFA82}"/>
    <cellStyle name="Normal 4 4 3 2 3 7" xfId="18731" xr:uid="{A780AFB6-8EFB-4076-BDEF-7D039A37F50E}"/>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17059" xr:uid="{B4D67131-FE60-4445-921D-3EC7CEF6EAEB}"/>
    <cellStyle name="Normal 4 4 3 2 4 2 2 2 2" xfId="53401" xr:uid="{128B08DF-A7B7-4B3D-8C0B-608CFAC5302D}"/>
    <cellStyle name="Normal 4 4 3 2 4 2 2 2 3" xfId="34805" xr:uid="{864E632D-4487-4BF8-9A90-A37652D81420}"/>
    <cellStyle name="Normal 4 4 3 2 4 2 2 3" xfId="44104" xr:uid="{7C45D3D9-C830-4571-9AE3-BC0AEF4FB830}"/>
    <cellStyle name="Normal 4 4 3 2 4 2 2 4" xfId="25506" xr:uid="{FFE65B69-0177-4B79-9D2E-73CDA80ADA36}"/>
    <cellStyle name="Normal 4 4 3 2 4 2 3" xfId="12842" xr:uid="{5864423E-D1E4-4DF0-880A-856B7C0F8F7F}"/>
    <cellStyle name="Normal 4 4 3 2 4 2 3 2" xfId="49184" xr:uid="{E2D1B83F-3B1B-4FD2-8EEA-C974143FC9F6}"/>
    <cellStyle name="Normal 4 4 3 2 4 2 3 3" xfId="30588" xr:uid="{F34CDC64-2325-4937-B804-912A3710B061}"/>
    <cellStyle name="Normal 4 4 3 2 4 2 4" xfId="39887" xr:uid="{7DCB654D-F77F-460E-9106-9583AD68394D}"/>
    <cellStyle name="Normal 4 4 3 2 4 2 5" xfId="21289" xr:uid="{4553B2B0-8DE6-416E-926C-9F75C6337BCB}"/>
    <cellStyle name="Normal 4 4 3 2 4 3" xfId="5588" xr:uid="{00000000-0005-0000-0000-000081150000}"/>
    <cellStyle name="Normal 4 4 3 2 4 3 2" xfId="14914" xr:uid="{0E4FDBB9-1137-4C09-888C-B40AA6FD1C5C}"/>
    <cellStyle name="Normal 4 4 3 2 4 3 2 2" xfId="51256" xr:uid="{AB5B8DAE-A841-478A-A96C-19EB8B79AC46}"/>
    <cellStyle name="Normal 4 4 3 2 4 3 2 3" xfId="32660" xr:uid="{9D7AC211-6DAF-4E75-9252-DA61EAC744E7}"/>
    <cellStyle name="Normal 4 4 3 2 4 3 3" xfId="41959" xr:uid="{FB5F7A35-046F-4A26-926B-FFF609163666}"/>
    <cellStyle name="Normal 4 4 3 2 4 3 4" xfId="23361" xr:uid="{0A36674B-C9CF-421B-AA46-2D4E31DB7F07}"/>
    <cellStyle name="Normal 4 4 3 2 4 4" xfId="10697" xr:uid="{8A1EEF4C-9E87-459D-AA88-D2552CE4F3FD}"/>
    <cellStyle name="Normal 4 4 3 2 4 4 2" xfId="47039" xr:uid="{7214E885-D129-48B6-8037-304C10B18CF1}"/>
    <cellStyle name="Normal 4 4 3 2 4 4 3" xfId="28443" xr:uid="{F6BED33D-9468-46D7-8FF3-CD20F4500EA3}"/>
    <cellStyle name="Normal 4 4 3 2 4 5" xfId="37742" xr:uid="{C9794BDC-10F4-4078-8C32-A07C54D56A5E}"/>
    <cellStyle name="Normal 4 4 3 2 4 6" xfId="19144" xr:uid="{A9C015CC-9BCD-4AF2-BCEA-15F362E234D5}"/>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17472" xr:uid="{E7F260D0-AEE8-415D-BA1E-AD857783CDDF}"/>
    <cellStyle name="Normal 4 4 3 2 5 2 2 2 2" xfId="53814" xr:uid="{CA92ACC1-F75A-4600-BF41-734AED6B0388}"/>
    <cellStyle name="Normal 4 4 3 2 5 2 2 2 3" xfId="35218" xr:uid="{4747953C-F923-4B5D-AF9A-06BBDD87071A}"/>
    <cellStyle name="Normal 4 4 3 2 5 2 2 3" xfId="44517" xr:uid="{B6AA9CA1-C218-4BBF-AB86-BBEE1B847D4E}"/>
    <cellStyle name="Normal 4 4 3 2 5 2 2 4" xfId="25919" xr:uid="{B12E632C-995B-4BAB-8701-8B570FECA866}"/>
    <cellStyle name="Normal 4 4 3 2 5 2 3" xfId="13255" xr:uid="{4672E0C0-A4AB-4B4C-9178-62FDD28E132C}"/>
    <cellStyle name="Normal 4 4 3 2 5 2 3 2" xfId="49597" xr:uid="{0EC2CED8-7414-4C66-AE7A-5E3C2695A432}"/>
    <cellStyle name="Normal 4 4 3 2 5 2 3 3" xfId="31001" xr:uid="{60D890BE-BE16-4FD6-98A6-0B87B493069D}"/>
    <cellStyle name="Normal 4 4 3 2 5 2 4" xfId="40300" xr:uid="{9DDAF261-C4E9-4196-B39B-9564990CDD8A}"/>
    <cellStyle name="Normal 4 4 3 2 5 2 5" xfId="21702" xr:uid="{74D32439-3CF0-4E22-9092-EA9E74037032}"/>
    <cellStyle name="Normal 4 4 3 2 5 3" xfId="6001" xr:uid="{00000000-0005-0000-0000-000085150000}"/>
    <cellStyle name="Normal 4 4 3 2 5 3 2" xfId="15327" xr:uid="{F7EF28C1-7C2F-45C7-BF73-4B28C56D5C75}"/>
    <cellStyle name="Normal 4 4 3 2 5 3 2 2" xfId="51669" xr:uid="{1732869E-087B-4972-84A4-6AB536C12094}"/>
    <cellStyle name="Normal 4 4 3 2 5 3 2 3" xfId="33073" xr:uid="{36F281BF-FA15-4225-A02A-273EE2868924}"/>
    <cellStyle name="Normal 4 4 3 2 5 3 3" xfId="42372" xr:uid="{23B78D47-FAD9-4D3E-8C6D-570A2578E20F}"/>
    <cellStyle name="Normal 4 4 3 2 5 3 4" xfId="23774" xr:uid="{80F0C0D6-1165-44C2-8123-FCA728884BF2}"/>
    <cellStyle name="Normal 4 4 3 2 5 4" xfId="11110" xr:uid="{C0C1397A-E140-41AE-9800-339A1B76D8D5}"/>
    <cellStyle name="Normal 4 4 3 2 5 4 2" xfId="47452" xr:uid="{42E550B3-BFA3-4385-A61A-4FCD8C07A1E4}"/>
    <cellStyle name="Normal 4 4 3 2 5 4 3" xfId="28856" xr:uid="{53C21A89-1457-40B4-8189-8A13F2EC8CA4}"/>
    <cellStyle name="Normal 4 4 3 2 5 5" xfId="38155" xr:uid="{F6ACE4EE-88F5-4150-9C5B-C8FF06E9A4B8}"/>
    <cellStyle name="Normal 4 4 3 2 5 6" xfId="19557" xr:uid="{C0DBEA20-30D4-4469-88AB-22542D677290}"/>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17885" xr:uid="{DC30076F-7D45-4CD9-ABF1-FC55430DAA97}"/>
    <cellStyle name="Normal 4 4 3 2 6 2 2 2 2" xfId="54227" xr:uid="{1D678418-8F35-4325-B61E-1E55F10EF654}"/>
    <cellStyle name="Normal 4 4 3 2 6 2 2 2 3" xfId="35631" xr:uid="{31DC5D85-B39F-4843-8018-95AD64A7791C}"/>
    <cellStyle name="Normal 4 4 3 2 6 2 2 3" xfId="44930" xr:uid="{34C4E0E8-5302-4CF5-B443-ADA25752E96D}"/>
    <cellStyle name="Normal 4 4 3 2 6 2 2 4" xfId="26332" xr:uid="{D2E8EEB8-3409-43A5-B32F-25E0435CFD8C}"/>
    <cellStyle name="Normal 4 4 3 2 6 2 3" xfId="13668" xr:uid="{99FDE7B9-5708-411E-B405-CE73203B0442}"/>
    <cellStyle name="Normal 4 4 3 2 6 2 3 2" xfId="50010" xr:uid="{9C509C6D-960C-457B-9BC0-B21212A4E47F}"/>
    <cellStyle name="Normal 4 4 3 2 6 2 3 3" xfId="31414" xr:uid="{378F5C47-9EEC-462E-BF48-B998CE790EFE}"/>
    <cellStyle name="Normal 4 4 3 2 6 2 4" xfId="40713" xr:uid="{2183C72A-1463-42ED-9A1E-275DDEE04764}"/>
    <cellStyle name="Normal 4 4 3 2 6 2 5" xfId="22115" xr:uid="{1EE08CDC-0DC8-41DC-A24E-28CB028E258A}"/>
    <cellStyle name="Normal 4 4 3 2 6 3" xfId="6414" xr:uid="{00000000-0005-0000-0000-000089150000}"/>
    <cellStyle name="Normal 4 4 3 2 6 3 2" xfId="15740" xr:uid="{02E361DA-7D73-4699-B12C-8C84B0641091}"/>
    <cellStyle name="Normal 4 4 3 2 6 3 2 2" xfId="52082" xr:uid="{EFBE81C5-7484-4143-BEC9-252F3022AF99}"/>
    <cellStyle name="Normal 4 4 3 2 6 3 2 3" xfId="33486" xr:uid="{4913B4A6-F757-444D-9828-BF4A9435FF2E}"/>
    <cellStyle name="Normal 4 4 3 2 6 3 3" xfId="42785" xr:uid="{F97065B1-47B8-41DA-B028-432B94F90A42}"/>
    <cellStyle name="Normal 4 4 3 2 6 3 4" xfId="24187" xr:uid="{8358C0BC-DA9A-4C08-8F1E-1F650DFDA39B}"/>
    <cellStyle name="Normal 4 4 3 2 6 4" xfId="11523" xr:uid="{E1C4C54D-A918-495C-B10D-815C4B34192D}"/>
    <cellStyle name="Normal 4 4 3 2 6 4 2" xfId="47865" xr:uid="{B1E64C55-5C75-4A5B-93E6-12A234BCA66E}"/>
    <cellStyle name="Normal 4 4 3 2 6 4 3" xfId="29269" xr:uid="{B9C04EBD-9319-4B95-B649-C373D5533FA8}"/>
    <cellStyle name="Normal 4 4 3 2 6 5" xfId="38568" xr:uid="{5070FAF6-98EC-4FAE-A2F6-257F7B85DEB7}"/>
    <cellStyle name="Normal 4 4 3 2 6 6" xfId="19970" xr:uid="{913B7AEE-4C20-43A4-8C39-EC60EF7FEE23}"/>
    <cellStyle name="Normal 4 4 3 2 7" xfId="2544" xr:uid="{00000000-0005-0000-0000-00008A150000}"/>
    <cellStyle name="Normal 4 4 3 2 7 2" xfId="6827" xr:uid="{00000000-0005-0000-0000-00008B150000}"/>
    <cellStyle name="Normal 4 4 3 2 7 2 2" xfId="16153" xr:uid="{B863E0D8-B0ED-41B0-BB53-770F86637D19}"/>
    <cellStyle name="Normal 4 4 3 2 7 2 2 2" xfId="52495" xr:uid="{D1151000-A6C4-46C3-B345-ADCF985D29F1}"/>
    <cellStyle name="Normal 4 4 3 2 7 2 2 3" xfId="33899" xr:uid="{C626A901-922A-409A-8AFB-8A7E4F647052}"/>
    <cellStyle name="Normal 4 4 3 2 7 2 3" xfId="43198" xr:uid="{8EE39638-E156-4581-A1E1-1C93A2F4F91D}"/>
    <cellStyle name="Normal 4 4 3 2 7 2 4" xfId="24600" xr:uid="{4E539A19-9E1D-41E3-8868-C763FA645FF9}"/>
    <cellStyle name="Normal 4 4 3 2 7 3" xfId="11936" xr:uid="{9FE6D8B7-A0E9-4BEF-BBF8-AE6FE6C9134D}"/>
    <cellStyle name="Normal 4 4 3 2 7 3 2" xfId="48278" xr:uid="{29F3D89D-A0C0-4BFA-B051-C4BEDFEBE773}"/>
    <cellStyle name="Normal 4 4 3 2 7 3 3" xfId="29682" xr:uid="{5EFEA605-9649-4535-B5A3-926D9C188F52}"/>
    <cellStyle name="Normal 4 4 3 2 7 4" xfId="38981" xr:uid="{269D5D02-626E-4A11-8BAA-27BF13EC92F0}"/>
    <cellStyle name="Normal 4 4 3 2 7 5" xfId="20383" xr:uid="{8D8C8E19-3D88-4766-B197-98ED9E663290}"/>
    <cellStyle name="Normal 4 4 3 2 8" xfId="4762" xr:uid="{00000000-0005-0000-0000-00008C150000}"/>
    <cellStyle name="Normal 4 4 3 2 8 2" xfId="14088" xr:uid="{A64903E5-4219-4391-9837-8B0232E91276}"/>
    <cellStyle name="Normal 4 4 3 2 8 2 2" xfId="50430" xr:uid="{4F69A208-3097-48B3-97C8-BF69F31D688A}"/>
    <cellStyle name="Normal 4 4 3 2 8 2 3" xfId="31834" xr:uid="{60246D66-BD55-4005-B02D-79CE906E7921}"/>
    <cellStyle name="Normal 4 4 3 2 8 3" xfId="41133" xr:uid="{A11A105A-AB32-4188-93BA-4AAA588D4BC0}"/>
    <cellStyle name="Normal 4 4 3 2 8 4" xfId="22535" xr:uid="{1C26CDB2-95D7-4412-BE36-39CD3105F07E}"/>
    <cellStyle name="Normal 4 4 3 2 9" xfId="8926" xr:uid="{821D1F47-EF8D-4C64-BA70-5606A81A57B5}"/>
    <cellStyle name="Normal 4 4 3 2 9 2" xfId="35996" xr:uid="{A3BFAAD4-CC7E-4EE0-92AF-B83F64264203}"/>
    <cellStyle name="Normal 4 4 3 2 9 2 2" xfId="54591" xr:uid="{4B9F7924-59D0-4C18-9FE7-42BF984D663B}"/>
    <cellStyle name="Normal 4 4 3 2 9 3" xfId="45294" xr:uid="{18B26887-3F2F-4440-A10C-703C850C1908}"/>
    <cellStyle name="Normal 4 4 3 2 9 4" xfId="26697" xr:uid="{BAAB2CB9-9ACC-406A-959D-C40A96832929}"/>
    <cellStyle name="Normal 4 4 3 3" xfId="390" xr:uid="{00000000-0005-0000-0000-00008D150000}"/>
    <cellStyle name="Normal 4 4 3 3 10" xfId="36918" xr:uid="{573489B6-BD09-4CDF-B793-B7D86E1F0EF7}"/>
    <cellStyle name="Normal 4 4 3 3 11" xfId="18320" xr:uid="{4A88B6A8-A997-460A-80A9-3DF5F2393576}"/>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16648" xr:uid="{F1B994A2-552A-4EA5-8160-FF9D845AF0A9}"/>
    <cellStyle name="Normal 4 4 3 3 2 2 2 2 2" xfId="52990" xr:uid="{5A8FA656-A937-4917-9898-DD52A4ECD2F0}"/>
    <cellStyle name="Normal 4 4 3 3 2 2 2 2 3" xfId="34394" xr:uid="{66956836-D4CC-4B99-B47D-1DB865796B11}"/>
    <cellStyle name="Normal 4 4 3 3 2 2 2 3" xfId="43693" xr:uid="{28FAA5D7-062F-487A-B5B5-326EB66A0152}"/>
    <cellStyle name="Normal 4 4 3 3 2 2 2 4" xfId="25095" xr:uid="{8A1CEC22-9983-4062-9ACE-5C98085B9553}"/>
    <cellStyle name="Normal 4 4 3 3 2 2 3" xfId="12431" xr:uid="{6770E2C2-CBA6-410B-8BF3-72D536FB48B1}"/>
    <cellStyle name="Normal 4 4 3 3 2 2 3 2" xfId="48773" xr:uid="{52075332-0361-4884-A6F4-D61DF32FE970}"/>
    <cellStyle name="Normal 4 4 3 3 2 2 3 3" xfId="30177" xr:uid="{3DA6EBDB-93E7-4933-AC09-315C259940F9}"/>
    <cellStyle name="Normal 4 4 3 3 2 2 4" xfId="39476" xr:uid="{236BB842-2B84-4BC6-8C7F-5CB393044CE7}"/>
    <cellStyle name="Normal 4 4 3 3 2 2 5" xfId="20878" xr:uid="{3C8DD6E7-B233-430A-91FC-3FA89E6EE00E}"/>
    <cellStyle name="Normal 4 4 3 3 2 3" xfId="5177" xr:uid="{00000000-0005-0000-0000-000091150000}"/>
    <cellStyle name="Normal 4 4 3 3 2 3 2" xfId="14503" xr:uid="{DD04F6D4-9993-42D3-8023-8AEEDF08574D}"/>
    <cellStyle name="Normal 4 4 3 3 2 3 2 2" xfId="50845" xr:uid="{17EFF2C3-65BC-4450-ADDA-57A3144F3EB4}"/>
    <cellStyle name="Normal 4 4 3 3 2 3 2 3" xfId="32249" xr:uid="{41A1ABFB-77BC-40EA-AFF3-60E4910F6D22}"/>
    <cellStyle name="Normal 4 4 3 3 2 3 3" xfId="41548" xr:uid="{69BAC761-B358-467C-B217-C72DAC48AD39}"/>
    <cellStyle name="Normal 4 4 3 3 2 3 4" xfId="22950" xr:uid="{0B630E69-2823-4245-953E-CFBC1E316BCE}"/>
    <cellStyle name="Normal 4 4 3 3 2 4" xfId="9455" xr:uid="{E39EB3A2-D99A-426C-AFEC-E4C90C85BE02}"/>
    <cellStyle name="Normal 4 4 3 3 2 4 2" xfId="36516" xr:uid="{43A94FC4-19B9-48B2-972F-A7A4A56C1670}"/>
    <cellStyle name="Normal 4 4 3 3 2 4 2 2" xfId="55110" xr:uid="{E01B12C8-C137-4527-9E5F-AC0AF80DA0A4}"/>
    <cellStyle name="Normal 4 4 3 3 2 4 3" xfId="45813" xr:uid="{AF8599D5-4419-4038-9689-4FE4413A67D3}"/>
    <cellStyle name="Normal 4 4 3 3 2 4 4" xfId="27217" xr:uid="{18AEC855-0AE4-4EAE-87EF-E7004E63BAD8}"/>
    <cellStyle name="Normal 4 4 3 3 2 5" xfId="10286" xr:uid="{D2842FBA-0701-4F25-9F6B-C8687BCF3367}"/>
    <cellStyle name="Normal 4 4 3 3 2 5 2" xfId="46628" xr:uid="{AC44C7F7-3316-4C29-8682-C0791CD2BB0F}"/>
    <cellStyle name="Normal 4 4 3 3 2 5 3" xfId="28032" xr:uid="{14881F82-3495-4FE7-9EB3-A537FEE4F4DB}"/>
    <cellStyle name="Normal 4 4 3 3 2 6" xfId="37331" xr:uid="{1D0070A4-AABE-4DB3-A855-A5D34F10ECFF}"/>
    <cellStyle name="Normal 4 4 3 3 2 7" xfId="18733" xr:uid="{B661787F-50E3-4708-A95C-09A7D881A23F}"/>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17061" xr:uid="{9E3C0AAB-AE3E-4EF7-95EC-21B1E90D89E1}"/>
    <cellStyle name="Normal 4 4 3 3 3 2 2 2 2" xfId="53403" xr:uid="{A1DA12FA-4889-48E8-A7F8-C6CEC9228E0F}"/>
    <cellStyle name="Normal 4 4 3 3 3 2 2 2 3" xfId="34807" xr:uid="{0FC7258B-3F5B-4C23-A5D8-E06ABABE3706}"/>
    <cellStyle name="Normal 4 4 3 3 3 2 2 3" xfId="44106" xr:uid="{6524141E-52DA-4C59-B4D2-C262FFA398C9}"/>
    <cellStyle name="Normal 4 4 3 3 3 2 2 4" xfId="25508" xr:uid="{315CE563-0DE1-4A3B-8049-345DF1A0B444}"/>
    <cellStyle name="Normal 4 4 3 3 3 2 3" xfId="12844" xr:uid="{16411AF5-DB77-4700-A18B-730A04E54162}"/>
    <cellStyle name="Normal 4 4 3 3 3 2 3 2" xfId="49186" xr:uid="{B3743B80-26B2-48AD-A392-C3958120D79D}"/>
    <cellStyle name="Normal 4 4 3 3 3 2 3 3" xfId="30590" xr:uid="{866A02BD-0040-4DA4-BB05-383DAC0CADB9}"/>
    <cellStyle name="Normal 4 4 3 3 3 2 4" xfId="39889" xr:uid="{D593B4E7-6898-492D-B240-DB4B37465484}"/>
    <cellStyle name="Normal 4 4 3 3 3 2 5" xfId="21291" xr:uid="{C7BB05A3-2560-4449-8BD9-01B9665FF030}"/>
    <cellStyle name="Normal 4 4 3 3 3 3" xfId="5590" xr:uid="{00000000-0005-0000-0000-000095150000}"/>
    <cellStyle name="Normal 4 4 3 3 3 3 2" xfId="14916" xr:uid="{2D405420-B00B-43FC-A770-3F5900422DC9}"/>
    <cellStyle name="Normal 4 4 3 3 3 3 2 2" xfId="51258" xr:uid="{8CD16F58-DB48-4D51-9442-92E0C01FFD81}"/>
    <cellStyle name="Normal 4 4 3 3 3 3 2 3" xfId="32662" xr:uid="{701617AF-5447-41C9-9AF8-F826C8571946}"/>
    <cellStyle name="Normal 4 4 3 3 3 3 3" xfId="41961" xr:uid="{47AE5362-C012-44E4-AB38-E7E23CCBD365}"/>
    <cellStyle name="Normal 4 4 3 3 3 3 4" xfId="23363" xr:uid="{4373905A-C049-4A10-B38C-BA1E859AAA64}"/>
    <cellStyle name="Normal 4 4 3 3 3 4" xfId="10699" xr:uid="{B0550D59-9487-4080-BC72-AD55E56B83B6}"/>
    <cellStyle name="Normal 4 4 3 3 3 4 2" xfId="47041" xr:uid="{670285E4-A40B-43C1-8B66-A2A92BAD4CC2}"/>
    <cellStyle name="Normal 4 4 3 3 3 4 3" xfId="28445" xr:uid="{580FE72B-7906-463F-8CBD-5C5FFB6BA055}"/>
    <cellStyle name="Normal 4 4 3 3 3 5" xfId="37744" xr:uid="{C04F74CD-536E-4F2D-818E-B6BA92F359E3}"/>
    <cellStyle name="Normal 4 4 3 3 3 6" xfId="19146" xr:uid="{1982A9C2-4C9F-4EF5-B537-9CEB19EF9479}"/>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17474" xr:uid="{FA3FB2B6-3D13-476D-A944-A71368751D1D}"/>
    <cellStyle name="Normal 4 4 3 3 4 2 2 2 2" xfId="53816" xr:uid="{EC26608C-572E-490C-BE37-232E74B4712B}"/>
    <cellStyle name="Normal 4 4 3 3 4 2 2 2 3" xfId="35220" xr:uid="{5C6263ED-979E-4D35-9C73-9D5F4A68A875}"/>
    <cellStyle name="Normal 4 4 3 3 4 2 2 3" xfId="44519" xr:uid="{276E3C5C-CF97-424C-AE9D-635705D7D9C4}"/>
    <cellStyle name="Normal 4 4 3 3 4 2 2 4" xfId="25921" xr:uid="{C23BEDD3-33B3-4553-B125-83CAF728043E}"/>
    <cellStyle name="Normal 4 4 3 3 4 2 3" xfId="13257" xr:uid="{981ADD91-2C19-4000-B408-9038D1F585F9}"/>
    <cellStyle name="Normal 4 4 3 3 4 2 3 2" xfId="49599" xr:uid="{9BAF149C-816C-4E0F-89D0-6DA655EF3737}"/>
    <cellStyle name="Normal 4 4 3 3 4 2 3 3" xfId="31003" xr:uid="{F534ACC6-B4FC-42BF-9789-FB1C3CBB8C1C}"/>
    <cellStyle name="Normal 4 4 3 3 4 2 4" xfId="40302" xr:uid="{1EE5505F-A3D3-4E05-9801-1A508DCBCF4B}"/>
    <cellStyle name="Normal 4 4 3 3 4 2 5" xfId="21704" xr:uid="{86BB9EAC-B649-4F48-B47F-E06A46FABDA9}"/>
    <cellStyle name="Normal 4 4 3 3 4 3" xfId="6003" xr:uid="{00000000-0005-0000-0000-000099150000}"/>
    <cellStyle name="Normal 4 4 3 3 4 3 2" xfId="15329" xr:uid="{BA838627-A1B4-45F0-84AB-0BACE7CA01CD}"/>
    <cellStyle name="Normal 4 4 3 3 4 3 2 2" xfId="51671" xr:uid="{412140FB-DC30-4C0E-BE8B-81516FFB9CEE}"/>
    <cellStyle name="Normal 4 4 3 3 4 3 2 3" xfId="33075" xr:uid="{0621D437-6A34-45B6-BAB6-4CC19C1D451A}"/>
    <cellStyle name="Normal 4 4 3 3 4 3 3" xfId="42374" xr:uid="{1EF3C3B9-9683-4A8A-8E23-641DD72B991D}"/>
    <cellStyle name="Normal 4 4 3 3 4 3 4" xfId="23776" xr:uid="{B6E5D95D-39B5-4D54-A4C2-0C80EC141E4E}"/>
    <cellStyle name="Normal 4 4 3 3 4 4" xfId="11112" xr:uid="{24E7FE9D-3102-4EF9-89F5-4E01FB4166C0}"/>
    <cellStyle name="Normal 4 4 3 3 4 4 2" xfId="47454" xr:uid="{3AEADB57-9014-4B87-8E1E-3631E050DDC8}"/>
    <cellStyle name="Normal 4 4 3 3 4 4 3" xfId="28858" xr:uid="{D5AFC634-6476-46D1-9591-42360F28677F}"/>
    <cellStyle name="Normal 4 4 3 3 4 5" xfId="38157" xr:uid="{E6994657-C13F-48EE-BECB-B239C1514942}"/>
    <cellStyle name="Normal 4 4 3 3 4 6" xfId="19559" xr:uid="{E144F518-D28B-41F0-807A-BBF1BB2CB316}"/>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17887" xr:uid="{25FA565B-8103-487A-8240-BA228D225918}"/>
    <cellStyle name="Normal 4 4 3 3 5 2 2 2 2" xfId="54229" xr:uid="{0CE43965-7E06-4B5E-86AD-08FF46E7D036}"/>
    <cellStyle name="Normal 4 4 3 3 5 2 2 2 3" xfId="35633" xr:uid="{7BFD97CD-193A-4A09-BF86-C76774154BBA}"/>
    <cellStyle name="Normal 4 4 3 3 5 2 2 3" xfId="44932" xr:uid="{5EE289AB-65D4-4375-9915-0B9EDA2D946E}"/>
    <cellStyle name="Normal 4 4 3 3 5 2 2 4" xfId="26334" xr:uid="{053199D1-AD78-4BA9-AABD-5FFB81571A31}"/>
    <cellStyle name="Normal 4 4 3 3 5 2 3" xfId="13670" xr:uid="{AD66DAE0-921B-42BF-BE0E-F159919E8B43}"/>
    <cellStyle name="Normal 4 4 3 3 5 2 3 2" xfId="50012" xr:uid="{7135BB2D-6689-404D-A53E-0A42C59D1C24}"/>
    <cellStyle name="Normal 4 4 3 3 5 2 3 3" xfId="31416" xr:uid="{F49C5D71-3D05-481A-AB48-D92D671DEA42}"/>
    <cellStyle name="Normal 4 4 3 3 5 2 4" xfId="40715" xr:uid="{DD645ED9-8352-4FC8-ADC9-719FAD9F508D}"/>
    <cellStyle name="Normal 4 4 3 3 5 2 5" xfId="22117" xr:uid="{FA22EB79-C596-411E-9373-28A129DC60AD}"/>
    <cellStyle name="Normal 4 4 3 3 5 3" xfId="6416" xr:uid="{00000000-0005-0000-0000-00009D150000}"/>
    <cellStyle name="Normal 4 4 3 3 5 3 2" xfId="15742" xr:uid="{45C839A2-3130-43A0-BF1A-BF9483F0C200}"/>
    <cellStyle name="Normal 4 4 3 3 5 3 2 2" xfId="52084" xr:uid="{66D419AC-06E5-49C3-9F80-A67E33C49C89}"/>
    <cellStyle name="Normal 4 4 3 3 5 3 2 3" xfId="33488" xr:uid="{F0941A33-E4D5-4F6F-9485-1C4680A4D4B9}"/>
    <cellStyle name="Normal 4 4 3 3 5 3 3" xfId="42787" xr:uid="{754F1CF6-6B79-493F-8AD6-7EA80C385315}"/>
    <cellStyle name="Normal 4 4 3 3 5 3 4" xfId="24189" xr:uid="{B2335FD4-98A8-4E99-AB62-9E94B466A1B3}"/>
    <cellStyle name="Normal 4 4 3 3 5 4" xfId="11525" xr:uid="{B893819D-7DD4-4E94-AA20-C1465A063D70}"/>
    <cellStyle name="Normal 4 4 3 3 5 4 2" xfId="47867" xr:uid="{F079F969-63FF-477B-8619-F8E7DF259DC1}"/>
    <cellStyle name="Normal 4 4 3 3 5 4 3" xfId="29271" xr:uid="{4CAB47EC-2073-4AEC-BF52-9FF77858BD53}"/>
    <cellStyle name="Normal 4 4 3 3 5 5" xfId="38570" xr:uid="{61A13020-FC38-4518-A25F-9279C1811F57}"/>
    <cellStyle name="Normal 4 4 3 3 5 6" xfId="19972" xr:uid="{466A9975-A3D6-445A-8D0F-2C9A2F364A3D}"/>
    <cellStyle name="Normal 4 4 3 3 6" xfId="2546" xr:uid="{00000000-0005-0000-0000-00009E150000}"/>
    <cellStyle name="Normal 4 4 3 3 6 2" xfId="6829" xr:uid="{00000000-0005-0000-0000-00009F150000}"/>
    <cellStyle name="Normal 4 4 3 3 6 2 2" xfId="16155" xr:uid="{69CC8CF6-FDEC-495C-BA8D-EB78C8701EAE}"/>
    <cellStyle name="Normal 4 4 3 3 6 2 2 2" xfId="52497" xr:uid="{99A7AEF4-7476-45AA-AD5F-F1E0CF6E32E7}"/>
    <cellStyle name="Normal 4 4 3 3 6 2 2 3" xfId="33901" xr:uid="{3DEEABD6-9638-4FA6-88A1-6F57C41339C6}"/>
    <cellStyle name="Normal 4 4 3 3 6 2 3" xfId="43200" xr:uid="{1C666018-11D0-4F55-84F0-478A5862EE14}"/>
    <cellStyle name="Normal 4 4 3 3 6 2 4" xfId="24602" xr:uid="{D76A0723-587B-460C-B504-D1EC750588D8}"/>
    <cellStyle name="Normal 4 4 3 3 6 3" xfId="11938" xr:uid="{E01D368E-6FE2-49AD-B1EF-A846BFDCA568}"/>
    <cellStyle name="Normal 4 4 3 3 6 3 2" xfId="48280" xr:uid="{D3A8C1A3-789B-4796-AC6A-D9D304A9D66B}"/>
    <cellStyle name="Normal 4 4 3 3 6 3 3" xfId="29684" xr:uid="{96E71BA9-3962-467C-8F90-FA676796B0BF}"/>
    <cellStyle name="Normal 4 4 3 3 6 4" xfId="38983" xr:uid="{5FC67D63-76BA-40B5-B610-288370CDE335}"/>
    <cellStyle name="Normal 4 4 3 3 6 5" xfId="20385" xr:uid="{6889C27B-1FB5-4254-817C-540EF9D1C24E}"/>
    <cellStyle name="Normal 4 4 3 3 7" xfId="4764" xr:uid="{00000000-0005-0000-0000-0000A0150000}"/>
    <cellStyle name="Normal 4 4 3 3 7 2" xfId="14090" xr:uid="{C56A0961-3C8E-49DE-9E53-DA6E6B165E28}"/>
    <cellStyle name="Normal 4 4 3 3 7 2 2" xfId="50432" xr:uid="{EFFD9D97-80B1-448F-8124-BEDE046EE369}"/>
    <cellStyle name="Normal 4 4 3 3 7 2 3" xfId="31836" xr:uid="{5BFDBC76-9C0C-49A8-A7D2-F758CEB4B748}"/>
    <cellStyle name="Normal 4 4 3 3 7 3" xfId="41135" xr:uid="{07C82C80-56FD-4F71-BE22-45C082B6049F}"/>
    <cellStyle name="Normal 4 4 3 3 7 4" xfId="22537" xr:uid="{FFC85349-8A47-4DD4-8DC5-C33A4BAB3033}"/>
    <cellStyle name="Normal 4 4 3 3 8" xfId="9030" xr:uid="{F975DAAD-4546-4770-9976-5C5C66DA227B}"/>
    <cellStyle name="Normal 4 4 3 3 8 2" xfId="36100" xr:uid="{5A8E665B-BF1B-40DC-9472-02B31F54B0AB}"/>
    <cellStyle name="Normal 4 4 3 3 8 2 2" xfId="54695" xr:uid="{46D34B10-4FA6-4EC3-9041-376DD336EBEF}"/>
    <cellStyle name="Normal 4 4 3 3 8 3" xfId="45398" xr:uid="{2079DBAE-4B89-4282-9FC0-0307915BD6A0}"/>
    <cellStyle name="Normal 4 4 3 3 8 4" xfId="26801" xr:uid="{D5E01DD3-8424-4D6F-8DB8-CC87C67A1CA0}"/>
    <cellStyle name="Normal 4 4 3 3 9" xfId="9873" xr:uid="{B71417A2-D011-4729-8780-B95BDA1C7062}"/>
    <cellStyle name="Normal 4 4 3 3 9 2" xfId="46215" xr:uid="{17D24508-2F0C-49C8-BC85-428F61F1D519}"/>
    <cellStyle name="Normal 4 4 3 3 9 3" xfId="27619" xr:uid="{031BCF5B-E526-4E3B-84D0-380752DF049B}"/>
    <cellStyle name="Normal 4 4 3 4" xfId="862" xr:uid="{00000000-0005-0000-0000-0000A1150000}"/>
    <cellStyle name="Normal 4 4 3 4 2" xfId="3097" xr:uid="{00000000-0005-0000-0000-0000A2150000}"/>
    <cellStyle name="Normal 4 4 3 4 2 2" xfId="7319" xr:uid="{00000000-0005-0000-0000-0000A3150000}"/>
    <cellStyle name="Normal 4 4 3 4 2 2 2" xfId="16645" xr:uid="{89F7F569-D8DC-4B84-AA9A-A10A6F017C88}"/>
    <cellStyle name="Normal 4 4 3 4 2 2 2 2" xfId="52987" xr:uid="{082A3885-D080-452E-A738-C59835FFDF6B}"/>
    <cellStyle name="Normal 4 4 3 4 2 2 2 3" xfId="34391" xr:uid="{DA576675-B936-4F9F-AE92-638B9B177264}"/>
    <cellStyle name="Normal 4 4 3 4 2 2 3" xfId="43690" xr:uid="{0D4C4A95-DAFC-47D8-9DD5-E8C45E69062E}"/>
    <cellStyle name="Normal 4 4 3 4 2 2 4" xfId="25092" xr:uid="{A40271BB-2502-4FC3-8F3C-73A4ACE72D14}"/>
    <cellStyle name="Normal 4 4 3 4 2 3" xfId="12428" xr:uid="{2F87D10E-BAF8-4CAC-921A-61F16FCF71BE}"/>
    <cellStyle name="Normal 4 4 3 4 2 3 2" xfId="48770" xr:uid="{CCFD9BA7-A532-415F-9D2E-4B24DD24BD38}"/>
    <cellStyle name="Normal 4 4 3 4 2 3 3" xfId="30174" xr:uid="{F6F18CF1-5E29-4BDC-8864-89C22F9F88CD}"/>
    <cellStyle name="Normal 4 4 3 4 2 4" xfId="39473" xr:uid="{F7C4AFB4-73A1-4AA3-8C88-1F6190273CD7}"/>
    <cellStyle name="Normal 4 4 3 4 2 5" xfId="20875" xr:uid="{06143DAD-5FA0-4B2C-BECD-66762FE96324}"/>
    <cellStyle name="Normal 4 4 3 4 3" xfId="5174" xr:uid="{00000000-0005-0000-0000-0000A4150000}"/>
    <cellStyle name="Normal 4 4 3 4 3 2" xfId="14500" xr:uid="{D8269C2C-C825-47F1-B86F-6FC4B1620914}"/>
    <cellStyle name="Normal 4 4 3 4 3 2 2" xfId="50842" xr:uid="{47FC0591-B2FA-4A94-A0DB-E1577D1B8E07}"/>
    <cellStyle name="Normal 4 4 3 4 3 2 3" xfId="32246" xr:uid="{48CFCF02-7353-47FC-980D-6E8145C0FFBD}"/>
    <cellStyle name="Normal 4 4 3 4 3 3" xfId="41545" xr:uid="{371A5E5E-25A2-4418-BDDB-25A5B7E93635}"/>
    <cellStyle name="Normal 4 4 3 4 3 4" xfId="22947" xr:uid="{B783F786-24B4-4707-A154-0F0AEF7B4724}"/>
    <cellStyle name="Normal 4 4 3 4 4" xfId="9248" xr:uid="{6C5F877B-48E6-47C2-B849-E53F373D5A86}"/>
    <cellStyle name="Normal 4 4 3 4 4 2" xfId="36309" xr:uid="{4CC239A0-F585-43E9-8A3C-F24C0A113579}"/>
    <cellStyle name="Normal 4 4 3 4 4 2 2" xfId="54903" xr:uid="{DB7E38B7-D012-48AC-AA4A-C9878048B8A3}"/>
    <cellStyle name="Normal 4 4 3 4 4 3" xfId="45606" xr:uid="{DB2B721C-BDFD-4DAE-AF6A-CB694BE6FD94}"/>
    <cellStyle name="Normal 4 4 3 4 4 4" xfId="27010" xr:uid="{B8E564DB-085B-4485-91F3-0E25C63198D4}"/>
    <cellStyle name="Normal 4 4 3 4 5" xfId="10283" xr:uid="{EBB036E4-8A4F-4FBE-A726-47C4E015C4BF}"/>
    <cellStyle name="Normal 4 4 3 4 5 2" xfId="46625" xr:uid="{6E90D67E-97BE-4E24-AC9A-3AB91DB6C541}"/>
    <cellStyle name="Normal 4 4 3 4 5 3" xfId="28029" xr:uid="{CB853203-BA81-4A07-8206-0AB5997514C8}"/>
    <cellStyle name="Normal 4 4 3 4 6" xfId="37328" xr:uid="{5B96C680-24FC-4D87-882B-7ECAC76652E6}"/>
    <cellStyle name="Normal 4 4 3 4 7" xfId="18730" xr:uid="{1E820082-19BA-43F2-A365-EA3203C593E1}"/>
    <cellStyle name="Normal 4 4 3 5" xfId="1280" xr:uid="{00000000-0005-0000-0000-0000A5150000}"/>
    <cellStyle name="Normal 4 4 3 5 2" xfId="3510" xr:uid="{00000000-0005-0000-0000-0000A6150000}"/>
    <cellStyle name="Normal 4 4 3 5 2 2" xfId="7732" xr:uid="{00000000-0005-0000-0000-0000A7150000}"/>
    <cellStyle name="Normal 4 4 3 5 2 2 2" xfId="17058" xr:uid="{6AF579BF-EF00-4D71-8C96-04497E112677}"/>
    <cellStyle name="Normal 4 4 3 5 2 2 2 2" xfId="53400" xr:uid="{FDB864A7-3EC9-4B4F-AE50-7A732BCFAD2E}"/>
    <cellStyle name="Normal 4 4 3 5 2 2 2 3" xfId="34804" xr:uid="{7CBEAEB4-2AAD-4570-BF6A-02CB48BE539A}"/>
    <cellStyle name="Normal 4 4 3 5 2 2 3" xfId="44103" xr:uid="{9D99F0A0-3FDD-4852-BD92-FE2748856421}"/>
    <cellStyle name="Normal 4 4 3 5 2 2 4" xfId="25505" xr:uid="{D96F8928-00F9-4491-95D6-FA56471D3C2C}"/>
    <cellStyle name="Normal 4 4 3 5 2 3" xfId="12841" xr:uid="{15A16CEE-4B0A-442E-B214-315D534A596A}"/>
    <cellStyle name="Normal 4 4 3 5 2 3 2" xfId="49183" xr:uid="{A14549BC-022B-4132-B519-35E0BBC1F5BE}"/>
    <cellStyle name="Normal 4 4 3 5 2 3 3" xfId="30587" xr:uid="{581F1851-D294-459E-95A3-3B3D011514A9}"/>
    <cellStyle name="Normal 4 4 3 5 2 4" xfId="39886" xr:uid="{EA37062E-785D-488E-9D15-AFA12E96EB9D}"/>
    <cellStyle name="Normal 4 4 3 5 2 5" xfId="21288" xr:uid="{6101323B-E278-4AD6-AE6E-A5F17672CC26}"/>
    <cellStyle name="Normal 4 4 3 5 3" xfId="5587" xr:uid="{00000000-0005-0000-0000-0000A8150000}"/>
    <cellStyle name="Normal 4 4 3 5 3 2" xfId="14913" xr:uid="{27466D9D-1B69-485C-A2E5-9C2B6B400CD8}"/>
    <cellStyle name="Normal 4 4 3 5 3 2 2" xfId="51255" xr:uid="{E19AA694-FB47-4748-A7E2-85C10BC384FE}"/>
    <cellStyle name="Normal 4 4 3 5 3 2 3" xfId="32659" xr:uid="{39562BC8-A6A4-407C-80A8-3CB685BECB63}"/>
    <cellStyle name="Normal 4 4 3 5 3 3" xfId="41958" xr:uid="{C123CBFC-9E55-471C-BF28-B49A819373D3}"/>
    <cellStyle name="Normal 4 4 3 5 3 4" xfId="23360" xr:uid="{FEAC88E5-6994-404B-9B26-2BD716C29816}"/>
    <cellStyle name="Normal 4 4 3 5 4" xfId="10696" xr:uid="{34FC909D-395F-473A-A70C-4C7D40B5CD17}"/>
    <cellStyle name="Normal 4 4 3 5 4 2" xfId="47038" xr:uid="{5A6C729D-5826-4733-82C1-DABC6AF4EFAA}"/>
    <cellStyle name="Normal 4 4 3 5 4 3" xfId="28442" xr:uid="{50E9C3DF-56F6-4C8D-BF98-F0B19ECEB4F1}"/>
    <cellStyle name="Normal 4 4 3 5 5" xfId="37741" xr:uid="{07862739-1E00-492F-A05A-4A1C7750735D}"/>
    <cellStyle name="Normal 4 4 3 5 6" xfId="19143" xr:uid="{777901C6-8384-47F2-8AF6-F864B98BE1C2}"/>
    <cellStyle name="Normal 4 4 3 6" xfId="1693" xr:uid="{00000000-0005-0000-0000-0000A9150000}"/>
    <cellStyle name="Normal 4 4 3 6 2" xfId="3923" xr:uid="{00000000-0005-0000-0000-0000AA150000}"/>
    <cellStyle name="Normal 4 4 3 6 2 2" xfId="8145" xr:uid="{00000000-0005-0000-0000-0000AB150000}"/>
    <cellStyle name="Normal 4 4 3 6 2 2 2" xfId="17471" xr:uid="{3FF244A0-4C71-4065-A5A4-069ABA6D9A59}"/>
    <cellStyle name="Normal 4 4 3 6 2 2 2 2" xfId="53813" xr:uid="{04E55FFE-020F-4D6E-B812-ADCE3F05804E}"/>
    <cellStyle name="Normal 4 4 3 6 2 2 2 3" xfId="35217" xr:uid="{FADD18AE-71F8-4965-B883-AC7DA8D3DB59}"/>
    <cellStyle name="Normal 4 4 3 6 2 2 3" xfId="44516" xr:uid="{B0956C62-03C5-4818-804C-228B40690B0A}"/>
    <cellStyle name="Normal 4 4 3 6 2 2 4" xfId="25918" xr:uid="{B561334D-19D6-4F52-A625-ABCFB0E18366}"/>
    <cellStyle name="Normal 4 4 3 6 2 3" xfId="13254" xr:uid="{452AAFED-D3D1-481E-9065-083EBFB1A4D1}"/>
    <cellStyle name="Normal 4 4 3 6 2 3 2" xfId="49596" xr:uid="{5DAEB603-E3FC-4EC4-A4CD-5C129D50A881}"/>
    <cellStyle name="Normal 4 4 3 6 2 3 3" xfId="31000" xr:uid="{0EBE085D-FBDD-4939-8EE3-CCAD1AD90F2A}"/>
    <cellStyle name="Normal 4 4 3 6 2 4" xfId="40299" xr:uid="{501021BC-1CC7-4B23-A336-C47370F9E02A}"/>
    <cellStyle name="Normal 4 4 3 6 2 5" xfId="21701" xr:uid="{6AA331FE-8E7C-46A4-B2FD-A12611EF0E15}"/>
    <cellStyle name="Normal 4 4 3 6 3" xfId="6000" xr:uid="{00000000-0005-0000-0000-0000AC150000}"/>
    <cellStyle name="Normal 4 4 3 6 3 2" xfId="15326" xr:uid="{54ABC6A0-7732-4C48-905F-D341D9112037}"/>
    <cellStyle name="Normal 4 4 3 6 3 2 2" xfId="51668" xr:uid="{1B7F7E93-CB91-4E26-88BA-C88402D38F63}"/>
    <cellStyle name="Normal 4 4 3 6 3 2 3" xfId="33072" xr:uid="{E3791D8E-271A-4A83-85F9-81AB6FC521F4}"/>
    <cellStyle name="Normal 4 4 3 6 3 3" xfId="42371" xr:uid="{9BF57BEE-7A2D-4874-9F6F-514859213B69}"/>
    <cellStyle name="Normal 4 4 3 6 3 4" xfId="23773" xr:uid="{95E81063-161C-4F9F-9A79-8C27C9F1AFDA}"/>
    <cellStyle name="Normal 4 4 3 6 4" xfId="11109" xr:uid="{21EE5F17-DCDD-4938-B850-C6D281205D45}"/>
    <cellStyle name="Normal 4 4 3 6 4 2" xfId="47451" xr:uid="{14CD392D-CEE1-4634-963D-A31CA4589CF0}"/>
    <cellStyle name="Normal 4 4 3 6 4 3" xfId="28855" xr:uid="{B6FDF1A9-92F6-4FFA-8CC2-DEDF43525E97}"/>
    <cellStyle name="Normal 4 4 3 6 5" xfId="38154" xr:uid="{B393F5C4-9E0A-453D-A763-686CAB9BA621}"/>
    <cellStyle name="Normal 4 4 3 6 6" xfId="19556" xr:uid="{641DBB14-0FB2-469A-BD34-A3BF21D44301}"/>
    <cellStyle name="Normal 4 4 3 7" xfId="2107" xr:uid="{00000000-0005-0000-0000-0000AD150000}"/>
    <cellStyle name="Normal 4 4 3 7 2" xfId="4336" xr:uid="{00000000-0005-0000-0000-0000AE150000}"/>
    <cellStyle name="Normal 4 4 3 7 2 2" xfId="8558" xr:uid="{00000000-0005-0000-0000-0000AF150000}"/>
    <cellStyle name="Normal 4 4 3 7 2 2 2" xfId="17884" xr:uid="{13A5104C-58C3-4513-AC5A-76D47CCCD8A9}"/>
    <cellStyle name="Normal 4 4 3 7 2 2 2 2" xfId="54226" xr:uid="{C94992F8-C30E-44C6-8313-974610DDA703}"/>
    <cellStyle name="Normal 4 4 3 7 2 2 2 3" xfId="35630" xr:uid="{E760667E-B33B-4FD7-A479-8D0389904E3B}"/>
    <cellStyle name="Normal 4 4 3 7 2 2 3" xfId="44929" xr:uid="{A4897820-0E64-4D4A-A84A-32216C619197}"/>
    <cellStyle name="Normal 4 4 3 7 2 2 4" xfId="26331" xr:uid="{C82EB29C-2C41-4250-BFDD-902F514305FB}"/>
    <cellStyle name="Normal 4 4 3 7 2 3" xfId="13667" xr:uid="{4F550FF1-82E4-4B77-894E-E18E8E9E12B7}"/>
    <cellStyle name="Normal 4 4 3 7 2 3 2" xfId="50009" xr:uid="{2EFBD0A1-D53C-4539-94BB-FD2281087310}"/>
    <cellStyle name="Normal 4 4 3 7 2 3 3" xfId="31413" xr:uid="{F2A9EB38-7D72-4ADF-B415-536D92601B20}"/>
    <cellStyle name="Normal 4 4 3 7 2 4" xfId="40712" xr:uid="{51CF32B5-0251-4F4C-867E-8E49812F491A}"/>
    <cellStyle name="Normal 4 4 3 7 2 5" xfId="22114" xr:uid="{628B809E-F60F-474A-AEDB-B6D0E07E1E11}"/>
    <cellStyle name="Normal 4 4 3 7 3" xfId="6413" xr:uid="{00000000-0005-0000-0000-0000B0150000}"/>
    <cellStyle name="Normal 4 4 3 7 3 2" xfId="15739" xr:uid="{EC6D2071-37BF-48CB-8490-26A6D6138327}"/>
    <cellStyle name="Normal 4 4 3 7 3 2 2" xfId="52081" xr:uid="{F937E81A-A4D1-402D-9178-DD7FA039A12D}"/>
    <cellStyle name="Normal 4 4 3 7 3 2 3" xfId="33485" xr:uid="{B974C886-D74C-415D-8EDA-944A02B6D921}"/>
    <cellStyle name="Normal 4 4 3 7 3 3" xfId="42784" xr:uid="{3B2F94D8-9784-407A-8BD6-3AC67E118E19}"/>
    <cellStyle name="Normal 4 4 3 7 3 4" xfId="24186" xr:uid="{05188D15-D463-4322-8521-FE6E547BB1A7}"/>
    <cellStyle name="Normal 4 4 3 7 4" xfId="11522" xr:uid="{0019211F-A7CD-4DE1-AC3D-81CA9D9DE22A}"/>
    <cellStyle name="Normal 4 4 3 7 4 2" xfId="47864" xr:uid="{5C7475AB-2B81-42A8-9815-1BBD4DF0A00A}"/>
    <cellStyle name="Normal 4 4 3 7 4 3" xfId="29268" xr:uid="{84C50C27-5E10-4C28-8C02-A45E090B0B84}"/>
    <cellStyle name="Normal 4 4 3 7 5" xfId="38567" xr:uid="{7AE68DC1-EDC0-4505-BBE3-DD24153D948C}"/>
    <cellStyle name="Normal 4 4 3 7 6" xfId="19969" xr:uid="{49079A26-D303-4E3B-BD09-DB41D7BDF8FE}"/>
    <cellStyle name="Normal 4 4 3 8" xfId="2543" xr:uid="{00000000-0005-0000-0000-0000B1150000}"/>
    <cellStyle name="Normal 4 4 3 8 2" xfId="6826" xr:uid="{00000000-0005-0000-0000-0000B2150000}"/>
    <cellStyle name="Normal 4 4 3 8 2 2" xfId="16152" xr:uid="{F1E58FC8-A532-4C16-A45C-68AD3A161EEE}"/>
    <cellStyle name="Normal 4 4 3 8 2 2 2" xfId="52494" xr:uid="{35A8800F-F10A-472E-AFE0-BBEEDE3D11BD}"/>
    <cellStyle name="Normal 4 4 3 8 2 2 3" xfId="33898" xr:uid="{75F336C6-35F0-4219-965E-E3E4A4F188D4}"/>
    <cellStyle name="Normal 4 4 3 8 2 3" xfId="43197" xr:uid="{67159E2A-2056-42C7-B7AF-32D7E7339854}"/>
    <cellStyle name="Normal 4 4 3 8 2 4" xfId="24599" xr:uid="{B9436950-7019-4F11-B6BD-506331324673}"/>
    <cellStyle name="Normal 4 4 3 8 3" xfId="11935" xr:uid="{1B18CB37-9DCB-4266-91C3-AEE94C5E45BE}"/>
    <cellStyle name="Normal 4 4 3 8 3 2" xfId="48277" xr:uid="{3D47AD86-855D-472B-BF5C-2F83C66BDA0F}"/>
    <cellStyle name="Normal 4 4 3 8 3 3" xfId="29681" xr:uid="{1ACC6C59-4B2E-44BF-A31A-A0B30C7A6F1D}"/>
    <cellStyle name="Normal 4 4 3 8 4" xfId="38980" xr:uid="{4D19C46A-A1FC-4A69-AE92-28AB36AAEC3D}"/>
    <cellStyle name="Normal 4 4 3 8 5" xfId="20382" xr:uid="{212A8187-8DFE-4008-B073-FE9E0ED6D5D3}"/>
    <cellStyle name="Normal 4 4 3 9" xfId="4761" xr:uid="{00000000-0005-0000-0000-0000B3150000}"/>
    <cellStyle name="Normal 4 4 3 9 2" xfId="14087" xr:uid="{48C7ED33-289F-4638-91BD-1A90E954C500}"/>
    <cellStyle name="Normal 4 4 3 9 2 2" xfId="50429" xr:uid="{B931A777-B9BB-4938-B730-7C05E0E17F71}"/>
    <cellStyle name="Normal 4 4 3 9 2 3" xfId="31833" xr:uid="{2FEF415D-17CE-4E2F-A2E0-AA7BD2023486}"/>
    <cellStyle name="Normal 4 4 3 9 3" xfId="41132" xr:uid="{86F696CC-C19B-48F2-962E-DEBDE74C3670}"/>
    <cellStyle name="Normal 4 4 3 9 4" xfId="22534" xr:uid="{394D9C76-9285-4C00-B7AB-03D8904B99F6}"/>
    <cellStyle name="Normal 4 4 4" xfId="391" xr:uid="{00000000-0005-0000-0000-0000B4150000}"/>
    <cellStyle name="Normal 4 4 4 10" xfId="9874" xr:uid="{39B022EE-A87C-42E6-8C64-2222BFB3F14C}"/>
    <cellStyle name="Normal 4 4 4 10 2" xfId="46216" xr:uid="{6D53040C-390F-433F-BD12-6AFBBB2284D1}"/>
    <cellStyle name="Normal 4 4 4 10 3" xfId="27620" xr:uid="{F92F34AE-47DC-4EF3-B459-592D4ABD31E4}"/>
    <cellStyle name="Normal 4 4 4 11" xfId="36919" xr:uid="{C22AB356-3BB7-40CD-AD00-5C79BA83FED1}"/>
    <cellStyle name="Normal 4 4 4 12" xfId="18321" xr:uid="{F93D4BA6-F729-4FA9-BD1B-A0FCB361DC4E}"/>
    <cellStyle name="Normal 4 4 4 2" xfId="392" xr:uid="{00000000-0005-0000-0000-0000B5150000}"/>
    <cellStyle name="Normal 4 4 4 2 10" xfId="36920" xr:uid="{9C2CF57C-EBC5-400F-BEA0-D07101AB9762}"/>
    <cellStyle name="Normal 4 4 4 2 11" xfId="18322" xr:uid="{EF536224-E121-4998-B337-035E862AB5F4}"/>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16650" xr:uid="{D096F2C7-54B0-43BF-A298-3B524E51CE97}"/>
    <cellStyle name="Normal 4 4 4 2 2 2 2 2 2" xfId="52992" xr:uid="{4C6B6C98-6E69-4342-A124-58C4E4ED2856}"/>
    <cellStyle name="Normal 4 4 4 2 2 2 2 2 3" xfId="34396" xr:uid="{6425A978-79D0-4236-8F40-99A84663E468}"/>
    <cellStyle name="Normal 4 4 4 2 2 2 2 3" xfId="43695" xr:uid="{FCC31DC0-C263-415F-86D4-5159A167AB52}"/>
    <cellStyle name="Normal 4 4 4 2 2 2 2 4" xfId="25097" xr:uid="{F1ED3DC8-55A4-4281-8572-238403FC847E}"/>
    <cellStyle name="Normal 4 4 4 2 2 2 3" xfId="12433" xr:uid="{30C6CCCA-1F73-4F44-932A-BF3454716869}"/>
    <cellStyle name="Normal 4 4 4 2 2 2 3 2" xfId="48775" xr:uid="{B3277A58-550D-4FA8-936C-44F72008DC73}"/>
    <cellStyle name="Normal 4 4 4 2 2 2 3 3" xfId="30179" xr:uid="{E1A2BAC2-4807-4EFD-82DD-35FE35AEE186}"/>
    <cellStyle name="Normal 4 4 4 2 2 2 4" xfId="39478" xr:uid="{DFE225BD-67FE-4AA9-8EC0-FF9F37C8587C}"/>
    <cellStyle name="Normal 4 4 4 2 2 2 5" xfId="20880" xr:uid="{65B23DAD-1A4D-4EF1-A2AA-FB2B104F01BF}"/>
    <cellStyle name="Normal 4 4 4 2 2 3" xfId="5179" xr:uid="{00000000-0005-0000-0000-0000B9150000}"/>
    <cellStyle name="Normal 4 4 4 2 2 3 2" xfId="14505" xr:uid="{54B153E5-F123-4794-B82D-1DE71D1C9EAD}"/>
    <cellStyle name="Normal 4 4 4 2 2 3 2 2" xfId="50847" xr:uid="{0F95ACCB-D55D-47FE-A6D6-F279CF346CAC}"/>
    <cellStyle name="Normal 4 4 4 2 2 3 2 3" xfId="32251" xr:uid="{B4F01E81-3314-4DC5-96FE-30CB552BADFD}"/>
    <cellStyle name="Normal 4 4 4 2 2 3 3" xfId="41550" xr:uid="{AA9F9DB0-7BA2-4103-8F2A-6A9095E9B02F}"/>
    <cellStyle name="Normal 4 4 4 2 2 3 4" xfId="22952" xr:uid="{BB80F4DC-998E-4BEB-AB12-C57217038E4A}"/>
    <cellStyle name="Normal 4 4 4 2 2 4" xfId="9484" xr:uid="{69910E0C-08C8-41C5-A6FC-61B52F6CD538}"/>
    <cellStyle name="Normal 4 4 4 2 2 4 2" xfId="36545" xr:uid="{439D9CD2-D33D-42AE-8F38-9F450024EF34}"/>
    <cellStyle name="Normal 4 4 4 2 2 4 2 2" xfId="55139" xr:uid="{F0674D03-330B-4AD5-8FC3-AEE424AF1DB9}"/>
    <cellStyle name="Normal 4 4 4 2 2 4 3" xfId="45842" xr:uid="{68800ACE-60F8-4A7E-999A-414FF3DB6812}"/>
    <cellStyle name="Normal 4 4 4 2 2 4 4" xfId="27246" xr:uid="{207233C6-D0F1-4DB0-B808-326A5A75F49B}"/>
    <cellStyle name="Normal 4 4 4 2 2 5" xfId="10288" xr:uid="{04562C62-D906-4D3E-857D-9E1DBC141EA3}"/>
    <cellStyle name="Normal 4 4 4 2 2 5 2" xfId="46630" xr:uid="{91BF5389-CF96-4265-9940-D045BF0FE4B1}"/>
    <cellStyle name="Normal 4 4 4 2 2 5 3" xfId="28034" xr:uid="{0CFBFABC-27C8-47C5-98ED-059622D01666}"/>
    <cellStyle name="Normal 4 4 4 2 2 6" xfId="37333" xr:uid="{F88A4970-3DEC-4622-A3CF-663AD4522761}"/>
    <cellStyle name="Normal 4 4 4 2 2 7" xfId="18735" xr:uid="{DEFBBC3E-CDFB-4C19-B220-9B344A0A6425}"/>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17063" xr:uid="{B8BF0A0A-0C80-49D9-A37E-FFA1FF47E4FE}"/>
    <cellStyle name="Normal 4 4 4 2 3 2 2 2 2" xfId="53405" xr:uid="{F5C94137-0FA7-4236-890D-FDB36F1A920B}"/>
    <cellStyle name="Normal 4 4 4 2 3 2 2 2 3" xfId="34809" xr:uid="{2AC46D31-85B9-4817-8941-6395194434F6}"/>
    <cellStyle name="Normal 4 4 4 2 3 2 2 3" xfId="44108" xr:uid="{1D2C05A0-CF34-4076-823B-40C24208D751}"/>
    <cellStyle name="Normal 4 4 4 2 3 2 2 4" xfId="25510" xr:uid="{DE435D0D-B85C-48D0-8CC4-E1B99187C506}"/>
    <cellStyle name="Normal 4 4 4 2 3 2 3" xfId="12846" xr:uid="{80990F94-02F3-4B28-9EF1-1C578A1207C9}"/>
    <cellStyle name="Normal 4 4 4 2 3 2 3 2" xfId="49188" xr:uid="{8E350E36-858B-4951-A679-47F69F934F64}"/>
    <cellStyle name="Normal 4 4 4 2 3 2 3 3" xfId="30592" xr:uid="{0217F0B3-53A5-418E-AB5A-10A9A6C73F8A}"/>
    <cellStyle name="Normal 4 4 4 2 3 2 4" xfId="39891" xr:uid="{E7B72951-5AFB-426D-95AF-7C4897356EEC}"/>
    <cellStyle name="Normal 4 4 4 2 3 2 5" xfId="21293" xr:uid="{678AFC53-7D3B-45EF-ACFF-D3343EFD880A}"/>
    <cellStyle name="Normal 4 4 4 2 3 3" xfId="5592" xr:uid="{00000000-0005-0000-0000-0000BD150000}"/>
    <cellStyle name="Normal 4 4 4 2 3 3 2" xfId="14918" xr:uid="{F6561F64-F99B-4D26-B702-966FEAF074F0}"/>
    <cellStyle name="Normal 4 4 4 2 3 3 2 2" xfId="51260" xr:uid="{E0BFD8FF-BD6E-4E84-BFA8-CCECF45C3C74}"/>
    <cellStyle name="Normal 4 4 4 2 3 3 2 3" xfId="32664" xr:uid="{979CB032-0C4B-4712-ADEF-378702A71D9A}"/>
    <cellStyle name="Normal 4 4 4 2 3 3 3" xfId="41963" xr:uid="{24BF8FAA-EB32-48B4-9E04-95E9A2000617}"/>
    <cellStyle name="Normal 4 4 4 2 3 3 4" xfId="23365" xr:uid="{31FE1FCF-C75F-49CF-AE38-937C834B0E85}"/>
    <cellStyle name="Normal 4 4 4 2 3 4" xfId="10701" xr:uid="{70C86CDE-CC69-4356-9F5D-FD367728879C}"/>
    <cellStyle name="Normal 4 4 4 2 3 4 2" xfId="47043" xr:uid="{1102F0A0-25FF-4AC2-8182-4B5AEB3B84BD}"/>
    <cellStyle name="Normal 4 4 4 2 3 4 3" xfId="28447" xr:uid="{D7122C15-B6AA-4356-8CF7-82C13CB87AB1}"/>
    <cellStyle name="Normal 4 4 4 2 3 5" xfId="37746" xr:uid="{A0AD2C2C-B322-40D8-AD95-68B2B2D4437C}"/>
    <cellStyle name="Normal 4 4 4 2 3 6" xfId="19148" xr:uid="{1E16578C-3399-428C-A232-9992992F9B2A}"/>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17476" xr:uid="{7C2A3CB0-128E-462C-B4EF-5E6DB8A5246B}"/>
    <cellStyle name="Normal 4 4 4 2 4 2 2 2 2" xfId="53818" xr:uid="{48DDD000-1D2B-4678-9A64-2C1DF10497E8}"/>
    <cellStyle name="Normal 4 4 4 2 4 2 2 2 3" xfId="35222" xr:uid="{67C2432A-3E5C-4111-A8BE-52B2E43B287D}"/>
    <cellStyle name="Normal 4 4 4 2 4 2 2 3" xfId="44521" xr:uid="{4E38C322-455C-4D21-B766-B2E3190A8837}"/>
    <cellStyle name="Normal 4 4 4 2 4 2 2 4" xfId="25923" xr:uid="{F212DDDB-09E6-4B5B-BFD0-D8C450B0217C}"/>
    <cellStyle name="Normal 4 4 4 2 4 2 3" xfId="13259" xr:uid="{DCB13B40-98C6-4091-8DC8-320CD7A04996}"/>
    <cellStyle name="Normal 4 4 4 2 4 2 3 2" xfId="49601" xr:uid="{90E3BD56-075D-4619-B40D-31EE9244B839}"/>
    <cellStyle name="Normal 4 4 4 2 4 2 3 3" xfId="31005" xr:uid="{FB9D40F8-114D-4E81-900E-1CCE71723A3A}"/>
    <cellStyle name="Normal 4 4 4 2 4 2 4" xfId="40304" xr:uid="{29CC4A68-1757-417A-B702-4233438DDF93}"/>
    <cellStyle name="Normal 4 4 4 2 4 2 5" xfId="21706" xr:uid="{9CE53C89-8EA8-496A-B186-B02C710EA2F0}"/>
    <cellStyle name="Normal 4 4 4 2 4 3" xfId="6005" xr:uid="{00000000-0005-0000-0000-0000C1150000}"/>
    <cellStyle name="Normal 4 4 4 2 4 3 2" xfId="15331" xr:uid="{35B7678E-6A1D-4F94-9E73-D94E210008E3}"/>
    <cellStyle name="Normal 4 4 4 2 4 3 2 2" xfId="51673" xr:uid="{03AE1FB3-0AD3-414D-B519-7F914DEBF16E}"/>
    <cellStyle name="Normal 4 4 4 2 4 3 2 3" xfId="33077" xr:uid="{0E295804-3D6D-486D-8ABC-A6957ACF9491}"/>
    <cellStyle name="Normal 4 4 4 2 4 3 3" xfId="42376" xr:uid="{786B0536-02F6-467E-863D-04CE749CE762}"/>
    <cellStyle name="Normal 4 4 4 2 4 3 4" xfId="23778" xr:uid="{8E96673D-B996-49E2-857F-621535B86BDF}"/>
    <cellStyle name="Normal 4 4 4 2 4 4" xfId="11114" xr:uid="{0F2B121C-1C2D-443E-ADB5-040213898B79}"/>
    <cellStyle name="Normal 4 4 4 2 4 4 2" xfId="47456" xr:uid="{46491C02-EE78-4B2B-900E-6E2D538EA23B}"/>
    <cellStyle name="Normal 4 4 4 2 4 4 3" xfId="28860" xr:uid="{3984EC1D-D280-4E09-8F5F-9E8ED3B14263}"/>
    <cellStyle name="Normal 4 4 4 2 4 5" xfId="38159" xr:uid="{4C0B7AEB-5CFB-498D-A4E2-3A563F91757B}"/>
    <cellStyle name="Normal 4 4 4 2 4 6" xfId="19561" xr:uid="{4A195803-E664-4490-804F-46E60DBB5D60}"/>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17889" xr:uid="{12B8E6D7-FE10-493B-8D05-58CF5AB9F58E}"/>
    <cellStyle name="Normal 4 4 4 2 5 2 2 2 2" xfId="54231" xr:uid="{1435C4FA-D096-46FE-BBB4-8A986C406C62}"/>
    <cellStyle name="Normal 4 4 4 2 5 2 2 2 3" xfId="35635" xr:uid="{2D27CC1E-A2D6-4F15-9D9E-EFCDFE50CAC7}"/>
    <cellStyle name="Normal 4 4 4 2 5 2 2 3" xfId="44934" xr:uid="{4B05BCAF-A10A-4565-8250-A294B34D5A6A}"/>
    <cellStyle name="Normal 4 4 4 2 5 2 2 4" xfId="26336" xr:uid="{65BC9C17-5A58-4E7B-9430-493C1DAE1E4B}"/>
    <cellStyle name="Normal 4 4 4 2 5 2 3" xfId="13672" xr:uid="{F542B24A-CD63-43CB-B131-55243C756348}"/>
    <cellStyle name="Normal 4 4 4 2 5 2 3 2" xfId="50014" xr:uid="{D3BAABD9-1BC5-4170-8082-E8193068C783}"/>
    <cellStyle name="Normal 4 4 4 2 5 2 3 3" xfId="31418" xr:uid="{1F4520DA-7AAC-44E1-9CCE-7D6EC2E3441F}"/>
    <cellStyle name="Normal 4 4 4 2 5 2 4" xfId="40717" xr:uid="{7A2DE27C-7C85-41AF-9D16-BCED9A5FC198}"/>
    <cellStyle name="Normal 4 4 4 2 5 2 5" xfId="22119" xr:uid="{E36BEAFB-F023-4782-A7DD-E15276037117}"/>
    <cellStyle name="Normal 4 4 4 2 5 3" xfId="6418" xr:uid="{00000000-0005-0000-0000-0000C5150000}"/>
    <cellStyle name="Normal 4 4 4 2 5 3 2" xfId="15744" xr:uid="{9686F368-1423-4C8F-AA64-C040485B4608}"/>
    <cellStyle name="Normal 4 4 4 2 5 3 2 2" xfId="52086" xr:uid="{1EAA8F9B-157E-4583-B5C0-173F0CEFBF88}"/>
    <cellStyle name="Normal 4 4 4 2 5 3 2 3" xfId="33490" xr:uid="{9F1A5632-2498-4B7B-AA2B-FDDA00EBC3FC}"/>
    <cellStyle name="Normal 4 4 4 2 5 3 3" xfId="42789" xr:uid="{48E7B097-D151-4B48-9E18-278B9F55AEF3}"/>
    <cellStyle name="Normal 4 4 4 2 5 3 4" xfId="24191" xr:uid="{35880B64-64AA-4770-8C24-3E8FF59F9EEB}"/>
    <cellStyle name="Normal 4 4 4 2 5 4" xfId="11527" xr:uid="{D6A731F7-B586-4690-A169-52D9F937A112}"/>
    <cellStyle name="Normal 4 4 4 2 5 4 2" xfId="47869" xr:uid="{90D18406-9C20-4621-B92E-E6C9167CF0D7}"/>
    <cellStyle name="Normal 4 4 4 2 5 4 3" xfId="29273" xr:uid="{26E9107F-F66E-46F4-B576-B042FD7D4F0D}"/>
    <cellStyle name="Normal 4 4 4 2 5 5" xfId="38572" xr:uid="{2EB16B71-B399-43FB-9FC4-3D6A26FADE45}"/>
    <cellStyle name="Normal 4 4 4 2 5 6" xfId="19974" xr:uid="{FC5B6E5A-95AA-4393-A18A-173F3B74E8F3}"/>
    <cellStyle name="Normal 4 4 4 2 6" xfId="2548" xr:uid="{00000000-0005-0000-0000-0000C6150000}"/>
    <cellStyle name="Normal 4 4 4 2 6 2" xfId="6831" xr:uid="{00000000-0005-0000-0000-0000C7150000}"/>
    <cellStyle name="Normal 4 4 4 2 6 2 2" xfId="16157" xr:uid="{2A380E44-627D-4675-BE85-0A521B20EDE4}"/>
    <cellStyle name="Normal 4 4 4 2 6 2 2 2" xfId="52499" xr:uid="{6E587E01-E4E9-4163-A9E1-DFCA59781E60}"/>
    <cellStyle name="Normal 4 4 4 2 6 2 2 3" xfId="33903" xr:uid="{975BAC3B-2636-4A1D-98B3-7F82A7A6E297}"/>
    <cellStyle name="Normal 4 4 4 2 6 2 3" xfId="43202" xr:uid="{D2FA66C4-73C2-41CE-8220-3513E7514E02}"/>
    <cellStyle name="Normal 4 4 4 2 6 2 4" xfId="24604" xr:uid="{883E643D-6472-49D9-988D-11C2DDCBB204}"/>
    <cellStyle name="Normal 4 4 4 2 6 3" xfId="11940" xr:uid="{895B6048-E1FC-450F-AEAC-C6F3B94C6CE5}"/>
    <cellStyle name="Normal 4 4 4 2 6 3 2" xfId="48282" xr:uid="{F3FA5033-C38F-4B7E-A753-8E9F40EE66EF}"/>
    <cellStyle name="Normal 4 4 4 2 6 3 3" xfId="29686" xr:uid="{C78010BE-FBF8-4F12-8ACC-EC7D0BFAA661}"/>
    <cellStyle name="Normal 4 4 4 2 6 4" xfId="38985" xr:uid="{64A4D488-D943-4AC7-8FE1-106C728A23E1}"/>
    <cellStyle name="Normal 4 4 4 2 6 5" xfId="20387" xr:uid="{448FE3DE-D1B1-4FA3-BF8A-ED70A1AFDE53}"/>
    <cellStyle name="Normal 4 4 4 2 7" xfId="4766" xr:uid="{00000000-0005-0000-0000-0000C8150000}"/>
    <cellStyle name="Normal 4 4 4 2 7 2" xfId="14092" xr:uid="{F0E796D5-D0B2-4A24-B920-DC6423236961}"/>
    <cellStyle name="Normal 4 4 4 2 7 2 2" xfId="50434" xr:uid="{318BCCCF-39A2-407B-B045-924B266DFA8A}"/>
    <cellStyle name="Normal 4 4 4 2 7 2 3" xfId="31838" xr:uid="{7E883889-A086-45D2-AB5B-1541BB98A8C0}"/>
    <cellStyle name="Normal 4 4 4 2 7 3" xfId="41137" xr:uid="{F75F08BB-AF62-41A7-9770-EE4FBF036B25}"/>
    <cellStyle name="Normal 4 4 4 2 7 4" xfId="22539" xr:uid="{567FDDA0-90BA-458C-89DD-E4BC69B6A603}"/>
    <cellStyle name="Normal 4 4 4 2 8" xfId="9059" xr:uid="{76617FCA-DBA6-4291-BD32-6340A19903F7}"/>
    <cellStyle name="Normal 4 4 4 2 8 2" xfId="36129" xr:uid="{3708183D-0FED-4550-B302-6EA85AF8EEF7}"/>
    <cellStyle name="Normal 4 4 4 2 8 2 2" xfId="54724" xr:uid="{E6218F51-5561-4DC9-803C-3E791BA04529}"/>
    <cellStyle name="Normal 4 4 4 2 8 3" xfId="45427" xr:uid="{7F920DE5-0F21-41AC-A689-26BAC7EE91FF}"/>
    <cellStyle name="Normal 4 4 4 2 8 4" xfId="26830" xr:uid="{5ED6C35E-3BFC-418B-9ADC-C50ECFFE0993}"/>
    <cellStyle name="Normal 4 4 4 2 9" xfId="9875" xr:uid="{1ABB3463-B7BB-44D7-966A-EFCCACA4E835}"/>
    <cellStyle name="Normal 4 4 4 2 9 2" xfId="46217" xr:uid="{60ABDF89-2620-4305-9023-31E44B2A9CD8}"/>
    <cellStyle name="Normal 4 4 4 2 9 3" xfId="27621" xr:uid="{78218BCB-5485-4CA0-A53D-563E479BD090}"/>
    <cellStyle name="Normal 4 4 4 3" xfId="866" xr:uid="{00000000-0005-0000-0000-0000C9150000}"/>
    <cellStyle name="Normal 4 4 4 3 2" xfId="3101" xr:uid="{00000000-0005-0000-0000-0000CA150000}"/>
    <cellStyle name="Normal 4 4 4 3 2 2" xfId="7323" xr:uid="{00000000-0005-0000-0000-0000CB150000}"/>
    <cellStyle name="Normal 4 4 4 3 2 2 2" xfId="16649" xr:uid="{FAC0E2BE-43E6-4D69-90CE-B02773F55D69}"/>
    <cellStyle name="Normal 4 4 4 3 2 2 2 2" xfId="52991" xr:uid="{8680CFA1-FB1A-493D-9CE0-22666156AF83}"/>
    <cellStyle name="Normal 4 4 4 3 2 2 2 3" xfId="34395" xr:uid="{5B811915-8C1A-4E36-97A6-153F9C95E664}"/>
    <cellStyle name="Normal 4 4 4 3 2 2 3" xfId="43694" xr:uid="{32F042DA-C3CB-4CD2-B246-0F89A48460F2}"/>
    <cellStyle name="Normal 4 4 4 3 2 2 4" xfId="25096" xr:uid="{23E8DEBF-B8A7-4AEA-B1A9-080C8A315F4D}"/>
    <cellStyle name="Normal 4 4 4 3 2 3" xfId="12432" xr:uid="{BD8D28B6-5F6C-4C5B-B3B5-99F99BD4C747}"/>
    <cellStyle name="Normal 4 4 4 3 2 3 2" xfId="48774" xr:uid="{DA351B79-477C-478E-9BA1-2B12E032CE65}"/>
    <cellStyle name="Normal 4 4 4 3 2 3 3" xfId="30178" xr:uid="{48FDCDF4-0001-46D8-A374-0BFC44F046DC}"/>
    <cellStyle name="Normal 4 4 4 3 2 4" xfId="39477" xr:uid="{E441C479-8BB6-460D-872C-A8F684873777}"/>
    <cellStyle name="Normal 4 4 4 3 2 5" xfId="20879" xr:uid="{DFD3EE6F-696E-4EC1-99AA-2E5E408C19D9}"/>
    <cellStyle name="Normal 4 4 4 3 3" xfId="5178" xr:uid="{00000000-0005-0000-0000-0000CC150000}"/>
    <cellStyle name="Normal 4 4 4 3 3 2" xfId="14504" xr:uid="{3B972696-7E01-4B1F-AD1E-28C93E2ABC26}"/>
    <cellStyle name="Normal 4 4 4 3 3 2 2" xfId="50846" xr:uid="{D4C77D71-3C97-4CD3-ABDB-892D89D57BCF}"/>
    <cellStyle name="Normal 4 4 4 3 3 2 3" xfId="32250" xr:uid="{F60B1777-F9A5-4C1B-9047-0FB6909216D2}"/>
    <cellStyle name="Normal 4 4 4 3 3 3" xfId="41549" xr:uid="{FB974567-A9AA-4388-8F4D-65DD02FE8527}"/>
    <cellStyle name="Normal 4 4 4 3 3 4" xfId="22951" xr:uid="{B53651D3-3B14-4A3C-B7A3-5F82E95D8A4D}"/>
    <cellStyle name="Normal 4 4 4 3 4" xfId="9277" xr:uid="{DD01CD29-2559-4BCC-919C-99D1D75C445F}"/>
    <cellStyle name="Normal 4 4 4 3 4 2" xfId="36338" xr:uid="{7F146702-262F-4910-8FCF-F6EC39BD23E6}"/>
    <cellStyle name="Normal 4 4 4 3 4 2 2" xfId="54932" xr:uid="{C3B8F005-3F81-4234-8930-AE14819E671B}"/>
    <cellStyle name="Normal 4 4 4 3 4 3" xfId="45635" xr:uid="{044F4D48-A1DA-4D19-BCBE-C94DD454F607}"/>
    <cellStyle name="Normal 4 4 4 3 4 4" xfId="27039" xr:uid="{AE730238-5EB5-450D-83B7-D873D05FE72B}"/>
    <cellStyle name="Normal 4 4 4 3 5" xfId="10287" xr:uid="{CEF8DCAF-B271-4026-92F8-365166263B1E}"/>
    <cellStyle name="Normal 4 4 4 3 5 2" xfId="46629" xr:uid="{F28220EE-26C1-4AEF-A0A9-8DA894E09AFF}"/>
    <cellStyle name="Normal 4 4 4 3 5 3" xfId="28033" xr:uid="{A64A63E8-AA19-4766-9FF9-BA33303DC82D}"/>
    <cellStyle name="Normal 4 4 4 3 6" xfId="37332" xr:uid="{5B1026E8-F573-4E36-9495-AD9C2288FA20}"/>
    <cellStyle name="Normal 4 4 4 3 7" xfId="18734" xr:uid="{F472CFA4-FD4D-4021-89FA-4711162721BE}"/>
    <cellStyle name="Normal 4 4 4 4" xfId="1284" xr:uid="{00000000-0005-0000-0000-0000CD150000}"/>
    <cellStyle name="Normal 4 4 4 4 2" xfId="3514" xr:uid="{00000000-0005-0000-0000-0000CE150000}"/>
    <cellStyle name="Normal 4 4 4 4 2 2" xfId="7736" xr:uid="{00000000-0005-0000-0000-0000CF150000}"/>
    <cellStyle name="Normal 4 4 4 4 2 2 2" xfId="17062" xr:uid="{DF59C3DD-AA03-4B2A-9B6A-BA442F89BA17}"/>
    <cellStyle name="Normal 4 4 4 4 2 2 2 2" xfId="53404" xr:uid="{420C2AC4-BE8C-4214-BA6D-C0C7348FDAD9}"/>
    <cellStyle name="Normal 4 4 4 4 2 2 2 3" xfId="34808" xr:uid="{83970472-6DAD-43A0-B0EA-0E694A019BBE}"/>
    <cellStyle name="Normal 4 4 4 4 2 2 3" xfId="44107" xr:uid="{09C87D06-F59A-4692-956D-84E7090C7F17}"/>
    <cellStyle name="Normal 4 4 4 4 2 2 4" xfId="25509" xr:uid="{34A6485B-C9F8-48FC-A8DF-7C4B7B61487C}"/>
    <cellStyle name="Normal 4 4 4 4 2 3" xfId="12845" xr:uid="{6D717958-C917-43D2-B48A-4085D01F3892}"/>
    <cellStyle name="Normal 4 4 4 4 2 3 2" xfId="49187" xr:uid="{1DB8DE66-482C-4956-8A1C-5949F17F41E3}"/>
    <cellStyle name="Normal 4 4 4 4 2 3 3" xfId="30591" xr:uid="{401D5D67-DF52-4F9A-A592-1226EC88B9D5}"/>
    <cellStyle name="Normal 4 4 4 4 2 4" xfId="39890" xr:uid="{851CEE1B-A774-4AD8-9D1C-706E62A75F80}"/>
    <cellStyle name="Normal 4 4 4 4 2 5" xfId="21292" xr:uid="{9E518E74-F46E-4759-A850-0733A523EA6E}"/>
    <cellStyle name="Normal 4 4 4 4 3" xfId="5591" xr:uid="{00000000-0005-0000-0000-0000D0150000}"/>
    <cellStyle name="Normal 4 4 4 4 3 2" xfId="14917" xr:uid="{E275DBBC-20B5-4BC9-B224-4F3BA3A8EC67}"/>
    <cellStyle name="Normal 4 4 4 4 3 2 2" xfId="51259" xr:uid="{B8BF8DCE-9CD4-481C-8D59-3C3F1CC03BA3}"/>
    <cellStyle name="Normal 4 4 4 4 3 2 3" xfId="32663" xr:uid="{D28CD3E7-2EEC-4445-91D9-C51E8423D15C}"/>
    <cellStyle name="Normal 4 4 4 4 3 3" xfId="41962" xr:uid="{D4012C54-E485-40C4-9EC0-AE4B2E242686}"/>
    <cellStyle name="Normal 4 4 4 4 3 4" xfId="23364" xr:uid="{B38C08CE-1FF6-4EA3-90FB-43EFDCE845FF}"/>
    <cellStyle name="Normal 4 4 4 4 4" xfId="10700" xr:uid="{D6469F2A-3EF1-4737-8C90-D8D6621E9563}"/>
    <cellStyle name="Normal 4 4 4 4 4 2" xfId="47042" xr:uid="{33B3E34B-4D83-462A-BA65-04A799630CC2}"/>
    <cellStyle name="Normal 4 4 4 4 4 3" xfId="28446" xr:uid="{85520D56-AD35-4C49-A62D-2453D983B81C}"/>
    <cellStyle name="Normal 4 4 4 4 5" xfId="37745" xr:uid="{2E30C48A-99F7-477B-8F53-6372E69CDD30}"/>
    <cellStyle name="Normal 4 4 4 4 6" xfId="19147" xr:uid="{00E818FE-000E-464E-89AF-B0E9F3A48BCA}"/>
    <cellStyle name="Normal 4 4 4 5" xfId="1697" xr:uid="{00000000-0005-0000-0000-0000D1150000}"/>
    <cellStyle name="Normal 4 4 4 5 2" xfId="3927" xr:uid="{00000000-0005-0000-0000-0000D2150000}"/>
    <cellStyle name="Normal 4 4 4 5 2 2" xfId="8149" xr:uid="{00000000-0005-0000-0000-0000D3150000}"/>
    <cellStyle name="Normal 4 4 4 5 2 2 2" xfId="17475" xr:uid="{D4483D0F-A675-4EDE-B4BF-7AABE0E314BA}"/>
    <cellStyle name="Normal 4 4 4 5 2 2 2 2" xfId="53817" xr:uid="{26D77717-04F7-431E-883C-A17757F5ACE4}"/>
    <cellStyle name="Normal 4 4 4 5 2 2 2 3" xfId="35221" xr:uid="{42AFD619-76FB-4E26-9925-F2930CFCDDC2}"/>
    <cellStyle name="Normal 4 4 4 5 2 2 3" xfId="44520" xr:uid="{59E0DEA7-C590-418A-B5B3-7D75AAA9D800}"/>
    <cellStyle name="Normal 4 4 4 5 2 2 4" xfId="25922" xr:uid="{2D3FE986-310D-405F-90BD-CDE9B8F5FA6F}"/>
    <cellStyle name="Normal 4 4 4 5 2 3" xfId="13258" xr:uid="{A59F53E9-F3C0-46D4-AECB-F83B5D25D18E}"/>
    <cellStyle name="Normal 4 4 4 5 2 3 2" xfId="49600" xr:uid="{EBF0166D-5A6B-47B8-848E-CBC51139D70E}"/>
    <cellStyle name="Normal 4 4 4 5 2 3 3" xfId="31004" xr:uid="{1A28ECBB-AED3-432C-85E9-340116982ACD}"/>
    <cellStyle name="Normal 4 4 4 5 2 4" xfId="40303" xr:uid="{5D3C47F2-D70D-4EF0-B9FA-190FE51CBB5D}"/>
    <cellStyle name="Normal 4 4 4 5 2 5" xfId="21705" xr:uid="{F2B75792-D408-4039-897F-43DBEF794B87}"/>
    <cellStyle name="Normal 4 4 4 5 3" xfId="6004" xr:uid="{00000000-0005-0000-0000-0000D4150000}"/>
    <cellStyle name="Normal 4 4 4 5 3 2" xfId="15330" xr:uid="{BD010C92-69B3-412C-B9E4-25E15DA848D9}"/>
    <cellStyle name="Normal 4 4 4 5 3 2 2" xfId="51672" xr:uid="{35CA29EA-82F5-42D9-A7FA-A58434A77409}"/>
    <cellStyle name="Normal 4 4 4 5 3 2 3" xfId="33076" xr:uid="{69DC2DC3-98AB-4CEF-A649-1A811B8BA905}"/>
    <cellStyle name="Normal 4 4 4 5 3 3" xfId="42375" xr:uid="{29BB850F-A34D-427F-8BEC-3CF8C248F552}"/>
    <cellStyle name="Normal 4 4 4 5 3 4" xfId="23777" xr:uid="{DC006AF8-EB33-446C-AF07-04E7AB1B981C}"/>
    <cellStyle name="Normal 4 4 4 5 4" xfId="11113" xr:uid="{485F0812-CB80-4DB8-BCE4-29175B36B1E3}"/>
    <cellStyle name="Normal 4 4 4 5 4 2" xfId="47455" xr:uid="{22EDDC52-C953-4376-898E-1A4C9A114E35}"/>
    <cellStyle name="Normal 4 4 4 5 4 3" xfId="28859" xr:uid="{0F4B7B46-5C44-4E90-B7B6-0C0A306BB548}"/>
    <cellStyle name="Normal 4 4 4 5 5" xfId="38158" xr:uid="{F410D955-870E-47D1-A958-734DCB4F57D1}"/>
    <cellStyle name="Normal 4 4 4 5 6" xfId="19560" xr:uid="{65B0560F-306A-4723-B2EC-C22FDC5422DC}"/>
    <cellStyle name="Normal 4 4 4 6" xfId="2111" xr:uid="{00000000-0005-0000-0000-0000D5150000}"/>
    <cellStyle name="Normal 4 4 4 6 2" xfId="4340" xr:uid="{00000000-0005-0000-0000-0000D6150000}"/>
    <cellStyle name="Normal 4 4 4 6 2 2" xfId="8562" xr:uid="{00000000-0005-0000-0000-0000D7150000}"/>
    <cellStyle name="Normal 4 4 4 6 2 2 2" xfId="17888" xr:uid="{49E4121E-B208-4EBF-9A94-0C123DE7EBF5}"/>
    <cellStyle name="Normal 4 4 4 6 2 2 2 2" xfId="54230" xr:uid="{16911E35-D787-4091-A77C-DEFDE44F04DF}"/>
    <cellStyle name="Normal 4 4 4 6 2 2 2 3" xfId="35634" xr:uid="{CC92E53D-B9AA-49B2-9984-87D192C0CF1D}"/>
    <cellStyle name="Normal 4 4 4 6 2 2 3" xfId="44933" xr:uid="{58FFAA28-9139-4FDA-9443-A99F2E557020}"/>
    <cellStyle name="Normal 4 4 4 6 2 2 4" xfId="26335" xr:uid="{CDCFBD88-7048-43E6-8457-5F87E8EA33C2}"/>
    <cellStyle name="Normal 4 4 4 6 2 3" xfId="13671" xr:uid="{E2F25DC4-57C5-47FE-9C06-E77FDD5C7773}"/>
    <cellStyle name="Normal 4 4 4 6 2 3 2" xfId="50013" xr:uid="{A4D0CF92-2D4A-472C-894F-D310FEDFC356}"/>
    <cellStyle name="Normal 4 4 4 6 2 3 3" xfId="31417" xr:uid="{F2303AB7-D059-4722-857D-0795BA7A8412}"/>
    <cellStyle name="Normal 4 4 4 6 2 4" xfId="40716" xr:uid="{4CD73388-7057-453D-8FF9-DAB5DCED58E5}"/>
    <cellStyle name="Normal 4 4 4 6 2 5" xfId="22118" xr:uid="{EFBF4B38-088B-43E7-80F3-658011254F1F}"/>
    <cellStyle name="Normal 4 4 4 6 3" xfId="6417" xr:uid="{00000000-0005-0000-0000-0000D8150000}"/>
    <cellStyle name="Normal 4 4 4 6 3 2" xfId="15743" xr:uid="{17FC8443-0B0C-4E38-B62A-D8F8DB2FAC17}"/>
    <cellStyle name="Normal 4 4 4 6 3 2 2" xfId="52085" xr:uid="{D2A6B40E-E7FE-4C16-8A1A-26A3CF9129B7}"/>
    <cellStyle name="Normal 4 4 4 6 3 2 3" xfId="33489" xr:uid="{3702CB94-9DAA-4CA2-B066-B180EEE1B520}"/>
    <cellStyle name="Normal 4 4 4 6 3 3" xfId="42788" xr:uid="{52C8A4D3-D399-40A3-B443-397732142B92}"/>
    <cellStyle name="Normal 4 4 4 6 3 4" xfId="24190" xr:uid="{61E87727-F6C3-4465-9FED-57998D1723A5}"/>
    <cellStyle name="Normal 4 4 4 6 4" xfId="11526" xr:uid="{DCFD9697-36C9-4FE0-88C7-FED89D1BAC03}"/>
    <cellStyle name="Normal 4 4 4 6 4 2" xfId="47868" xr:uid="{C48865BC-6CF8-44AE-A6F2-71C87F4FC5AA}"/>
    <cellStyle name="Normal 4 4 4 6 4 3" xfId="29272" xr:uid="{13BCFDAB-CE2C-4811-889D-08BDA826B23B}"/>
    <cellStyle name="Normal 4 4 4 6 5" xfId="38571" xr:uid="{B8C6537D-E93D-48A5-86F7-673456B2D4C1}"/>
    <cellStyle name="Normal 4 4 4 6 6" xfId="19973" xr:uid="{46D7D869-721C-4E7C-B0F2-A73C44EAEA37}"/>
    <cellStyle name="Normal 4 4 4 7" xfId="2547" xr:uid="{00000000-0005-0000-0000-0000D9150000}"/>
    <cellStyle name="Normal 4 4 4 7 2" xfId="6830" xr:uid="{00000000-0005-0000-0000-0000DA150000}"/>
    <cellStyle name="Normal 4 4 4 7 2 2" xfId="16156" xr:uid="{6ED7CCEC-B80F-485F-8C8B-8A57F0C7B842}"/>
    <cellStyle name="Normal 4 4 4 7 2 2 2" xfId="52498" xr:uid="{9AEDEBE4-78FE-4371-81CF-4480EF4A986D}"/>
    <cellStyle name="Normal 4 4 4 7 2 2 3" xfId="33902" xr:uid="{DAF9BCAB-4F1C-40F2-94AD-D391E04DB57D}"/>
    <cellStyle name="Normal 4 4 4 7 2 3" xfId="43201" xr:uid="{CA97D490-AA11-4B1A-A45A-46A07BCF134B}"/>
    <cellStyle name="Normal 4 4 4 7 2 4" xfId="24603" xr:uid="{CB8A2C2F-7042-4B68-8CEA-EFE1DAF76E06}"/>
    <cellStyle name="Normal 4 4 4 7 3" xfId="11939" xr:uid="{7144A5CC-DACE-4218-B31A-20EFA39A5FE4}"/>
    <cellStyle name="Normal 4 4 4 7 3 2" xfId="48281" xr:uid="{9FA89C69-A9D5-4DE9-9AC2-99E423ED1FE6}"/>
    <cellStyle name="Normal 4 4 4 7 3 3" xfId="29685" xr:uid="{6C500003-F12F-45C9-91EC-DF14F6C77F4E}"/>
    <cellStyle name="Normal 4 4 4 7 4" xfId="38984" xr:uid="{E0FE2375-BA16-474D-A571-A98E0914E5F5}"/>
    <cellStyle name="Normal 4 4 4 7 5" xfId="20386" xr:uid="{5514506B-EAB6-4862-BF1F-6D78F7888E49}"/>
    <cellStyle name="Normal 4 4 4 8" xfId="4765" xr:uid="{00000000-0005-0000-0000-0000DB150000}"/>
    <cellStyle name="Normal 4 4 4 8 2" xfId="14091" xr:uid="{24B526F7-529A-4F88-A1D0-20523EE5F3EA}"/>
    <cellStyle name="Normal 4 4 4 8 2 2" xfId="50433" xr:uid="{AA560114-D6BE-4743-863F-1214339B1423}"/>
    <cellStyle name="Normal 4 4 4 8 2 3" xfId="31837" xr:uid="{1B6A7421-7398-4D5B-940D-7B858060C65C}"/>
    <cellStyle name="Normal 4 4 4 8 3" xfId="41136" xr:uid="{926C4EE0-D2ED-4A40-8851-B7C30783158D}"/>
    <cellStyle name="Normal 4 4 4 8 4" xfId="22538" xr:uid="{58469526-5357-4E65-A48D-7E5A5D45D116}"/>
    <cellStyle name="Normal 4 4 4 9" xfId="8852" xr:uid="{DF4BB962-85B1-44B5-A0FE-735796672772}"/>
    <cellStyle name="Normal 4 4 4 9 2" xfId="35922" xr:uid="{88A888BF-8592-4247-B186-FAA152124234}"/>
    <cellStyle name="Normal 4 4 4 9 2 2" xfId="54517" xr:uid="{E80DFB18-EBDB-4789-BCD1-E3ECD6A962DB}"/>
    <cellStyle name="Normal 4 4 4 9 3" xfId="45220" xr:uid="{F3E7C95E-DD35-4133-A696-81912EBDB192}"/>
    <cellStyle name="Normal 4 4 4 9 4" xfId="26623" xr:uid="{9F4A5542-8C9F-42C7-9AC7-9E19D624224A}"/>
    <cellStyle name="Normal 4 4 5" xfId="393" xr:uid="{00000000-0005-0000-0000-0000DC150000}"/>
    <cellStyle name="Normal 4 4 5 10" xfId="36921" xr:uid="{9C76C534-D20D-4315-A7C4-03C904B395C8}"/>
    <cellStyle name="Normal 4 4 5 11" xfId="18323" xr:uid="{FE444376-AD37-4391-AA55-83B10168603F}"/>
    <cellStyle name="Normal 4 4 5 2" xfId="868" xr:uid="{00000000-0005-0000-0000-0000DD150000}"/>
    <cellStyle name="Normal 4 4 5 2 2" xfId="3103" xr:uid="{00000000-0005-0000-0000-0000DE150000}"/>
    <cellStyle name="Normal 4 4 5 2 2 2" xfId="7325" xr:uid="{00000000-0005-0000-0000-0000DF150000}"/>
    <cellStyle name="Normal 4 4 5 2 2 2 2" xfId="16651" xr:uid="{BC56B7B8-ED34-4E65-BB95-BFE60AAC9373}"/>
    <cellStyle name="Normal 4 4 5 2 2 2 2 2" xfId="52993" xr:uid="{04DE368B-D0B3-42B0-8297-57C06515DB6C}"/>
    <cellStyle name="Normal 4 4 5 2 2 2 2 3" xfId="34397" xr:uid="{52BD89A9-7572-4D83-A1BA-A8DBA0B40586}"/>
    <cellStyle name="Normal 4 4 5 2 2 2 3" xfId="43696" xr:uid="{08BE2664-214A-4AFC-ACB9-DCEACFF80542}"/>
    <cellStyle name="Normal 4 4 5 2 2 2 4" xfId="25098" xr:uid="{182FE5AD-DE2C-4810-B981-10F7BE80568B}"/>
    <cellStyle name="Normal 4 4 5 2 2 3" xfId="12434" xr:uid="{F50982D0-37BE-4D3C-8164-D34F15DFB227}"/>
    <cellStyle name="Normal 4 4 5 2 2 3 2" xfId="48776" xr:uid="{E6FE26C6-E313-45E3-AF6C-81CE12000A83}"/>
    <cellStyle name="Normal 4 4 5 2 2 3 3" xfId="30180" xr:uid="{E79AB829-1BAF-4288-812E-64F0447F6971}"/>
    <cellStyle name="Normal 4 4 5 2 2 4" xfId="39479" xr:uid="{5F4F283E-F201-4953-8F2C-8E3D92A90D19}"/>
    <cellStyle name="Normal 4 4 5 2 2 5" xfId="20881" xr:uid="{62173F72-F5CB-48FE-B073-EF82183BECA1}"/>
    <cellStyle name="Normal 4 4 5 2 3" xfId="5180" xr:uid="{00000000-0005-0000-0000-0000E0150000}"/>
    <cellStyle name="Normal 4 4 5 2 3 2" xfId="14506" xr:uid="{AF0192ED-D136-4FAE-977C-A963D3FC6825}"/>
    <cellStyle name="Normal 4 4 5 2 3 2 2" xfId="50848" xr:uid="{AF219D02-1B6A-4B91-B744-AB44A0F9F4A5}"/>
    <cellStyle name="Normal 4 4 5 2 3 2 3" xfId="32252" xr:uid="{2BC57795-B0FB-4FFD-8FCA-2D02044BA2FF}"/>
    <cellStyle name="Normal 4 4 5 2 3 3" xfId="41551" xr:uid="{F8DAF310-C5AA-48EE-95E8-BB391AB9AE29}"/>
    <cellStyle name="Normal 4 4 5 2 3 4" xfId="22953" xr:uid="{74EFA06A-75F0-43EB-8FE6-E25B1ECFD622}"/>
    <cellStyle name="Normal 4 4 5 2 4" xfId="9393" xr:uid="{C2991CC4-4E0B-46C4-B338-C6A1C9BA2DE9}"/>
    <cellStyle name="Normal 4 4 5 2 4 2" xfId="36454" xr:uid="{34B6519C-1709-4A27-8136-2A94C7B070B5}"/>
    <cellStyle name="Normal 4 4 5 2 4 2 2" xfId="55048" xr:uid="{1868A3D1-1EE9-45AD-B915-A678DD7740C1}"/>
    <cellStyle name="Normal 4 4 5 2 4 3" xfId="45751" xr:uid="{D76788EB-03B0-4304-A0DA-0FA3B5CDF689}"/>
    <cellStyle name="Normal 4 4 5 2 4 4" xfId="27155" xr:uid="{94811C7A-2870-46D4-AAC3-DD4026383E74}"/>
    <cellStyle name="Normal 4 4 5 2 5" xfId="10289" xr:uid="{97DFA74A-2B47-463A-B8AD-A236877B5013}"/>
    <cellStyle name="Normal 4 4 5 2 5 2" xfId="46631" xr:uid="{AD46EFBC-E6FA-4B9A-8850-3C2415E662E2}"/>
    <cellStyle name="Normal 4 4 5 2 5 3" xfId="28035" xr:uid="{BF69F941-C604-4252-B042-5DBEDDA0B5E7}"/>
    <cellStyle name="Normal 4 4 5 2 6" xfId="37334" xr:uid="{6E024E00-E111-4E6C-B491-13E258297E86}"/>
    <cellStyle name="Normal 4 4 5 2 7" xfId="18736" xr:uid="{66DE4498-7835-4927-B9D3-4083F00CD25C}"/>
    <cellStyle name="Normal 4 4 5 3" xfId="1286" xr:uid="{00000000-0005-0000-0000-0000E1150000}"/>
    <cellStyle name="Normal 4 4 5 3 2" xfId="3516" xr:uid="{00000000-0005-0000-0000-0000E2150000}"/>
    <cellStyle name="Normal 4 4 5 3 2 2" xfId="7738" xr:uid="{00000000-0005-0000-0000-0000E3150000}"/>
    <cellStyle name="Normal 4 4 5 3 2 2 2" xfId="17064" xr:uid="{93377D0C-BE63-4D57-A997-EDB213AFEB2B}"/>
    <cellStyle name="Normal 4 4 5 3 2 2 2 2" xfId="53406" xr:uid="{43B76F2E-5D95-450B-B3D7-727CBE1AB304}"/>
    <cellStyle name="Normal 4 4 5 3 2 2 2 3" xfId="34810" xr:uid="{3C7A4B80-99D9-41E6-8CEA-3A10FD24D60E}"/>
    <cellStyle name="Normal 4 4 5 3 2 2 3" xfId="44109" xr:uid="{16949314-8C92-479D-A5E5-FC36F0926076}"/>
    <cellStyle name="Normal 4 4 5 3 2 2 4" xfId="25511" xr:uid="{417EF84D-AF2C-4073-9105-61C3B2AE26F0}"/>
    <cellStyle name="Normal 4 4 5 3 2 3" xfId="12847" xr:uid="{92A77F4B-738B-4DB1-90D0-010EFC27213C}"/>
    <cellStyle name="Normal 4 4 5 3 2 3 2" xfId="49189" xr:uid="{2913AE17-E848-4FFB-A47F-597B8C85B7DE}"/>
    <cellStyle name="Normal 4 4 5 3 2 3 3" xfId="30593" xr:uid="{FF9A6CC1-8883-45FD-B189-E403E13B65BA}"/>
    <cellStyle name="Normal 4 4 5 3 2 4" xfId="39892" xr:uid="{36017FCE-8813-4EE5-B816-A1ADF4438256}"/>
    <cellStyle name="Normal 4 4 5 3 2 5" xfId="21294" xr:uid="{9AE253E5-EA0A-4EF1-A91B-2E0BFABCD1C7}"/>
    <cellStyle name="Normal 4 4 5 3 3" xfId="5593" xr:uid="{00000000-0005-0000-0000-0000E4150000}"/>
    <cellStyle name="Normal 4 4 5 3 3 2" xfId="14919" xr:uid="{4C211DB8-5F59-4644-BE70-7F9AA3316359}"/>
    <cellStyle name="Normal 4 4 5 3 3 2 2" xfId="51261" xr:uid="{7AD46FD6-9B14-4BE1-9AF1-B9D903EECB72}"/>
    <cellStyle name="Normal 4 4 5 3 3 2 3" xfId="32665" xr:uid="{B5F612D2-5080-46E1-ADBC-D40D65E50981}"/>
    <cellStyle name="Normal 4 4 5 3 3 3" xfId="41964" xr:uid="{8392C766-F26D-470B-91CD-09E4C6585D2F}"/>
    <cellStyle name="Normal 4 4 5 3 3 4" xfId="23366" xr:uid="{6FE5DB85-B278-443D-8769-75DA4CED51EF}"/>
    <cellStyle name="Normal 4 4 5 3 4" xfId="10702" xr:uid="{56D1DE8C-D2B8-4DFB-99EB-0409F5B9CAC4}"/>
    <cellStyle name="Normal 4 4 5 3 4 2" xfId="47044" xr:uid="{43696DA2-5986-4434-B731-D9C01BB68AC9}"/>
    <cellStyle name="Normal 4 4 5 3 4 3" xfId="28448" xr:uid="{BE55871A-ACA0-4E48-8DA9-7EDC90825FDC}"/>
    <cellStyle name="Normal 4 4 5 3 5" xfId="37747" xr:uid="{A5203CC4-915A-43C2-81F9-C130010A0BD8}"/>
    <cellStyle name="Normal 4 4 5 3 6" xfId="19149" xr:uid="{159E93E3-72E4-4CFD-B249-10DCEE5ECAB8}"/>
    <cellStyle name="Normal 4 4 5 4" xfId="1699" xr:uid="{00000000-0005-0000-0000-0000E5150000}"/>
    <cellStyle name="Normal 4 4 5 4 2" xfId="3929" xr:uid="{00000000-0005-0000-0000-0000E6150000}"/>
    <cellStyle name="Normal 4 4 5 4 2 2" xfId="8151" xr:uid="{00000000-0005-0000-0000-0000E7150000}"/>
    <cellStyle name="Normal 4 4 5 4 2 2 2" xfId="17477" xr:uid="{11201800-C533-47A1-8928-B16F718A151E}"/>
    <cellStyle name="Normal 4 4 5 4 2 2 2 2" xfId="53819" xr:uid="{7160116A-74F6-4CD2-A06E-FFACEFF04949}"/>
    <cellStyle name="Normal 4 4 5 4 2 2 2 3" xfId="35223" xr:uid="{90CB259B-4B33-480C-9D10-2A25BE2419C0}"/>
    <cellStyle name="Normal 4 4 5 4 2 2 3" xfId="44522" xr:uid="{59AD852A-A1FC-4A0E-AE18-36CB27E430A7}"/>
    <cellStyle name="Normal 4 4 5 4 2 2 4" xfId="25924" xr:uid="{89F0A2A7-875C-4249-AE02-C279189E89B8}"/>
    <cellStyle name="Normal 4 4 5 4 2 3" xfId="13260" xr:uid="{0A6BE7E3-E038-4D87-A4A7-0DBBD4B1789C}"/>
    <cellStyle name="Normal 4 4 5 4 2 3 2" xfId="49602" xr:uid="{AE1D810F-6B7A-4D29-A930-8915ADECA58B}"/>
    <cellStyle name="Normal 4 4 5 4 2 3 3" xfId="31006" xr:uid="{2359F974-6A52-4C96-BEC6-5B283127B706}"/>
    <cellStyle name="Normal 4 4 5 4 2 4" xfId="40305" xr:uid="{1C8ECB5E-E342-477F-AA1B-D995F65ADF6A}"/>
    <cellStyle name="Normal 4 4 5 4 2 5" xfId="21707" xr:uid="{2B753E61-57A6-40C5-A3BC-A1810554F1B4}"/>
    <cellStyle name="Normal 4 4 5 4 3" xfId="6006" xr:uid="{00000000-0005-0000-0000-0000E8150000}"/>
    <cellStyle name="Normal 4 4 5 4 3 2" xfId="15332" xr:uid="{ED50BF22-41CE-4ED8-B63D-A74831FA8475}"/>
    <cellStyle name="Normal 4 4 5 4 3 2 2" xfId="51674" xr:uid="{8FCE6C4E-A881-4199-8B58-DB7416B8414D}"/>
    <cellStyle name="Normal 4 4 5 4 3 2 3" xfId="33078" xr:uid="{3D5D6D68-AE25-4720-9E11-716548B25B36}"/>
    <cellStyle name="Normal 4 4 5 4 3 3" xfId="42377" xr:uid="{061B968E-6308-4264-AD9B-EDDFD8DB7AA8}"/>
    <cellStyle name="Normal 4 4 5 4 3 4" xfId="23779" xr:uid="{3B4BE389-2C51-40ED-B975-9F6BACC4076D}"/>
    <cellStyle name="Normal 4 4 5 4 4" xfId="11115" xr:uid="{DC190504-4BAA-4E5D-B1BB-CBB5E16800A8}"/>
    <cellStyle name="Normal 4 4 5 4 4 2" xfId="47457" xr:uid="{71B6A526-88BD-447C-80BB-5D1DC06D1E7F}"/>
    <cellStyle name="Normal 4 4 5 4 4 3" xfId="28861" xr:uid="{BBD4CB80-A664-4F54-A5D8-FB34CA16A572}"/>
    <cellStyle name="Normal 4 4 5 4 5" xfId="38160" xr:uid="{CDEAC905-855F-4E98-BCE9-8E7054A5EDEA}"/>
    <cellStyle name="Normal 4 4 5 4 6" xfId="19562" xr:uid="{F7885415-D4AA-4A63-A5EF-F30D8A928411}"/>
    <cellStyle name="Normal 4 4 5 5" xfId="2113" xr:uid="{00000000-0005-0000-0000-0000E9150000}"/>
    <cellStyle name="Normal 4 4 5 5 2" xfId="4342" xr:uid="{00000000-0005-0000-0000-0000EA150000}"/>
    <cellStyle name="Normal 4 4 5 5 2 2" xfId="8564" xr:uid="{00000000-0005-0000-0000-0000EB150000}"/>
    <cellStyle name="Normal 4 4 5 5 2 2 2" xfId="17890" xr:uid="{C84860E3-0FBC-4240-9EB0-B3041EA3D393}"/>
    <cellStyle name="Normal 4 4 5 5 2 2 2 2" xfId="54232" xr:uid="{FF9B4138-58D5-4587-9B58-0C5A2E5E980D}"/>
    <cellStyle name="Normal 4 4 5 5 2 2 2 3" xfId="35636" xr:uid="{C7C34D0A-F6BE-4FA3-B013-349ADD8DB774}"/>
    <cellStyle name="Normal 4 4 5 5 2 2 3" xfId="44935" xr:uid="{BAE7C3A9-89B3-4291-9EBA-F12D86FD5B01}"/>
    <cellStyle name="Normal 4 4 5 5 2 2 4" xfId="26337" xr:uid="{354A6133-BDE0-4504-BD06-41CE39AB7336}"/>
    <cellStyle name="Normal 4 4 5 5 2 3" xfId="13673" xr:uid="{65CB97E4-EB15-4E5B-A503-B278490EC4F9}"/>
    <cellStyle name="Normal 4 4 5 5 2 3 2" xfId="50015" xr:uid="{A145EF03-2FDE-4E5F-AFBC-223BE37CEB95}"/>
    <cellStyle name="Normal 4 4 5 5 2 3 3" xfId="31419" xr:uid="{45120355-BBD9-4771-9FD0-DE93861C4E78}"/>
    <cellStyle name="Normal 4 4 5 5 2 4" xfId="40718" xr:uid="{DB4C0317-ABFE-4B78-8596-0D494820AB5C}"/>
    <cellStyle name="Normal 4 4 5 5 2 5" xfId="22120" xr:uid="{5F85E072-1DBF-4E9C-9461-F8343FEEADE8}"/>
    <cellStyle name="Normal 4 4 5 5 3" xfId="6419" xr:uid="{00000000-0005-0000-0000-0000EC150000}"/>
    <cellStyle name="Normal 4 4 5 5 3 2" xfId="15745" xr:uid="{9415844B-F0EA-48A4-A3D5-1370CB664E83}"/>
    <cellStyle name="Normal 4 4 5 5 3 2 2" xfId="52087" xr:uid="{7CFE873A-9E1C-4E0B-8C43-E733EB16BAD1}"/>
    <cellStyle name="Normal 4 4 5 5 3 2 3" xfId="33491" xr:uid="{1E86CD62-D4ED-47DD-AF43-60CC4385677E}"/>
    <cellStyle name="Normal 4 4 5 5 3 3" xfId="42790" xr:uid="{A0F918A2-B3E0-42BD-8504-16CB6C179151}"/>
    <cellStyle name="Normal 4 4 5 5 3 4" xfId="24192" xr:uid="{B93ADD2F-1ACC-4026-A892-48354EA1F641}"/>
    <cellStyle name="Normal 4 4 5 5 4" xfId="11528" xr:uid="{2707E87D-24BC-4D59-8BA7-B7BAD2878274}"/>
    <cellStyle name="Normal 4 4 5 5 4 2" xfId="47870" xr:uid="{F531CBC9-6298-41AB-82AA-0269AF9C7283}"/>
    <cellStyle name="Normal 4 4 5 5 4 3" xfId="29274" xr:uid="{874D8F84-54AA-4278-9529-68375DC9F1B2}"/>
    <cellStyle name="Normal 4 4 5 5 5" xfId="38573" xr:uid="{F15D7A1F-BBD6-4DDB-B0A3-A155B1CC7C08}"/>
    <cellStyle name="Normal 4 4 5 5 6" xfId="19975" xr:uid="{C64C1C10-4A8C-43B1-B4C5-3C77222E4254}"/>
    <cellStyle name="Normal 4 4 5 6" xfId="2549" xr:uid="{00000000-0005-0000-0000-0000ED150000}"/>
    <cellStyle name="Normal 4 4 5 6 2" xfId="6832" xr:uid="{00000000-0005-0000-0000-0000EE150000}"/>
    <cellStyle name="Normal 4 4 5 6 2 2" xfId="16158" xr:uid="{8C1A8B93-02B8-42B9-B57E-B1D51AC45BF7}"/>
    <cellStyle name="Normal 4 4 5 6 2 2 2" xfId="52500" xr:uid="{E5D43406-6CB4-4EA9-90DE-3BEB268A760A}"/>
    <cellStyle name="Normal 4 4 5 6 2 2 3" xfId="33904" xr:uid="{808E7EAA-77BB-4947-81E5-1090C2F4BF10}"/>
    <cellStyle name="Normal 4 4 5 6 2 3" xfId="43203" xr:uid="{4EB7F528-92C9-49EF-B4DD-BC06FDD8049B}"/>
    <cellStyle name="Normal 4 4 5 6 2 4" xfId="24605" xr:uid="{3A43F775-DF95-478D-925E-BD3C549D26A0}"/>
    <cellStyle name="Normal 4 4 5 6 3" xfId="11941" xr:uid="{26E462A5-001B-4870-B24D-941E1457AE71}"/>
    <cellStyle name="Normal 4 4 5 6 3 2" xfId="48283" xr:uid="{49F55FFC-1DA9-4AC9-AC15-463D7AEF6AA4}"/>
    <cellStyle name="Normal 4 4 5 6 3 3" xfId="29687" xr:uid="{2C613F8B-95AE-4BE8-A2EA-98C3A8100C9B}"/>
    <cellStyle name="Normal 4 4 5 6 4" xfId="38986" xr:uid="{401EE356-ECF9-466F-A997-355E35145F36}"/>
    <cellStyle name="Normal 4 4 5 6 5" xfId="20388" xr:uid="{4D5BCF5A-6520-4399-B64F-88A03B39CD6F}"/>
    <cellStyle name="Normal 4 4 5 7" xfId="4767" xr:uid="{00000000-0005-0000-0000-0000EF150000}"/>
    <cellStyle name="Normal 4 4 5 7 2" xfId="14093" xr:uid="{B7AA2EBA-C2DA-477F-AC80-1AE296A1F5A7}"/>
    <cellStyle name="Normal 4 4 5 7 2 2" xfId="50435" xr:uid="{DD468435-C77D-4F29-A823-89FC80B1BDFA}"/>
    <cellStyle name="Normal 4 4 5 7 2 3" xfId="31839" xr:uid="{B925642A-4222-4196-98C7-8E778CE6FD4F}"/>
    <cellStyle name="Normal 4 4 5 7 3" xfId="41138" xr:uid="{BD6E6080-B1D9-4EAD-9FEE-012BD5C488A9}"/>
    <cellStyle name="Normal 4 4 5 7 4" xfId="22540" xr:uid="{56A27ACB-66E0-413C-9CAD-D8502B55D50E}"/>
    <cellStyle name="Normal 4 4 5 8" xfId="8968" xr:uid="{BE877DDE-435D-4CBA-84F2-0372D1DDE771}"/>
    <cellStyle name="Normal 4 4 5 8 2" xfId="36038" xr:uid="{DA55E5A7-8BCE-449F-A29D-7FB74B11E9C9}"/>
    <cellStyle name="Normal 4 4 5 8 2 2" xfId="54633" xr:uid="{47320481-17A6-4F92-888C-EF673B284728}"/>
    <cellStyle name="Normal 4 4 5 8 3" xfId="45336" xr:uid="{181AF32E-4635-478D-9FD6-DF86AA5554CE}"/>
    <cellStyle name="Normal 4 4 5 8 4" xfId="26739" xr:uid="{A8F4557C-0CAB-428A-9896-BBC50097CA4C}"/>
    <cellStyle name="Normal 4 4 5 9" xfId="9876" xr:uid="{725AC229-2F73-44E1-8ECD-35BCBAEF886B}"/>
    <cellStyle name="Normal 4 4 5 9 2" xfId="46218" xr:uid="{52FB1E45-7C57-444E-A888-FF5712BFEC3A}"/>
    <cellStyle name="Normal 4 4 5 9 3" xfId="27622" xr:uid="{94E2FA8B-2D07-448D-88AD-AC026ED8D7C8}"/>
    <cellStyle name="Normal 4 4 6" xfId="853" xr:uid="{00000000-0005-0000-0000-0000F0150000}"/>
    <cellStyle name="Normal 4 4 6 2" xfId="3088" xr:uid="{00000000-0005-0000-0000-0000F1150000}"/>
    <cellStyle name="Normal 4 4 6 2 2" xfId="7310" xr:uid="{00000000-0005-0000-0000-0000F2150000}"/>
    <cellStyle name="Normal 4 4 6 2 2 2" xfId="16636" xr:uid="{6E08C690-7B2B-486B-A2E9-6F5E21354B29}"/>
    <cellStyle name="Normal 4 4 6 2 2 2 2" xfId="52978" xr:uid="{E18C9241-C804-49E8-9062-90ABE0B0590E}"/>
    <cellStyle name="Normal 4 4 6 2 2 2 3" xfId="34382" xr:uid="{651817C7-A85C-4C0C-A374-F63182313061}"/>
    <cellStyle name="Normal 4 4 6 2 2 3" xfId="43681" xr:uid="{F569914D-D1A8-467E-B914-65F9C10A83C4}"/>
    <cellStyle name="Normal 4 4 6 2 2 4" xfId="25083" xr:uid="{FB6A4122-35B6-4E5E-88C7-849EB53A076C}"/>
    <cellStyle name="Normal 4 4 6 2 3" xfId="12419" xr:uid="{0324DED1-E68F-4FD9-96AF-D866DE2A514D}"/>
    <cellStyle name="Normal 4 4 6 2 3 2" xfId="48761" xr:uid="{539576C4-C64B-40F8-94B4-4B9F8F965196}"/>
    <cellStyle name="Normal 4 4 6 2 3 3" xfId="30165" xr:uid="{D653B770-6997-4B7C-ABFF-EA20132E44D2}"/>
    <cellStyle name="Normal 4 4 6 2 4" xfId="39464" xr:uid="{677379B3-8ECB-4A15-9725-C8A188820B86}"/>
    <cellStyle name="Normal 4 4 6 2 5" xfId="20866" xr:uid="{1ED9267E-BF29-4201-A5BA-F9026AF376BB}"/>
    <cellStyle name="Normal 4 4 6 3" xfId="5165" xr:uid="{00000000-0005-0000-0000-0000F3150000}"/>
    <cellStyle name="Normal 4 4 6 3 2" xfId="14491" xr:uid="{1E5A880B-B1EC-4391-A890-BCBAE995781D}"/>
    <cellStyle name="Normal 4 4 6 3 2 2" xfId="50833" xr:uid="{3DEAAC81-2D59-4CC6-89D0-C88868D3C81E}"/>
    <cellStyle name="Normal 4 4 6 3 2 3" xfId="32237" xr:uid="{D2E036E7-9ADF-47CA-94DA-B173A8AC7B2D}"/>
    <cellStyle name="Normal 4 4 6 3 3" xfId="41536" xr:uid="{CE946120-3C40-4FE3-BA96-B7CCC9E6FB85}"/>
    <cellStyle name="Normal 4 4 6 3 4" xfId="22938" xr:uid="{98A2EC24-0C17-4C04-88CF-4C7194BF9E70}"/>
    <cellStyle name="Normal 4 4 6 4" xfId="9171" xr:uid="{C474601B-95F0-4C9E-AB77-B3E61D2A21D7}"/>
    <cellStyle name="Normal 4 4 6 4 2" xfId="36235" xr:uid="{200F0830-BCB9-4CA9-BB13-4E855BC380A2}"/>
    <cellStyle name="Normal 4 4 6 4 2 2" xfId="54829" xr:uid="{6A6487EE-0DC6-4634-AC43-9B9AFC8610A6}"/>
    <cellStyle name="Normal 4 4 6 4 3" xfId="45532" xr:uid="{1B072AD5-090B-4E94-93E6-91696B4284A1}"/>
    <cellStyle name="Normal 4 4 6 4 4" xfId="26936" xr:uid="{DEB36339-F026-4FA5-805D-C67C087FD418}"/>
    <cellStyle name="Normal 4 4 6 5" xfId="10274" xr:uid="{4B25E2A5-362D-424E-8381-825FEBF0CE8E}"/>
    <cellStyle name="Normal 4 4 6 5 2" xfId="46616" xr:uid="{D9D87145-897A-424B-ADD3-DE87DFA896AC}"/>
    <cellStyle name="Normal 4 4 6 5 3" xfId="28020" xr:uid="{140E8C98-5241-4C22-962B-1273B92BBF6B}"/>
    <cellStyle name="Normal 4 4 6 6" xfId="37319" xr:uid="{2CA897CE-B657-4723-9D92-565A9D4D00DB}"/>
    <cellStyle name="Normal 4 4 6 7" xfId="18721" xr:uid="{5EA3AE6B-821B-4633-88ED-3793C332BA3F}"/>
    <cellStyle name="Normal 4 4 7" xfId="1271" xr:uid="{00000000-0005-0000-0000-0000F4150000}"/>
    <cellStyle name="Normal 4 4 7 2" xfId="3501" xr:uid="{00000000-0005-0000-0000-0000F5150000}"/>
    <cellStyle name="Normal 4 4 7 2 2" xfId="7723" xr:uid="{00000000-0005-0000-0000-0000F6150000}"/>
    <cellStyle name="Normal 4 4 7 2 2 2" xfId="17049" xr:uid="{9AB2AD42-1A98-4CDB-8317-EF5A40A8CE90}"/>
    <cellStyle name="Normal 4 4 7 2 2 2 2" xfId="53391" xr:uid="{0CBA07B4-DDE5-4E06-89C6-0DC4A2724F8C}"/>
    <cellStyle name="Normal 4 4 7 2 2 2 3" xfId="34795" xr:uid="{015DAA74-D3BC-4AB1-B792-B5CFF6FD9A6B}"/>
    <cellStyle name="Normal 4 4 7 2 2 3" xfId="44094" xr:uid="{B0E62FDB-DED2-4CF4-81D8-7E340E333478}"/>
    <cellStyle name="Normal 4 4 7 2 2 4" xfId="25496" xr:uid="{BE141F45-E9E0-40CF-9F80-F7C20DBE26D2}"/>
    <cellStyle name="Normal 4 4 7 2 3" xfId="12832" xr:uid="{910E6992-B36E-494C-A215-308252131A0D}"/>
    <cellStyle name="Normal 4 4 7 2 3 2" xfId="49174" xr:uid="{C22F3059-4A1D-43D4-A38F-9C1CC680F7C4}"/>
    <cellStyle name="Normal 4 4 7 2 3 3" xfId="30578" xr:uid="{830F48FD-ED47-4EA7-B735-B5343D6B4F89}"/>
    <cellStyle name="Normal 4 4 7 2 4" xfId="39877" xr:uid="{EA99CF30-2C8B-4BA3-8A84-31B4E47C6256}"/>
    <cellStyle name="Normal 4 4 7 2 5" xfId="21279" xr:uid="{CBD36DD1-2193-4726-93F9-F38E14BB176C}"/>
    <cellStyle name="Normal 4 4 7 3" xfId="5578" xr:uid="{00000000-0005-0000-0000-0000F7150000}"/>
    <cellStyle name="Normal 4 4 7 3 2" xfId="14904" xr:uid="{B8C85C66-C2AD-4817-9613-C7C12F226FEB}"/>
    <cellStyle name="Normal 4 4 7 3 2 2" xfId="51246" xr:uid="{1DABB894-23BC-406D-8673-9C5EC7C8BD11}"/>
    <cellStyle name="Normal 4 4 7 3 2 3" xfId="32650" xr:uid="{DCA19674-7125-4928-A7A3-6038F29C96D3}"/>
    <cellStyle name="Normal 4 4 7 3 3" xfId="41949" xr:uid="{CB84BF17-A440-4DF8-BAB4-2B91742F09A5}"/>
    <cellStyle name="Normal 4 4 7 3 4" xfId="23351" xr:uid="{C1C1B531-1ED5-4D1A-866C-35B5357C44CC}"/>
    <cellStyle name="Normal 4 4 7 4" xfId="10687" xr:uid="{76E82E3B-E309-43C0-ACEA-9B89EBBFF31D}"/>
    <cellStyle name="Normal 4 4 7 4 2" xfId="47029" xr:uid="{D3D94EC1-7683-4FFE-B01C-FDABC0501880}"/>
    <cellStyle name="Normal 4 4 7 4 3" xfId="28433" xr:uid="{D4B42AAE-0FD9-4388-A9E9-8ED599E6595F}"/>
    <cellStyle name="Normal 4 4 7 5" xfId="37732" xr:uid="{513351BC-6822-4454-AA37-8B99C037F4E1}"/>
    <cellStyle name="Normal 4 4 7 6" xfId="19134" xr:uid="{A930A29D-8A79-4A20-8107-7EFCF0247C73}"/>
    <cellStyle name="Normal 4 4 8" xfId="1684" xr:uid="{00000000-0005-0000-0000-0000F8150000}"/>
    <cellStyle name="Normal 4 4 8 2" xfId="3914" xr:uid="{00000000-0005-0000-0000-0000F9150000}"/>
    <cellStyle name="Normal 4 4 8 2 2" xfId="8136" xr:uid="{00000000-0005-0000-0000-0000FA150000}"/>
    <cellStyle name="Normal 4 4 8 2 2 2" xfId="17462" xr:uid="{009B8C0D-3098-4D66-B9EA-0A1734F47AB6}"/>
    <cellStyle name="Normal 4 4 8 2 2 2 2" xfId="53804" xr:uid="{85C26459-DCD9-4D30-922D-1B2D4B87854D}"/>
    <cellStyle name="Normal 4 4 8 2 2 2 3" xfId="35208" xr:uid="{1B9463E7-683D-4E89-BE5C-72619FB801F4}"/>
    <cellStyle name="Normal 4 4 8 2 2 3" xfId="44507" xr:uid="{1AFEE649-7F8A-4BD1-9996-EC0A2AAE94BE}"/>
    <cellStyle name="Normal 4 4 8 2 2 4" xfId="25909" xr:uid="{A28EEE10-A404-40E9-9CD5-E56E50E803D6}"/>
    <cellStyle name="Normal 4 4 8 2 3" xfId="13245" xr:uid="{F4150278-CCF8-40C9-9495-0B0666B6C782}"/>
    <cellStyle name="Normal 4 4 8 2 3 2" xfId="49587" xr:uid="{FC5BB946-FB2A-424F-9892-C0D98FF08DD1}"/>
    <cellStyle name="Normal 4 4 8 2 3 3" xfId="30991" xr:uid="{BF250CB6-471A-4BDE-9991-924F1D2B040D}"/>
    <cellStyle name="Normal 4 4 8 2 4" xfId="40290" xr:uid="{CF404B49-C267-47A6-A564-623058CC222F}"/>
    <cellStyle name="Normal 4 4 8 2 5" xfId="21692" xr:uid="{E3BECF20-8866-4884-9E56-C50310E083CA}"/>
    <cellStyle name="Normal 4 4 8 3" xfId="5991" xr:uid="{00000000-0005-0000-0000-0000FB150000}"/>
    <cellStyle name="Normal 4 4 8 3 2" xfId="15317" xr:uid="{72E0EFD5-F7F4-4D5B-AC1B-075E571223BA}"/>
    <cellStyle name="Normal 4 4 8 3 2 2" xfId="51659" xr:uid="{2EE9EE23-4BCA-4258-A310-DC77CE1AE32C}"/>
    <cellStyle name="Normal 4 4 8 3 2 3" xfId="33063" xr:uid="{263F59BF-864D-435B-B6C7-D87538678089}"/>
    <cellStyle name="Normal 4 4 8 3 3" xfId="42362" xr:uid="{205793E8-506B-42C1-828A-AFB14C186939}"/>
    <cellStyle name="Normal 4 4 8 3 4" xfId="23764" xr:uid="{85CFEE78-3E35-45E4-B218-4B59626964EB}"/>
    <cellStyle name="Normal 4 4 8 4" xfId="11100" xr:uid="{E2F0B1E2-53A6-4EBE-BF72-0C3AB252DA99}"/>
    <cellStyle name="Normal 4 4 8 4 2" xfId="47442" xr:uid="{C7FC18E7-B0B2-446F-A174-F0C1133A5144}"/>
    <cellStyle name="Normal 4 4 8 4 3" xfId="28846" xr:uid="{53631B41-F5FA-4764-964C-9CDB9138915E}"/>
    <cellStyle name="Normal 4 4 8 5" xfId="38145" xr:uid="{3969CF09-5363-4726-B2C5-55A3707A9C44}"/>
    <cellStyle name="Normal 4 4 8 6" xfId="19547" xr:uid="{21A2E3DC-20EC-4290-8A52-4435E7ACABA4}"/>
    <cellStyle name="Normal 4 4 9" xfId="2098" xr:uid="{00000000-0005-0000-0000-0000FC150000}"/>
    <cellStyle name="Normal 4 4 9 2" xfId="4327" xr:uid="{00000000-0005-0000-0000-0000FD150000}"/>
    <cellStyle name="Normal 4 4 9 2 2" xfId="8549" xr:uid="{00000000-0005-0000-0000-0000FE150000}"/>
    <cellStyle name="Normal 4 4 9 2 2 2" xfId="17875" xr:uid="{14F48662-E7D8-4FC9-B295-49247209A4B3}"/>
    <cellStyle name="Normal 4 4 9 2 2 2 2" xfId="54217" xr:uid="{F390CC77-1C57-40BA-8084-C90554905D34}"/>
    <cellStyle name="Normal 4 4 9 2 2 2 3" xfId="35621" xr:uid="{7F179584-217A-4673-A922-BD9837C2707F}"/>
    <cellStyle name="Normal 4 4 9 2 2 3" xfId="44920" xr:uid="{F76FBF54-51E5-496B-84BA-EBDE365672F3}"/>
    <cellStyle name="Normal 4 4 9 2 2 4" xfId="26322" xr:uid="{89F179B6-C6AC-41A6-9D69-91A85A25CBD0}"/>
    <cellStyle name="Normal 4 4 9 2 3" xfId="13658" xr:uid="{9D8AEA5C-0C59-4A61-9F79-4DA7E9E33285}"/>
    <cellStyle name="Normal 4 4 9 2 3 2" xfId="50000" xr:uid="{1E075A76-5411-4FC3-9BC8-0B4982F3F7C8}"/>
    <cellStyle name="Normal 4 4 9 2 3 3" xfId="31404" xr:uid="{8A2EF376-E028-48A8-A3C6-3DFF39C4651A}"/>
    <cellStyle name="Normal 4 4 9 2 4" xfId="40703" xr:uid="{DBB1D051-7FC2-4DB8-95B4-18E7618F621A}"/>
    <cellStyle name="Normal 4 4 9 2 5" xfId="22105" xr:uid="{FD5A6D4E-32FE-4D57-92DA-0A8A66FB8D28}"/>
    <cellStyle name="Normal 4 4 9 3" xfId="6404" xr:uid="{00000000-0005-0000-0000-0000FF150000}"/>
    <cellStyle name="Normal 4 4 9 3 2" xfId="15730" xr:uid="{F0EB77E6-561A-43B8-8C86-6933679673D5}"/>
    <cellStyle name="Normal 4 4 9 3 2 2" xfId="52072" xr:uid="{771266AC-16F0-4872-A883-5F640BFE71B5}"/>
    <cellStyle name="Normal 4 4 9 3 2 3" xfId="33476" xr:uid="{F9BC19F1-5A96-4DB3-9E01-7644535FE2FA}"/>
    <cellStyle name="Normal 4 4 9 3 3" xfId="42775" xr:uid="{B0FD577D-2D62-4537-A8CC-F018028C0695}"/>
    <cellStyle name="Normal 4 4 9 3 4" xfId="24177" xr:uid="{C04AEA04-F54F-4FDF-89E6-22401C8ACA20}"/>
    <cellStyle name="Normal 4 4 9 4" xfId="11513" xr:uid="{BF4836EE-3FE2-44EF-B95F-07CDBE024093}"/>
    <cellStyle name="Normal 4 4 9 4 2" xfId="47855" xr:uid="{31DA8229-19F0-4D8A-AF39-F3E3BCF363BD}"/>
    <cellStyle name="Normal 4 4 9 4 3" xfId="29259" xr:uid="{05A73F82-D479-4948-B47F-86216ACA59F4}"/>
    <cellStyle name="Normal 4 4 9 5" xfId="38558" xr:uid="{5B702D2B-D758-4324-A2E9-DB823E887236}"/>
    <cellStyle name="Normal 4 4 9 6" xfId="19960" xr:uid="{458ACE4F-6C43-46FD-9604-BC46A64F187D}"/>
    <cellStyle name="Normal 4 5" xfId="394" xr:uid="{00000000-0005-0000-0000-000000160000}"/>
    <cellStyle name="Normal 4 6" xfId="395" xr:uid="{00000000-0005-0000-0000-000001160000}"/>
    <cellStyle name="Normal 4 6 10" xfId="4768" xr:uid="{00000000-0005-0000-0000-000002160000}"/>
    <cellStyle name="Normal 4 6 10 2" xfId="14094" xr:uid="{7FE1E0A4-99E0-4592-BB67-FE180640576B}"/>
    <cellStyle name="Normal 4 6 10 2 2" xfId="50436" xr:uid="{439ED146-518A-4510-8FFA-0B2D10FBD098}"/>
    <cellStyle name="Normal 4 6 10 2 3" xfId="31840" xr:uid="{D642D4D1-1283-4B87-8CE2-BB23BD656703}"/>
    <cellStyle name="Normal 4 6 10 3" xfId="41139" xr:uid="{83B17EDC-127A-4E73-99D9-A4176B92D212}"/>
    <cellStyle name="Normal 4 6 10 4" xfId="22541" xr:uid="{1AAAE73C-4A35-4D1E-B03F-45BBB9B63E0F}"/>
    <cellStyle name="Normal 4 6 11" xfId="8772" xr:uid="{23628FEE-4113-4B2C-B2A0-0106FC7F55C2}"/>
    <cellStyle name="Normal 4 6 11 2" xfId="35842" xr:uid="{D1224410-AEBB-4A28-A925-D8BFE881C1FE}"/>
    <cellStyle name="Normal 4 6 11 2 2" xfId="54437" xr:uid="{5603E4A5-6B75-4B13-A41D-D056ED6EB340}"/>
    <cellStyle name="Normal 4 6 11 3" xfId="45140" xr:uid="{3392C1D7-8F1F-4897-BC0C-22D90A62EBAA}"/>
    <cellStyle name="Normal 4 6 11 4" xfId="26543" xr:uid="{381D959F-5E4D-40F0-B53A-E2BD794F0CEF}"/>
    <cellStyle name="Normal 4 6 12" xfId="9877" xr:uid="{779903F5-DCDD-448C-BCFF-AE340926AF5A}"/>
    <cellStyle name="Normal 4 6 12 2" xfId="46219" xr:uid="{209E1DA1-B482-42A8-9C5B-8EE374D772D9}"/>
    <cellStyle name="Normal 4 6 12 3" xfId="27623" xr:uid="{C4D79A38-4F5C-46EB-BFA2-CA9D3E19F929}"/>
    <cellStyle name="Normal 4 6 13" xfId="36922" xr:uid="{9A96EA4A-6D89-43BA-A077-07AA0DB34AB1}"/>
    <cellStyle name="Normal 4 6 14" xfId="18324" xr:uid="{9CA91F60-9C5B-4503-A387-2995D02751A9}"/>
    <cellStyle name="Normal 4 6 2" xfId="396" xr:uid="{00000000-0005-0000-0000-000003160000}"/>
    <cellStyle name="Normal 4 6 2 10" xfId="8825" xr:uid="{C3062495-9D56-441B-95F6-B73E7DAC524C}"/>
    <cellStyle name="Normal 4 6 2 10 2" xfId="35895" xr:uid="{89AA8BB9-0566-4357-B20D-EAD62B786792}"/>
    <cellStyle name="Normal 4 6 2 10 2 2" xfId="54490" xr:uid="{8912BF71-E05B-464E-AA3D-CCE5BC795DB4}"/>
    <cellStyle name="Normal 4 6 2 10 3" xfId="45193" xr:uid="{F048F2C5-EC43-4854-944D-F70349B9C7D9}"/>
    <cellStyle name="Normal 4 6 2 10 4" xfId="26596" xr:uid="{CD55F49B-FB9A-4AE0-9BA5-AD24867C4E1B}"/>
    <cellStyle name="Normal 4 6 2 11" xfId="9878" xr:uid="{AF11F489-4BA3-41E7-9045-B10E871F2072}"/>
    <cellStyle name="Normal 4 6 2 11 2" xfId="46220" xr:uid="{C92E2C14-36F8-4ED8-B49D-87F43CD653FF}"/>
    <cellStyle name="Normal 4 6 2 11 3" xfId="27624" xr:uid="{18D0822C-75D8-4A55-97F5-C296BB153A76}"/>
    <cellStyle name="Normal 4 6 2 12" xfId="36923" xr:uid="{456AF0AC-7776-4A10-9E56-C0DC53F4BC32}"/>
    <cellStyle name="Normal 4 6 2 13" xfId="18325" xr:uid="{BC14A6E4-422B-43CB-BDED-0D6A629A31DE}"/>
    <cellStyle name="Normal 4 6 2 2" xfId="397" xr:uid="{00000000-0005-0000-0000-000004160000}"/>
    <cellStyle name="Normal 4 6 2 2 10" xfId="9879" xr:uid="{1721969F-77F0-4F0A-9105-F11B20B0FE35}"/>
    <cellStyle name="Normal 4 6 2 2 10 2" xfId="46221" xr:uid="{B24FA569-D7EE-4B49-AB3F-688068F3F7B3}"/>
    <cellStyle name="Normal 4 6 2 2 10 3" xfId="27625" xr:uid="{608AAD82-F0C8-4ABC-B953-6C762F1095EE}"/>
    <cellStyle name="Normal 4 6 2 2 11" xfId="36924" xr:uid="{EE8F1929-6849-48A4-82D3-615EC72B44F9}"/>
    <cellStyle name="Normal 4 6 2 2 12" xfId="18326" xr:uid="{F19DEB26-6C26-456A-99B6-69DA19703AF2}"/>
    <cellStyle name="Normal 4 6 2 2 2" xfId="398" xr:uid="{00000000-0005-0000-0000-000005160000}"/>
    <cellStyle name="Normal 4 6 2 2 2 10" xfId="36925" xr:uid="{C0E3C2F3-4468-48E6-ABBE-FE1B7745830D}"/>
    <cellStyle name="Normal 4 6 2 2 2 11" xfId="18327" xr:uid="{697AE1D9-DA69-4B28-9B17-DA5E2334B062}"/>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16655" xr:uid="{7E97D17C-F143-4AE9-BC2B-A00652E9AEE2}"/>
    <cellStyle name="Normal 4 6 2 2 2 2 2 2 2 2" xfId="52997" xr:uid="{611297BB-D0FD-46BF-A187-9CFA071326EA}"/>
    <cellStyle name="Normal 4 6 2 2 2 2 2 2 2 3" xfId="34401" xr:uid="{94E41AFF-3E34-4AEE-87CE-269E1BAADF02}"/>
    <cellStyle name="Normal 4 6 2 2 2 2 2 2 3" xfId="43700" xr:uid="{2D497200-8AAC-4192-99D7-0BD6C084FF71}"/>
    <cellStyle name="Normal 4 6 2 2 2 2 2 2 4" xfId="25102" xr:uid="{50133BFD-52ED-46B7-A7D7-D79908AD1260}"/>
    <cellStyle name="Normal 4 6 2 2 2 2 2 3" xfId="12438" xr:uid="{42CB008A-8D75-4EB1-B15C-F8469DD33A61}"/>
    <cellStyle name="Normal 4 6 2 2 2 2 2 3 2" xfId="48780" xr:uid="{1B626946-0EE2-417C-B691-9628D8867F0E}"/>
    <cellStyle name="Normal 4 6 2 2 2 2 2 3 3" xfId="30184" xr:uid="{C5FAEF2D-BDD2-49D9-B114-D0D9AC6AE694}"/>
    <cellStyle name="Normal 4 6 2 2 2 2 2 4" xfId="39483" xr:uid="{BBAA1CAF-39C9-4377-98BC-213DDC40650D}"/>
    <cellStyle name="Normal 4 6 2 2 2 2 2 5" xfId="20885" xr:uid="{2AC091D0-E88F-42FB-91DB-5884A06643DE}"/>
    <cellStyle name="Normal 4 6 2 2 2 2 3" xfId="5184" xr:uid="{00000000-0005-0000-0000-000009160000}"/>
    <cellStyle name="Normal 4 6 2 2 2 2 3 2" xfId="14510" xr:uid="{62F4EAE0-5E3D-4436-AA83-DCA723FDAA36}"/>
    <cellStyle name="Normal 4 6 2 2 2 2 3 2 2" xfId="50852" xr:uid="{46BF9343-6C0C-437C-B95A-49A083BA57F5}"/>
    <cellStyle name="Normal 4 6 2 2 2 2 3 2 3" xfId="32256" xr:uid="{C5E881F2-962A-4EF8-AF52-D054FB0EF9A5}"/>
    <cellStyle name="Normal 4 6 2 2 2 2 3 3" xfId="41555" xr:uid="{ECEA9822-3C7F-4E3C-B545-F8021799ACF3}"/>
    <cellStyle name="Normal 4 6 2 2 2 2 3 4" xfId="22957" xr:uid="{7BA55EF7-6DA4-432B-8E0A-CC9326D0CB2B}"/>
    <cellStyle name="Normal 4 6 2 2 2 2 4" xfId="9560" xr:uid="{04DAEE11-A96E-4522-8546-8A0C107E12B9}"/>
    <cellStyle name="Normal 4 6 2 2 2 2 4 2" xfId="36621" xr:uid="{BCB1A566-1B54-4BAD-AD06-272FE0C8778C}"/>
    <cellStyle name="Normal 4 6 2 2 2 2 4 2 2" xfId="55215" xr:uid="{63143F87-898A-489A-BA70-C3AB0BDEAFB0}"/>
    <cellStyle name="Normal 4 6 2 2 2 2 4 3" xfId="45918" xr:uid="{08C4CEFD-E919-4568-9BED-1572C4022FB6}"/>
    <cellStyle name="Normal 4 6 2 2 2 2 4 4" xfId="27322" xr:uid="{1DF3150F-076C-4DBC-A059-4BA94F414F1B}"/>
    <cellStyle name="Normal 4 6 2 2 2 2 5" xfId="10293" xr:uid="{66B4A7E5-DA90-4535-BD37-49365751CDCB}"/>
    <cellStyle name="Normal 4 6 2 2 2 2 5 2" xfId="46635" xr:uid="{B6B96E66-45BD-4B38-BE6D-5FBBE99FB1A8}"/>
    <cellStyle name="Normal 4 6 2 2 2 2 5 3" xfId="28039" xr:uid="{D2D653E0-F19F-4141-83C6-7D2A762C2FEB}"/>
    <cellStyle name="Normal 4 6 2 2 2 2 6" xfId="37338" xr:uid="{CC8B65C1-D145-447D-A04F-148E88202FB2}"/>
    <cellStyle name="Normal 4 6 2 2 2 2 7" xfId="18740" xr:uid="{ED6BF599-82AD-4908-BB02-540DE1B41CC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17068" xr:uid="{4A41BCEA-DCB1-4BE8-B588-AD07472D4869}"/>
    <cellStyle name="Normal 4 6 2 2 2 3 2 2 2 2" xfId="53410" xr:uid="{3FE7329E-43DF-43F6-A128-C1028AECF002}"/>
    <cellStyle name="Normal 4 6 2 2 2 3 2 2 2 3" xfId="34814" xr:uid="{ED8E81B8-DB42-45F1-82E2-B9CF05B99A9F}"/>
    <cellStyle name="Normal 4 6 2 2 2 3 2 2 3" xfId="44113" xr:uid="{5C2B591E-73D2-499C-9807-44EEA7BF735E}"/>
    <cellStyle name="Normal 4 6 2 2 2 3 2 2 4" xfId="25515" xr:uid="{10DA9A70-17AE-46B9-935B-062C10C798DA}"/>
    <cellStyle name="Normal 4 6 2 2 2 3 2 3" xfId="12851" xr:uid="{AD7FA063-9BA5-4211-88A1-F16C37EA66DD}"/>
    <cellStyle name="Normal 4 6 2 2 2 3 2 3 2" xfId="49193" xr:uid="{6C0E48F9-7647-4D1E-996F-A3E1F7573418}"/>
    <cellStyle name="Normal 4 6 2 2 2 3 2 3 3" xfId="30597" xr:uid="{6A45EF54-12D5-41B1-AFF5-E94759E61E87}"/>
    <cellStyle name="Normal 4 6 2 2 2 3 2 4" xfId="39896" xr:uid="{7078C174-6DDE-41F4-A0F7-28C273D7EF3A}"/>
    <cellStyle name="Normal 4 6 2 2 2 3 2 5" xfId="21298" xr:uid="{0C7B769E-AE52-4CEC-9F1C-65812961355B}"/>
    <cellStyle name="Normal 4 6 2 2 2 3 3" xfId="5597" xr:uid="{00000000-0005-0000-0000-00000D160000}"/>
    <cellStyle name="Normal 4 6 2 2 2 3 3 2" xfId="14923" xr:uid="{D5E80C11-45D8-4009-8758-E5AFCB56D05F}"/>
    <cellStyle name="Normal 4 6 2 2 2 3 3 2 2" xfId="51265" xr:uid="{AA2941F4-B3DF-490C-B91C-26C70F155FB8}"/>
    <cellStyle name="Normal 4 6 2 2 2 3 3 2 3" xfId="32669" xr:uid="{AB3A1943-ADC0-44F7-87A3-09175491726C}"/>
    <cellStyle name="Normal 4 6 2 2 2 3 3 3" xfId="41968" xr:uid="{0D319797-5D96-4F0A-B424-310079927123}"/>
    <cellStyle name="Normal 4 6 2 2 2 3 3 4" xfId="23370" xr:uid="{A3D1C512-4148-4C87-B1EA-D16375B3FC92}"/>
    <cellStyle name="Normal 4 6 2 2 2 3 4" xfId="10706" xr:uid="{9832E4DA-921C-484E-9B0D-DF1D93BE5B9F}"/>
    <cellStyle name="Normal 4 6 2 2 2 3 4 2" xfId="47048" xr:uid="{6FC28F0F-139D-4DFB-89F2-42AD516BD2EF}"/>
    <cellStyle name="Normal 4 6 2 2 2 3 4 3" xfId="28452" xr:uid="{10204D6B-7E3B-4886-814C-11DC4E45EDB4}"/>
    <cellStyle name="Normal 4 6 2 2 2 3 5" xfId="37751" xr:uid="{347204E7-235B-40E5-A4E4-73E1555DA7E8}"/>
    <cellStyle name="Normal 4 6 2 2 2 3 6" xfId="19153" xr:uid="{C5874B70-0AB9-41AF-8A23-E0CE9F2F4D52}"/>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17481" xr:uid="{7224EE69-B5C4-4E06-8250-C8CE14836DDD}"/>
    <cellStyle name="Normal 4 6 2 2 2 4 2 2 2 2" xfId="53823" xr:uid="{2361EBA9-C3CD-4A92-BA39-8685810DF015}"/>
    <cellStyle name="Normal 4 6 2 2 2 4 2 2 2 3" xfId="35227" xr:uid="{ADB45047-E097-424E-85C6-9CB5B4D58750}"/>
    <cellStyle name="Normal 4 6 2 2 2 4 2 2 3" xfId="44526" xr:uid="{BFC0BED1-E2DD-416B-A9F4-43796F0DB76F}"/>
    <cellStyle name="Normal 4 6 2 2 2 4 2 2 4" xfId="25928" xr:uid="{F03747E3-FF66-4B16-9C54-A43CCCB7FB8A}"/>
    <cellStyle name="Normal 4 6 2 2 2 4 2 3" xfId="13264" xr:uid="{901B0EE0-4A2B-4BC9-9A1E-F504B752A8DB}"/>
    <cellStyle name="Normal 4 6 2 2 2 4 2 3 2" xfId="49606" xr:uid="{962FE70E-8939-4ACE-BE4A-2FD745C5B9C2}"/>
    <cellStyle name="Normal 4 6 2 2 2 4 2 3 3" xfId="31010" xr:uid="{FEA198C5-BA21-4A87-BB4A-7DFA923FDC67}"/>
    <cellStyle name="Normal 4 6 2 2 2 4 2 4" xfId="40309" xr:uid="{2B357B24-61E8-48EA-95F7-0DF07A91573A}"/>
    <cellStyle name="Normal 4 6 2 2 2 4 2 5" xfId="21711" xr:uid="{95EA43C4-F743-4DFD-972D-56ED76D488F9}"/>
    <cellStyle name="Normal 4 6 2 2 2 4 3" xfId="6010" xr:uid="{00000000-0005-0000-0000-000011160000}"/>
    <cellStyle name="Normal 4 6 2 2 2 4 3 2" xfId="15336" xr:uid="{5038FB77-1EE1-4ABD-A15A-21D4A9EA6ECC}"/>
    <cellStyle name="Normal 4 6 2 2 2 4 3 2 2" xfId="51678" xr:uid="{CAD08269-9725-4A93-8413-F9BF0CD1A182}"/>
    <cellStyle name="Normal 4 6 2 2 2 4 3 2 3" xfId="33082" xr:uid="{30DE4937-2F84-45A8-80AA-13CDD534C6D2}"/>
    <cellStyle name="Normal 4 6 2 2 2 4 3 3" xfId="42381" xr:uid="{AF90D25E-13BA-428D-9D9B-2C4EC3A7E7FA}"/>
    <cellStyle name="Normal 4 6 2 2 2 4 3 4" xfId="23783" xr:uid="{CFCE5B61-8801-4FA0-B8E5-6254A9EBE9B0}"/>
    <cellStyle name="Normal 4 6 2 2 2 4 4" xfId="11119" xr:uid="{FD6B0605-49A5-42E8-AC9F-DE3398D1E0D4}"/>
    <cellStyle name="Normal 4 6 2 2 2 4 4 2" xfId="47461" xr:uid="{0E49EEF4-2DD6-4DD9-A207-5D587378943E}"/>
    <cellStyle name="Normal 4 6 2 2 2 4 4 3" xfId="28865" xr:uid="{92BA3B50-AE13-4F92-BE2A-F0592BD11CCD}"/>
    <cellStyle name="Normal 4 6 2 2 2 4 5" xfId="38164" xr:uid="{AD051536-C2A8-4F6C-85E1-EDA575667ED1}"/>
    <cellStyle name="Normal 4 6 2 2 2 4 6" xfId="19566" xr:uid="{FA09F94C-9B83-43EA-8939-EBD4D829D0C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17894" xr:uid="{9D7542A5-1D11-406D-93D8-257EBD9F3A5C}"/>
    <cellStyle name="Normal 4 6 2 2 2 5 2 2 2 2" xfId="54236" xr:uid="{FBA0A969-AAAE-4517-9358-B03BA8556B9B}"/>
    <cellStyle name="Normal 4 6 2 2 2 5 2 2 2 3" xfId="35640" xr:uid="{28066136-061B-4029-8102-73F72772F344}"/>
    <cellStyle name="Normal 4 6 2 2 2 5 2 2 3" xfId="44939" xr:uid="{0B83B4D4-2CC8-405E-BB6D-B9FF4328CBA3}"/>
    <cellStyle name="Normal 4 6 2 2 2 5 2 2 4" xfId="26341" xr:uid="{7A13B38D-4A54-45F7-A240-58E24747C957}"/>
    <cellStyle name="Normal 4 6 2 2 2 5 2 3" xfId="13677" xr:uid="{4E73C9FA-0F83-4D6B-B3D9-CCD1D862F034}"/>
    <cellStyle name="Normal 4 6 2 2 2 5 2 3 2" xfId="50019" xr:uid="{F2B8B0FE-6849-4831-8D77-0DEA691F9680}"/>
    <cellStyle name="Normal 4 6 2 2 2 5 2 3 3" xfId="31423" xr:uid="{943363E6-FC73-44CB-A43B-9A01020A00BD}"/>
    <cellStyle name="Normal 4 6 2 2 2 5 2 4" xfId="40722" xr:uid="{327E8701-91C8-48BA-9014-1489E3D31A81}"/>
    <cellStyle name="Normal 4 6 2 2 2 5 2 5" xfId="22124" xr:uid="{F00AD976-F9D2-4B18-99B1-FFF537ABB44B}"/>
    <cellStyle name="Normal 4 6 2 2 2 5 3" xfId="6423" xr:uid="{00000000-0005-0000-0000-000015160000}"/>
    <cellStyle name="Normal 4 6 2 2 2 5 3 2" xfId="15749" xr:uid="{B9DAD522-B80A-4EF8-B61B-486A56FD369B}"/>
    <cellStyle name="Normal 4 6 2 2 2 5 3 2 2" xfId="52091" xr:uid="{0BC77B11-AAC6-455D-8B79-CAC7451BF828}"/>
    <cellStyle name="Normal 4 6 2 2 2 5 3 2 3" xfId="33495" xr:uid="{C547754F-881B-4033-958C-DEFC22D849AD}"/>
    <cellStyle name="Normal 4 6 2 2 2 5 3 3" xfId="42794" xr:uid="{33850706-DD47-4497-A01B-8CEC824FB5D2}"/>
    <cellStyle name="Normal 4 6 2 2 2 5 3 4" xfId="24196" xr:uid="{9FC36839-6619-4B9D-AE31-2109D7A6C870}"/>
    <cellStyle name="Normal 4 6 2 2 2 5 4" xfId="11532" xr:uid="{4BB8B4B8-04EC-4B44-A600-88E73FD7DEE8}"/>
    <cellStyle name="Normal 4 6 2 2 2 5 4 2" xfId="47874" xr:uid="{8762154C-6BE3-4A6D-9DDD-6C3D0F632890}"/>
    <cellStyle name="Normal 4 6 2 2 2 5 4 3" xfId="29278" xr:uid="{90444CD9-1235-4B6B-9BB3-A2764AF79A60}"/>
    <cellStyle name="Normal 4 6 2 2 2 5 5" xfId="38577" xr:uid="{B8321783-DF67-4B03-B19F-C40BA6BA6BE7}"/>
    <cellStyle name="Normal 4 6 2 2 2 5 6" xfId="19979" xr:uid="{D4D8BA04-6F62-4931-98F0-0506EE59F3E1}"/>
    <cellStyle name="Normal 4 6 2 2 2 6" xfId="2553" xr:uid="{00000000-0005-0000-0000-000016160000}"/>
    <cellStyle name="Normal 4 6 2 2 2 6 2" xfId="6836" xr:uid="{00000000-0005-0000-0000-000017160000}"/>
    <cellStyle name="Normal 4 6 2 2 2 6 2 2" xfId="16162" xr:uid="{8B407F3C-0E87-45D2-9BC1-2DDF79C8B262}"/>
    <cellStyle name="Normal 4 6 2 2 2 6 2 2 2" xfId="52504" xr:uid="{F487A424-B483-4F96-865B-F865318A0E52}"/>
    <cellStyle name="Normal 4 6 2 2 2 6 2 2 3" xfId="33908" xr:uid="{2009A854-C9E1-4F3F-8D59-0BF4BFAE68AA}"/>
    <cellStyle name="Normal 4 6 2 2 2 6 2 3" xfId="43207" xr:uid="{25CC6E90-1505-4C3F-A60B-A09FB3D293D5}"/>
    <cellStyle name="Normal 4 6 2 2 2 6 2 4" xfId="24609" xr:uid="{CCA1115D-57DA-4771-900A-2F3F4AC235EB}"/>
    <cellStyle name="Normal 4 6 2 2 2 6 3" xfId="11945" xr:uid="{0D9450AC-A0E6-4B51-B429-66C0841F76DD}"/>
    <cellStyle name="Normal 4 6 2 2 2 6 3 2" xfId="48287" xr:uid="{B079406B-8B42-41F0-AE7C-A7E5AB43642D}"/>
    <cellStyle name="Normal 4 6 2 2 2 6 3 3" xfId="29691" xr:uid="{8891532D-CF5C-4B35-8BE1-3F64EACA670B}"/>
    <cellStyle name="Normal 4 6 2 2 2 6 4" xfId="38990" xr:uid="{775B8243-BDBF-4EFC-A2F3-1E44FB6C44F6}"/>
    <cellStyle name="Normal 4 6 2 2 2 6 5" xfId="20392" xr:uid="{3D217F01-8233-4B36-BE81-EA698261A860}"/>
    <cellStyle name="Normal 4 6 2 2 2 7" xfId="4771" xr:uid="{00000000-0005-0000-0000-000018160000}"/>
    <cellStyle name="Normal 4 6 2 2 2 7 2" xfId="14097" xr:uid="{FB5A183A-F3FA-4210-933E-6DF62EBCC709}"/>
    <cellStyle name="Normal 4 6 2 2 2 7 2 2" xfId="50439" xr:uid="{EB820D88-D484-45F0-8CF9-203F05BFB9DB}"/>
    <cellStyle name="Normal 4 6 2 2 2 7 2 3" xfId="31843" xr:uid="{AABA59F8-8057-490F-A883-E93C68FF52B4}"/>
    <cellStyle name="Normal 4 6 2 2 2 7 3" xfId="41142" xr:uid="{5CCB2D46-961F-47E6-A159-72CCA9F31D7F}"/>
    <cellStyle name="Normal 4 6 2 2 2 7 4" xfId="22544" xr:uid="{4FD33B4D-01D3-4B01-BB0F-0779B77DCCE7}"/>
    <cellStyle name="Normal 4 6 2 2 2 8" xfId="9135" xr:uid="{2F4C420F-13DD-45DD-99DD-C7AFF7CD7823}"/>
    <cellStyle name="Normal 4 6 2 2 2 8 2" xfId="36205" xr:uid="{4BD55902-30D9-4D5C-8CE0-ED7A787D4929}"/>
    <cellStyle name="Normal 4 6 2 2 2 8 2 2" xfId="54800" xr:uid="{B00A258A-2EBA-49CD-9748-65A2D742A956}"/>
    <cellStyle name="Normal 4 6 2 2 2 8 3" xfId="45503" xr:uid="{B191B285-B98E-4ECF-9BBF-E3B8FD901823}"/>
    <cellStyle name="Normal 4 6 2 2 2 8 4" xfId="26906" xr:uid="{3187F8A4-026A-42B8-BBA0-0D41ED1D1D09}"/>
    <cellStyle name="Normal 4 6 2 2 2 9" xfId="9880" xr:uid="{FE34A866-E464-492B-BB7F-5139CA1E9D43}"/>
    <cellStyle name="Normal 4 6 2 2 2 9 2" xfId="46222" xr:uid="{90A2BD8A-86DC-4892-9D6C-116E919059FC}"/>
    <cellStyle name="Normal 4 6 2 2 2 9 3" xfId="27626" xr:uid="{5389004F-362B-4E6B-8231-DCDB00F4759F}"/>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16654" xr:uid="{3A9044B7-D6F0-4032-BCBA-9DF54FD455CA}"/>
    <cellStyle name="Normal 4 6 2 2 3 2 2 2 2" xfId="52996" xr:uid="{E8E12BC2-C931-4A83-8620-9FD921B5B2C1}"/>
    <cellStyle name="Normal 4 6 2 2 3 2 2 2 3" xfId="34400" xr:uid="{0CA6785C-E55D-4AF5-AE4E-0E696F75DED7}"/>
    <cellStyle name="Normal 4 6 2 2 3 2 2 3" xfId="43699" xr:uid="{C8C6788E-9F97-45EA-B6EA-94BEB75ECA1A}"/>
    <cellStyle name="Normal 4 6 2 2 3 2 2 4" xfId="25101" xr:uid="{2770B3B0-9615-490C-BEC3-469F73AF96BB}"/>
    <cellStyle name="Normal 4 6 2 2 3 2 3" xfId="12437" xr:uid="{0716B5E7-8096-492A-BC12-9CFA2466E6AC}"/>
    <cellStyle name="Normal 4 6 2 2 3 2 3 2" xfId="48779" xr:uid="{D2BB8BB2-A201-4A9B-B451-28264F7D8787}"/>
    <cellStyle name="Normal 4 6 2 2 3 2 3 3" xfId="30183" xr:uid="{FD1997BE-7BDF-4FFD-A705-2428E7214E78}"/>
    <cellStyle name="Normal 4 6 2 2 3 2 4" xfId="39482" xr:uid="{C3726DEB-2146-44B3-AB31-4E9F1D35C4EF}"/>
    <cellStyle name="Normal 4 6 2 2 3 2 5" xfId="20884" xr:uid="{F345FF01-6D7C-4BB5-9107-7738EAE097A1}"/>
    <cellStyle name="Normal 4 6 2 2 3 3" xfId="5183" xr:uid="{00000000-0005-0000-0000-00001C160000}"/>
    <cellStyle name="Normal 4 6 2 2 3 3 2" xfId="14509" xr:uid="{44F278B3-3796-43C6-B923-4FE4A8180B1E}"/>
    <cellStyle name="Normal 4 6 2 2 3 3 2 2" xfId="50851" xr:uid="{CB062839-7AA6-4477-AEC4-372DB2566F7A}"/>
    <cellStyle name="Normal 4 6 2 2 3 3 2 3" xfId="32255" xr:uid="{7271E1B3-6019-4CDC-813F-AA66B7860E65}"/>
    <cellStyle name="Normal 4 6 2 2 3 3 3" xfId="41554" xr:uid="{4554E5AB-34FE-4935-87E3-DE6BE771CB5C}"/>
    <cellStyle name="Normal 4 6 2 2 3 3 4" xfId="22956" xr:uid="{8EDB9C51-254A-404A-BB72-5BB5F13B3CBB}"/>
    <cellStyle name="Normal 4 6 2 2 3 4" xfId="9353" xr:uid="{60C7EC16-17DE-43AF-A246-41C667B376B7}"/>
    <cellStyle name="Normal 4 6 2 2 3 4 2" xfId="36414" xr:uid="{82A8703F-6D7A-4F18-88B8-DDF9432EF447}"/>
    <cellStyle name="Normal 4 6 2 2 3 4 2 2" xfId="55008" xr:uid="{AD7B3C71-A670-4698-8D7C-ABB1E0D550C1}"/>
    <cellStyle name="Normal 4 6 2 2 3 4 3" xfId="45711" xr:uid="{5AD85B2D-4602-432F-8319-BF3D48967C5F}"/>
    <cellStyle name="Normal 4 6 2 2 3 4 4" xfId="27115" xr:uid="{DB5F3E97-7BB3-468D-9B2F-7AB2B96FE151}"/>
    <cellStyle name="Normal 4 6 2 2 3 5" xfId="10292" xr:uid="{3DA11C68-DCE0-49D8-8C95-E5178684F0FD}"/>
    <cellStyle name="Normal 4 6 2 2 3 5 2" xfId="46634" xr:uid="{37D8037B-ABB2-48A6-8799-CE75B4115407}"/>
    <cellStyle name="Normal 4 6 2 2 3 5 3" xfId="28038" xr:uid="{BB95140E-7737-4CB0-B94E-12392D79A131}"/>
    <cellStyle name="Normal 4 6 2 2 3 6" xfId="37337" xr:uid="{CEBDD281-B66B-4FF1-BD8A-5C47FD1B2C27}"/>
    <cellStyle name="Normal 4 6 2 2 3 7" xfId="18739" xr:uid="{77C1AB0C-C524-4047-AEB9-ED229486CB04}"/>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17067" xr:uid="{146B2B9B-68F1-4431-8712-C505C50CAA69}"/>
    <cellStyle name="Normal 4 6 2 2 4 2 2 2 2" xfId="53409" xr:uid="{DB20ECD9-B504-4761-8AB7-9006AF717AD1}"/>
    <cellStyle name="Normal 4 6 2 2 4 2 2 2 3" xfId="34813" xr:uid="{C2CCFCA1-E014-4CC9-B824-B7E55B3F8CBD}"/>
    <cellStyle name="Normal 4 6 2 2 4 2 2 3" xfId="44112" xr:uid="{9D6C0FDB-EDDF-405D-846E-8DBCF444697A}"/>
    <cellStyle name="Normal 4 6 2 2 4 2 2 4" xfId="25514" xr:uid="{F4BB2C2D-801C-4BCB-9AE6-5F9094169097}"/>
    <cellStyle name="Normal 4 6 2 2 4 2 3" xfId="12850" xr:uid="{C80B3179-8042-47BA-A957-9A96B9794551}"/>
    <cellStyle name="Normal 4 6 2 2 4 2 3 2" xfId="49192" xr:uid="{1F89D28E-DF7F-43CB-BB83-52FC153FF3C6}"/>
    <cellStyle name="Normal 4 6 2 2 4 2 3 3" xfId="30596" xr:uid="{EEA7BA5E-2338-42FC-9331-3A38A6FC4380}"/>
    <cellStyle name="Normal 4 6 2 2 4 2 4" xfId="39895" xr:uid="{D964C6BC-AFBA-4EF1-89EA-8AD367AF89CF}"/>
    <cellStyle name="Normal 4 6 2 2 4 2 5" xfId="21297" xr:uid="{3B287760-1595-4C1C-AA47-1FA756DA9165}"/>
    <cellStyle name="Normal 4 6 2 2 4 3" xfId="5596" xr:uid="{00000000-0005-0000-0000-000020160000}"/>
    <cellStyle name="Normal 4 6 2 2 4 3 2" xfId="14922" xr:uid="{AAC2CA9B-016F-4F33-B0E7-483E194CA851}"/>
    <cellStyle name="Normal 4 6 2 2 4 3 2 2" xfId="51264" xr:uid="{5D09CA42-7637-4CD1-BFB4-F86D5B8694A3}"/>
    <cellStyle name="Normal 4 6 2 2 4 3 2 3" xfId="32668" xr:uid="{C5E1459C-E48D-44F9-92BC-0D386E79B1AC}"/>
    <cellStyle name="Normal 4 6 2 2 4 3 3" xfId="41967" xr:uid="{E246E6F1-A2B2-474D-84A0-8B8BF142DFF7}"/>
    <cellStyle name="Normal 4 6 2 2 4 3 4" xfId="23369" xr:uid="{2D649EE0-65E8-4FA9-844E-14D7AFB6FA09}"/>
    <cellStyle name="Normal 4 6 2 2 4 4" xfId="10705" xr:uid="{08AF8E73-B7F8-4216-99FB-73B625FCD1EA}"/>
    <cellStyle name="Normal 4 6 2 2 4 4 2" xfId="47047" xr:uid="{AA1813EF-45BE-4F2E-AB39-AD6D5782001B}"/>
    <cellStyle name="Normal 4 6 2 2 4 4 3" xfId="28451" xr:uid="{B7C6A826-EAEE-4273-8794-12C1F92749DA}"/>
    <cellStyle name="Normal 4 6 2 2 4 5" xfId="37750" xr:uid="{94D2303D-AAA7-4743-9C84-048D47C88AD4}"/>
    <cellStyle name="Normal 4 6 2 2 4 6" xfId="19152" xr:uid="{177F0534-A75E-4ECE-965B-895A49A857E0}"/>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17480" xr:uid="{41C0C98D-2208-4C7B-9C75-03A7960DA695}"/>
    <cellStyle name="Normal 4 6 2 2 5 2 2 2 2" xfId="53822" xr:uid="{3A28570C-2AC1-4A97-9A61-E309EBEDFDBF}"/>
    <cellStyle name="Normal 4 6 2 2 5 2 2 2 3" xfId="35226" xr:uid="{DAC0EFB4-5FDC-4374-BE7A-C89DF8ADE200}"/>
    <cellStyle name="Normal 4 6 2 2 5 2 2 3" xfId="44525" xr:uid="{57CC1474-EDCA-42C3-AE43-98A6054DC491}"/>
    <cellStyle name="Normal 4 6 2 2 5 2 2 4" xfId="25927" xr:uid="{DDF9145C-252D-4A61-B31F-F7322D33AB26}"/>
    <cellStyle name="Normal 4 6 2 2 5 2 3" xfId="13263" xr:uid="{D8DCE831-6CAA-41D7-9194-23187F921A4A}"/>
    <cellStyle name="Normal 4 6 2 2 5 2 3 2" xfId="49605" xr:uid="{363B75EB-6A5A-46FF-A476-64B7436099D4}"/>
    <cellStyle name="Normal 4 6 2 2 5 2 3 3" xfId="31009" xr:uid="{171728D1-BE23-4603-A1C3-98641FC7F85E}"/>
    <cellStyle name="Normal 4 6 2 2 5 2 4" xfId="40308" xr:uid="{9C093820-6F6A-4ECD-A2CC-C3E011E8B621}"/>
    <cellStyle name="Normal 4 6 2 2 5 2 5" xfId="21710" xr:uid="{19A3077F-8F10-4B46-891A-0BEBF37CACD1}"/>
    <cellStyle name="Normal 4 6 2 2 5 3" xfId="6009" xr:uid="{00000000-0005-0000-0000-000024160000}"/>
    <cellStyle name="Normal 4 6 2 2 5 3 2" xfId="15335" xr:uid="{C2636321-E41F-41F0-8A1D-C4FBD18CE5C7}"/>
    <cellStyle name="Normal 4 6 2 2 5 3 2 2" xfId="51677" xr:uid="{0B650DFB-48A4-438F-92C8-C9C331E9497A}"/>
    <cellStyle name="Normal 4 6 2 2 5 3 2 3" xfId="33081" xr:uid="{FA00E5D0-F9DA-41F9-AB14-0EA4F38C051C}"/>
    <cellStyle name="Normal 4 6 2 2 5 3 3" xfId="42380" xr:uid="{1A34551F-89B6-4FA5-968C-7AF5E8731F96}"/>
    <cellStyle name="Normal 4 6 2 2 5 3 4" xfId="23782" xr:uid="{C614F920-9A8A-4AE1-8837-9336F38AB6D6}"/>
    <cellStyle name="Normal 4 6 2 2 5 4" xfId="11118" xr:uid="{9A279764-9D81-4FBF-A8E3-8E22C7FBA184}"/>
    <cellStyle name="Normal 4 6 2 2 5 4 2" xfId="47460" xr:uid="{DE79D41F-8865-4A6B-BB76-7BBD57581703}"/>
    <cellStyle name="Normal 4 6 2 2 5 4 3" xfId="28864" xr:uid="{8C84B57F-7DFF-4948-99D1-B2DBCA423B70}"/>
    <cellStyle name="Normal 4 6 2 2 5 5" xfId="38163" xr:uid="{19FEAF1F-BEF0-43D5-B629-0CDEC7BF406C}"/>
    <cellStyle name="Normal 4 6 2 2 5 6" xfId="19565" xr:uid="{C9DF6C4B-3AB1-4870-983A-9244291388B6}"/>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17893" xr:uid="{8357AE12-A9F5-4AF4-85A0-915A31C346B4}"/>
    <cellStyle name="Normal 4 6 2 2 6 2 2 2 2" xfId="54235" xr:uid="{CE2BF963-F561-4CAF-8DFD-E473863DA5D0}"/>
    <cellStyle name="Normal 4 6 2 2 6 2 2 2 3" xfId="35639" xr:uid="{E5477A5C-DDC7-4A97-A60C-F4C2E3249404}"/>
    <cellStyle name="Normal 4 6 2 2 6 2 2 3" xfId="44938" xr:uid="{C2FB4F6B-8EFF-499F-820A-BE5550D6141B}"/>
    <cellStyle name="Normal 4 6 2 2 6 2 2 4" xfId="26340" xr:uid="{D8A270AF-9687-4D63-9F96-F59787B0E79B}"/>
    <cellStyle name="Normal 4 6 2 2 6 2 3" xfId="13676" xr:uid="{2441D25B-C062-4C2B-B02F-2BBE46025901}"/>
    <cellStyle name="Normal 4 6 2 2 6 2 3 2" xfId="50018" xr:uid="{4B85F2F9-6ED5-4604-AFB3-AA47AA6E484C}"/>
    <cellStyle name="Normal 4 6 2 2 6 2 3 3" xfId="31422" xr:uid="{A78F12BB-E200-4FBD-A7C2-6C2F64D62236}"/>
    <cellStyle name="Normal 4 6 2 2 6 2 4" xfId="40721" xr:uid="{91AB18A5-88D3-4DBF-98F3-0C9D8FF05796}"/>
    <cellStyle name="Normal 4 6 2 2 6 2 5" xfId="22123" xr:uid="{14311B16-B848-49E4-B75E-6D7103302827}"/>
    <cellStyle name="Normal 4 6 2 2 6 3" xfId="6422" xr:uid="{00000000-0005-0000-0000-000028160000}"/>
    <cellStyle name="Normal 4 6 2 2 6 3 2" xfId="15748" xr:uid="{8DEC4208-89A5-4C1D-AA8C-73893418A705}"/>
    <cellStyle name="Normal 4 6 2 2 6 3 2 2" xfId="52090" xr:uid="{21B3F7AD-A4E4-46D7-A5DF-CE25A5ACA708}"/>
    <cellStyle name="Normal 4 6 2 2 6 3 2 3" xfId="33494" xr:uid="{937692E1-23F9-44BA-BB05-60F4486C314D}"/>
    <cellStyle name="Normal 4 6 2 2 6 3 3" xfId="42793" xr:uid="{4DD318B6-387C-4890-8F91-6DA81683AF48}"/>
    <cellStyle name="Normal 4 6 2 2 6 3 4" xfId="24195" xr:uid="{07558930-2BEB-478C-B488-3C09F90DB6AF}"/>
    <cellStyle name="Normal 4 6 2 2 6 4" xfId="11531" xr:uid="{2795328C-60AA-471C-AC79-339CCCCDE5F5}"/>
    <cellStyle name="Normal 4 6 2 2 6 4 2" xfId="47873" xr:uid="{E3E2C89B-A664-4EA5-94BC-F9E184B3AF52}"/>
    <cellStyle name="Normal 4 6 2 2 6 4 3" xfId="29277" xr:uid="{6FED3C87-3C1E-4F06-849A-73F0DA2111D3}"/>
    <cellStyle name="Normal 4 6 2 2 6 5" xfId="38576" xr:uid="{F0462CBD-B853-48B7-994F-B4B654262FC6}"/>
    <cellStyle name="Normal 4 6 2 2 6 6" xfId="19978" xr:uid="{D8031ADE-9DF5-4B8A-A6D4-8D124EB56AF4}"/>
    <cellStyle name="Normal 4 6 2 2 7" xfId="2552" xr:uid="{00000000-0005-0000-0000-000029160000}"/>
    <cellStyle name="Normal 4 6 2 2 7 2" xfId="6835" xr:uid="{00000000-0005-0000-0000-00002A160000}"/>
    <cellStyle name="Normal 4 6 2 2 7 2 2" xfId="16161" xr:uid="{83F73DF4-8E89-456D-ADFB-1EB2E77767B3}"/>
    <cellStyle name="Normal 4 6 2 2 7 2 2 2" xfId="52503" xr:uid="{49670426-202A-405E-840A-8F83D1A37C66}"/>
    <cellStyle name="Normal 4 6 2 2 7 2 2 3" xfId="33907" xr:uid="{A2B72D7C-F229-4B97-95E3-EE7DA6BC381F}"/>
    <cellStyle name="Normal 4 6 2 2 7 2 3" xfId="43206" xr:uid="{868BDD00-5F01-4859-9049-B7E2F388EF0C}"/>
    <cellStyle name="Normal 4 6 2 2 7 2 4" xfId="24608" xr:uid="{05F5954D-5A8B-46BD-A5E8-6277BED67EFD}"/>
    <cellStyle name="Normal 4 6 2 2 7 3" xfId="11944" xr:uid="{1007616A-09E6-4183-A65D-B3A4EB3BA42D}"/>
    <cellStyle name="Normal 4 6 2 2 7 3 2" xfId="48286" xr:uid="{D97730FB-33B7-48C2-A4B5-F6FEA7BA1965}"/>
    <cellStyle name="Normal 4 6 2 2 7 3 3" xfId="29690" xr:uid="{866BE654-639D-44B9-8007-A3A3530B58E7}"/>
    <cellStyle name="Normal 4 6 2 2 7 4" xfId="38989" xr:uid="{BB16AE4C-6BF7-4942-B260-DAADBC0BEC6C}"/>
    <cellStyle name="Normal 4 6 2 2 7 5" xfId="20391" xr:uid="{28E59C64-9538-4946-A341-8C9CFF9DB209}"/>
    <cellStyle name="Normal 4 6 2 2 8" xfId="4770" xr:uid="{00000000-0005-0000-0000-00002B160000}"/>
    <cellStyle name="Normal 4 6 2 2 8 2" xfId="14096" xr:uid="{B6ACC8FD-7F9E-4937-9FA9-645AAF7155B1}"/>
    <cellStyle name="Normal 4 6 2 2 8 2 2" xfId="50438" xr:uid="{C850AF2A-5433-4037-B055-A3CDF6EB6258}"/>
    <cellStyle name="Normal 4 6 2 2 8 2 3" xfId="31842" xr:uid="{C1AC1F7D-437A-4593-8DE3-777A9E0EAB46}"/>
    <cellStyle name="Normal 4 6 2 2 8 3" xfId="41141" xr:uid="{F20EE39B-86AB-40DA-8261-EF708A177059}"/>
    <cellStyle name="Normal 4 6 2 2 8 4" xfId="22543" xr:uid="{5C6583D4-431E-4E17-AD36-187FBF00E944}"/>
    <cellStyle name="Normal 4 6 2 2 9" xfId="8928" xr:uid="{EC58FE5E-68BA-4864-AD86-0F9D1DB17AD0}"/>
    <cellStyle name="Normal 4 6 2 2 9 2" xfId="35998" xr:uid="{EC416500-784F-41F1-A47B-085EBC0B9862}"/>
    <cellStyle name="Normal 4 6 2 2 9 2 2" xfId="54593" xr:uid="{BACC0467-8399-4956-88A2-B939B0BB6097}"/>
    <cellStyle name="Normal 4 6 2 2 9 3" xfId="45296" xr:uid="{8479D7CA-207C-4FA8-9E2D-E2854DE32831}"/>
    <cellStyle name="Normal 4 6 2 2 9 4" xfId="26699" xr:uid="{F9FA3370-C00A-4405-A73C-5E6230A3019B}"/>
    <cellStyle name="Normal 4 6 2 3" xfId="399" xr:uid="{00000000-0005-0000-0000-00002C160000}"/>
    <cellStyle name="Normal 4 6 2 3 10" xfId="36926" xr:uid="{335A11EB-A1FD-4664-86E1-5676751972F5}"/>
    <cellStyle name="Normal 4 6 2 3 11" xfId="18328" xr:uid="{409A9420-C4A0-439C-A153-71232080119F}"/>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16656" xr:uid="{9BA122E3-C993-4BB8-AE1A-AC05D68349EF}"/>
    <cellStyle name="Normal 4 6 2 3 2 2 2 2 2" xfId="52998" xr:uid="{61FCE528-9D64-4F0D-9058-E0DE427C3868}"/>
    <cellStyle name="Normal 4 6 2 3 2 2 2 2 3" xfId="34402" xr:uid="{D2AF2E78-F36F-42A1-B575-C9627467395C}"/>
    <cellStyle name="Normal 4 6 2 3 2 2 2 3" xfId="43701" xr:uid="{2F405BC9-9076-46B7-86ED-5C6FDF95CD39}"/>
    <cellStyle name="Normal 4 6 2 3 2 2 2 4" xfId="25103" xr:uid="{78F6F3D1-39D4-408E-8DEA-E05295F4277A}"/>
    <cellStyle name="Normal 4 6 2 3 2 2 3" xfId="12439" xr:uid="{27956B4D-BBD0-4DFB-86B9-40E45EA3B2D0}"/>
    <cellStyle name="Normal 4 6 2 3 2 2 3 2" xfId="48781" xr:uid="{6BC28880-2AD3-4CEE-9752-3C8A971C111F}"/>
    <cellStyle name="Normal 4 6 2 3 2 2 3 3" xfId="30185" xr:uid="{F3D2DB28-4268-4DF4-B997-A83FEF42CE07}"/>
    <cellStyle name="Normal 4 6 2 3 2 2 4" xfId="39484" xr:uid="{DDA342AE-2E99-4584-823A-563893FEB90D}"/>
    <cellStyle name="Normal 4 6 2 3 2 2 5" xfId="20886" xr:uid="{FB110756-D005-4B41-93FA-AD72627D87D9}"/>
    <cellStyle name="Normal 4 6 2 3 2 3" xfId="5185" xr:uid="{00000000-0005-0000-0000-000030160000}"/>
    <cellStyle name="Normal 4 6 2 3 2 3 2" xfId="14511" xr:uid="{B318DF4A-7ACD-4D31-B9DE-93C9FDCC356F}"/>
    <cellStyle name="Normal 4 6 2 3 2 3 2 2" xfId="50853" xr:uid="{7F5413D3-A26C-429E-B239-101E10AB15BB}"/>
    <cellStyle name="Normal 4 6 2 3 2 3 2 3" xfId="32257" xr:uid="{8CE6BF7C-14F0-45FE-93EF-B36B9E02FE5D}"/>
    <cellStyle name="Normal 4 6 2 3 2 3 3" xfId="41556" xr:uid="{0491A2A3-891D-475F-8D67-D45A8FC62246}"/>
    <cellStyle name="Normal 4 6 2 3 2 3 4" xfId="22958" xr:uid="{5B1A2011-58DB-4AC9-BC59-FBD907A59755}"/>
    <cellStyle name="Normal 4 6 2 3 2 4" xfId="9457" xr:uid="{E86AED2D-42AD-49DE-9461-1FA72B82C89E}"/>
    <cellStyle name="Normal 4 6 2 3 2 4 2" xfId="36518" xr:uid="{F9786934-0264-427B-BD1B-696904C52B18}"/>
    <cellStyle name="Normal 4 6 2 3 2 4 2 2" xfId="55112" xr:uid="{2C519594-AD52-4DC4-AB9E-BB8A03D46D26}"/>
    <cellStyle name="Normal 4 6 2 3 2 4 3" xfId="45815" xr:uid="{0944D372-FCB5-406F-867C-84B339924D63}"/>
    <cellStyle name="Normal 4 6 2 3 2 4 4" xfId="27219" xr:uid="{E03454BC-F6ED-4C0A-9A9C-44B8B715C9A2}"/>
    <cellStyle name="Normal 4 6 2 3 2 5" xfId="10294" xr:uid="{4E6B5D7B-46E7-43FA-89B6-3E7C53F6FE85}"/>
    <cellStyle name="Normal 4 6 2 3 2 5 2" xfId="46636" xr:uid="{2E9260D3-5EA3-44BE-8DDA-B3F894C1C4BD}"/>
    <cellStyle name="Normal 4 6 2 3 2 5 3" xfId="28040" xr:uid="{F2844ADE-4D07-40FD-9244-3BE377B3FB2D}"/>
    <cellStyle name="Normal 4 6 2 3 2 6" xfId="37339" xr:uid="{9033736C-C27E-4C32-8FC8-40E0F3349BA4}"/>
    <cellStyle name="Normal 4 6 2 3 2 7" xfId="18741" xr:uid="{46CD0003-332B-4FD6-95C4-1B4199C349C3}"/>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17069" xr:uid="{69C40B2E-67EC-4D11-8607-ED68F9F00F49}"/>
    <cellStyle name="Normal 4 6 2 3 3 2 2 2 2" xfId="53411" xr:uid="{056AB864-676A-4522-A497-4567C3C27609}"/>
    <cellStyle name="Normal 4 6 2 3 3 2 2 2 3" xfId="34815" xr:uid="{C6A5C21E-A677-4407-B625-74ED207B3D05}"/>
    <cellStyle name="Normal 4 6 2 3 3 2 2 3" xfId="44114" xr:uid="{6A95DB69-A67B-41DB-AAA6-F885207A76C9}"/>
    <cellStyle name="Normal 4 6 2 3 3 2 2 4" xfId="25516" xr:uid="{61D5DE18-312E-4327-9CC8-0048E1C6EDCC}"/>
    <cellStyle name="Normal 4 6 2 3 3 2 3" xfId="12852" xr:uid="{38F3F5FB-F083-4F11-80C0-087E52052FAC}"/>
    <cellStyle name="Normal 4 6 2 3 3 2 3 2" xfId="49194" xr:uid="{FF03C95B-5154-4779-A034-749831FF0EBD}"/>
    <cellStyle name="Normal 4 6 2 3 3 2 3 3" xfId="30598" xr:uid="{45985BCD-378D-4803-8FEA-6AE0F695BCE4}"/>
    <cellStyle name="Normal 4 6 2 3 3 2 4" xfId="39897" xr:uid="{DDDD1EE7-D3E1-469D-984E-F837C5A89A00}"/>
    <cellStyle name="Normal 4 6 2 3 3 2 5" xfId="21299" xr:uid="{BE17067E-D4BB-4F2C-A6F2-334294BE9518}"/>
    <cellStyle name="Normal 4 6 2 3 3 3" xfId="5598" xr:uid="{00000000-0005-0000-0000-000034160000}"/>
    <cellStyle name="Normal 4 6 2 3 3 3 2" xfId="14924" xr:uid="{0832585E-43AC-4601-8928-D14AF154A951}"/>
    <cellStyle name="Normal 4 6 2 3 3 3 2 2" xfId="51266" xr:uid="{C8B9D1FF-22D6-47C0-A3B5-260BDA9B5349}"/>
    <cellStyle name="Normal 4 6 2 3 3 3 2 3" xfId="32670" xr:uid="{C93139F5-89CD-4D16-B5DC-B0FCD346ED85}"/>
    <cellStyle name="Normal 4 6 2 3 3 3 3" xfId="41969" xr:uid="{75C8116D-9BE6-46F0-8604-07EA479EB151}"/>
    <cellStyle name="Normal 4 6 2 3 3 3 4" xfId="23371" xr:uid="{7DD0B9CD-D6D5-4658-8168-6ABF183D7CB3}"/>
    <cellStyle name="Normal 4 6 2 3 3 4" xfId="10707" xr:uid="{D87A13E0-23ED-4328-99F0-41F1EF1DDE12}"/>
    <cellStyle name="Normal 4 6 2 3 3 4 2" xfId="47049" xr:uid="{BDE87AAF-A397-4FCC-B0A7-89ED704FD3A9}"/>
    <cellStyle name="Normal 4 6 2 3 3 4 3" xfId="28453" xr:uid="{0346CD45-DC93-49FC-8E00-77F00C1B30C7}"/>
    <cellStyle name="Normal 4 6 2 3 3 5" xfId="37752" xr:uid="{FA783703-4C52-4DB2-B505-755F215D03F0}"/>
    <cellStyle name="Normal 4 6 2 3 3 6" xfId="19154" xr:uid="{F4AA42AD-4894-47F2-82A8-499B1318CABA}"/>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17482" xr:uid="{DBA711D8-99A9-4E6B-B77A-A5F4BDB7B689}"/>
    <cellStyle name="Normal 4 6 2 3 4 2 2 2 2" xfId="53824" xr:uid="{CC7B72B1-B6BB-421C-AFB7-579545465833}"/>
    <cellStyle name="Normal 4 6 2 3 4 2 2 2 3" xfId="35228" xr:uid="{46BDFD4D-55A4-49E3-B19B-8376CD354D86}"/>
    <cellStyle name="Normal 4 6 2 3 4 2 2 3" xfId="44527" xr:uid="{20508245-E05C-4B65-A960-299F0D7F51E3}"/>
    <cellStyle name="Normal 4 6 2 3 4 2 2 4" xfId="25929" xr:uid="{DCB2187E-6FB0-4D34-84D7-7028D49BE5D6}"/>
    <cellStyle name="Normal 4 6 2 3 4 2 3" xfId="13265" xr:uid="{773A0E88-B880-4D94-8736-D03BEB34CC1D}"/>
    <cellStyle name="Normal 4 6 2 3 4 2 3 2" xfId="49607" xr:uid="{7611EF02-04C1-4E2F-BA1E-C5648099A24A}"/>
    <cellStyle name="Normal 4 6 2 3 4 2 3 3" xfId="31011" xr:uid="{FCB8DF06-9D4F-441D-88C7-C3E6C9E60286}"/>
    <cellStyle name="Normal 4 6 2 3 4 2 4" xfId="40310" xr:uid="{8EBA1F97-4333-443D-946C-05413D6EEC77}"/>
    <cellStyle name="Normal 4 6 2 3 4 2 5" xfId="21712" xr:uid="{951D7781-EF98-4907-B1DF-AF5D2840A2D7}"/>
    <cellStyle name="Normal 4 6 2 3 4 3" xfId="6011" xr:uid="{00000000-0005-0000-0000-000038160000}"/>
    <cellStyle name="Normal 4 6 2 3 4 3 2" xfId="15337" xr:uid="{7B32F2FF-583D-4A67-AE31-2E17C54C8108}"/>
    <cellStyle name="Normal 4 6 2 3 4 3 2 2" xfId="51679" xr:uid="{8FD3B03D-8A89-4F01-94C2-1B9CA6906477}"/>
    <cellStyle name="Normal 4 6 2 3 4 3 2 3" xfId="33083" xr:uid="{FBEB3CA2-8AF0-475E-9385-B533BFE0229D}"/>
    <cellStyle name="Normal 4 6 2 3 4 3 3" xfId="42382" xr:uid="{3D78536E-AEB5-4B5D-8D8C-92C9ED6069F6}"/>
    <cellStyle name="Normal 4 6 2 3 4 3 4" xfId="23784" xr:uid="{4FD03D4A-75DA-4D92-A330-7F3ED664D3A2}"/>
    <cellStyle name="Normal 4 6 2 3 4 4" xfId="11120" xr:uid="{8634CBED-23AF-40AA-B594-90E3C923577B}"/>
    <cellStyle name="Normal 4 6 2 3 4 4 2" xfId="47462" xr:uid="{D725FC2D-2DAB-4886-810E-7F5EB19B9445}"/>
    <cellStyle name="Normal 4 6 2 3 4 4 3" xfId="28866" xr:uid="{BB7CBF78-657B-46BB-9871-CEBA4CBABBE1}"/>
    <cellStyle name="Normal 4 6 2 3 4 5" xfId="38165" xr:uid="{8744487F-0B5A-46E9-A18B-7A5CF330D459}"/>
    <cellStyle name="Normal 4 6 2 3 4 6" xfId="19567" xr:uid="{A16FBEAB-239F-48D3-BAE6-4880C6866487}"/>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17895" xr:uid="{2F6080D3-75C7-4028-97BE-D6FEA0F4CDA8}"/>
    <cellStyle name="Normal 4 6 2 3 5 2 2 2 2" xfId="54237" xr:uid="{F08E1E02-F61F-4C3F-8D46-00BDCEEDE2E1}"/>
    <cellStyle name="Normal 4 6 2 3 5 2 2 2 3" xfId="35641" xr:uid="{17A40168-1517-4704-8635-2851B15658A9}"/>
    <cellStyle name="Normal 4 6 2 3 5 2 2 3" xfId="44940" xr:uid="{2CCA1FB3-8DB9-433C-BE6A-6594DE591789}"/>
    <cellStyle name="Normal 4 6 2 3 5 2 2 4" xfId="26342" xr:uid="{1BE43AF5-4AEF-48CE-98C4-786B4D3F86D0}"/>
    <cellStyle name="Normal 4 6 2 3 5 2 3" xfId="13678" xr:uid="{E13EEAEC-B23A-4538-94E4-F28E606C9FF9}"/>
    <cellStyle name="Normal 4 6 2 3 5 2 3 2" xfId="50020" xr:uid="{F8180FFB-8B6E-4BCF-8DBC-59D804FECA6F}"/>
    <cellStyle name="Normal 4 6 2 3 5 2 3 3" xfId="31424" xr:uid="{13E0A124-6605-41EB-A3D6-A17621EFE44A}"/>
    <cellStyle name="Normal 4 6 2 3 5 2 4" xfId="40723" xr:uid="{5633CE6A-4DE2-4417-8D00-00AB37656454}"/>
    <cellStyle name="Normal 4 6 2 3 5 2 5" xfId="22125" xr:uid="{0CF7E00E-0C6C-4DA5-A198-CEBAAC3656D2}"/>
    <cellStyle name="Normal 4 6 2 3 5 3" xfId="6424" xr:uid="{00000000-0005-0000-0000-00003C160000}"/>
    <cellStyle name="Normal 4 6 2 3 5 3 2" xfId="15750" xr:uid="{4D5863AD-2511-495A-98C3-D335A8B62765}"/>
    <cellStyle name="Normal 4 6 2 3 5 3 2 2" xfId="52092" xr:uid="{9BFA9190-AA14-482E-9673-906C5A104631}"/>
    <cellStyle name="Normal 4 6 2 3 5 3 2 3" xfId="33496" xr:uid="{CD0CF86F-DE6E-4476-9DB8-71BE630B6D54}"/>
    <cellStyle name="Normal 4 6 2 3 5 3 3" xfId="42795" xr:uid="{FED8318C-395F-4F9D-A565-6BA76C03931B}"/>
    <cellStyle name="Normal 4 6 2 3 5 3 4" xfId="24197" xr:uid="{79DF4D00-9E01-4008-B6BD-CC4A116ADAF6}"/>
    <cellStyle name="Normal 4 6 2 3 5 4" xfId="11533" xr:uid="{7241CE5C-7E6C-4E96-A858-ACCA1797402B}"/>
    <cellStyle name="Normal 4 6 2 3 5 4 2" xfId="47875" xr:uid="{71B073BD-92D9-4BE9-9521-A610E3A5B0C0}"/>
    <cellStyle name="Normal 4 6 2 3 5 4 3" xfId="29279" xr:uid="{3CB1208D-81C8-4401-BFEC-744C5F705F4F}"/>
    <cellStyle name="Normal 4 6 2 3 5 5" xfId="38578" xr:uid="{92743E95-5167-487D-A9F1-5F75E9001B22}"/>
    <cellStyle name="Normal 4 6 2 3 5 6" xfId="19980" xr:uid="{D77B3371-FA4F-4E2C-B6BA-03DEBA4F4E83}"/>
    <cellStyle name="Normal 4 6 2 3 6" xfId="2554" xr:uid="{00000000-0005-0000-0000-00003D160000}"/>
    <cellStyle name="Normal 4 6 2 3 6 2" xfId="6837" xr:uid="{00000000-0005-0000-0000-00003E160000}"/>
    <cellStyle name="Normal 4 6 2 3 6 2 2" xfId="16163" xr:uid="{E0B085B9-C108-4BF7-9591-3E6F328A78E7}"/>
    <cellStyle name="Normal 4 6 2 3 6 2 2 2" xfId="52505" xr:uid="{D080848B-5ABF-4617-BF7B-9BF043E7AA09}"/>
    <cellStyle name="Normal 4 6 2 3 6 2 2 3" xfId="33909" xr:uid="{5A3F82EC-7D2E-46A9-A517-98772044E4F4}"/>
    <cellStyle name="Normal 4 6 2 3 6 2 3" xfId="43208" xr:uid="{93E76319-E1E2-459F-82AA-FF78138DAA3F}"/>
    <cellStyle name="Normal 4 6 2 3 6 2 4" xfId="24610" xr:uid="{1BC48ED0-79E8-4B8D-BA61-EF2B189D8B35}"/>
    <cellStyle name="Normal 4 6 2 3 6 3" xfId="11946" xr:uid="{61DDD11B-9B7C-4097-A829-3979EB70B517}"/>
    <cellStyle name="Normal 4 6 2 3 6 3 2" xfId="48288" xr:uid="{91A5B9A2-C210-4692-96F0-C7D40CF41ECF}"/>
    <cellStyle name="Normal 4 6 2 3 6 3 3" xfId="29692" xr:uid="{CB1B07FC-45EE-4EF1-A84F-488D3744DB79}"/>
    <cellStyle name="Normal 4 6 2 3 6 4" xfId="38991" xr:uid="{A178B3E3-2E5F-4ED2-A273-D345A6F25798}"/>
    <cellStyle name="Normal 4 6 2 3 6 5" xfId="20393" xr:uid="{7774C574-A4E9-4342-A330-A07E3B2EB063}"/>
    <cellStyle name="Normal 4 6 2 3 7" xfId="4772" xr:uid="{00000000-0005-0000-0000-00003F160000}"/>
    <cellStyle name="Normal 4 6 2 3 7 2" xfId="14098" xr:uid="{3B8D2069-F7B8-4EA2-841A-ED17D7FA4FC3}"/>
    <cellStyle name="Normal 4 6 2 3 7 2 2" xfId="50440" xr:uid="{05837565-2EC9-4B5B-A466-DE279ED3F45B}"/>
    <cellStyle name="Normal 4 6 2 3 7 2 3" xfId="31844" xr:uid="{CB92C3E8-0DED-40CF-872B-D179851AA445}"/>
    <cellStyle name="Normal 4 6 2 3 7 3" xfId="41143" xr:uid="{13DBBF63-678A-46C4-B194-DDC92385CDE1}"/>
    <cellStyle name="Normal 4 6 2 3 7 4" xfId="22545" xr:uid="{D21A5FA0-7B81-4960-A250-EFA7A1F24FF7}"/>
    <cellStyle name="Normal 4 6 2 3 8" xfId="9032" xr:uid="{576A1DC5-5971-4772-803F-0A60F80D4C41}"/>
    <cellStyle name="Normal 4 6 2 3 8 2" xfId="36102" xr:uid="{DABBB6EB-42B2-4AD2-A044-89F30775B099}"/>
    <cellStyle name="Normal 4 6 2 3 8 2 2" xfId="54697" xr:uid="{5C5ED580-57AE-47FF-87B5-DCC6C805BE14}"/>
    <cellStyle name="Normal 4 6 2 3 8 3" xfId="45400" xr:uid="{4DCD464E-99D2-423D-A3AA-8015EA1B84CA}"/>
    <cellStyle name="Normal 4 6 2 3 8 4" xfId="26803" xr:uid="{93A23A8B-A70C-49E7-B75D-BF0468C37E5C}"/>
    <cellStyle name="Normal 4 6 2 3 9" xfId="9881" xr:uid="{149DDFF1-3E4B-49E0-BF50-3254BF95C744}"/>
    <cellStyle name="Normal 4 6 2 3 9 2" xfId="46223" xr:uid="{3881842A-E51F-4988-A921-BBD0BF28CC09}"/>
    <cellStyle name="Normal 4 6 2 3 9 3" xfId="27627" xr:uid="{E20FB3C2-4FA5-459F-8F86-916A07A19923}"/>
    <cellStyle name="Normal 4 6 2 4" xfId="870" xr:uid="{00000000-0005-0000-0000-000040160000}"/>
    <cellStyle name="Normal 4 6 2 4 2" xfId="3105" xr:uid="{00000000-0005-0000-0000-000041160000}"/>
    <cellStyle name="Normal 4 6 2 4 2 2" xfId="7327" xr:uid="{00000000-0005-0000-0000-000042160000}"/>
    <cellStyle name="Normal 4 6 2 4 2 2 2" xfId="16653" xr:uid="{EF65F235-5940-4481-9AE4-591C7093871C}"/>
    <cellStyle name="Normal 4 6 2 4 2 2 2 2" xfId="52995" xr:uid="{8D28D455-BA32-4E3A-9EC5-FD2AA5D0D4CE}"/>
    <cellStyle name="Normal 4 6 2 4 2 2 2 3" xfId="34399" xr:uid="{B94F0C34-FA5D-46D2-9702-8AFF19EEFEB8}"/>
    <cellStyle name="Normal 4 6 2 4 2 2 3" xfId="43698" xr:uid="{886C2602-A2D8-405C-88B0-B3D941D57789}"/>
    <cellStyle name="Normal 4 6 2 4 2 2 4" xfId="25100" xr:uid="{C0DFD574-878C-4E97-8BD3-87499B5FD613}"/>
    <cellStyle name="Normal 4 6 2 4 2 3" xfId="12436" xr:uid="{B478B2F3-EAA2-4834-A3BD-404DB1E009CC}"/>
    <cellStyle name="Normal 4 6 2 4 2 3 2" xfId="48778" xr:uid="{C4055767-3092-4152-B7FD-19A0A8CC71A3}"/>
    <cellStyle name="Normal 4 6 2 4 2 3 3" xfId="30182" xr:uid="{2D6D5AF4-8A4B-4317-A6B8-C4723EE18AC8}"/>
    <cellStyle name="Normal 4 6 2 4 2 4" xfId="39481" xr:uid="{80B39FD8-32A4-415F-991C-389DF441D0F0}"/>
    <cellStyle name="Normal 4 6 2 4 2 5" xfId="20883" xr:uid="{59452170-5E6A-4709-8DBB-E31AD5F4C585}"/>
    <cellStyle name="Normal 4 6 2 4 3" xfId="5182" xr:uid="{00000000-0005-0000-0000-000043160000}"/>
    <cellStyle name="Normal 4 6 2 4 3 2" xfId="14508" xr:uid="{25640986-B7DF-47CE-B516-5D5ACD8B7FBD}"/>
    <cellStyle name="Normal 4 6 2 4 3 2 2" xfId="50850" xr:uid="{8A7C1353-9A0E-4A29-8600-C245DA346BFF}"/>
    <cellStyle name="Normal 4 6 2 4 3 2 3" xfId="32254" xr:uid="{B8EA89A2-7D98-413D-AD0F-EEB709A0EA29}"/>
    <cellStyle name="Normal 4 6 2 4 3 3" xfId="41553" xr:uid="{A8FD25FA-8887-44E7-8C4D-0AD01BE65BC3}"/>
    <cellStyle name="Normal 4 6 2 4 3 4" xfId="22955" xr:uid="{0369BE6D-B267-4126-A66D-6B0797FB72BC}"/>
    <cellStyle name="Normal 4 6 2 4 4" xfId="9250" xr:uid="{CBBC9A51-5203-4C00-93C7-FE7C973DCDD1}"/>
    <cellStyle name="Normal 4 6 2 4 4 2" xfId="36311" xr:uid="{6BBB46D3-4D0F-43BD-A578-B616D2FED653}"/>
    <cellStyle name="Normal 4 6 2 4 4 2 2" xfId="54905" xr:uid="{7370EBC3-E9E5-40B6-B49F-72CBDD303811}"/>
    <cellStyle name="Normal 4 6 2 4 4 3" xfId="45608" xr:uid="{407909DA-1223-49AA-B421-923D54DC9911}"/>
    <cellStyle name="Normal 4 6 2 4 4 4" xfId="27012" xr:uid="{27411398-DC6E-4753-90CA-79D3542F418B}"/>
    <cellStyle name="Normal 4 6 2 4 5" xfId="10291" xr:uid="{E7C1E18A-EF5C-428A-A51C-7BADC4A97F5A}"/>
    <cellStyle name="Normal 4 6 2 4 5 2" xfId="46633" xr:uid="{2622D400-8B73-4631-AB8D-B867665111A3}"/>
    <cellStyle name="Normal 4 6 2 4 5 3" xfId="28037" xr:uid="{70C8B109-36DE-439B-AA8B-2F21260C0C9F}"/>
    <cellStyle name="Normal 4 6 2 4 6" xfId="37336" xr:uid="{093E4978-6E5F-4E42-A8E1-7B5753E4EBB3}"/>
    <cellStyle name="Normal 4 6 2 4 7" xfId="18738" xr:uid="{75B4FDF5-960D-47C0-BA2A-2C5E66E35742}"/>
    <cellStyle name="Normal 4 6 2 5" xfId="1288" xr:uid="{00000000-0005-0000-0000-000044160000}"/>
    <cellStyle name="Normal 4 6 2 5 2" xfId="3518" xr:uid="{00000000-0005-0000-0000-000045160000}"/>
    <cellStyle name="Normal 4 6 2 5 2 2" xfId="7740" xr:uid="{00000000-0005-0000-0000-000046160000}"/>
    <cellStyle name="Normal 4 6 2 5 2 2 2" xfId="17066" xr:uid="{6770A03C-5548-415F-A22F-28BC04895C31}"/>
    <cellStyle name="Normal 4 6 2 5 2 2 2 2" xfId="53408" xr:uid="{063F6627-7957-4DCA-920D-66A02CD0B28A}"/>
    <cellStyle name="Normal 4 6 2 5 2 2 2 3" xfId="34812" xr:uid="{5AC95DE6-07D1-4485-B55E-D8350F363C80}"/>
    <cellStyle name="Normal 4 6 2 5 2 2 3" xfId="44111" xr:uid="{921EB3DA-6573-47AC-861C-2237EFB3D6DC}"/>
    <cellStyle name="Normal 4 6 2 5 2 2 4" xfId="25513" xr:uid="{D660DBAF-8485-4AC5-810D-98F2011F38FE}"/>
    <cellStyle name="Normal 4 6 2 5 2 3" xfId="12849" xr:uid="{3FE2EC59-AF70-4C62-8B9E-8CD78B31E569}"/>
    <cellStyle name="Normal 4 6 2 5 2 3 2" xfId="49191" xr:uid="{0C80B299-6D04-44FB-B7A3-3DF63931ACEC}"/>
    <cellStyle name="Normal 4 6 2 5 2 3 3" xfId="30595" xr:uid="{74E2BF66-DC67-4493-AE30-A58ED14407C4}"/>
    <cellStyle name="Normal 4 6 2 5 2 4" xfId="39894" xr:uid="{A7601C9A-7935-4AAC-8266-72E35613A328}"/>
    <cellStyle name="Normal 4 6 2 5 2 5" xfId="21296" xr:uid="{8372FC4A-3847-4391-B5ED-D1B33FBCEA94}"/>
    <cellStyle name="Normal 4 6 2 5 3" xfId="5595" xr:uid="{00000000-0005-0000-0000-000047160000}"/>
    <cellStyle name="Normal 4 6 2 5 3 2" xfId="14921" xr:uid="{8F26913E-C2A8-43D1-9AA8-15C93FC9EE07}"/>
    <cellStyle name="Normal 4 6 2 5 3 2 2" xfId="51263" xr:uid="{08649B95-E66A-483F-9749-70D917C45BD8}"/>
    <cellStyle name="Normal 4 6 2 5 3 2 3" xfId="32667" xr:uid="{FFFACA12-F557-4EFC-A206-7B23DE845068}"/>
    <cellStyle name="Normal 4 6 2 5 3 3" xfId="41966" xr:uid="{3EEF762B-79A8-46F4-A74D-C39B00183C19}"/>
    <cellStyle name="Normal 4 6 2 5 3 4" xfId="23368" xr:uid="{0B143DDC-480D-4302-AF0B-752C55FF4DF6}"/>
    <cellStyle name="Normal 4 6 2 5 4" xfId="10704" xr:uid="{FDF14CBC-2D99-43FA-AA45-786B903F6D04}"/>
    <cellStyle name="Normal 4 6 2 5 4 2" xfId="47046" xr:uid="{6961ABA3-C14E-42B1-95DA-31DB04D998AC}"/>
    <cellStyle name="Normal 4 6 2 5 4 3" xfId="28450" xr:uid="{A466B6E5-BA66-4775-A05E-01D8E38B09D2}"/>
    <cellStyle name="Normal 4 6 2 5 5" xfId="37749" xr:uid="{94A1865D-3F93-447B-B9BF-A5D44074612A}"/>
    <cellStyle name="Normal 4 6 2 5 6" xfId="19151" xr:uid="{54755403-4AAC-4316-873A-C8121DC24FD9}"/>
    <cellStyle name="Normal 4 6 2 6" xfId="1701" xr:uid="{00000000-0005-0000-0000-000048160000}"/>
    <cellStyle name="Normal 4 6 2 6 2" xfId="3931" xr:uid="{00000000-0005-0000-0000-000049160000}"/>
    <cellStyle name="Normal 4 6 2 6 2 2" xfId="8153" xr:uid="{00000000-0005-0000-0000-00004A160000}"/>
    <cellStyle name="Normal 4 6 2 6 2 2 2" xfId="17479" xr:uid="{8EF175CD-9C19-4079-9DC9-3C5AA1536A6A}"/>
    <cellStyle name="Normal 4 6 2 6 2 2 2 2" xfId="53821" xr:uid="{DEF7EF61-9870-49A2-8D72-9A29EA98E094}"/>
    <cellStyle name="Normal 4 6 2 6 2 2 2 3" xfId="35225" xr:uid="{561BF695-97E4-4BF4-8067-AAFB578D5136}"/>
    <cellStyle name="Normal 4 6 2 6 2 2 3" xfId="44524" xr:uid="{04CF9096-E052-41C9-A374-91F9F2D63D68}"/>
    <cellStyle name="Normal 4 6 2 6 2 2 4" xfId="25926" xr:uid="{F512BE2B-BB4C-44EE-ACBA-51AE53647158}"/>
    <cellStyle name="Normal 4 6 2 6 2 3" xfId="13262" xr:uid="{6F044FED-9E3B-42C2-B2D9-5C8FE9BD864B}"/>
    <cellStyle name="Normal 4 6 2 6 2 3 2" xfId="49604" xr:uid="{615E3F23-C81E-48F9-A980-725CCC88E363}"/>
    <cellStyle name="Normal 4 6 2 6 2 3 3" xfId="31008" xr:uid="{E82B5816-97C2-4F54-BDFE-073D3A2BE7F7}"/>
    <cellStyle name="Normal 4 6 2 6 2 4" xfId="40307" xr:uid="{277277A6-CB88-45D4-842F-E959B2B93B40}"/>
    <cellStyle name="Normal 4 6 2 6 2 5" xfId="21709" xr:uid="{E70EB809-F223-4B27-8E11-D768354B2A6E}"/>
    <cellStyle name="Normal 4 6 2 6 3" xfId="6008" xr:uid="{00000000-0005-0000-0000-00004B160000}"/>
    <cellStyle name="Normal 4 6 2 6 3 2" xfId="15334" xr:uid="{62DD5DDF-EFC3-4823-A13C-40B05CEBC211}"/>
    <cellStyle name="Normal 4 6 2 6 3 2 2" xfId="51676" xr:uid="{8D4392B7-7E2A-4238-9F9D-71C7B2FDC0B7}"/>
    <cellStyle name="Normal 4 6 2 6 3 2 3" xfId="33080" xr:uid="{AD884BF6-1805-43A6-85A3-220BF38A7B4B}"/>
    <cellStyle name="Normal 4 6 2 6 3 3" xfId="42379" xr:uid="{1519F569-C107-4EA9-8890-6D5102EECF23}"/>
    <cellStyle name="Normal 4 6 2 6 3 4" xfId="23781" xr:uid="{B5A255BC-F29B-4FD3-8109-7DF41E810503}"/>
    <cellStyle name="Normal 4 6 2 6 4" xfId="11117" xr:uid="{026C8ED4-B757-48DF-A22E-8487EE449199}"/>
    <cellStyle name="Normal 4 6 2 6 4 2" xfId="47459" xr:uid="{C20B9219-52C3-4A40-A4D9-8429FBC0F900}"/>
    <cellStyle name="Normal 4 6 2 6 4 3" xfId="28863" xr:uid="{63AC9DA0-FC65-42DD-A2C1-17096E0D8660}"/>
    <cellStyle name="Normal 4 6 2 6 5" xfId="38162" xr:uid="{D24BEA7C-D3CF-471E-A271-BBF9D3E37678}"/>
    <cellStyle name="Normal 4 6 2 6 6" xfId="19564" xr:uid="{CF583656-1A0C-4E81-B4AF-13AF2200A514}"/>
    <cellStyle name="Normal 4 6 2 7" xfId="2115" xr:uid="{00000000-0005-0000-0000-00004C160000}"/>
    <cellStyle name="Normal 4 6 2 7 2" xfId="4344" xr:uid="{00000000-0005-0000-0000-00004D160000}"/>
    <cellStyle name="Normal 4 6 2 7 2 2" xfId="8566" xr:uid="{00000000-0005-0000-0000-00004E160000}"/>
    <cellStyle name="Normal 4 6 2 7 2 2 2" xfId="17892" xr:uid="{38EED5D4-D5D4-496D-92FA-39E3A4B646D8}"/>
    <cellStyle name="Normal 4 6 2 7 2 2 2 2" xfId="54234" xr:uid="{FC5C45A8-C478-493B-84F6-9DC1F11430ED}"/>
    <cellStyle name="Normal 4 6 2 7 2 2 2 3" xfId="35638" xr:uid="{4645D1CE-B024-452B-B105-818A5295E4D3}"/>
    <cellStyle name="Normal 4 6 2 7 2 2 3" xfId="44937" xr:uid="{A3054194-72A3-4195-9512-A0372A92B8AA}"/>
    <cellStyle name="Normal 4 6 2 7 2 2 4" xfId="26339" xr:uid="{A7DE6991-37FE-420B-88C3-4BEB66BE290C}"/>
    <cellStyle name="Normal 4 6 2 7 2 3" xfId="13675" xr:uid="{FE8C34F3-58FE-46CE-8C66-0CCE243CCEB9}"/>
    <cellStyle name="Normal 4 6 2 7 2 3 2" xfId="50017" xr:uid="{298BEC33-A24E-4E57-88D8-E4CD3E7E3204}"/>
    <cellStyle name="Normal 4 6 2 7 2 3 3" xfId="31421" xr:uid="{934608EB-8F61-4B33-9B7A-1C94D1D9C54D}"/>
    <cellStyle name="Normal 4 6 2 7 2 4" xfId="40720" xr:uid="{748F455C-62A4-4A74-988D-8CB773D7E86F}"/>
    <cellStyle name="Normal 4 6 2 7 2 5" xfId="22122" xr:uid="{C8163AF9-1BBD-4887-8BD3-BF0DFD3C30E7}"/>
    <cellStyle name="Normal 4 6 2 7 3" xfId="6421" xr:uid="{00000000-0005-0000-0000-00004F160000}"/>
    <cellStyle name="Normal 4 6 2 7 3 2" xfId="15747" xr:uid="{ED3CC881-183C-43C8-984D-5C35C198B722}"/>
    <cellStyle name="Normal 4 6 2 7 3 2 2" xfId="52089" xr:uid="{22E23279-213A-4555-A3B1-7D1DBCADC817}"/>
    <cellStyle name="Normal 4 6 2 7 3 2 3" xfId="33493" xr:uid="{28C092FC-7F56-4015-A6C3-CCE25F5C1479}"/>
    <cellStyle name="Normal 4 6 2 7 3 3" xfId="42792" xr:uid="{1678C745-B69C-46DA-9E0C-2F254D9E566E}"/>
    <cellStyle name="Normal 4 6 2 7 3 4" xfId="24194" xr:uid="{42AC7EE0-3E76-4676-86D8-294A77046184}"/>
    <cellStyle name="Normal 4 6 2 7 4" xfId="11530" xr:uid="{F8967E17-B5C8-4DD1-977E-883F36ED0F32}"/>
    <cellStyle name="Normal 4 6 2 7 4 2" xfId="47872" xr:uid="{B6C3E439-94FD-4F1E-A985-524DF467EA6C}"/>
    <cellStyle name="Normal 4 6 2 7 4 3" xfId="29276" xr:uid="{61A2C3F1-1AFF-405A-BBFF-A7581586F2FF}"/>
    <cellStyle name="Normal 4 6 2 7 5" xfId="38575" xr:uid="{792FB058-C4D7-4E39-AC9C-1F5ACF3B81CC}"/>
    <cellStyle name="Normal 4 6 2 7 6" xfId="19977" xr:uid="{64812581-4A3D-4630-B1B0-55384CDE13B7}"/>
    <cellStyle name="Normal 4 6 2 8" xfId="2551" xr:uid="{00000000-0005-0000-0000-000050160000}"/>
    <cellStyle name="Normal 4 6 2 8 2" xfId="6834" xr:uid="{00000000-0005-0000-0000-000051160000}"/>
    <cellStyle name="Normal 4 6 2 8 2 2" xfId="16160" xr:uid="{05A5DF2C-0B6C-4EE2-91DF-C939280174CD}"/>
    <cellStyle name="Normal 4 6 2 8 2 2 2" xfId="52502" xr:uid="{7DFC3890-2E4D-4D18-B1AB-CCCDED56F364}"/>
    <cellStyle name="Normal 4 6 2 8 2 2 3" xfId="33906" xr:uid="{52BECB32-2F10-4E03-8235-8D5102A29812}"/>
    <cellStyle name="Normal 4 6 2 8 2 3" xfId="43205" xr:uid="{878732AF-3361-4643-8CE7-4E8C12F39E33}"/>
    <cellStyle name="Normal 4 6 2 8 2 4" xfId="24607" xr:uid="{184DE5C0-8D0A-48B1-A978-CB390E5FE12A}"/>
    <cellStyle name="Normal 4 6 2 8 3" xfId="11943" xr:uid="{BB90C605-AB23-419C-8920-477A71278122}"/>
    <cellStyle name="Normal 4 6 2 8 3 2" xfId="48285" xr:uid="{CAA21E5F-E755-4557-8ED1-968EB4CEFDC9}"/>
    <cellStyle name="Normal 4 6 2 8 3 3" xfId="29689" xr:uid="{E158C2ED-18F1-4AC8-8DE0-1003C548EBF1}"/>
    <cellStyle name="Normal 4 6 2 8 4" xfId="38988" xr:uid="{76C4D628-BBBC-4E6A-BCF9-EEE343577D2D}"/>
    <cellStyle name="Normal 4 6 2 8 5" xfId="20390" xr:uid="{BE181CB6-BF63-4760-A82D-289705A0B486}"/>
    <cellStyle name="Normal 4 6 2 9" xfId="4769" xr:uid="{00000000-0005-0000-0000-000052160000}"/>
    <cellStyle name="Normal 4 6 2 9 2" xfId="14095" xr:uid="{666B4509-12FF-4939-A068-A068B93D54AA}"/>
    <cellStyle name="Normal 4 6 2 9 2 2" xfId="50437" xr:uid="{605BA086-B978-44B3-ADD6-5E598C3C65ED}"/>
    <cellStyle name="Normal 4 6 2 9 2 3" xfId="31841" xr:uid="{5555CE3B-15C5-49A6-9D07-1165CA0898F2}"/>
    <cellStyle name="Normal 4 6 2 9 3" xfId="41140" xr:uid="{A62168A1-E63F-44E4-ACC9-601F1390D503}"/>
    <cellStyle name="Normal 4 6 2 9 4" xfId="22542" xr:uid="{5D898C59-4B49-486C-BCEA-3C039629F4C6}"/>
    <cellStyle name="Normal 4 6 3" xfId="400" xr:uid="{00000000-0005-0000-0000-000053160000}"/>
    <cellStyle name="Normal 4 6 3 10" xfId="9882" xr:uid="{E30D24B1-BF5B-4850-B75A-8E46C83762B3}"/>
    <cellStyle name="Normal 4 6 3 10 2" xfId="46224" xr:uid="{5EC3438B-B9CE-41A2-8167-18A671124496}"/>
    <cellStyle name="Normal 4 6 3 10 3" xfId="27628" xr:uid="{C9190836-FB96-46E5-AAFD-C06031C813B1}"/>
    <cellStyle name="Normal 4 6 3 11" xfId="36927" xr:uid="{21C2B99F-EA84-4034-BD13-3A8E35579F6E}"/>
    <cellStyle name="Normal 4 6 3 12" xfId="18329" xr:uid="{97E1EF37-8EB6-4761-90A8-CBB5C72CE962}"/>
    <cellStyle name="Normal 4 6 3 2" xfId="401" xr:uid="{00000000-0005-0000-0000-000054160000}"/>
    <cellStyle name="Normal 4 6 3 2 10" xfId="36928" xr:uid="{B9B3A48C-93F4-422F-AE3A-20E2EAFC6E98}"/>
    <cellStyle name="Normal 4 6 3 2 11" xfId="18330" xr:uid="{6D39A538-33DF-4322-9A83-3FC7E79EFE72}"/>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16658" xr:uid="{B736658F-0969-4F5A-9AC4-CA33CD310278}"/>
    <cellStyle name="Normal 4 6 3 2 2 2 2 2 2" xfId="53000" xr:uid="{52B1933E-32A6-45D0-BE51-ED189D114E56}"/>
    <cellStyle name="Normal 4 6 3 2 2 2 2 2 3" xfId="34404" xr:uid="{829BD24D-C1DB-41D7-A855-BBB0CFE9584B}"/>
    <cellStyle name="Normal 4 6 3 2 2 2 2 3" xfId="43703" xr:uid="{7B0BF094-97BB-4CAC-844D-0E97FF1E0C68}"/>
    <cellStyle name="Normal 4 6 3 2 2 2 2 4" xfId="25105" xr:uid="{58B2E000-7BA5-4982-905C-F03DEF4A2AE3}"/>
    <cellStyle name="Normal 4 6 3 2 2 2 3" xfId="12441" xr:uid="{30F4F5C2-5DEA-41D3-B771-2E399CD09C79}"/>
    <cellStyle name="Normal 4 6 3 2 2 2 3 2" xfId="48783" xr:uid="{98478717-D630-44F2-B68F-FE1717C9F2DF}"/>
    <cellStyle name="Normal 4 6 3 2 2 2 3 3" xfId="30187" xr:uid="{2807D169-66EA-469C-AE32-75A370BCBDC2}"/>
    <cellStyle name="Normal 4 6 3 2 2 2 4" xfId="39486" xr:uid="{A758F81D-C911-4948-A238-52C3A60CB1D4}"/>
    <cellStyle name="Normal 4 6 3 2 2 2 5" xfId="20888" xr:uid="{DF7E3A06-5F3E-431D-AD22-2D0E886D4B40}"/>
    <cellStyle name="Normal 4 6 3 2 2 3" xfId="5187" xr:uid="{00000000-0005-0000-0000-000058160000}"/>
    <cellStyle name="Normal 4 6 3 2 2 3 2" xfId="14513" xr:uid="{48CF925C-FE0D-4C15-906B-3D8460A3189D}"/>
    <cellStyle name="Normal 4 6 3 2 2 3 2 2" xfId="50855" xr:uid="{32CEFF48-5801-4105-9018-9AE206DD34E7}"/>
    <cellStyle name="Normal 4 6 3 2 2 3 2 3" xfId="32259" xr:uid="{FF24957D-FDEF-4E91-862E-7F5A2FFACE94}"/>
    <cellStyle name="Normal 4 6 3 2 2 3 3" xfId="41558" xr:uid="{2FCE149A-220A-44FB-95B6-DF606A78F217}"/>
    <cellStyle name="Normal 4 6 3 2 2 3 4" xfId="22960" xr:uid="{AFC06F44-DDC1-4FED-8125-8DF856E218BC}"/>
    <cellStyle name="Normal 4 6 3 2 2 4" xfId="9507" xr:uid="{63E4C3EA-8BE6-4CDE-9E44-1D64049D4CF5}"/>
    <cellStyle name="Normal 4 6 3 2 2 4 2" xfId="36568" xr:uid="{EB18D4F3-F0F1-4247-88F7-01DAE82C962A}"/>
    <cellStyle name="Normal 4 6 3 2 2 4 2 2" xfId="55162" xr:uid="{5EC43593-6F2B-4E6C-B5EE-105DAD020EF9}"/>
    <cellStyle name="Normal 4 6 3 2 2 4 3" xfId="45865" xr:uid="{2498A710-B118-4A5F-B191-8E4F77742C8E}"/>
    <cellStyle name="Normal 4 6 3 2 2 4 4" xfId="27269" xr:uid="{001F4418-D81B-4E0C-B195-3C696BFC5DAB}"/>
    <cellStyle name="Normal 4 6 3 2 2 5" xfId="10296" xr:uid="{897AFF04-A3AA-437A-9684-12EEFAE9AFE2}"/>
    <cellStyle name="Normal 4 6 3 2 2 5 2" xfId="46638" xr:uid="{6B68986E-CB69-4719-8D14-FD4E3AD0A36B}"/>
    <cellStyle name="Normal 4 6 3 2 2 5 3" xfId="28042" xr:uid="{6143F91F-8816-4DD4-81D9-1B49D9FD9DDE}"/>
    <cellStyle name="Normal 4 6 3 2 2 6" xfId="37341" xr:uid="{5D1CC477-0F81-4D20-93B9-9672FF0E219C}"/>
    <cellStyle name="Normal 4 6 3 2 2 7" xfId="18743" xr:uid="{068595A4-8096-4D67-8A8A-5DD456D94D49}"/>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17071" xr:uid="{EEC5C33D-EF81-46F2-8699-36594B164E41}"/>
    <cellStyle name="Normal 4 6 3 2 3 2 2 2 2" xfId="53413" xr:uid="{98119E3B-BF0A-45CF-8E37-3690E1DEA2A5}"/>
    <cellStyle name="Normal 4 6 3 2 3 2 2 2 3" xfId="34817" xr:uid="{C0C52D6E-FED8-403B-A677-9CFF1391DEFE}"/>
    <cellStyle name="Normal 4 6 3 2 3 2 2 3" xfId="44116" xr:uid="{7F2D3914-FCA1-4C08-9954-D28E334E104A}"/>
    <cellStyle name="Normal 4 6 3 2 3 2 2 4" xfId="25518" xr:uid="{92F5E685-EFE8-4459-B58E-460A35016186}"/>
    <cellStyle name="Normal 4 6 3 2 3 2 3" xfId="12854" xr:uid="{15DC07B4-9DAB-4E9B-8F05-B039F6325196}"/>
    <cellStyle name="Normal 4 6 3 2 3 2 3 2" xfId="49196" xr:uid="{8FD0686F-8439-4B8D-8321-197CB1E3EA5F}"/>
    <cellStyle name="Normal 4 6 3 2 3 2 3 3" xfId="30600" xr:uid="{E8D33FD8-FC34-41D3-959C-C37BD76A3F56}"/>
    <cellStyle name="Normal 4 6 3 2 3 2 4" xfId="39899" xr:uid="{80408501-6183-43A4-B836-FA483F0212E7}"/>
    <cellStyle name="Normal 4 6 3 2 3 2 5" xfId="21301" xr:uid="{779CC2BE-3AD8-4019-BCE0-C53AC1EC2268}"/>
    <cellStyle name="Normal 4 6 3 2 3 3" xfId="5600" xr:uid="{00000000-0005-0000-0000-00005C160000}"/>
    <cellStyle name="Normal 4 6 3 2 3 3 2" xfId="14926" xr:uid="{F51F62CD-9B06-4432-958A-859DF2311565}"/>
    <cellStyle name="Normal 4 6 3 2 3 3 2 2" xfId="51268" xr:uid="{C9D3994F-BB3B-4956-A154-02F8E938CBE1}"/>
    <cellStyle name="Normal 4 6 3 2 3 3 2 3" xfId="32672" xr:uid="{A59D007E-8B58-4BF2-A784-5D10544AD7BB}"/>
    <cellStyle name="Normal 4 6 3 2 3 3 3" xfId="41971" xr:uid="{0FCF262C-8BFD-4CF1-890A-D5432451E145}"/>
    <cellStyle name="Normal 4 6 3 2 3 3 4" xfId="23373" xr:uid="{214C1557-7AC6-44B7-977C-8E947382CE49}"/>
    <cellStyle name="Normal 4 6 3 2 3 4" xfId="10709" xr:uid="{38E3D590-467D-4978-8FB4-937C51D45B32}"/>
    <cellStyle name="Normal 4 6 3 2 3 4 2" xfId="47051" xr:uid="{74DC37E7-5089-4978-91B4-784BA16FE0BE}"/>
    <cellStyle name="Normal 4 6 3 2 3 4 3" xfId="28455" xr:uid="{82A99A55-FD91-44C3-BB1D-D351A59E9073}"/>
    <cellStyle name="Normal 4 6 3 2 3 5" xfId="37754" xr:uid="{FCB53689-4F27-495B-9DF0-8A6B8C0F283F}"/>
    <cellStyle name="Normal 4 6 3 2 3 6" xfId="19156" xr:uid="{C833C289-14CE-4998-BA75-DA1EC3094057}"/>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17484" xr:uid="{FF48166A-6740-463B-A664-5B74BE78EE6E}"/>
    <cellStyle name="Normal 4 6 3 2 4 2 2 2 2" xfId="53826" xr:uid="{350B8EA2-5396-4AF6-8985-18D8765E8358}"/>
    <cellStyle name="Normal 4 6 3 2 4 2 2 2 3" xfId="35230" xr:uid="{32B01388-26C4-446D-B5B6-8498A2B4B331}"/>
    <cellStyle name="Normal 4 6 3 2 4 2 2 3" xfId="44529" xr:uid="{4C266B25-63F7-4739-9949-DC5B8A05BE4A}"/>
    <cellStyle name="Normal 4 6 3 2 4 2 2 4" xfId="25931" xr:uid="{09C8A5C2-7E05-40D6-B8E5-5DD6A53D6C43}"/>
    <cellStyle name="Normal 4 6 3 2 4 2 3" xfId="13267" xr:uid="{D52CC615-74C5-441E-B84A-686E91F7D9B8}"/>
    <cellStyle name="Normal 4 6 3 2 4 2 3 2" xfId="49609" xr:uid="{B4BAA01A-3352-420D-B3ED-6F11AEB4209B}"/>
    <cellStyle name="Normal 4 6 3 2 4 2 3 3" xfId="31013" xr:uid="{57F3DD34-1377-487C-B766-2687CFF61742}"/>
    <cellStyle name="Normal 4 6 3 2 4 2 4" xfId="40312" xr:uid="{FC05384C-831F-4623-9405-DB6D5C1CBDDA}"/>
    <cellStyle name="Normal 4 6 3 2 4 2 5" xfId="21714" xr:uid="{ADBEE99F-7DC8-4E53-BEA3-77D1C017850F}"/>
    <cellStyle name="Normal 4 6 3 2 4 3" xfId="6013" xr:uid="{00000000-0005-0000-0000-000060160000}"/>
    <cellStyle name="Normal 4 6 3 2 4 3 2" xfId="15339" xr:uid="{F1D4C8A0-1754-4268-BDC0-040C4FF5D755}"/>
    <cellStyle name="Normal 4 6 3 2 4 3 2 2" xfId="51681" xr:uid="{2CCB1456-DC21-41A0-832A-3777E2D00F84}"/>
    <cellStyle name="Normal 4 6 3 2 4 3 2 3" xfId="33085" xr:uid="{CFF48BB0-396C-44BF-B7DB-A4C65E0131FB}"/>
    <cellStyle name="Normal 4 6 3 2 4 3 3" xfId="42384" xr:uid="{DB0CC4B0-EDA6-436B-B3F3-4AD6EA484879}"/>
    <cellStyle name="Normal 4 6 3 2 4 3 4" xfId="23786" xr:uid="{59CB8B45-DF61-45D4-BC73-E5F3FAECF61F}"/>
    <cellStyle name="Normal 4 6 3 2 4 4" xfId="11122" xr:uid="{AD3FA734-7F42-40F8-B340-52551FEC691A}"/>
    <cellStyle name="Normal 4 6 3 2 4 4 2" xfId="47464" xr:uid="{90A199D0-406B-4036-BA82-185F14123BA9}"/>
    <cellStyle name="Normal 4 6 3 2 4 4 3" xfId="28868" xr:uid="{000BF242-BCFE-4606-BEFC-0A11A55C2C8C}"/>
    <cellStyle name="Normal 4 6 3 2 4 5" xfId="38167" xr:uid="{B221D356-A921-4C5A-9C43-6E9CDA882CB7}"/>
    <cellStyle name="Normal 4 6 3 2 4 6" xfId="19569" xr:uid="{2439AD1A-9B9C-4B7E-9797-73A325E70F3F}"/>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17897" xr:uid="{D72DBA9D-2822-4DF2-A19C-BA1712F49751}"/>
    <cellStyle name="Normal 4 6 3 2 5 2 2 2 2" xfId="54239" xr:uid="{BEB035DD-6E7B-4FE3-A135-055EE4579E0F}"/>
    <cellStyle name="Normal 4 6 3 2 5 2 2 2 3" xfId="35643" xr:uid="{B3BF4F8B-2DBC-4432-99CE-E9D9B02C7293}"/>
    <cellStyle name="Normal 4 6 3 2 5 2 2 3" xfId="44942" xr:uid="{3F6397A7-8763-4145-82F6-60DFF37D756A}"/>
    <cellStyle name="Normal 4 6 3 2 5 2 2 4" xfId="26344" xr:uid="{F88B971A-2570-4BBB-85A9-514355381833}"/>
    <cellStyle name="Normal 4 6 3 2 5 2 3" xfId="13680" xr:uid="{71A3C101-AE97-48FF-BABC-0DA629D66203}"/>
    <cellStyle name="Normal 4 6 3 2 5 2 3 2" xfId="50022" xr:uid="{7995CE2E-6629-4953-892C-5DE69A46A1AB}"/>
    <cellStyle name="Normal 4 6 3 2 5 2 3 3" xfId="31426" xr:uid="{0E06E9B9-5A23-4680-BD60-581C9319C212}"/>
    <cellStyle name="Normal 4 6 3 2 5 2 4" xfId="40725" xr:uid="{C59C4BB8-4320-4AF1-86E2-71EFD0371144}"/>
    <cellStyle name="Normal 4 6 3 2 5 2 5" xfId="22127" xr:uid="{68D6E592-9197-481A-8686-698B2B48E088}"/>
    <cellStyle name="Normal 4 6 3 2 5 3" xfId="6426" xr:uid="{00000000-0005-0000-0000-000064160000}"/>
    <cellStyle name="Normal 4 6 3 2 5 3 2" xfId="15752" xr:uid="{91572E9D-4E14-4560-9452-6FA5A550A95C}"/>
    <cellStyle name="Normal 4 6 3 2 5 3 2 2" xfId="52094" xr:uid="{BEA64D8E-2710-41F8-98CD-D5EACB803D17}"/>
    <cellStyle name="Normal 4 6 3 2 5 3 2 3" xfId="33498" xr:uid="{8DA1A317-BCAE-441B-A800-EE6BEE9136B3}"/>
    <cellStyle name="Normal 4 6 3 2 5 3 3" xfId="42797" xr:uid="{6C732022-8593-4CCF-A891-E18FA996DCE6}"/>
    <cellStyle name="Normal 4 6 3 2 5 3 4" xfId="24199" xr:uid="{16EFD16E-62F9-43B2-AC48-A1F8AB9E9DE1}"/>
    <cellStyle name="Normal 4 6 3 2 5 4" xfId="11535" xr:uid="{58424E86-53BD-455B-A99F-07EB8CCBA10C}"/>
    <cellStyle name="Normal 4 6 3 2 5 4 2" xfId="47877" xr:uid="{3361448D-6EAA-4537-B79B-5F36EFA84CEF}"/>
    <cellStyle name="Normal 4 6 3 2 5 4 3" xfId="29281" xr:uid="{E82EA902-D68B-4A86-B325-23A4ED37734E}"/>
    <cellStyle name="Normal 4 6 3 2 5 5" xfId="38580" xr:uid="{38383A12-9C90-4F50-87EA-31482A16CA64}"/>
    <cellStyle name="Normal 4 6 3 2 5 6" xfId="19982" xr:uid="{891F6773-BDE1-4180-8B03-7EC463D98064}"/>
    <cellStyle name="Normal 4 6 3 2 6" xfId="2556" xr:uid="{00000000-0005-0000-0000-000065160000}"/>
    <cellStyle name="Normal 4 6 3 2 6 2" xfId="6839" xr:uid="{00000000-0005-0000-0000-000066160000}"/>
    <cellStyle name="Normal 4 6 3 2 6 2 2" xfId="16165" xr:uid="{6333702F-685F-480C-9065-75C1C8D7D58A}"/>
    <cellStyle name="Normal 4 6 3 2 6 2 2 2" xfId="52507" xr:uid="{CBE17DDA-383C-4B7D-8567-1350C9E31C0F}"/>
    <cellStyle name="Normal 4 6 3 2 6 2 2 3" xfId="33911" xr:uid="{33C0BB52-D9F8-4E99-9E98-4E9506E9E606}"/>
    <cellStyle name="Normal 4 6 3 2 6 2 3" xfId="43210" xr:uid="{0DFAEE6D-C850-476F-8353-8C8767749029}"/>
    <cellStyle name="Normal 4 6 3 2 6 2 4" xfId="24612" xr:uid="{1AA4FC6B-4FFF-44E2-843F-97E27ABA4D97}"/>
    <cellStyle name="Normal 4 6 3 2 6 3" xfId="11948" xr:uid="{0A84B55A-8C90-4B82-8F4E-6E1F7B73ACA6}"/>
    <cellStyle name="Normal 4 6 3 2 6 3 2" xfId="48290" xr:uid="{A737C9CB-F218-43B4-9CE6-D7B770CD8BE5}"/>
    <cellStyle name="Normal 4 6 3 2 6 3 3" xfId="29694" xr:uid="{9B130159-4EAD-41EA-A26D-B52685458AEC}"/>
    <cellStyle name="Normal 4 6 3 2 6 4" xfId="38993" xr:uid="{F840075D-7626-4306-9A72-5E195DEE697F}"/>
    <cellStyle name="Normal 4 6 3 2 6 5" xfId="20395" xr:uid="{411E630C-5753-4188-AEE5-B7912620EACD}"/>
    <cellStyle name="Normal 4 6 3 2 7" xfId="4774" xr:uid="{00000000-0005-0000-0000-000067160000}"/>
    <cellStyle name="Normal 4 6 3 2 7 2" xfId="14100" xr:uid="{4976DDD5-6840-4C25-96E5-2BF9ECC1E8C5}"/>
    <cellStyle name="Normal 4 6 3 2 7 2 2" xfId="50442" xr:uid="{F1B20AF6-5ACF-420F-ACD5-03563DD97F74}"/>
    <cellStyle name="Normal 4 6 3 2 7 2 3" xfId="31846" xr:uid="{ABE83C88-2FC2-4A4A-A057-2A43C5F6B638}"/>
    <cellStyle name="Normal 4 6 3 2 7 3" xfId="41145" xr:uid="{0C4F48D7-3E00-44BC-BE7B-D96D0217B97C}"/>
    <cellStyle name="Normal 4 6 3 2 7 4" xfId="22547" xr:uid="{6B854BD4-A034-4F97-92EB-53C77CF5E1F9}"/>
    <cellStyle name="Normal 4 6 3 2 8" xfId="9082" xr:uid="{B272D1AE-3713-4AD0-AE3F-D1A7344AD432}"/>
    <cellStyle name="Normal 4 6 3 2 8 2" xfId="36152" xr:uid="{2E4E2E05-D8C1-4AC9-AE29-E54F592D3D76}"/>
    <cellStyle name="Normal 4 6 3 2 8 2 2" xfId="54747" xr:uid="{76BD61E0-7287-4ED3-B752-1F568722279A}"/>
    <cellStyle name="Normal 4 6 3 2 8 3" xfId="45450" xr:uid="{51100BF2-3C8A-4BFA-ABD9-5DE7E5605963}"/>
    <cellStyle name="Normal 4 6 3 2 8 4" xfId="26853" xr:uid="{DA55B27C-0E15-4430-9A28-B336FE164E05}"/>
    <cellStyle name="Normal 4 6 3 2 9" xfId="9883" xr:uid="{306666F5-1DD2-4E4C-B97A-6A6E068B4D4F}"/>
    <cellStyle name="Normal 4 6 3 2 9 2" xfId="46225" xr:uid="{0555D0B8-C915-4945-BC9C-31EB002BFAED}"/>
    <cellStyle name="Normal 4 6 3 2 9 3" xfId="27629" xr:uid="{A0C5ADDE-96C3-4ABF-9E4F-23C9EE91547A}"/>
    <cellStyle name="Normal 4 6 3 3" xfId="874" xr:uid="{00000000-0005-0000-0000-000068160000}"/>
    <cellStyle name="Normal 4 6 3 3 2" xfId="3109" xr:uid="{00000000-0005-0000-0000-000069160000}"/>
    <cellStyle name="Normal 4 6 3 3 2 2" xfId="7331" xr:uid="{00000000-0005-0000-0000-00006A160000}"/>
    <cellStyle name="Normal 4 6 3 3 2 2 2" xfId="16657" xr:uid="{6EA5C4B3-EEFD-4EE5-803C-17726AB30271}"/>
    <cellStyle name="Normal 4 6 3 3 2 2 2 2" xfId="52999" xr:uid="{5B6D2473-103F-42FD-AD8F-812F850C0CED}"/>
    <cellStyle name="Normal 4 6 3 3 2 2 2 3" xfId="34403" xr:uid="{7569C7BE-145C-41CF-91F6-5D9CE78D5CB3}"/>
    <cellStyle name="Normal 4 6 3 3 2 2 3" xfId="43702" xr:uid="{EF6E0539-D0D4-4A2A-B12C-925F50306734}"/>
    <cellStyle name="Normal 4 6 3 3 2 2 4" xfId="25104" xr:uid="{C0458B21-437A-40FE-8E4A-507BC5E682B3}"/>
    <cellStyle name="Normal 4 6 3 3 2 3" xfId="12440" xr:uid="{20D10D75-8554-42C7-8FB2-BBF45179EA3E}"/>
    <cellStyle name="Normal 4 6 3 3 2 3 2" xfId="48782" xr:uid="{C5000BAD-4266-4984-AF9A-7E9830D0D453}"/>
    <cellStyle name="Normal 4 6 3 3 2 3 3" xfId="30186" xr:uid="{6E29C26E-C6F5-4C12-978D-6B422AFBD3E3}"/>
    <cellStyle name="Normal 4 6 3 3 2 4" xfId="39485" xr:uid="{937EB6BF-C0F2-4665-9599-726C0C9BCBFE}"/>
    <cellStyle name="Normal 4 6 3 3 2 5" xfId="20887" xr:uid="{CAFEF128-ECF3-4054-8496-970FD8F410C7}"/>
    <cellStyle name="Normal 4 6 3 3 3" xfId="5186" xr:uid="{00000000-0005-0000-0000-00006B160000}"/>
    <cellStyle name="Normal 4 6 3 3 3 2" xfId="14512" xr:uid="{7315811B-34D3-4459-A637-012AB4B05A53}"/>
    <cellStyle name="Normal 4 6 3 3 3 2 2" xfId="50854" xr:uid="{E967C1AE-BBE4-4424-A967-219592E0F247}"/>
    <cellStyle name="Normal 4 6 3 3 3 2 3" xfId="32258" xr:uid="{BEDE1737-1307-44A8-8ABD-3975188E061A}"/>
    <cellStyle name="Normal 4 6 3 3 3 3" xfId="41557" xr:uid="{B4C61A55-583D-44FE-B38C-1FE294D301B1}"/>
    <cellStyle name="Normal 4 6 3 3 3 4" xfId="22959" xr:uid="{C4787516-2509-428F-90EC-C56DB88DFD46}"/>
    <cellStyle name="Normal 4 6 3 3 4" xfId="9300" xr:uid="{955A2E97-C871-4115-A4F5-A642AE2D2C4B}"/>
    <cellStyle name="Normal 4 6 3 3 4 2" xfId="36361" xr:uid="{6546B058-AE9C-4F72-A4DD-24D0E501A235}"/>
    <cellStyle name="Normal 4 6 3 3 4 2 2" xfId="54955" xr:uid="{4C5EDD5F-0EA0-47BB-8665-B36BD37DA931}"/>
    <cellStyle name="Normal 4 6 3 3 4 3" xfId="45658" xr:uid="{19940AC4-B285-457D-BD1C-CCF13EA94A67}"/>
    <cellStyle name="Normal 4 6 3 3 4 4" xfId="27062" xr:uid="{257B6859-1DB4-4E9F-9CB3-EDBEA2E62F2D}"/>
    <cellStyle name="Normal 4 6 3 3 5" xfId="10295" xr:uid="{75D7E25C-3E1A-4C49-88B3-D0030D1C2EA5}"/>
    <cellStyle name="Normal 4 6 3 3 5 2" xfId="46637" xr:uid="{46E2DB75-C4F5-47EF-96C3-64E517BA82A9}"/>
    <cellStyle name="Normal 4 6 3 3 5 3" xfId="28041" xr:uid="{E0354956-C1B5-4477-91EB-FC08A309EA46}"/>
    <cellStyle name="Normal 4 6 3 3 6" xfId="37340" xr:uid="{D586D85D-88C0-4E87-A95D-00C999A06D50}"/>
    <cellStyle name="Normal 4 6 3 3 7" xfId="18742" xr:uid="{E422F632-F984-4867-AF19-078E764125B9}"/>
    <cellStyle name="Normal 4 6 3 4" xfId="1292" xr:uid="{00000000-0005-0000-0000-00006C160000}"/>
    <cellStyle name="Normal 4 6 3 4 2" xfId="3522" xr:uid="{00000000-0005-0000-0000-00006D160000}"/>
    <cellStyle name="Normal 4 6 3 4 2 2" xfId="7744" xr:uid="{00000000-0005-0000-0000-00006E160000}"/>
    <cellStyle name="Normal 4 6 3 4 2 2 2" xfId="17070" xr:uid="{B715BC98-377F-46B5-AD45-9893C532ADFC}"/>
    <cellStyle name="Normal 4 6 3 4 2 2 2 2" xfId="53412" xr:uid="{3B90A42D-41E5-459F-832E-F0E4F20EBF30}"/>
    <cellStyle name="Normal 4 6 3 4 2 2 2 3" xfId="34816" xr:uid="{1AE9EF5D-5787-471A-9E9E-079BA5B2E268}"/>
    <cellStyle name="Normal 4 6 3 4 2 2 3" xfId="44115" xr:uid="{5BC060FA-8F3E-4C9A-88D6-070FAC29FB72}"/>
    <cellStyle name="Normal 4 6 3 4 2 2 4" xfId="25517" xr:uid="{10F3E740-28AB-4477-B768-C10BF999217D}"/>
    <cellStyle name="Normal 4 6 3 4 2 3" xfId="12853" xr:uid="{DF879CBB-CCAA-4D9D-96A4-F942D22178B6}"/>
    <cellStyle name="Normal 4 6 3 4 2 3 2" xfId="49195" xr:uid="{07E44B76-4DF3-439A-8508-A617B523F7E2}"/>
    <cellStyle name="Normal 4 6 3 4 2 3 3" xfId="30599" xr:uid="{B9EBEA7C-2DE0-49FB-A2A9-4A91CA8736CB}"/>
    <cellStyle name="Normal 4 6 3 4 2 4" xfId="39898" xr:uid="{EC30631A-FFAB-4973-84C8-D71DA4607A56}"/>
    <cellStyle name="Normal 4 6 3 4 2 5" xfId="21300" xr:uid="{D19D9DF1-1ECA-437A-B4A9-512343EAC2BF}"/>
    <cellStyle name="Normal 4 6 3 4 3" xfId="5599" xr:uid="{00000000-0005-0000-0000-00006F160000}"/>
    <cellStyle name="Normal 4 6 3 4 3 2" xfId="14925" xr:uid="{06481B9B-80E4-4A21-8B7B-7790A239CBD5}"/>
    <cellStyle name="Normal 4 6 3 4 3 2 2" xfId="51267" xr:uid="{5E1B21D4-FF16-4BF5-A8C5-79E73A3D23CE}"/>
    <cellStyle name="Normal 4 6 3 4 3 2 3" xfId="32671" xr:uid="{05ED923B-2ADF-4237-9D38-A10285C119BC}"/>
    <cellStyle name="Normal 4 6 3 4 3 3" xfId="41970" xr:uid="{176062EC-4FCA-4BB9-AFE5-934A51601C98}"/>
    <cellStyle name="Normal 4 6 3 4 3 4" xfId="23372" xr:uid="{28AE59B4-1192-4A05-B3C5-2B22856E8156}"/>
    <cellStyle name="Normal 4 6 3 4 4" xfId="10708" xr:uid="{D558C0AC-4A6C-43A8-B96C-6A3DF17D6F02}"/>
    <cellStyle name="Normal 4 6 3 4 4 2" xfId="47050" xr:uid="{560703CD-C67C-4220-81D3-BC6EB1C385FD}"/>
    <cellStyle name="Normal 4 6 3 4 4 3" xfId="28454" xr:uid="{6AF8A140-C3A2-43FF-84C7-7BC2347CA04C}"/>
    <cellStyle name="Normal 4 6 3 4 5" xfId="37753" xr:uid="{75861AD3-EA03-4AFA-8D0C-80112753A7AC}"/>
    <cellStyle name="Normal 4 6 3 4 6" xfId="19155" xr:uid="{0611CD92-BB87-4044-A419-6E3424928FB8}"/>
    <cellStyle name="Normal 4 6 3 5" xfId="1705" xr:uid="{00000000-0005-0000-0000-000070160000}"/>
    <cellStyle name="Normal 4 6 3 5 2" xfId="3935" xr:uid="{00000000-0005-0000-0000-000071160000}"/>
    <cellStyle name="Normal 4 6 3 5 2 2" xfId="8157" xr:uid="{00000000-0005-0000-0000-000072160000}"/>
    <cellStyle name="Normal 4 6 3 5 2 2 2" xfId="17483" xr:uid="{4EA4ACC8-2BCF-4EB9-99C0-0B194AFF7BA5}"/>
    <cellStyle name="Normal 4 6 3 5 2 2 2 2" xfId="53825" xr:uid="{CB96BCA1-8FA4-43FC-AF46-9D34F9D613BF}"/>
    <cellStyle name="Normal 4 6 3 5 2 2 2 3" xfId="35229" xr:uid="{7B3FDBD4-AB43-4B3E-83DA-D7B979B8BF96}"/>
    <cellStyle name="Normal 4 6 3 5 2 2 3" xfId="44528" xr:uid="{059EEEF3-70E9-4787-8CFE-07B7F75F55A9}"/>
    <cellStyle name="Normal 4 6 3 5 2 2 4" xfId="25930" xr:uid="{A0B94EEF-1DB5-4779-BE5F-BCB3C1BB90B1}"/>
    <cellStyle name="Normal 4 6 3 5 2 3" xfId="13266" xr:uid="{B66A8C03-58AA-45B3-A05A-CCB15EE24CDC}"/>
    <cellStyle name="Normal 4 6 3 5 2 3 2" xfId="49608" xr:uid="{5523DAAC-8808-4C29-8487-17185287C315}"/>
    <cellStyle name="Normal 4 6 3 5 2 3 3" xfId="31012" xr:uid="{D7B9711F-D8CC-413C-A98B-0341B253C856}"/>
    <cellStyle name="Normal 4 6 3 5 2 4" xfId="40311" xr:uid="{B9D892DB-0A01-4E30-96F1-A4250C9E4E16}"/>
    <cellStyle name="Normal 4 6 3 5 2 5" xfId="21713" xr:uid="{33933C91-1ECB-45F8-AEEA-98E45BB4C52A}"/>
    <cellStyle name="Normal 4 6 3 5 3" xfId="6012" xr:uid="{00000000-0005-0000-0000-000073160000}"/>
    <cellStyle name="Normal 4 6 3 5 3 2" xfId="15338" xr:uid="{1A888C56-BBED-4289-A905-E174CCD70F02}"/>
    <cellStyle name="Normal 4 6 3 5 3 2 2" xfId="51680" xr:uid="{2DA70D94-B6B7-4DA3-B7FB-AC8B8B14F1F5}"/>
    <cellStyle name="Normal 4 6 3 5 3 2 3" xfId="33084" xr:uid="{15539594-0385-44CD-99EB-B8ADA1AA2B7B}"/>
    <cellStyle name="Normal 4 6 3 5 3 3" xfId="42383" xr:uid="{1A749E02-AEC8-44B0-A60A-3870C905FAD3}"/>
    <cellStyle name="Normal 4 6 3 5 3 4" xfId="23785" xr:uid="{9FDC195D-90FB-4D63-A4E7-C7EB5A967095}"/>
    <cellStyle name="Normal 4 6 3 5 4" xfId="11121" xr:uid="{7691E2A2-1024-41A3-91C9-42DE1D8B0C4F}"/>
    <cellStyle name="Normal 4 6 3 5 4 2" xfId="47463" xr:uid="{ABA04B00-FDE1-4AA3-81F0-5D19AABAD5A8}"/>
    <cellStyle name="Normal 4 6 3 5 4 3" xfId="28867" xr:uid="{E5C6F819-10BC-4786-8C4A-9052D8B9012A}"/>
    <cellStyle name="Normal 4 6 3 5 5" xfId="38166" xr:uid="{812890C1-7ADD-4B4B-B598-6C1384C8F93B}"/>
    <cellStyle name="Normal 4 6 3 5 6" xfId="19568" xr:uid="{E1D600FF-503A-40DE-A11E-8EA9FB161F9E}"/>
    <cellStyle name="Normal 4 6 3 6" xfId="2119" xr:uid="{00000000-0005-0000-0000-000074160000}"/>
    <cellStyle name="Normal 4 6 3 6 2" xfId="4348" xr:uid="{00000000-0005-0000-0000-000075160000}"/>
    <cellStyle name="Normal 4 6 3 6 2 2" xfId="8570" xr:uid="{00000000-0005-0000-0000-000076160000}"/>
    <cellStyle name="Normal 4 6 3 6 2 2 2" xfId="17896" xr:uid="{797DB5E5-0B21-4BD9-A949-DFEF41C4F37B}"/>
    <cellStyle name="Normal 4 6 3 6 2 2 2 2" xfId="54238" xr:uid="{517B3727-A401-4DB8-B2B6-9C90D78A9F75}"/>
    <cellStyle name="Normal 4 6 3 6 2 2 2 3" xfId="35642" xr:uid="{4DDD8F13-9FF1-4E0D-BDDB-8DEF61577DA6}"/>
    <cellStyle name="Normal 4 6 3 6 2 2 3" xfId="44941" xr:uid="{4BFDE306-A8CE-495D-8A91-CADCBB358382}"/>
    <cellStyle name="Normal 4 6 3 6 2 2 4" xfId="26343" xr:uid="{1F6CE59B-45BD-4C3B-A0A6-454CFAE9E8A5}"/>
    <cellStyle name="Normal 4 6 3 6 2 3" xfId="13679" xr:uid="{8C5AED87-FDC0-471F-A6CA-D49F1224DDA7}"/>
    <cellStyle name="Normal 4 6 3 6 2 3 2" xfId="50021" xr:uid="{56F06C32-995E-462A-8224-2251FAED40F4}"/>
    <cellStyle name="Normal 4 6 3 6 2 3 3" xfId="31425" xr:uid="{CB47F730-DB89-4609-B865-488087CE5904}"/>
    <cellStyle name="Normal 4 6 3 6 2 4" xfId="40724" xr:uid="{0712B082-B413-46A9-BFB0-B21055B3950D}"/>
    <cellStyle name="Normal 4 6 3 6 2 5" xfId="22126" xr:uid="{6DECA1BB-61B3-4E11-B3A3-64C2E8D12986}"/>
    <cellStyle name="Normal 4 6 3 6 3" xfId="6425" xr:uid="{00000000-0005-0000-0000-000077160000}"/>
    <cellStyle name="Normal 4 6 3 6 3 2" xfId="15751" xr:uid="{5564056B-9B4B-4F0D-9563-BF3F81DE8801}"/>
    <cellStyle name="Normal 4 6 3 6 3 2 2" xfId="52093" xr:uid="{9A9215DC-F6D1-48A8-ADCF-A497E1274504}"/>
    <cellStyle name="Normal 4 6 3 6 3 2 3" xfId="33497" xr:uid="{E1E5E56F-53F2-4817-9D24-55A10FD9CCF9}"/>
    <cellStyle name="Normal 4 6 3 6 3 3" xfId="42796" xr:uid="{AB5F2F84-C888-40EB-8346-A0E020C5D332}"/>
    <cellStyle name="Normal 4 6 3 6 3 4" xfId="24198" xr:uid="{9C8BA652-B773-4219-A102-6B7610406471}"/>
    <cellStyle name="Normal 4 6 3 6 4" xfId="11534" xr:uid="{1DAE283C-3D7F-4FCC-B274-C49B3AAB4CD3}"/>
    <cellStyle name="Normal 4 6 3 6 4 2" xfId="47876" xr:uid="{F923DD08-755C-4615-8434-988BCE97D3CA}"/>
    <cellStyle name="Normal 4 6 3 6 4 3" xfId="29280" xr:uid="{B2EDE3CC-D85A-4627-A102-507904AA5FD4}"/>
    <cellStyle name="Normal 4 6 3 6 5" xfId="38579" xr:uid="{8446FD5F-1E54-498F-8A68-90FCC849ECC6}"/>
    <cellStyle name="Normal 4 6 3 6 6" xfId="19981" xr:uid="{88F2CAD5-5CE1-44B4-9F27-D0FC44AD7E36}"/>
    <cellStyle name="Normal 4 6 3 7" xfId="2555" xr:uid="{00000000-0005-0000-0000-000078160000}"/>
    <cellStyle name="Normal 4 6 3 7 2" xfId="6838" xr:uid="{00000000-0005-0000-0000-000079160000}"/>
    <cellStyle name="Normal 4 6 3 7 2 2" xfId="16164" xr:uid="{292C6633-919E-46FE-9E43-BC80843663C4}"/>
    <cellStyle name="Normal 4 6 3 7 2 2 2" xfId="52506" xr:uid="{4AA74C6C-8D4E-406D-A74A-2F2A5D82BF16}"/>
    <cellStyle name="Normal 4 6 3 7 2 2 3" xfId="33910" xr:uid="{CFDBBF17-4ABA-4ED9-AA1E-4D61927F9350}"/>
    <cellStyle name="Normal 4 6 3 7 2 3" xfId="43209" xr:uid="{D20E73A5-200E-4E69-899E-E42922B6DCA8}"/>
    <cellStyle name="Normal 4 6 3 7 2 4" xfId="24611" xr:uid="{9F7C10D1-53D3-492A-934A-FFB92F735D8C}"/>
    <cellStyle name="Normal 4 6 3 7 3" xfId="11947" xr:uid="{D9507513-9AD5-4383-B640-089FDF3E458D}"/>
    <cellStyle name="Normal 4 6 3 7 3 2" xfId="48289" xr:uid="{D77BC5C7-0FB6-4655-B9D8-F791D94CB510}"/>
    <cellStyle name="Normal 4 6 3 7 3 3" xfId="29693" xr:uid="{654B5687-BDB7-4440-9DC2-E5264879D258}"/>
    <cellStyle name="Normal 4 6 3 7 4" xfId="38992" xr:uid="{B9DF5DFF-D970-4431-8F49-84AEE6B2B166}"/>
    <cellStyle name="Normal 4 6 3 7 5" xfId="20394" xr:uid="{F9CB978B-23D8-4B5E-B53A-8DEEB4EC05B3}"/>
    <cellStyle name="Normal 4 6 3 8" xfId="4773" xr:uid="{00000000-0005-0000-0000-00007A160000}"/>
    <cellStyle name="Normal 4 6 3 8 2" xfId="14099" xr:uid="{DBE6300B-D263-40DE-AD10-DF63831A550E}"/>
    <cellStyle name="Normal 4 6 3 8 2 2" xfId="50441" xr:uid="{FCFC94B0-E6AE-41FE-BB63-E73EEE102A92}"/>
    <cellStyle name="Normal 4 6 3 8 2 3" xfId="31845" xr:uid="{DB31C00F-9C03-4A0F-9D68-8D9BB91901D2}"/>
    <cellStyle name="Normal 4 6 3 8 3" xfId="41144" xr:uid="{F0C6739B-6C45-436E-8CED-C21D6899DBBD}"/>
    <cellStyle name="Normal 4 6 3 8 4" xfId="22546" xr:uid="{2EAD94AB-2A38-4E5A-8055-26DC3EB25C03}"/>
    <cellStyle name="Normal 4 6 3 9" xfId="8875" xr:uid="{DFD24C28-B729-444D-A0F6-B5522ED354D5}"/>
    <cellStyle name="Normal 4 6 3 9 2" xfId="35945" xr:uid="{965053A3-DDF2-4516-8B13-C52ABA9DF920}"/>
    <cellStyle name="Normal 4 6 3 9 2 2" xfId="54540" xr:uid="{0DB95659-59AB-4836-8916-222B104B16F6}"/>
    <cellStyle name="Normal 4 6 3 9 3" xfId="45243" xr:uid="{1FCC5DC0-61C1-4D2B-B18C-0D1784E72037}"/>
    <cellStyle name="Normal 4 6 3 9 4" xfId="26646" xr:uid="{A822B71D-C8B5-4770-8A6A-673CAE28006E}"/>
    <cellStyle name="Normal 4 6 4" xfId="402" xr:uid="{00000000-0005-0000-0000-00007B160000}"/>
    <cellStyle name="Normal 4 6 4 10" xfId="36929" xr:uid="{AC1FB578-1586-466D-A184-6BD35BD1734C}"/>
    <cellStyle name="Normal 4 6 4 11" xfId="18331" xr:uid="{CBC2A6DF-9D5F-4179-9480-EAEF003D0C0D}"/>
    <cellStyle name="Normal 4 6 4 2" xfId="876" xr:uid="{00000000-0005-0000-0000-00007C160000}"/>
    <cellStyle name="Normal 4 6 4 2 2" xfId="3111" xr:uid="{00000000-0005-0000-0000-00007D160000}"/>
    <cellStyle name="Normal 4 6 4 2 2 2" xfId="7333" xr:uid="{00000000-0005-0000-0000-00007E160000}"/>
    <cellStyle name="Normal 4 6 4 2 2 2 2" xfId="16659" xr:uid="{BFDAA546-F647-4527-9A5D-7E4ED83226B2}"/>
    <cellStyle name="Normal 4 6 4 2 2 2 2 2" xfId="53001" xr:uid="{D2ECFADD-6C42-4773-92FE-21B04EDB82F5}"/>
    <cellStyle name="Normal 4 6 4 2 2 2 2 3" xfId="34405" xr:uid="{AC0D05A8-2E62-4CF9-AD89-7849B90D3D48}"/>
    <cellStyle name="Normal 4 6 4 2 2 2 3" xfId="43704" xr:uid="{674F8002-DF8D-412F-8EF8-627EF104AA2D}"/>
    <cellStyle name="Normal 4 6 4 2 2 2 4" xfId="25106" xr:uid="{A02DB9B8-68BB-4FF8-895F-D1223BB4AB18}"/>
    <cellStyle name="Normal 4 6 4 2 2 3" xfId="12442" xr:uid="{B7F9C846-1524-4C5A-9288-EF9D62D50F8F}"/>
    <cellStyle name="Normal 4 6 4 2 2 3 2" xfId="48784" xr:uid="{E8695BD7-D1B3-4CAC-BEA8-501FAF1F8E28}"/>
    <cellStyle name="Normal 4 6 4 2 2 3 3" xfId="30188" xr:uid="{F97CBD28-D982-4C09-8A4F-84205F67E8E4}"/>
    <cellStyle name="Normal 4 6 4 2 2 4" xfId="39487" xr:uid="{6842D992-6DA7-47BA-9151-75EC03356E33}"/>
    <cellStyle name="Normal 4 6 4 2 2 5" xfId="20889" xr:uid="{26DBE021-0AD7-4345-8972-84B744A5E08D}"/>
    <cellStyle name="Normal 4 6 4 2 3" xfId="5188" xr:uid="{00000000-0005-0000-0000-00007F160000}"/>
    <cellStyle name="Normal 4 6 4 2 3 2" xfId="14514" xr:uid="{209D73EF-F3F9-4C16-914E-91A7BBD0BB33}"/>
    <cellStyle name="Normal 4 6 4 2 3 2 2" xfId="50856" xr:uid="{035868E9-4763-4A03-B4FB-25A7302354F7}"/>
    <cellStyle name="Normal 4 6 4 2 3 2 3" xfId="32260" xr:uid="{40DEAB31-FEDC-4097-B8F6-F7E0DFE02E9A}"/>
    <cellStyle name="Normal 4 6 4 2 3 3" xfId="41559" xr:uid="{998D8C6D-C20B-47E1-8A7F-7B9B77F40079}"/>
    <cellStyle name="Normal 4 6 4 2 3 4" xfId="22961" xr:uid="{EB158A03-5619-44B0-9922-DDA55000FC29}"/>
    <cellStyle name="Normal 4 6 4 2 4" xfId="9404" xr:uid="{D1BAB6D6-35EF-4C34-91EA-2EB17352CDF9}"/>
    <cellStyle name="Normal 4 6 4 2 4 2" xfId="36465" xr:uid="{32E3CE2D-0B25-414A-B79F-A616BF890D26}"/>
    <cellStyle name="Normal 4 6 4 2 4 2 2" xfId="55059" xr:uid="{569F7F24-9EEE-4DEF-A557-5E4F06E8C668}"/>
    <cellStyle name="Normal 4 6 4 2 4 3" xfId="45762" xr:uid="{CD69D308-F2E5-4CD0-8765-CCABAE8E3608}"/>
    <cellStyle name="Normal 4 6 4 2 4 4" xfId="27166" xr:uid="{FD4DE322-A13B-4D9D-ACC8-26D7692FCB72}"/>
    <cellStyle name="Normal 4 6 4 2 5" xfId="10297" xr:uid="{4E0A7238-2F08-4E6C-AE1F-81B078C25707}"/>
    <cellStyle name="Normal 4 6 4 2 5 2" xfId="46639" xr:uid="{F6A92D14-8916-404B-9CEB-6A3BE41DDBEB}"/>
    <cellStyle name="Normal 4 6 4 2 5 3" xfId="28043" xr:uid="{A2D5D2DF-69E5-4969-8957-5D0D701BF33F}"/>
    <cellStyle name="Normal 4 6 4 2 6" xfId="37342" xr:uid="{93570378-5EE1-4446-9181-4E06089FF4C2}"/>
    <cellStyle name="Normal 4 6 4 2 7" xfId="18744" xr:uid="{6116E751-3754-46C9-9F53-109B2A0EE5CE}"/>
    <cellStyle name="Normal 4 6 4 3" xfId="1294" xr:uid="{00000000-0005-0000-0000-000080160000}"/>
    <cellStyle name="Normal 4 6 4 3 2" xfId="3524" xr:uid="{00000000-0005-0000-0000-000081160000}"/>
    <cellStyle name="Normal 4 6 4 3 2 2" xfId="7746" xr:uid="{00000000-0005-0000-0000-000082160000}"/>
    <cellStyle name="Normal 4 6 4 3 2 2 2" xfId="17072" xr:uid="{63D1903C-E61E-43C1-B095-1E21B640D13A}"/>
    <cellStyle name="Normal 4 6 4 3 2 2 2 2" xfId="53414" xr:uid="{76DE6541-C097-4A96-999F-01249F0DF71F}"/>
    <cellStyle name="Normal 4 6 4 3 2 2 2 3" xfId="34818" xr:uid="{B8CF3F45-D75D-49CE-8CB2-C8222C684AFF}"/>
    <cellStyle name="Normal 4 6 4 3 2 2 3" xfId="44117" xr:uid="{680987FC-3237-48BA-8B1D-365CBE28E7F9}"/>
    <cellStyle name="Normal 4 6 4 3 2 2 4" xfId="25519" xr:uid="{D4529DB3-E189-408A-985B-AF374F0B91C2}"/>
    <cellStyle name="Normal 4 6 4 3 2 3" xfId="12855" xr:uid="{86B28C84-BB4C-4AA5-9C0D-9DAC2E3E56CF}"/>
    <cellStyle name="Normal 4 6 4 3 2 3 2" xfId="49197" xr:uid="{7CCCBA36-0F24-4D51-9423-341957DA6652}"/>
    <cellStyle name="Normal 4 6 4 3 2 3 3" xfId="30601" xr:uid="{0774419F-2561-4614-8E31-7B8EC3A1304A}"/>
    <cellStyle name="Normal 4 6 4 3 2 4" xfId="39900" xr:uid="{7BE7E9F5-89A0-4D29-9900-D8575970CAD0}"/>
    <cellStyle name="Normal 4 6 4 3 2 5" xfId="21302" xr:uid="{F8C7F3FF-B920-4D0E-B13F-2E37337CF96F}"/>
    <cellStyle name="Normal 4 6 4 3 3" xfId="5601" xr:uid="{00000000-0005-0000-0000-000083160000}"/>
    <cellStyle name="Normal 4 6 4 3 3 2" xfId="14927" xr:uid="{174BAF40-A32C-4773-BDCF-AD293308114A}"/>
    <cellStyle name="Normal 4 6 4 3 3 2 2" xfId="51269" xr:uid="{262C2B4D-41BE-4228-862C-464825F3265D}"/>
    <cellStyle name="Normal 4 6 4 3 3 2 3" xfId="32673" xr:uid="{65D78DF8-79E0-43CB-B36A-935D4CC7ADF2}"/>
    <cellStyle name="Normal 4 6 4 3 3 3" xfId="41972" xr:uid="{E7A43D4F-C3FD-4849-B7DC-47F688466E6D}"/>
    <cellStyle name="Normal 4 6 4 3 3 4" xfId="23374" xr:uid="{3D742935-7010-46A3-9C39-4DB444D899FD}"/>
    <cellStyle name="Normal 4 6 4 3 4" xfId="10710" xr:uid="{5DDF7737-5566-40B3-9CD5-2ABDB06FF590}"/>
    <cellStyle name="Normal 4 6 4 3 4 2" xfId="47052" xr:uid="{75DB1C75-3831-4D53-AD84-B57EFE2D7973}"/>
    <cellStyle name="Normal 4 6 4 3 4 3" xfId="28456" xr:uid="{464A6571-C8AA-4B69-B01B-8752649F89B5}"/>
    <cellStyle name="Normal 4 6 4 3 5" xfId="37755" xr:uid="{F452E867-63EE-4B4F-A0D7-C929C23EB63E}"/>
    <cellStyle name="Normal 4 6 4 3 6" xfId="19157" xr:uid="{BD0DADFD-CF2C-46BC-AA88-410E418DCFFC}"/>
    <cellStyle name="Normal 4 6 4 4" xfId="1707" xr:uid="{00000000-0005-0000-0000-000084160000}"/>
    <cellStyle name="Normal 4 6 4 4 2" xfId="3937" xr:uid="{00000000-0005-0000-0000-000085160000}"/>
    <cellStyle name="Normal 4 6 4 4 2 2" xfId="8159" xr:uid="{00000000-0005-0000-0000-000086160000}"/>
    <cellStyle name="Normal 4 6 4 4 2 2 2" xfId="17485" xr:uid="{974938B2-72F9-4132-A67C-A79F172F7E27}"/>
    <cellStyle name="Normal 4 6 4 4 2 2 2 2" xfId="53827" xr:uid="{305B2997-9BD1-4E5C-B674-FE44DFF51FB8}"/>
    <cellStyle name="Normal 4 6 4 4 2 2 2 3" xfId="35231" xr:uid="{B06A670B-C80B-46D8-981F-2A497D4E03A0}"/>
    <cellStyle name="Normal 4 6 4 4 2 2 3" xfId="44530" xr:uid="{CC1E8100-B98F-483F-BCF5-5D6FDE71C997}"/>
    <cellStyle name="Normal 4 6 4 4 2 2 4" xfId="25932" xr:uid="{B68B0D54-BC73-4942-84EE-A41E0B955546}"/>
    <cellStyle name="Normal 4 6 4 4 2 3" xfId="13268" xr:uid="{F0D1BF28-7E12-4B17-960F-4BF6F427C809}"/>
    <cellStyle name="Normal 4 6 4 4 2 3 2" xfId="49610" xr:uid="{DAB769BD-2524-4FE9-939E-F3DDB9B6F130}"/>
    <cellStyle name="Normal 4 6 4 4 2 3 3" xfId="31014" xr:uid="{92AD7703-09E3-40BE-81D7-8A2D50E90C1E}"/>
    <cellStyle name="Normal 4 6 4 4 2 4" xfId="40313" xr:uid="{63314125-0A91-4060-8FF2-FE429F0EFA47}"/>
    <cellStyle name="Normal 4 6 4 4 2 5" xfId="21715" xr:uid="{78133B99-8A9D-48FF-B64A-DD4C54BB86B0}"/>
    <cellStyle name="Normal 4 6 4 4 3" xfId="6014" xr:uid="{00000000-0005-0000-0000-000087160000}"/>
    <cellStyle name="Normal 4 6 4 4 3 2" xfId="15340" xr:uid="{19AFFDCC-5943-4F51-ADB4-1E2759425EF4}"/>
    <cellStyle name="Normal 4 6 4 4 3 2 2" xfId="51682" xr:uid="{8F08F4E2-35F8-42AD-A51E-FFFD33725EED}"/>
    <cellStyle name="Normal 4 6 4 4 3 2 3" xfId="33086" xr:uid="{D8B1C0C5-5F9D-4C89-AC6D-BAC5D3A33C1E}"/>
    <cellStyle name="Normal 4 6 4 4 3 3" xfId="42385" xr:uid="{00B17E12-520F-4726-8FEB-93AE2B4FB337}"/>
    <cellStyle name="Normal 4 6 4 4 3 4" xfId="23787" xr:uid="{352C645B-8668-4082-963F-7640D7CAF28A}"/>
    <cellStyle name="Normal 4 6 4 4 4" xfId="11123" xr:uid="{5DE8BAA8-BB01-43A3-AED3-84974E6CD26A}"/>
    <cellStyle name="Normal 4 6 4 4 4 2" xfId="47465" xr:uid="{0B9BE6C7-ED49-4C70-BD11-CD4B029A02C6}"/>
    <cellStyle name="Normal 4 6 4 4 4 3" xfId="28869" xr:uid="{31543988-7F93-44A6-8F25-22E8A7E9261E}"/>
    <cellStyle name="Normal 4 6 4 4 5" xfId="38168" xr:uid="{04988598-B091-448B-B1B3-9FEEA5D81829}"/>
    <cellStyle name="Normal 4 6 4 4 6" xfId="19570" xr:uid="{A91DD430-9EA6-4A73-B694-3D1130955DC4}"/>
    <cellStyle name="Normal 4 6 4 5" xfId="2121" xr:uid="{00000000-0005-0000-0000-000088160000}"/>
    <cellStyle name="Normal 4 6 4 5 2" xfId="4350" xr:uid="{00000000-0005-0000-0000-000089160000}"/>
    <cellStyle name="Normal 4 6 4 5 2 2" xfId="8572" xr:uid="{00000000-0005-0000-0000-00008A160000}"/>
    <cellStyle name="Normal 4 6 4 5 2 2 2" xfId="17898" xr:uid="{00C045AA-5742-4B8A-8A63-21C30820F84C}"/>
    <cellStyle name="Normal 4 6 4 5 2 2 2 2" xfId="54240" xr:uid="{F14F8455-47F0-4365-9B3E-2736C33DB3BD}"/>
    <cellStyle name="Normal 4 6 4 5 2 2 2 3" xfId="35644" xr:uid="{E18EAB79-7E37-4FF9-8D25-0FA568267416}"/>
    <cellStyle name="Normal 4 6 4 5 2 2 3" xfId="44943" xr:uid="{5569EE13-4BCF-47D4-855A-9AA529B6FBBB}"/>
    <cellStyle name="Normal 4 6 4 5 2 2 4" xfId="26345" xr:uid="{BAF9A5A3-3E66-4706-A1F5-D563536C4307}"/>
    <cellStyle name="Normal 4 6 4 5 2 3" xfId="13681" xr:uid="{35669C50-3239-4CAD-A492-982009CF4DF5}"/>
    <cellStyle name="Normal 4 6 4 5 2 3 2" xfId="50023" xr:uid="{C615D9C9-87AD-4B80-ABF8-06CC5D115B02}"/>
    <cellStyle name="Normal 4 6 4 5 2 3 3" xfId="31427" xr:uid="{B339DE0F-8B7D-4093-9378-CDA90FC3674D}"/>
    <cellStyle name="Normal 4 6 4 5 2 4" xfId="40726" xr:uid="{D1A42145-16EE-4828-B0AB-12B61B201A8A}"/>
    <cellStyle name="Normal 4 6 4 5 2 5" xfId="22128" xr:uid="{FFD73370-896F-474B-A6FF-7C10EC819668}"/>
    <cellStyle name="Normal 4 6 4 5 3" xfId="6427" xr:uid="{00000000-0005-0000-0000-00008B160000}"/>
    <cellStyle name="Normal 4 6 4 5 3 2" xfId="15753" xr:uid="{ABB8A309-6157-4397-94CA-1E5494023CDA}"/>
    <cellStyle name="Normal 4 6 4 5 3 2 2" xfId="52095" xr:uid="{DEB8AB50-90D3-41F9-AFEB-BF418FE6EBC1}"/>
    <cellStyle name="Normal 4 6 4 5 3 2 3" xfId="33499" xr:uid="{E2FF648D-8AD6-4D2B-B23C-165BA97789CE}"/>
    <cellStyle name="Normal 4 6 4 5 3 3" xfId="42798" xr:uid="{28E34C8A-F955-4B45-9354-DEE2D6EE96E0}"/>
    <cellStyle name="Normal 4 6 4 5 3 4" xfId="24200" xr:uid="{CE2ACC7B-2641-4658-9E9E-7B2862EFCC54}"/>
    <cellStyle name="Normal 4 6 4 5 4" xfId="11536" xr:uid="{E4F388EF-44F6-45DA-8E34-66996332A189}"/>
    <cellStyle name="Normal 4 6 4 5 4 2" xfId="47878" xr:uid="{F62CF330-0152-4C3D-BF8B-7A7034490665}"/>
    <cellStyle name="Normal 4 6 4 5 4 3" xfId="29282" xr:uid="{71215B82-BAFE-4809-87AF-604CEDAD472B}"/>
    <cellStyle name="Normal 4 6 4 5 5" xfId="38581" xr:uid="{1B1BBDF7-9CBF-464F-8599-7683F0E32371}"/>
    <cellStyle name="Normal 4 6 4 5 6" xfId="19983" xr:uid="{FA76600F-1A36-41F8-968A-77DF6B1F72AB}"/>
    <cellStyle name="Normal 4 6 4 6" xfId="2557" xr:uid="{00000000-0005-0000-0000-00008C160000}"/>
    <cellStyle name="Normal 4 6 4 6 2" xfId="6840" xr:uid="{00000000-0005-0000-0000-00008D160000}"/>
    <cellStyle name="Normal 4 6 4 6 2 2" xfId="16166" xr:uid="{474A1409-6C95-414C-8959-3F8E1211F8FA}"/>
    <cellStyle name="Normal 4 6 4 6 2 2 2" xfId="52508" xr:uid="{78410229-E9DB-43DD-949C-E72549270645}"/>
    <cellStyle name="Normal 4 6 4 6 2 2 3" xfId="33912" xr:uid="{05464ADA-4990-4536-9402-1272407D9479}"/>
    <cellStyle name="Normal 4 6 4 6 2 3" xfId="43211" xr:uid="{D4794F93-53C3-417C-BE65-1532D5BF6162}"/>
    <cellStyle name="Normal 4 6 4 6 2 4" xfId="24613" xr:uid="{1546555B-4189-461F-951C-36DE0BCF1320}"/>
    <cellStyle name="Normal 4 6 4 6 3" xfId="11949" xr:uid="{8E6D7A33-2A37-48CD-BFA4-6A70717C5FB5}"/>
    <cellStyle name="Normal 4 6 4 6 3 2" xfId="48291" xr:uid="{D7A62137-DEA4-44D9-9DD1-69C926033532}"/>
    <cellStyle name="Normal 4 6 4 6 3 3" xfId="29695" xr:uid="{45A9FD29-A649-4108-A0D5-58A8508A044E}"/>
    <cellStyle name="Normal 4 6 4 6 4" xfId="38994" xr:uid="{5593C72D-5F3E-4AC7-ADE2-A10147751B7A}"/>
    <cellStyle name="Normal 4 6 4 6 5" xfId="20396" xr:uid="{15332ADF-72DE-4C87-A97F-8B3585082CF2}"/>
    <cellStyle name="Normal 4 6 4 7" xfId="4775" xr:uid="{00000000-0005-0000-0000-00008E160000}"/>
    <cellStyle name="Normal 4 6 4 7 2" xfId="14101" xr:uid="{BA765C21-A431-40A0-91EB-70FE688199AA}"/>
    <cellStyle name="Normal 4 6 4 7 2 2" xfId="50443" xr:uid="{43CD635E-9884-49C6-9E7C-727808F52C6E}"/>
    <cellStyle name="Normal 4 6 4 7 2 3" xfId="31847" xr:uid="{9FCC1D6A-93D9-4411-8D02-7300FECC4CE3}"/>
    <cellStyle name="Normal 4 6 4 7 3" xfId="41146" xr:uid="{A83CDB98-35A5-4982-99A6-B561740C1B07}"/>
    <cellStyle name="Normal 4 6 4 7 4" xfId="22548" xr:uid="{DF4EE34B-6F9F-401D-8199-CD23F791F1D8}"/>
    <cellStyle name="Normal 4 6 4 8" xfId="8979" xr:uid="{358D1440-F461-4509-8416-8F78F7D13FF4}"/>
    <cellStyle name="Normal 4 6 4 8 2" xfId="36049" xr:uid="{31DA609B-4AAD-4650-8BD3-CDF5676CFA0D}"/>
    <cellStyle name="Normal 4 6 4 8 2 2" xfId="54644" xr:uid="{A0C35566-F1F6-47C9-A13F-3E6A79F76B31}"/>
    <cellStyle name="Normal 4 6 4 8 3" xfId="45347" xr:uid="{95B31201-07B9-4CF4-A276-C73A98AA04AE}"/>
    <cellStyle name="Normal 4 6 4 8 4" xfId="26750" xr:uid="{2DC3B44C-C336-4787-866D-7EF1687409B0}"/>
    <cellStyle name="Normal 4 6 4 9" xfId="9884" xr:uid="{84E7A846-13E8-490D-A0F3-526AB014B737}"/>
    <cellStyle name="Normal 4 6 4 9 2" xfId="46226" xr:uid="{C2159A46-73CB-430E-B693-82EECFBCF6DB}"/>
    <cellStyle name="Normal 4 6 4 9 3" xfId="27630" xr:uid="{6CAF588A-858C-426C-ABCE-2814A3891D6A}"/>
    <cellStyle name="Normal 4 6 5" xfId="869" xr:uid="{00000000-0005-0000-0000-00008F160000}"/>
    <cellStyle name="Normal 4 6 5 2" xfId="3104" xr:uid="{00000000-0005-0000-0000-000090160000}"/>
    <cellStyle name="Normal 4 6 5 2 2" xfId="7326" xr:uid="{00000000-0005-0000-0000-000091160000}"/>
    <cellStyle name="Normal 4 6 5 2 2 2" xfId="16652" xr:uid="{9A113B03-2F0C-4F85-BB96-7D57725863B5}"/>
    <cellStyle name="Normal 4 6 5 2 2 2 2" xfId="52994" xr:uid="{36033435-1512-4823-B56E-F11C3A2B2297}"/>
    <cellStyle name="Normal 4 6 5 2 2 2 3" xfId="34398" xr:uid="{38B5E4B8-6487-4398-8AC5-A58A4818D965}"/>
    <cellStyle name="Normal 4 6 5 2 2 3" xfId="43697" xr:uid="{758CE374-B734-432E-A0B0-C89FEE39F8C7}"/>
    <cellStyle name="Normal 4 6 5 2 2 4" xfId="25099" xr:uid="{16B3C7E6-9C44-41D2-8973-A121C7569540}"/>
    <cellStyle name="Normal 4 6 5 2 3" xfId="12435" xr:uid="{6B48D446-6F96-4D6F-9A85-2B9BE0378093}"/>
    <cellStyle name="Normal 4 6 5 2 3 2" xfId="48777" xr:uid="{3591BC52-B4C6-4E68-B549-AD86EAFADEE6}"/>
    <cellStyle name="Normal 4 6 5 2 3 3" xfId="30181" xr:uid="{C2D4292D-3ED2-414D-A6F8-94183F127630}"/>
    <cellStyle name="Normal 4 6 5 2 4" xfId="39480" xr:uid="{EDFABC5F-07C5-485F-AC24-9596970E5411}"/>
    <cellStyle name="Normal 4 6 5 2 5" xfId="20882" xr:uid="{05C76AFA-3B3A-42BB-B38D-1FBEE20128B0}"/>
    <cellStyle name="Normal 4 6 5 3" xfId="5181" xr:uid="{00000000-0005-0000-0000-000092160000}"/>
    <cellStyle name="Normal 4 6 5 3 2" xfId="14507" xr:uid="{BDC72E34-9A52-4A47-9FCB-59CC65C3C8B7}"/>
    <cellStyle name="Normal 4 6 5 3 2 2" xfId="50849" xr:uid="{858B8F70-98FC-4621-B0C2-1BA30137D214}"/>
    <cellStyle name="Normal 4 6 5 3 2 3" xfId="32253" xr:uid="{25DA0214-D2F7-48D9-9782-23C0A88A80B6}"/>
    <cellStyle name="Normal 4 6 5 3 3" xfId="41552" xr:uid="{81DED984-0FE8-4B5A-B6B0-CFFF4C9E7142}"/>
    <cellStyle name="Normal 4 6 5 3 4" xfId="22954" xr:uid="{7AE596EF-AD16-47DB-B453-20836E1045D1}"/>
    <cellStyle name="Normal 4 6 5 4" xfId="9196" xr:uid="{8DF5D81E-BEC3-4373-A99C-2D9CDEEBBA3C}"/>
    <cellStyle name="Normal 4 6 5 4 2" xfId="36258" xr:uid="{FC61A232-7976-40A3-89DA-D14EA1A66807}"/>
    <cellStyle name="Normal 4 6 5 4 2 2" xfId="54852" xr:uid="{83240271-60FA-4648-8166-B92AE31FBA48}"/>
    <cellStyle name="Normal 4 6 5 4 3" xfId="45555" xr:uid="{40C39221-76F4-4F48-AC6A-9F91D3719130}"/>
    <cellStyle name="Normal 4 6 5 4 4" xfId="26959" xr:uid="{EB895DB6-E2D8-423F-B797-B54B4B026529}"/>
    <cellStyle name="Normal 4 6 5 5" xfId="10290" xr:uid="{84591CD7-C5EB-4B03-9DAF-8E9E0CD5F696}"/>
    <cellStyle name="Normal 4 6 5 5 2" xfId="46632" xr:uid="{C7FF4EC1-8F2B-40B7-A603-500B7D8D708A}"/>
    <cellStyle name="Normal 4 6 5 5 3" xfId="28036" xr:uid="{95BE075F-2EF9-4C38-8BAA-0BF17E828BD3}"/>
    <cellStyle name="Normal 4 6 5 6" xfId="37335" xr:uid="{0FE61C2E-BFD5-4B4F-9E5A-5B52F715AC2C}"/>
    <cellStyle name="Normal 4 6 5 7" xfId="18737" xr:uid="{7D9E8932-3385-49D6-87D3-073503E62CDF}"/>
    <cellStyle name="Normal 4 6 6" xfId="1287" xr:uid="{00000000-0005-0000-0000-000093160000}"/>
    <cellStyle name="Normal 4 6 6 2" xfId="3517" xr:uid="{00000000-0005-0000-0000-000094160000}"/>
    <cellStyle name="Normal 4 6 6 2 2" xfId="7739" xr:uid="{00000000-0005-0000-0000-000095160000}"/>
    <cellStyle name="Normal 4 6 6 2 2 2" xfId="17065" xr:uid="{86A253E8-6655-44BA-9D87-6FE9BDD8723F}"/>
    <cellStyle name="Normal 4 6 6 2 2 2 2" xfId="53407" xr:uid="{63D2890B-4C60-4400-9D5C-9DA5DD968073}"/>
    <cellStyle name="Normal 4 6 6 2 2 2 3" xfId="34811" xr:uid="{B2A1BABE-953D-4FE7-885F-95B31337F4F4}"/>
    <cellStyle name="Normal 4 6 6 2 2 3" xfId="44110" xr:uid="{BA6F01BE-1B0A-4563-8A3E-52B067C00EE7}"/>
    <cellStyle name="Normal 4 6 6 2 2 4" xfId="25512" xr:uid="{C2F76F98-5304-48F0-A8C6-A8A763C0DF0F}"/>
    <cellStyle name="Normal 4 6 6 2 3" xfId="12848" xr:uid="{D5BE56C7-DB45-4792-B467-038F657CC89B}"/>
    <cellStyle name="Normal 4 6 6 2 3 2" xfId="49190" xr:uid="{43E11269-FFD0-4ACE-9FD6-28CAC3CED626}"/>
    <cellStyle name="Normal 4 6 6 2 3 3" xfId="30594" xr:uid="{C399DF52-B5B1-46B1-9CD2-924C4B700092}"/>
    <cellStyle name="Normal 4 6 6 2 4" xfId="39893" xr:uid="{AAF9211B-F0CD-45FB-A156-85EC55D60339}"/>
    <cellStyle name="Normal 4 6 6 2 5" xfId="21295" xr:uid="{48A934AD-3C0F-4AEB-9004-E7DAE5A22875}"/>
    <cellStyle name="Normal 4 6 6 3" xfId="5594" xr:uid="{00000000-0005-0000-0000-000096160000}"/>
    <cellStyle name="Normal 4 6 6 3 2" xfId="14920" xr:uid="{5BC2AC2E-71E0-4A84-BD34-45670CC94D1F}"/>
    <cellStyle name="Normal 4 6 6 3 2 2" xfId="51262" xr:uid="{C2CD8B2D-9B5F-4127-944A-7B79752747CA}"/>
    <cellStyle name="Normal 4 6 6 3 2 3" xfId="32666" xr:uid="{8F30ADA6-3995-40FA-B93A-246FF83F679A}"/>
    <cellStyle name="Normal 4 6 6 3 3" xfId="41965" xr:uid="{8ACE5DE7-6483-48D5-8C8F-DE69E4F13D2C}"/>
    <cellStyle name="Normal 4 6 6 3 4" xfId="23367" xr:uid="{C5AC7965-6744-4CBC-A922-C7849E31FE1A}"/>
    <cellStyle name="Normal 4 6 6 4" xfId="10703" xr:uid="{34E10B25-BFB1-40E3-A28A-76E4A9A33B7F}"/>
    <cellStyle name="Normal 4 6 6 4 2" xfId="47045" xr:uid="{ED37D229-4835-4A60-864B-B1855E7139D5}"/>
    <cellStyle name="Normal 4 6 6 4 3" xfId="28449" xr:uid="{8156FCB9-2A56-49E5-A99F-DE087A67485A}"/>
    <cellStyle name="Normal 4 6 6 5" xfId="37748" xr:uid="{392EDED0-CBB5-4066-806F-6A40C590B40B}"/>
    <cellStyle name="Normal 4 6 6 6" xfId="19150" xr:uid="{4B13F45B-623D-4280-A218-DF5F6D5A8F62}"/>
    <cellStyle name="Normal 4 6 7" xfId="1700" xr:uid="{00000000-0005-0000-0000-000097160000}"/>
    <cellStyle name="Normal 4 6 7 2" xfId="3930" xr:uid="{00000000-0005-0000-0000-000098160000}"/>
    <cellStyle name="Normal 4 6 7 2 2" xfId="8152" xr:uid="{00000000-0005-0000-0000-000099160000}"/>
    <cellStyle name="Normal 4 6 7 2 2 2" xfId="17478" xr:uid="{544B4BA2-A354-4314-B1C8-6452471470D3}"/>
    <cellStyle name="Normal 4 6 7 2 2 2 2" xfId="53820" xr:uid="{CCA171BD-93F4-4DD7-B5CD-B18595A6C29C}"/>
    <cellStyle name="Normal 4 6 7 2 2 2 3" xfId="35224" xr:uid="{1DFCFE97-B0E5-44C4-97A2-0BD1BF85B1A0}"/>
    <cellStyle name="Normal 4 6 7 2 2 3" xfId="44523" xr:uid="{CAF44232-379D-46B2-A381-D9908F0C50EA}"/>
    <cellStyle name="Normal 4 6 7 2 2 4" xfId="25925" xr:uid="{7678390E-2543-4784-97CC-5A5EAD8EB910}"/>
    <cellStyle name="Normal 4 6 7 2 3" xfId="13261" xr:uid="{44B3C14A-6751-4F7C-9236-0F5166E7485B}"/>
    <cellStyle name="Normal 4 6 7 2 3 2" xfId="49603" xr:uid="{99D84E8C-2FF7-4313-BDF8-0FA71373A625}"/>
    <cellStyle name="Normal 4 6 7 2 3 3" xfId="31007" xr:uid="{43C2FBEB-0CCF-4028-BCCD-541AB53F611E}"/>
    <cellStyle name="Normal 4 6 7 2 4" xfId="40306" xr:uid="{ADCE19EB-2D7A-4D09-B638-40F0A28857E3}"/>
    <cellStyle name="Normal 4 6 7 2 5" xfId="21708" xr:uid="{C56D38FD-BE3E-45AE-8916-A46348DD1AFF}"/>
    <cellStyle name="Normal 4 6 7 3" xfId="6007" xr:uid="{00000000-0005-0000-0000-00009A160000}"/>
    <cellStyle name="Normal 4 6 7 3 2" xfId="15333" xr:uid="{A26EEFE0-DBD2-4E81-9135-5E65F66A793B}"/>
    <cellStyle name="Normal 4 6 7 3 2 2" xfId="51675" xr:uid="{CFE3F580-6DCF-4911-BA11-13056B792290}"/>
    <cellStyle name="Normal 4 6 7 3 2 3" xfId="33079" xr:uid="{05E13797-2A33-4F6E-A26E-854AB8530A84}"/>
    <cellStyle name="Normal 4 6 7 3 3" xfId="42378" xr:uid="{46191ECA-2D64-4EEB-BE26-4D885DFA9803}"/>
    <cellStyle name="Normal 4 6 7 3 4" xfId="23780" xr:uid="{3CD4F04E-F199-46EC-9E76-E8C690762F91}"/>
    <cellStyle name="Normal 4 6 7 4" xfId="11116" xr:uid="{E02C29DA-0A05-490D-800E-9CEF12E27E26}"/>
    <cellStyle name="Normal 4 6 7 4 2" xfId="47458" xr:uid="{1761B621-4E0B-4061-9610-14853D6E414C}"/>
    <cellStyle name="Normal 4 6 7 4 3" xfId="28862" xr:uid="{4CD1E9CD-AC30-4257-BC66-1D29219027F9}"/>
    <cellStyle name="Normal 4 6 7 5" xfId="38161" xr:uid="{058631FB-84E3-4E37-A9AD-7B925F78DE43}"/>
    <cellStyle name="Normal 4 6 7 6" xfId="19563" xr:uid="{47264D61-FA71-4CF3-9E50-AA386CC5C353}"/>
    <cellStyle name="Normal 4 6 8" xfId="2114" xr:uid="{00000000-0005-0000-0000-00009B160000}"/>
    <cellStyle name="Normal 4 6 8 2" xfId="4343" xr:uid="{00000000-0005-0000-0000-00009C160000}"/>
    <cellStyle name="Normal 4 6 8 2 2" xfId="8565" xr:uid="{00000000-0005-0000-0000-00009D160000}"/>
    <cellStyle name="Normal 4 6 8 2 2 2" xfId="17891" xr:uid="{F4FE32FD-D693-44D1-8605-675C7BC86876}"/>
    <cellStyle name="Normal 4 6 8 2 2 2 2" xfId="54233" xr:uid="{5AD3F119-EB19-4B59-8D4F-F6A62518CB4A}"/>
    <cellStyle name="Normal 4 6 8 2 2 2 3" xfId="35637" xr:uid="{CBD56741-1F64-4B66-93B2-8FBC84668BDB}"/>
    <cellStyle name="Normal 4 6 8 2 2 3" xfId="44936" xr:uid="{2E9FE7AA-3F93-4AA2-AAA1-B44F82754FA3}"/>
    <cellStyle name="Normal 4 6 8 2 2 4" xfId="26338" xr:uid="{46424919-19ED-48BA-8EBA-EAF3697343FD}"/>
    <cellStyle name="Normal 4 6 8 2 3" xfId="13674" xr:uid="{CC7A2B30-7F39-49F1-8832-213683E4B250}"/>
    <cellStyle name="Normal 4 6 8 2 3 2" xfId="50016" xr:uid="{489D6522-3BE2-4C22-B9BA-52DB511A91D9}"/>
    <cellStyle name="Normal 4 6 8 2 3 3" xfId="31420" xr:uid="{C9D38F44-36BC-46AF-BCBA-BF902F1FA95B}"/>
    <cellStyle name="Normal 4 6 8 2 4" xfId="40719" xr:uid="{81C39AD4-6734-4639-97C6-C8C2918D0BDA}"/>
    <cellStyle name="Normal 4 6 8 2 5" xfId="22121" xr:uid="{2D8F07B2-7289-433E-81B7-2B14538172CA}"/>
    <cellStyle name="Normal 4 6 8 3" xfId="6420" xr:uid="{00000000-0005-0000-0000-00009E160000}"/>
    <cellStyle name="Normal 4 6 8 3 2" xfId="15746" xr:uid="{8CE33B1A-1933-4E81-A227-587D79361632}"/>
    <cellStyle name="Normal 4 6 8 3 2 2" xfId="52088" xr:uid="{1E21282A-AFAC-40E1-B6E0-F9CE53E02BA2}"/>
    <cellStyle name="Normal 4 6 8 3 2 3" xfId="33492" xr:uid="{3174232A-8C0D-4FAC-8B1C-96AC7C992AD9}"/>
    <cellStyle name="Normal 4 6 8 3 3" xfId="42791" xr:uid="{2A4458C2-C457-4E04-A5CD-0BA11D9C659E}"/>
    <cellStyle name="Normal 4 6 8 3 4" xfId="24193" xr:uid="{826CF0A4-6932-4936-B113-7C99CB2B4F45}"/>
    <cellStyle name="Normal 4 6 8 4" xfId="11529" xr:uid="{E40048FF-728D-42B1-ACEC-61E4D5D29AAC}"/>
    <cellStyle name="Normal 4 6 8 4 2" xfId="47871" xr:uid="{36A993FF-1AFE-489A-8B8A-5A939E227B4B}"/>
    <cellStyle name="Normal 4 6 8 4 3" xfId="29275" xr:uid="{AC66CE8A-14BB-4259-98CD-9D4A3CD5CA58}"/>
    <cellStyle name="Normal 4 6 8 5" xfId="38574" xr:uid="{434D48C2-2C96-421F-9877-B9AE058B8CB7}"/>
    <cellStyle name="Normal 4 6 8 6" xfId="19976" xr:uid="{910234E6-4390-4CF7-B017-DB64C54C2C21}"/>
    <cellStyle name="Normal 4 6 9" xfId="2550" xr:uid="{00000000-0005-0000-0000-00009F160000}"/>
    <cellStyle name="Normal 4 6 9 2" xfId="6833" xr:uid="{00000000-0005-0000-0000-0000A0160000}"/>
    <cellStyle name="Normal 4 6 9 2 2" xfId="16159" xr:uid="{D7FF7D70-7513-42AD-9B35-5789B681451E}"/>
    <cellStyle name="Normal 4 6 9 2 2 2" xfId="52501" xr:uid="{0C9AB4D1-605A-4E4E-BDE6-D849E386ADE2}"/>
    <cellStyle name="Normal 4 6 9 2 2 3" xfId="33905" xr:uid="{A4CA736F-9690-4993-8E5A-52E4D5CA1563}"/>
    <cellStyle name="Normal 4 6 9 2 3" xfId="43204" xr:uid="{BD44E411-AC40-48A7-969B-90902D7524F8}"/>
    <cellStyle name="Normal 4 6 9 2 4" xfId="24606" xr:uid="{A2A336C1-140B-46D4-BBB1-51043F826503}"/>
    <cellStyle name="Normal 4 6 9 3" xfId="11942" xr:uid="{0D8E7A50-A82C-4E97-BC55-72DFC63AB880}"/>
    <cellStyle name="Normal 4 6 9 3 2" xfId="48284" xr:uid="{7454AC34-0A46-4226-86C2-8CD6F2495509}"/>
    <cellStyle name="Normal 4 6 9 3 3" xfId="29688" xr:uid="{908518A5-949D-4DF1-BD85-2401B72A2A2E}"/>
    <cellStyle name="Normal 4 6 9 4" xfId="38987" xr:uid="{D547FFB6-92CA-4020-89BC-755D92890BFE}"/>
    <cellStyle name="Normal 4 6 9 5" xfId="20389" xr:uid="{A3FA4C0C-AEBF-4C78-998E-47E8A973923B}"/>
    <cellStyle name="Normal 4 7" xfId="403" xr:uid="{00000000-0005-0000-0000-0000A1160000}"/>
    <cellStyle name="Normal 4 7 10" xfId="9885" xr:uid="{A149B0CD-382E-427B-BBF3-82FC296CC3CE}"/>
    <cellStyle name="Normal 4 7 10 2" xfId="46227" xr:uid="{AD1EE6C5-8E99-4DF6-A4DE-38B54C69D70A}"/>
    <cellStyle name="Normal 4 7 10 3" xfId="27631" xr:uid="{4D6D277B-A687-4C48-9625-F054A21D5D01}"/>
    <cellStyle name="Normal 4 7 11" xfId="36930" xr:uid="{BB6D2C8C-699A-4694-845B-AB2F9A20A726}"/>
    <cellStyle name="Normal 4 7 12" xfId="18332" xr:uid="{9C06D841-1650-400F-B7A6-CB1CB16C130C}"/>
    <cellStyle name="Normal 4 7 2" xfId="404" xr:uid="{00000000-0005-0000-0000-0000A2160000}"/>
    <cellStyle name="Normal 4 7 2 10" xfId="36931" xr:uid="{9E65C672-FDD3-44C4-B1DF-77E48A0BAC86}"/>
    <cellStyle name="Normal 4 7 2 11" xfId="18333" xr:uid="{013FE810-EEE4-4DE2-A2B6-58B61F8E6494}"/>
    <cellStyle name="Normal 4 7 2 2" xfId="878" xr:uid="{00000000-0005-0000-0000-0000A3160000}"/>
    <cellStyle name="Normal 4 7 2 2 2" xfId="3113" xr:uid="{00000000-0005-0000-0000-0000A4160000}"/>
    <cellStyle name="Normal 4 7 2 2 2 2" xfId="7335" xr:uid="{00000000-0005-0000-0000-0000A5160000}"/>
    <cellStyle name="Normal 4 7 2 2 2 2 2" xfId="16661" xr:uid="{C584E9A4-CF5A-4EDA-A8BD-E84D7A685BC8}"/>
    <cellStyle name="Normal 4 7 2 2 2 2 2 2" xfId="53003" xr:uid="{04226C20-9FFA-4D4C-B103-E924E770F420}"/>
    <cellStyle name="Normal 4 7 2 2 2 2 2 3" xfId="34407" xr:uid="{B7BDAA56-612B-4F74-893F-F1E2C925C850}"/>
    <cellStyle name="Normal 4 7 2 2 2 2 3" xfId="43706" xr:uid="{1988C0CF-482E-44EF-BB80-F9DD46AAF5C7}"/>
    <cellStyle name="Normal 4 7 2 2 2 2 4" xfId="25108" xr:uid="{37C230E8-2CF1-4135-BA5C-74D53F12A9EF}"/>
    <cellStyle name="Normal 4 7 2 2 2 3" xfId="12444" xr:uid="{A658189A-9792-47B1-8ED8-7A25EF262ECF}"/>
    <cellStyle name="Normal 4 7 2 2 2 3 2" xfId="48786" xr:uid="{750358E2-D273-4B56-845C-BF6D82652621}"/>
    <cellStyle name="Normal 4 7 2 2 2 3 3" xfId="30190" xr:uid="{A86984FD-4ED3-4A44-9569-97A69BC541D1}"/>
    <cellStyle name="Normal 4 7 2 2 2 4" xfId="39489" xr:uid="{2D687837-0F93-4162-AB8C-7860C18721CE}"/>
    <cellStyle name="Normal 4 7 2 2 2 5" xfId="20891" xr:uid="{1382D61A-A926-421F-A2FC-2C4E74ABBB51}"/>
    <cellStyle name="Normal 4 7 2 2 3" xfId="5190" xr:uid="{00000000-0005-0000-0000-0000A6160000}"/>
    <cellStyle name="Normal 4 7 2 2 3 2" xfId="14516" xr:uid="{C0F6A9F5-67DC-438E-BD06-C617ECC3A898}"/>
    <cellStyle name="Normal 4 7 2 2 3 2 2" xfId="50858" xr:uid="{46DD6DD9-BBAE-488B-BD41-3C33FFF3BDD4}"/>
    <cellStyle name="Normal 4 7 2 2 3 2 3" xfId="32262" xr:uid="{DC13F9DD-A063-4781-9A5F-60F81A24380D}"/>
    <cellStyle name="Normal 4 7 2 2 3 3" xfId="41561" xr:uid="{1D2E6A60-6796-4FBC-A2A1-0C7F2A84A5B5}"/>
    <cellStyle name="Normal 4 7 2 2 3 4" xfId="22963" xr:uid="{53CAF887-7924-44DD-B7B2-6BFAB8080639}"/>
    <cellStyle name="Normal 4 7 2 2 4" xfId="9475" xr:uid="{1E309EF6-7D7C-4A4D-B2F1-E00D0CF6E167}"/>
    <cellStyle name="Normal 4 7 2 2 4 2" xfId="36536" xr:uid="{B0C9B0BC-0BAE-4481-91BC-4D54DD409854}"/>
    <cellStyle name="Normal 4 7 2 2 4 2 2" xfId="55130" xr:uid="{71A68A75-5F3F-4D0B-BB56-96EC2FF98117}"/>
    <cellStyle name="Normal 4 7 2 2 4 3" xfId="45833" xr:uid="{B9B81AC0-BCC6-4C0E-A17F-7DDB1000875D}"/>
    <cellStyle name="Normal 4 7 2 2 4 4" xfId="27237" xr:uid="{75B74E07-7692-4277-8D6A-AC3E745EB05A}"/>
    <cellStyle name="Normal 4 7 2 2 5" xfId="10299" xr:uid="{487FC5E3-B35C-4F3A-9297-3431A1B51210}"/>
    <cellStyle name="Normal 4 7 2 2 5 2" xfId="46641" xr:uid="{82EFCDBE-CDA4-4FD0-92B2-7C8E3F20A70D}"/>
    <cellStyle name="Normal 4 7 2 2 5 3" xfId="28045" xr:uid="{08AC14D6-8C01-4301-9446-DD3942A97095}"/>
    <cellStyle name="Normal 4 7 2 2 6" xfId="37344" xr:uid="{46CF3C13-9333-442F-AD8E-A6B24DA5463D}"/>
    <cellStyle name="Normal 4 7 2 2 7" xfId="18746" xr:uid="{1A38AD44-4B06-4346-98E4-43275C156846}"/>
    <cellStyle name="Normal 4 7 2 3" xfId="1296" xr:uid="{00000000-0005-0000-0000-0000A7160000}"/>
    <cellStyle name="Normal 4 7 2 3 2" xfId="3526" xr:uid="{00000000-0005-0000-0000-0000A8160000}"/>
    <cellStyle name="Normal 4 7 2 3 2 2" xfId="7748" xr:uid="{00000000-0005-0000-0000-0000A9160000}"/>
    <cellStyle name="Normal 4 7 2 3 2 2 2" xfId="17074" xr:uid="{D8CC4BA5-F820-4093-92D9-DFA3A16DBA38}"/>
    <cellStyle name="Normal 4 7 2 3 2 2 2 2" xfId="53416" xr:uid="{9B3CF620-403E-4A8F-98C3-14AA18B7338F}"/>
    <cellStyle name="Normal 4 7 2 3 2 2 2 3" xfId="34820" xr:uid="{A9797C4D-DE03-4829-BDCF-B81912A95EA2}"/>
    <cellStyle name="Normal 4 7 2 3 2 2 3" xfId="44119" xr:uid="{BBF4EAC8-6DBA-4C9E-B7FA-7A2D6C3B548B}"/>
    <cellStyle name="Normal 4 7 2 3 2 2 4" xfId="25521" xr:uid="{F4677351-8245-42F6-B92F-E5569B554BF0}"/>
    <cellStyle name="Normal 4 7 2 3 2 3" xfId="12857" xr:uid="{F8B01FAC-0FF4-473C-BC22-FDC0255EF17F}"/>
    <cellStyle name="Normal 4 7 2 3 2 3 2" xfId="49199" xr:uid="{082DCE51-8428-4817-BEC5-5CB6C570F3EA}"/>
    <cellStyle name="Normal 4 7 2 3 2 3 3" xfId="30603" xr:uid="{65178CF2-FBCB-4063-A639-7C5DA26E7C4A}"/>
    <cellStyle name="Normal 4 7 2 3 2 4" xfId="39902" xr:uid="{3723130E-8250-40D6-877A-A42271E76718}"/>
    <cellStyle name="Normal 4 7 2 3 2 5" xfId="21304" xr:uid="{4486DF97-887D-4DE2-BEA2-4141F7091A5A}"/>
    <cellStyle name="Normal 4 7 2 3 3" xfId="5603" xr:uid="{00000000-0005-0000-0000-0000AA160000}"/>
    <cellStyle name="Normal 4 7 2 3 3 2" xfId="14929" xr:uid="{1F9061D7-62C0-4246-8FA8-121A2402DF85}"/>
    <cellStyle name="Normal 4 7 2 3 3 2 2" xfId="51271" xr:uid="{D5AB0A56-50C2-4CC9-8367-726B39238906}"/>
    <cellStyle name="Normal 4 7 2 3 3 2 3" xfId="32675" xr:uid="{1D7124A7-F8D0-45B8-8F5B-2779E3A8810A}"/>
    <cellStyle name="Normal 4 7 2 3 3 3" xfId="41974" xr:uid="{BF11CA2D-489F-4505-80C9-5752B089FFEC}"/>
    <cellStyle name="Normal 4 7 2 3 3 4" xfId="23376" xr:uid="{DFCF2333-8B15-4C4E-9DFE-1CF1D70EA7F7}"/>
    <cellStyle name="Normal 4 7 2 3 4" xfId="10712" xr:uid="{C2DA1F8C-8ED1-41D8-8796-BEB5622A6EFD}"/>
    <cellStyle name="Normal 4 7 2 3 4 2" xfId="47054" xr:uid="{25DB4C7A-3F68-4747-982A-2A1FD6A16747}"/>
    <cellStyle name="Normal 4 7 2 3 4 3" xfId="28458" xr:uid="{8C56C0FC-16FB-45E8-A6AA-1025229EBE0E}"/>
    <cellStyle name="Normal 4 7 2 3 5" xfId="37757" xr:uid="{81AFE3E0-FC46-4216-B19B-5CD807A95AE1}"/>
    <cellStyle name="Normal 4 7 2 3 6" xfId="19159" xr:uid="{5E933582-1B47-40E0-98D4-AF654408BAC4}"/>
    <cellStyle name="Normal 4 7 2 4" xfId="1709" xr:uid="{00000000-0005-0000-0000-0000AB160000}"/>
    <cellStyle name="Normal 4 7 2 4 2" xfId="3939" xr:uid="{00000000-0005-0000-0000-0000AC160000}"/>
    <cellStyle name="Normal 4 7 2 4 2 2" xfId="8161" xr:uid="{00000000-0005-0000-0000-0000AD160000}"/>
    <cellStyle name="Normal 4 7 2 4 2 2 2" xfId="17487" xr:uid="{74441381-5FEC-4CD9-B030-AA4CD3C7A1C9}"/>
    <cellStyle name="Normal 4 7 2 4 2 2 2 2" xfId="53829" xr:uid="{B5E1065A-CFB1-4A07-94F3-B620F7BF067C}"/>
    <cellStyle name="Normal 4 7 2 4 2 2 2 3" xfId="35233" xr:uid="{7E2D70E4-915E-4461-9D85-85BFFC8400E5}"/>
    <cellStyle name="Normal 4 7 2 4 2 2 3" xfId="44532" xr:uid="{145D836A-12E9-42D2-8E37-27EAC435DF83}"/>
    <cellStyle name="Normal 4 7 2 4 2 2 4" xfId="25934" xr:uid="{0117E732-6344-47F5-856E-C4A0D8FE444D}"/>
    <cellStyle name="Normal 4 7 2 4 2 3" xfId="13270" xr:uid="{B3C88916-6B18-4B98-AAB6-5E37EBD38B4F}"/>
    <cellStyle name="Normal 4 7 2 4 2 3 2" xfId="49612" xr:uid="{5AD83A0D-2320-4417-A55E-F6E97C047F76}"/>
    <cellStyle name="Normal 4 7 2 4 2 3 3" xfId="31016" xr:uid="{67AF56A2-A2F7-4B28-A5DB-5EE2CC23D779}"/>
    <cellStyle name="Normal 4 7 2 4 2 4" xfId="40315" xr:uid="{846761C9-E243-419D-9B5C-8FB56F5450EC}"/>
    <cellStyle name="Normal 4 7 2 4 2 5" xfId="21717" xr:uid="{99848751-244F-4E61-82D0-5F6CDBEC6808}"/>
    <cellStyle name="Normal 4 7 2 4 3" xfId="6016" xr:uid="{00000000-0005-0000-0000-0000AE160000}"/>
    <cellStyle name="Normal 4 7 2 4 3 2" xfId="15342" xr:uid="{AD6DEF7E-E666-4B38-9A4B-C1ECC10B5587}"/>
    <cellStyle name="Normal 4 7 2 4 3 2 2" xfId="51684" xr:uid="{90322A65-7DA7-4570-A7A4-F864E0F48C59}"/>
    <cellStyle name="Normal 4 7 2 4 3 2 3" xfId="33088" xr:uid="{009A2C2A-3700-4F39-ACE4-5F22B116745E}"/>
    <cellStyle name="Normal 4 7 2 4 3 3" xfId="42387" xr:uid="{C3553F71-D0CF-4214-BD6E-D6AFF40247C0}"/>
    <cellStyle name="Normal 4 7 2 4 3 4" xfId="23789" xr:uid="{5D15E09C-2CF2-4423-95A7-06A933D63486}"/>
    <cellStyle name="Normal 4 7 2 4 4" xfId="11125" xr:uid="{7806F227-102E-4A0F-ACD7-BF6986F1E138}"/>
    <cellStyle name="Normal 4 7 2 4 4 2" xfId="47467" xr:uid="{3C3FB892-17C8-46A2-903E-788BA7D48C52}"/>
    <cellStyle name="Normal 4 7 2 4 4 3" xfId="28871" xr:uid="{B8CA84E6-692A-4504-BFC3-1F94593DF7CF}"/>
    <cellStyle name="Normal 4 7 2 4 5" xfId="38170" xr:uid="{037797D6-06E9-4613-A58B-E54320A6FEC4}"/>
    <cellStyle name="Normal 4 7 2 4 6" xfId="19572" xr:uid="{847F4F5D-0845-4944-B06E-E0CD58508D7E}"/>
    <cellStyle name="Normal 4 7 2 5" xfId="2123" xr:uid="{00000000-0005-0000-0000-0000AF160000}"/>
    <cellStyle name="Normal 4 7 2 5 2" xfId="4352" xr:uid="{00000000-0005-0000-0000-0000B0160000}"/>
    <cellStyle name="Normal 4 7 2 5 2 2" xfId="8574" xr:uid="{00000000-0005-0000-0000-0000B1160000}"/>
    <cellStyle name="Normal 4 7 2 5 2 2 2" xfId="17900" xr:uid="{2B4CE213-BD19-4329-9C0C-5375E27AE9FB}"/>
    <cellStyle name="Normal 4 7 2 5 2 2 2 2" xfId="54242" xr:uid="{428F1D2B-A486-4984-A413-DBAEFA6EE4EB}"/>
    <cellStyle name="Normal 4 7 2 5 2 2 2 3" xfId="35646" xr:uid="{14D83961-38E9-4D2F-9CD0-B3BE8ACCCE22}"/>
    <cellStyle name="Normal 4 7 2 5 2 2 3" xfId="44945" xr:uid="{C6BEC916-B1AF-41EF-8E6F-36AC2923FCDC}"/>
    <cellStyle name="Normal 4 7 2 5 2 2 4" xfId="26347" xr:uid="{8B8502D4-DD4D-402C-980A-D7822312ECFF}"/>
    <cellStyle name="Normal 4 7 2 5 2 3" xfId="13683" xr:uid="{2D4FCA00-95DB-49E0-8783-7BE485A2F40D}"/>
    <cellStyle name="Normal 4 7 2 5 2 3 2" xfId="50025" xr:uid="{4CD833E5-84DB-4D9A-86DA-8125D20D87E2}"/>
    <cellStyle name="Normal 4 7 2 5 2 3 3" xfId="31429" xr:uid="{53F96063-9523-48DE-BD24-3E8DF3DEB8EF}"/>
    <cellStyle name="Normal 4 7 2 5 2 4" xfId="40728" xr:uid="{7B5B5C96-4286-45E2-B2BC-1881E528DB02}"/>
    <cellStyle name="Normal 4 7 2 5 2 5" xfId="22130" xr:uid="{C7E9D71C-6229-447D-8A0C-930E754E8821}"/>
    <cellStyle name="Normal 4 7 2 5 3" xfId="6429" xr:uid="{00000000-0005-0000-0000-0000B2160000}"/>
    <cellStyle name="Normal 4 7 2 5 3 2" xfId="15755" xr:uid="{D38BD753-F209-4F27-B311-307105FCD8FF}"/>
    <cellStyle name="Normal 4 7 2 5 3 2 2" xfId="52097" xr:uid="{905D069A-85BC-414E-864C-BFCDC0356BDF}"/>
    <cellStyle name="Normal 4 7 2 5 3 2 3" xfId="33501" xr:uid="{C0E6F7A4-FE03-4C21-A060-1FF7A23410AE}"/>
    <cellStyle name="Normal 4 7 2 5 3 3" xfId="42800" xr:uid="{F261BBC4-A8A6-4BB7-9A50-B9D6B561C531}"/>
    <cellStyle name="Normal 4 7 2 5 3 4" xfId="24202" xr:uid="{D19AE600-C08A-446F-8CAC-EFEEAFCE0936}"/>
    <cellStyle name="Normal 4 7 2 5 4" xfId="11538" xr:uid="{0A0FF8AB-D190-4644-8346-A06D1DE6FAF8}"/>
    <cellStyle name="Normal 4 7 2 5 4 2" xfId="47880" xr:uid="{55C120C3-1D94-49BF-88DF-7CA6F1445023}"/>
    <cellStyle name="Normal 4 7 2 5 4 3" xfId="29284" xr:uid="{7B84AB4C-872F-4D12-A6E9-45BF4D81320F}"/>
    <cellStyle name="Normal 4 7 2 5 5" xfId="38583" xr:uid="{88FF88B8-4099-4A2D-AB61-5F43D24D1560}"/>
    <cellStyle name="Normal 4 7 2 5 6" xfId="19985" xr:uid="{3FBBAF7B-335F-4068-B708-BDA6F3F74075}"/>
    <cellStyle name="Normal 4 7 2 6" xfId="2559" xr:uid="{00000000-0005-0000-0000-0000B3160000}"/>
    <cellStyle name="Normal 4 7 2 6 2" xfId="6842" xr:uid="{00000000-0005-0000-0000-0000B4160000}"/>
    <cellStyle name="Normal 4 7 2 6 2 2" xfId="16168" xr:uid="{4539E293-814D-4EDB-A29F-16B2268F0DC9}"/>
    <cellStyle name="Normal 4 7 2 6 2 2 2" xfId="52510" xr:uid="{7B54EF84-8246-4D67-8C29-340AFBC93AA0}"/>
    <cellStyle name="Normal 4 7 2 6 2 2 3" xfId="33914" xr:uid="{A038CD47-52B2-41C5-B4D4-2D5B2A43B4BC}"/>
    <cellStyle name="Normal 4 7 2 6 2 3" xfId="43213" xr:uid="{BD65C7D5-2E9B-4B6D-9894-EFC488405D6C}"/>
    <cellStyle name="Normal 4 7 2 6 2 4" xfId="24615" xr:uid="{D530B84D-D906-4DF4-A89F-17766A0ED1DE}"/>
    <cellStyle name="Normal 4 7 2 6 3" xfId="11951" xr:uid="{F8A8FDCE-D09F-4C15-8C25-2CABF9932B9E}"/>
    <cellStyle name="Normal 4 7 2 6 3 2" xfId="48293" xr:uid="{EC3D20BF-1887-406C-9187-F056F92FB123}"/>
    <cellStyle name="Normal 4 7 2 6 3 3" xfId="29697" xr:uid="{3974D69A-A094-4E08-9072-C7B5814A292F}"/>
    <cellStyle name="Normal 4 7 2 6 4" xfId="38996" xr:uid="{2D094C29-489C-49D5-876F-769A32AD4E6C}"/>
    <cellStyle name="Normal 4 7 2 6 5" xfId="20398" xr:uid="{4359A841-2764-4C0C-8FC7-68D68BFBF604}"/>
    <cellStyle name="Normal 4 7 2 7" xfId="4777" xr:uid="{00000000-0005-0000-0000-0000B5160000}"/>
    <cellStyle name="Normal 4 7 2 7 2" xfId="14103" xr:uid="{6275AD91-0855-47C3-B87C-341FFAA5C742}"/>
    <cellStyle name="Normal 4 7 2 7 2 2" xfId="50445" xr:uid="{42A7810E-526D-4794-AA7F-28C2FD6DC8D7}"/>
    <cellStyle name="Normal 4 7 2 7 2 3" xfId="31849" xr:uid="{82874DFC-EC8F-41E0-8C2A-6F135F8AEA4E}"/>
    <cellStyle name="Normal 4 7 2 7 3" xfId="41148" xr:uid="{78FA01D1-EF94-414D-A6B6-F0E4A28E5261}"/>
    <cellStyle name="Normal 4 7 2 7 4" xfId="22550" xr:uid="{909FF2CC-8C5D-44CE-8C8F-8B85FDAD3F41}"/>
    <cellStyle name="Normal 4 7 2 8" xfId="9050" xr:uid="{C18A0BCD-6C40-47C4-AC72-E06914F008F6}"/>
    <cellStyle name="Normal 4 7 2 8 2" xfId="36120" xr:uid="{C028861E-D0F0-4BF1-92C5-629F2B02E401}"/>
    <cellStyle name="Normal 4 7 2 8 2 2" xfId="54715" xr:uid="{51CFCB6D-57DB-447E-88DF-543F4E41D064}"/>
    <cellStyle name="Normal 4 7 2 8 3" xfId="45418" xr:uid="{33E3D1C7-1A13-4405-99DE-E0063A6DE3FC}"/>
    <cellStyle name="Normal 4 7 2 8 4" xfId="26821" xr:uid="{3AC76629-8664-4985-8CC4-4C21CBFDFA1A}"/>
    <cellStyle name="Normal 4 7 2 9" xfId="9886" xr:uid="{D73E5999-D48A-46D9-8734-E7B4BFF2FE6A}"/>
    <cellStyle name="Normal 4 7 2 9 2" xfId="46228" xr:uid="{B97A7164-C513-4951-AE0F-4B78428923B3}"/>
    <cellStyle name="Normal 4 7 2 9 3" xfId="27632" xr:uid="{8EE8CEB0-BF12-408B-8BD6-F3A8D3847F30}"/>
    <cellStyle name="Normal 4 7 3" xfId="877" xr:uid="{00000000-0005-0000-0000-0000B6160000}"/>
    <cellStyle name="Normal 4 7 3 2" xfId="3112" xr:uid="{00000000-0005-0000-0000-0000B7160000}"/>
    <cellStyle name="Normal 4 7 3 2 2" xfId="7334" xr:uid="{00000000-0005-0000-0000-0000B8160000}"/>
    <cellStyle name="Normal 4 7 3 2 2 2" xfId="16660" xr:uid="{DB888F98-307F-4755-BE91-C8A115729B36}"/>
    <cellStyle name="Normal 4 7 3 2 2 2 2" xfId="53002" xr:uid="{0B84DEA4-D68A-4E18-BCFA-1D8358C3A147}"/>
    <cellStyle name="Normal 4 7 3 2 2 2 3" xfId="34406" xr:uid="{D1A2093B-EE41-4E50-A970-7416B5890E7B}"/>
    <cellStyle name="Normal 4 7 3 2 2 3" xfId="43705" xr:uid="{124230E4-5C79-4513-A693-E19DAD5DF8E9}"/>
    <cellStyle name="Normal 4 7 3 2 2 4" xfId="25107" xr:uid="{5A1761D7-ECA5-42A8-AFB5-8FC9455B7411}"/>
    <cellStyle name="Normal 4 7 3 2 3" xfId="12443" xr:uid="{DBA0F420-C36D-492B-B281-792916C2BD2B}"/>
    <cellStyle name="Normal 4 7 3 2 3 2" xfId="48785" xr:uid="{C55C51B3-527E-4DA5-A85F-848EDC1DE862}"/>
    <cellStyle name="Normal 4 7 3 2 3 3" xfId="30189" xr:uid="{E04D283C-94D1-42FF-883F-737E43EEB961}"/>
    <cellStyle name="Normal 4 7 3 2 4" xfId="39488" xr:uid="{53FF6EA2-5E53-484D-A6D4-CDEBA62CD51F}"/>
    <cellStyle name="Normal 4 7 3 2 5" xfId="20890" xr:uid="{81BFD9A7-FBF2-4BF1-BBCA-7733EE9250C7}"/>
    <cellStyle name="Normal 4 7 3 3" xfId="5189" xr:uid="{00000000-0005-0000-0000-0000B9160000}"/>
    <cellStyle name="Normal 4 7 3 3 2" xfId="14515" xr:uid="{F5AE756B-5988-45FE-95FC-2A8732AF52C2}"/>
    <cellStyle name="Normal 4 7 3 3 2 2" xfId="50857" xr:uid="{92E615B1-8E38-4AE9-92AC-68802DCE0541}"/>
    <cellStyle name="Normal 4 7 3 3 2 3" xfId="32261" xr:uid="{AF522652-EC4C-464F-B277-50223AC65D70}"/>
    <cellStyle name="Normal 4 7 3 3 3" xfId="41560" xr:uid="{B2980EEA-B79F-46FE-BB13-1DE8AC8B2A54}"/>
    <cellStyle name="Normal 4 7 3 3 4" xfId="22962" xr:uid="{165A9AF3-FEFA-4014-B882-49C582AC0B09}"/>
    <cellStyle name="Normal 4 7 3 4" xfId="9268" xr:uid="{83DA99B2-5D77-4110-AEB9-304D3ECEF3EB}"/>
    <cellStyle name="Normal 4 7 3 4 2" xfId="36329" xr:uid="{6E5C0508-DDDA-43A6-8E55-FDBFA18256D2}"/>
    <cellStyle name="Normal 4 7 3 4 2 2" xfId="54923" xr:uid="{07E0C04E-4E66-422E-9C18-6017E8D1901D}"/>
    <cellStyle name="Normal 4 7 3 4 3" xfId="45626" xr:uid="{866CFA77-1D79-4A54-9ABA-27A3CCA8948A}"/>
    <cellStyle name="Normal 4 7 3 4 4" xfId="27030" xr:uid="{085EF335-0588-4AF2-B068-0D166FD7D8AB}"/>
    <cellStyle name="Normal 4 7 3 5" xfId="10298" xr:uid="{575ECE00-6E4D-4809-90D4-A70F1185EFAC}"/>
    <cellStyle name="Normal 4 7 3 5 2" xfId="46640" xr:uid="{4B50753F-1656-4D65-9D61-C3F445300C79}"/>
    <cellStyle name="Normal 4 7 3 5 3" xfId="28044" xr:uid="{99689FD0-4CF2-43EA-9AC5-214A49E5ACF3}"/>
    <cellStyle name="Normal 4 7 3 6" xfId="37343" xr:uid="{FDB98082-BB78-4264-86B1-FC3E58A3C887}"/>
    <cellStyle name="Normal 4 7 3 7" xfId="18745" xr:uid="{C62F9A7A-B20A-4B7B-96F0-149681BCE596}"/>
    <cellStyle name="Normal 4 7 4" xfId="1295" xr:uid="{00000000-0005-0000-0000-0000BA160000}"/>
    <cellStyle name="Normal 4 7 4 2" xfId="3525" xr:uid="{00000000-0005-0000-0000-0000BB160000}"/>
    <cellStyle name="Normal 4 7 4 2 2" xfId="7747" xr:uid="{00000000-0005-0000-0000-0000BC160000}"/>
    <cellStyle name="Normal 4 7 4 2 2 2" xfId="17073" xr:uid="{210C5250-E232-424A-9EFA-0875B35BCFA0}"/>
    <cellStyle name="Normal 4 7 4 2 2 2 2" xfId="53415" xr:uid="{98E18C7B-C1D5-4FD1-AC53-CFB31C25DE8A}"/>
    <cellStyle name="Normal 4 7 4 2 2 2 3" xfId="34819" xr:uid="{3184D830-02BF-486E-A9AA-9343DC959F68}"/>
    <cellStyle name="Normal 4 7 4 2 2 3" xfId="44118" xr:uid="{5CECE07E-1795-4066-BAFA-AD42E5BE2519}"/>
    <cellStyle name="Normal 4 7 4 2 2 4" xfId="25520" xr:uid="{24F134CC-03EE-43AC-8FF6-A74AFAF34F3B}"/>
    <cellStyle name="Normal 4 7 4 2 3" xfId="12856" xr:uid="{8DE987BF-517B-40AD-ACE7-7CA44DFD29C6}"/>
    <cellStyle name="Normal 4 7 4 2 3 2" xfId="49198" xr:uid="{57B48A23-1E2A-489C-ACD4-2A812B392D04}"/>
    <cellStyle name="Normal 4 7 4 2 3 3" xfId="30602" xr:uid="{303705C8-1CF1-4472-8727-B3B627AC5F84}"/>
    <cellStyle name="Normal 4 7 4 2 4" xfId="39901" xr:uid="{4BA93B11-1293-48E1-93C9-1E5EAA945823}"/>
    <cellStyle name="Normal 4 7 4 2 5" xfId="21303" xr:uid="{5B5A01AF-B009-4287-9608-BA944989DE06}"/>
    <cellStyle name="Normal 4 7 4 3" xfId="5602" xr:uid="{00000000-0005-0000-0000-0000BD160000}"/>
    <cellStyle name="Normal 4 7 4 3 2" xfId="14928" xr:uid="{2B87D3A0-6C79-4208-B4DD-D8D4B48129B9}"/>
    <cellStyle name="Normal 4 7 4 3 2 2" xfId="51270" xr:uid="{4082152A-813C-4C2F-B24C-2DEB9A008D83}"/>
    <cellStyle name="Normal 4 7 4 3 2 3" xfId="32674" xr:uid="{569AC4DB-A157-4AF8-AAEB-35ACD348EA98}"/>
    <cellStyle name="Normal 4 7 4 3 3" xfId="41973" xr:uid="{6640DA7C-B9BC-4A33-913F-5D4C9805AC63}"/>
    <cellStyle name="Normal 4 7 4 3 4" xfId="23375" xr:uid="{BC9941DD-200E-45E3-868A-643346F46E6F}"/>
    <cellStyle name="Normal 4 7 4 4" xfId="10711" xr:uid="{881E8017-00F6-4E8F-8A73-2332D28243F4}"/>
    <cellStyle name="Normal 4 7 4 4 2" xfId="47053" xr:uid="{7718011E-1DED-4318-A700-23BB5C52921B}"/>
    <cellStyle name="Normal 4 7 4 4 3" xfId="28457" xr:uid="{4BBA92E2-52ED-46B0-8968-F892F10C48B8}"/>
    <cellStyle name="Normal 4 7 4 5" xfId="37756" xr:uid="{1738B154-6877-482F-A418-7BBD2F252F99}"/>
    <cellStyle name="Normal 4 7 4 6" xfId="19158" xr:uid="{DD090A35-7378-486D-927B-1A7A371C897B}"/>
    <cellStyle name="Normal 4 7 5" xfId="1708" xr:uid="{00000000-0005-0000-0000-0000BE160000}"/>
    <cellStyle name="Normal 4 7 5 2" xfId="3938" xr:uid="{00000000-0005-0000-0000-0000BF160000}"/>
    <cellStyle name="Normal 4 7 5 2 2" xfId="8160" xr:uid="{00000000-0005-0000-0000-0000C0160000}"/>
    <cellStyle name="Normal 4 7 5 2 2 2" xfId="17486" xr:uid="{6D5CA991-970D-4ED1-A487-4422EC018E41}"/>
    <cellStyle name="Normal 4 7 5 2 2 2 2" xfId="53828" xr:uid="{BE8DAF82-7734-47A9-A509-4B6AAB381DB3}"/>
    <cellStyle name="Normal 4 7 5 2 2 2 3" xfId="35232" xr:uid="{2709EA2E-4144-4E97-9D8A-4BC0D9CA9ECB}"/>
    <cellStyle name="Normal 4 7 5 2 2 3" xfId="44531" xr:uid="{17789139-DC4D-448A-9189-F2E7E25436B2}"/>
    <cellStyle name="Normal 4 7 5 2 2 4" xfId="25933" xr:uid="{35FC89FE-33E0-4A08-9AD7-AD60E9CD92A8}"/>
    <cellStyle name="Normal 4 7 5 2 3" xfId="13269" xr:uid="{D101E8C8-4328-4B78-AB3D-6802612401F2}"/>
    <cellStyle name="Normal 4 7 5 2 3 2" xfId="49611" xr:uid="{73060B7F-CC6F-4C6F-BFD1-B40F04DC2C3B}"/>
    <cellStyle name="Normal 4 7 5 2 3 3" xfId="31015" xr:uid="{7AA2A066-3251-4EAD-BB45-322FE1B9D3A0}"/>
    <cellStyle name="Normal 4 7 5 2 4" xfId="40314" xr:uid="{D5751237-9B92-4844-B85E-3AD28FD1B56A}"/>
    <cellStyle name="Normal 4 7 5 2 5" xfId="21716" xr:uid="{71C23A43-0C7E-47B6-A34E-35B7780D3CEA}"/>
    <cellStyle name="Normal 4 7 5 3" xfId="6015" xr:uid="{00000000-0005-0000-0000-0000C1160000}"/>
    <cellStyle name="Normal 4 7 5 3 2" xfId="15341" xr:uid="{A2F070E9-A000-4A56-9B61-02E0BA36222F}"/>
    <cellStyle name="Normal 4 7 5 3 2 2" xfId="51683" xr:uid="{9BDD543C-3116-49C1-AE83-6317EADD170E}"/>
    <cellStyle name="Normal 4 7 5 3 2 3" xfId="33087" xr:uid="{C7073F98-0885-4A31-8749-3BCB3328EC29}"/>
    <cellStyle name="Normal 4 7 5 3 3" xfId="42386" xr:uid="{D9244919-AD06-475A-9BE7-01E47E03F792}"/>
    <cellStyle name="Normal 4 7 5 3 4" xfId="23788" xr:uid="{D701874C-F28C-48C9-9914-5DDAC7FD0A2B}"/>
    <cellStyle name="Normal 4 7 5 4" xfId="11124" xr:uid="{10839898-0EC8-48C1-AC20-1B1AD0273459}"/>
    <cellStyle name="Normal 4 7 5 4 2" xfId="47466" xr:uid="{9DE16DDF-0AE7-4DE8-8EA8-5AF51CFC6A5D}"/>
    <cellStyle name="Normal 4 7 5 4 3" xfId="28870" xr:uid="{2598B409-DDA5-48C6-9CA7-F2A1FDEE3198}"/>
    <cellStyle name="Normal 4 7 5 5" xfId="38169" xr:uid="{ABF4409F-A7A2-4F61-9EC5-8F768DB65687}"/>
    <cellStyle name="Normal 4 7 5 6" xfId="19571" xr:uid="{E127BDC9-56AD-4D6D-9834-CC2EE28C8E19}"/>
    <cellStyle name="Normal 4 7 6" xfId="2122" xr:uid="{00000000-0005-0000-0000-0000C2160000}"/>
    <cellStyle name="Normal 4 7 6 2" xfId="4351" xr:uid="{00000000-0005-0000-0000-0000C3160000}"/>
    <cellStyle name="Normal 4 7 6 2 2" xfId="8573" xr:uid="{00000000-0005-0000-0000-0000C4160000}"/>
    <cellStyle name="Normal 4 7 6 2 2 2" xfId="17899" xr:uid="{358030CC-D246-47BC-BB0C-0F907B1547DC}"/>
    <cellStyle name="Normal 4 7 6 2 2 2 2" xfId="54241" xr:uid="{12780CB0-CE56-4594-A6DA-9AF608048359}"/>
    <cellStyle name="Normal 4 7 6 2 2 2 3" xfId="35645" xr:uid="{CD71FCFF-7DF3-46DF-B607-C326DBDB400F}"/>
    <cellStyle name="Normal 4 7 6 2 2 3" xfId="44944" xr:uid="{6E17B196-F03F-4E51-A721-6A0ACE15984B}"/>
    <cellStyle name="Normal 4 7 6 2 2 4" xfId="26346" xr:uid="{8C7EFD29-A6E1-4075-9A0E-DD7BE5E1812C}"/>
    <cellStyle name="Normal 4 7 6 2 3" xfId="13682" xr:uid="{BDD082E3-0EDB-4B8A-8473-C991661C94EA}"/>
    <cellStyle name="Normal 4 7 6 2 3 2" xfId="50024" xr:uid="{B580028F-9B3E-4DF8-A00A-17D0568C780C}"/>
    <cellStyle name="Normal 4 7 6 2 3 3" xfId="31428" xr:uid="{1A9867E2-09B8-4FE0-89E7-9C54C5C26A24}"/>
    <cellStyle name="Normal 4 7 6 2 4" xfId="40727" xr:uid="{100673E3-32A7-46CE-B820-D411BFA2A5B5}"/>
    <cellStyle name="Normal 4 7 6 2 5" xfId="22129" xr:uid="{B0730EA5-45A0-4996-A284-CAE3E1C2B083}"/>
    <cellStyle name="Normal 4 7 6 3" xfId="6428" xr:uid="{00000000-0005-0000-0000-0000C5160000}"/>
    <cellStyle name="Normal 4 7 6 3 2" xfId="15754" xr:uid="{1445E765-968D-448D-9452-FC9179E2B5D5}"/>
    <cellStyle name="Normal 4 7 6 3 2 2" xfId="52096" xr:uid="{78EF00B8-E9AD-4913-AE47-E83C5C1DDC0E}"/>
    <cellStyle name="Normal 4 7 6 3 2 3" xfId="33500" xr:uid="{D4579684-D0D5-41AC-BCF7-5505240CFF55}"/>
    <cellStyle name="Normal 4 7 6 3 3" xfId="42799" xr:uid="{0FFF13DA-C42B-4105-9B54-CB8B4A3F7688}"/>
    <cellStyle name="Normal 4 7 6 3 4" xfId="24201" xr:uid="{69DB2632-D0F3-4BE1-ACCD-7E235C56DD9B}"/>
    <cellStyle name="Normal 4 7 6 4" xfId="11537" xr:uid="{264655D6-1712-4BA2-96BB-290BE1605648}"/>
    <cellStyle name="Normal 4 7 6 4 2" xfId="47879" xr:uid="{15F7359A-0BAC-45D4-80AB-01FAA4FDF2F7}"/>
    <cellStyle name="Normal 4 7 6 4 3" xfId="29283" xr:uid="{36CBD2A5-77A3-4F58-B960-B9E865FCD860}"/>
    <cellStyle name="Normal 4 7 6 5" xfId="38582" xr:uid="{C5A3BFAA-EA58-4DAC-B5F3-1D9835EFA8DD}"/>
    <cellStyle name="Normal 4 7 6 6" xfId="19984" xr:uid="{AFAD3B80-254C-4AA4-B9B0-2C632EFA8D3A}"/>
    <cellStyle name="Normal 4 7 7" xfId="2558" xr:uid="{00000000-0005-0000-0000-0000C6160000}"/>
    <cellStyle name="Normal 4 7 7 2" xfId="6841" xr:uid="{00000000-0005-0000-0000-0000C7160000}"/>
    <cellStyle name="Normal 4 7 7 2 2" xfId="16167" xr:uid="{896C9CF4-FD45-427A-91B0-090D76E4788A}"/>
    <cellStyle name="Normal 4 7 7 2 2 2" xfId="52509" xr:uid="{F4CDC217-A98B-4002-BC47-73F6445D7FC1}"/>
    <cellStyle name="Normal 4 7 7 2 2 3" xfId="33913" xr:uid="{4D9689EF-13C1-4A4A-AD74-0405493CB8FC}"/>
    <cellStyle name="Normal 4 7 7 2 3" xfId="43212" xr:uid="{6E5C56B3-A3C8-4AD0-988C-970ADD2A0384}"/>
    <cellStyle name="Normal 4 7 7 2 4" xfId="24614" xr:uid="{DC8C2D5A-D424-4134-8006-81C6BE769513}"/>
    <cellStyle name="Normal 4 7 7 3" xfId="11950" xr:uid="{F8546744-D24D-4794-BF55-358737B38996}"/>
    <cellStyle name="Normal 4 7 7 3 2" xfId="48292" xr:uid="{BABFEDCC-1A96-4732-B962-8DD816143382}"/>
    <cellStyle name="Normal 4 7 7 3 3" xfId="29696" xr:uid="{B2438F05-4406-459D-865F-B91B9FC5BFC7}"/>
    <cellStyle name="Normal 4 7 7 4" xfId="38995" xr:uid="{61BEDBF7-3F61-4869-82AA-0B4A2DE709E3}"/>
    <cellStyle name="Normal 4 7 7 5" xfId="20397" xr:uid="{0D33DFEB-3ACC-440A-B924-DE323F3F852E}"/>
    <cellStyle name="Normal 4 7 8" xfId="4776" xr:uid="{00000000-0005-0000-0000-0000C8160000}"/>
    <cellStyle name="Normal 4 7 8 2" xfId="14102" xr:uid="{63631A5F-70FC-4C02-A2EB-4236F23EE8DC}"/>
    <cellStyle name="Normal 4 7 8 2 2" xfId="50444" xr:uid="{E6FD60CA-4563-408E-880D-8C0AEF0A2318}"/>
    <cellStyle name="Normal 4 7 8 2 3" xfId="31848" xr:uid="{E8B3583A-0BDD-442A-836F-00685792F79F}"/>
    <cellStyle name="Normal 4 7 8 3" xfId="41147" xr:uid="{F63AA0C4-6C1C-4852-91C9-217DD5407B5E}"/>
    <cellStyle name="Normal 4 7 8 4" xfId="22549" xr:uid="{91BC75AA-BCF1-49BA-9E8C-6C5FE3F8B1FD}"/>
    <cellStyle name="Normal 4 7 9" xfId="8843" xr:uid="{092972D9-0015-4C5A-94A6-5AFD2026266B}"/>
    <cellStyle name="Normal 4 7 9 2" xfId="35913" xr:uid="{1B82201B-025A-47CE-8BE1-57A869DB9F79}"/>
    <cellStyle name="Normal 4 7 9 2 2" xfId="54508" xr:uid="{A6A10B4F-4705-4BF8-B32C-F589D1661577}"/>
    <cellStyle name="Normal 4 7 9 3" xfId="45211" xr:uid="{18A28707-668E-42B6-99A9-3D06CD3BF978}"/>
    <cellStyle name="Normal 4 7 9 4" xfId="26614" xr:uid="{789BD6FD-BB38-401C-9921-1A11927661B9}"/>
    <cellStyle name="Normal 4 8" xfId="405" xr:uid="{00000000-0005-0000-0000-0000C9160000}"/>
    <cellStyle name="Normal 4 8 10" xfId="36932" xr:uid="{40B4810F-1F46-4368-B4FD-E38A53B52D67}"/>
    <cellStyle name="Normal 4 8 11" xfId="18334" xr:uid="{43F59E2A-E3E0-4070-B5BE-11969B90F224}"/>
    <cellStyle name="Normal 4 8 2" xfId="879" xr:uid="{00000000-0005-0000-0000-0000CA160000}"/>
    <cellStyle name="Normal 4 8 2 2" xfId="3114" xr:uid="{00000000-0005-0000-0000-0000CB160000}"/>
    <cellStyle name="Normal 4 8 2 2 2" xfId="7336" xr:uid="{00000000-0005-0000-0000-0000CC160000}"/>
    <cellStyle name="Normal 4 8 2 2 2 2" xfId="16662" xr:uid="{D2EE9614-CC4A-4D16-8B6D-FB0E910AA3AE}"/>
    <cellStyle name="Normal 4 8 2 2 2 2 2" xfId="53004" xr:uid="{0DBA1AF1-A8BC-4B88-ABAC-23682D1C8A15}"/>
    <cellStyle name="Normal 4 8 2 2 2 2 3" xfId="34408" xr:uid="{69562050-4A98-405E-A76C-C38BFD3A0251}"/>
    <cellStyle name="Normal 4 8 2 2 2 3" xfId="43707" xr:uid="{0ADACA35-B2FA-4980-A699-154779268632}"/>
    <cellStyle name="Normal 4 8 2 2 2 4" xfId="25109" xr:uid="{6C3526D1-FBBB-41A2-A8DD-7453349D94E5}"/>
    <cellStyle name="Normal 4 8 2 2 3" xfId="12445" xr:uid="{279A6B7D-E287-4E0C-8FC6-4D2D715B3CB5}"/>
    <cellStyle name="Normal 4 8 2 2 3 2" xfId="48787" xr:uid="{BBD65348-7129-4EA7-BDCE-43A38CB228DE}"/>
    <cellStyle name="Normal 4 8 2 2 3 3" xfId="30191" xr:uid="{0B69A1AC-3ECA-452D-B3D7-891F67E72ACA}"/>
    <cellStyle name="Normal 4 8 2 2 4" xfId="39490" xr:uid="{66D9E6FA-8F8B-4ED9-B599-0E775E74DBE8}"/>
    <cellStyle name="Normal 4 8 2 2 5" xfId="20892" xr:uid="{B9E98FE8-B0E1-44B0-9D6B-6790DBC9B907}"/>
    <cellStyle name="Normal 4 8 2 3" xfId="5191" xr:uid="{00000000-0005-0000-0000-0000CD160000}"/>
    <cellStyle name="Normal 4 8 2 3 2" xfId="14517" xr:uid="{8ABC5DFD-DB80-4562-9F69-71CF59275F6C}"/>
    <cellStyle name="Normal 4 8 2 3 2 2" xfId="50859" xr:uid="{778743B9-C78B-402A-B313-CCAFA7848266}"/>
    <cellStyle name="Normal 4 8 2 3 2 3" xfId="32263" xr:uid="{AC3D2762-EDC9-40C2-A2BB-E6B3940A2BF1}"/>
    <cellStyle name="Normal 4 8 2 3 3" xfId="41562" xr:uid="{B8005EC0-CEE0-4A5B-8660-9D9BC5DCE128}"/>
    <cellStyle name="Normal 4 8 2 3 4" xfId="22964" xr:uid="{79A1FB14-F401-441F-9103-6C8DC01177E7}"/>
    <cellStyle name="Normal 4 8 2 4" xfId="9384" xr:uid="{6351F1DA-E485-4044-8429-C0AE76E79EEE}"/>
    <cellStyle name="Normal 4 8 2 4 2" xfId="36445" xr:uid="{FF41FD03-2C90-48E2-9271-1201F41C0A06}"/>
    <cellStyle name="Normal 4 8 2 4 2 2" xfId="55039" xr:uid="{E23FD64D-9541-4E11-81B0-D4F54723F06A}"/>
    <cellStyle name="Normal 4 8 2 4 3" xfId="45742" xr:uid="{A75B78E0-6B6A-4DE8-9857-C692E9A1B05C}"/>
    <cellStyle name="Normal 4 8 2 4 4" xfId="27146" xr:uid="{FB6887A3-D757-4667-8FA7-B7D4DD157020}"/>
    <cellStyle name="Normal 4 8 2 5" xfId="10300" xr:uid="{84E42BDC-93EA-488D-BE5E-39332436119E}"/>
    <cellStyle name="Normal 4 8 2 5 2" xfId="46642" xr:uid="{8DD8A979-6200-44DA-B28A-2D07350A9B03}"/>
    <cellStyle name="Normal 4 8 2 5 3" xfId="28046" xr:uid="{C61016BE-CCAC-4BF5-9FC7-8A9A45BD164F}"/>
    <cellStyle name="Normal 4 8 2 6" xfId="37345" xr:uid="{98840441-72D6-4666-9C06-A0FE7580297C}"/>
    <cellStyle name="Normal 4 8 2 7" xfId="18747" xr:uid="{B1A2787A-1A84-4F37-B2BC-D526645FC00B}"/>
    <cellStyle name="Normal 4 8 3" xfId="1297" xr:uid="{00000000-0005-0000-0000-0000CE160000}"/>
    <cellStyle name="Normal 4 8 3 2" xfId="3527" xr:uid="{00000000-0005-0000-0000-0000CF160000}"/>
    <cellStyle name="Normal 4 8 3 2 2" xfId="7749" xr:uid="{00000000-0005-0000-0000-0000D0160000}"/>
    <cellStyle name="Normal 4 8 3 2 2 2" xfId="17075" xr:uid="{5B2113EA-23A4-435F-82BE-4176BDE732F0}"/>
    <cellStyle name="Normal 4 8 3 2 2 2 2" xfId="53417" xr:uid="{A4B0B89F-812E-4CF3-9F5E-30F1D5D2E304}"/>
    <cellStyle name="Normal 4 8 3 2 2 2 3" xfId="34821" xr:uid="{62CCFB31-CFDD-4FDD-9834-75D9A9315FF8}"/>
    <cellStyle name="Normal 4 8 3 2 2 3" xfId="44120" xr:uid="{AA03D8AA-E813-4026-9E1E-9E155B3F6E79}"/>
    <cellStyle name="Normal 4 8 3 2 2 4" xfId="25522" xr:uid="{9B40C6E8-91FE-4FCF-A9D7-364E0D51DD2A}"/>
    <cellStyle name="Normal 4 8 3 2 3" xfId="12858" xr:uid="{6878196C-63C3-4738-B353-FCB8271263A3}"/>
    <cellStyle name="Normal 4 8 3 2 3 2" xfId="49200" xr:uid="{45838EE6-88E8-4FBC-AA8C-5C48342FF093}"/>
    <cellStyle name="Normal 4 8 3 2 3 3" xfId="30604" xr:uid="{6F11D13A-37FC-4446-B75F-003B4CECEE48}"/>
    <cellStyle name="Normal 4 8 3 2 4" xfId="39903" xr:uid="{B6850AF6-FF16-4376-8995-DCAF9C8B361A}"/>
    <cellStyle name="Normal 4 8 3 2 5" xfId="21305" xr:uid="{8C5A6663-4637-4622-B9D3-09DD71325666}"/>
    <cellStyle name="Normal 4 8 3 3" xfId="5604" xr:uid="{00000000-0005-0000-0000-0000D1160000}"/>
    <cellStyle name="Normal 4 8 3 3 2" xfId="14930" xr:uid="{A03AD53E-AA71-4722-B78E-273B22BB8EF9}"/>
    <cellStyle name="Normal 4 8 3 3 2 2" xfId="51272" xr:uid="{204B91CF-EDB7-4800-9FF0-2A1E7700F691}"/>
    <cellStyle name="Normal 4 8 3 3 2 3" xfId="32676" xr:uid="{E0C27CFA-6CDF-440E-92A1-BB2F8766B736}"/>
    <cellStyle name="Normal 4 8 3 3 3" xfId="41975" xr:uid="{42EACBA4-A634-4564-8271-6774FDE0F7EE}"/>
    <cellStyle name="Normal 4 8 3 3 4" xfId="23377" xr:uid="{B543D27D-DBC9-490B-BD46-87FC13882C1D}"/>
    <cellStyle name="Normal 4 8 3 4" xfId="10713" xr:uid="{F81DDABD-A9FA-4431-9CA0-0A62DBA3AD01}"/>
    <cellStyle name="Normal 4 8 3 4 2" xfId="47055" xr:uid="{46EF5B9C-A521-410F-84B0-9F317B4E6E7C}"/>
    <cellStyle name="Normal 4 8 3 4 3" xfId="28459" xr:uid="{70E15A79-0297-4720-972C-017DA83B77EF}"/>
    <cellStyle name="Normal 4 8 3 5" xfId="37758" xr:uid="{BD5EF736-7B21-4C28-9320-1A6A7E9F24EB}"/>
    <cellStyle name="Normal 4 8 3 6" xfId="19160" xr:uid="{43DFCA89-2BF6-4F62-BDEF-8EDBE6FB4A57}"/>
    <cellStyle name="Normal 4 8 4" xfId="1710" xr:uid="{00000000-0005-0000-0000-0000D2160000}"/>
    <cellStyle name="Normal 4 8 4 2" xfId="3940" xr:uid="{00000000-0005-0000-0000-0000D3160000}"/>
    <cellStyle name="Normal 4 8 4 2 2" xfId="8162" xr:uid="{00000000-0005-0000-0000-0000D4160000}"/>
    <cellStyle name="Normal 4 8 4 2 2 2" xfId="17488" xr:uid="{44B8059C-CBAB-4642-971E-6EB02AEEA263}"/>
    <cellStyle name="Normal 4 8 4 2 2 2 2" xfId="53830" xr:uid="{C6FC4E22-E1C2-4EBD-833B-2C696DA381EC}"/>
    <cellStyle name="Normal 4 8 4 2 2 2 3" xfId="35234" xr:uid="{CFBE6EAB-9AED-4EA8-AA60-4C899259D1DF}"/>
    <cellStyle name="Normal 4 8 4 2 2 3" xfId="44533" xr:uid="{B27E713E-BAE0-4F4A-9A9A-DCD5882DA10B}"/>
    <cellStyle name="Normal 4 8 4 2 2 4" xfId="25935" xr:uid="{9A342640-9435-43E9-8F78-8CFE449D8762}"/>
    <cellStyle name="Normal 4 8 4 2 3" xfId="13271" xr:uid="{7A7AF718-4211-423D-BE57-E1F2816799F4}"/>
    <cellStyle name="Normal 4 8 4 2 3 2" xfId="49613" xr:uid="{361993F2-6D9A-459D-B423-9673D5ACEF7B}"/>
    <cellStyle name="Normal 4 8 4 2 3 3" xfId="31017" xr:uid="{B859C361-C4E4-4ED1-AA71-D6EBD2843B7A}"/>
    <cellStyle name="Normal 4 8 4 2 4" xfId="40316" xr:uid="{4674F551-1D3D-47F0-9005-74FB4243C244}"/>
    <cellStyle name="Normal 4 8 4 2 5" xfId="21718" xr:uid="{2B82CCB7-50DF-4638-900B-1AF9AEC93801}"/>
    <cellStyle name="Normal 4 8 4 3" xfId="6017" xr:uid="{00000000-0005-0000-0000-0000D5160000}"/>
    <cellStyle name="Normal 4 8 4 3 2" xfId="15343" xr:uid="{8BB28D7D-1EF8-44BE-88E6-0E1083E9B1EB}"/>
    <cellStyle name="Normal 4 8 4 3 2 2" xfId="51685" xr:uid="{614BCC76-40EF-4CB3-ADEB-668FB120F4F1}"/>
    <cellStyle name="Normal 4 8 4 3 2 3" xfId="33089" xr:uid="{F5268913-219C-40F5-B15C-C8E006A766D0}"/>
    <cellStyle name="Normal 4 8 4 3 3" xfId="42388" xr:uid="{F00B7A3C-2449-4CF2-8387-BF38E177EA21}"/>
    <cellStyle name="Normal 4 8 4 3 4" xfId="23790" xr:uid="{2C79CBCD-ECAD-4219-B07C-DB956B589166}"/>
    <cellStyle name="Normal 4 8 4 4" xfId="11126" xr:uid="{4F51A595-DF19-4F40-A86D-DD6476FD1B59}"/>
    <cellStyle name="Normal 4 8 4 4 2" xfId="47468" xr:uid="{BCB953B1-5180-4A04-9273-3A3585776B24}"/>
    <cellStyle name="Normal 4 8 4 4 3" xfId="28872" xr:uid="{D17263FD-2DFF-4D65-811F-615B52B3C4A3}"/>
    <cellStyle name="Normal 4 8 4 5" xfId="38171" xr:uid="{B816B1CB-D19B-4B94-9805-2B4B4952C1E3}"/>
    <cellStyle name="Normal 4 8 4 6" xfId="19573" xr:uid="{F07358DA-AB99-43F3-A28C-5420D47DE16A}"/>
    <cellStyle name="Normal 4 8 5" xfId="2124" xr:uid="{00000000-0005-0000-0000-0000D6160000}"/>
    <cellStyle name="Normal 4 8 5 2" xfId="4353" xr:uid="{00000000-0005-0000-0000-0000D7160000}"/>
    <cellStyle name="Normal 4 8 5 2 2" xfId="8575" xr:uid="{00000000-0005-0000-0000-0000D8160000}"/>
    <cellStyle name="Normal 4 8 5 2 2 2" xfId="17901" xr:uid="{9C95DE16-9406-4D76-82B3-484EA8EFD328}"/>
    <cellStyle name="Normal 4 8 5 2 2 2 2" xfId="54243" xr:uid="{355F818F-7865-405C-AEA0-21BFB0E333E7}"/>
    <cellStyle name="Normal 4 8 5 2 2 2 3" xfId="35647" xr:uid="{573B254B-FDBF-423B-98CC-697785460066}"/>
    <cellStyle name="Normal 4 8 5 2 2 3" xfId="44946" xr:uid="{9C68BFD5-E5D0-4004-ABAE-2360CC7C725A}"/>
    <cellStyle name="Normal 4 8 5 2 2 4" xfId="26348" xr:uid="{B551B1EA-B51E-4847-84AC-F9982405B5A8}"/>
    <cellStyle name="Normal 4 8 5 2 3" xfId="13684" xr:uid="{5EE0E9E9-D160-4824-8CB2-B0EE4E924953}"/>
    <cellStyle name="Normal 4 8 5 2 3 2" xfId="50026" xr:uid="{2F175A94-EC81-4C5E-8E4D-B742DB8CD2F9}"/>
    <cellStyle name="Normal 4 8 5 2 3 3" xfId="31430" xr:uid="{F055AFF4-4BF0-406C-B58D-86E8EAF8682A}"/>
    <cellStyle name="Normal 4 8 5 2 4" xfId="40729" xr:uid="{9A78587B-D943-4BE8-9D81-2024E137095C}"/>
    <cellStyle name="Normal 4 8 5 2 5" xfId="22131" xr:uid="{5D21F1B2-0CEA-49CB-97F2-6F8B0D7A90CB}"/>
    <cellStyle name="Normal 4 8 5 3" xfId="6430" xr:uid="{00000000-0005-0000-0000-0000D9160000}"/>
    <cellStyle name="Normal 4 8 5 3 2" xfId="15756" xr:uid="{BB9E532D-70DA-4844-B2DA-D6508BAEAFBF}"/>
    <cellStyle name="Normal 4 8 5 3 2 2" xfId="52098" xr:uid="{CCCC5F20-2211-41C8-A823-CF0EEAFD2E3E}"/>
    <cellStyle name="Normal 4 8 5 3 2 3" xfId="33502" xr:uid="{59C7A237-2014-4062-86A3-E3D789397C33}"/>
    <cellStyle name="Normal 4 8 5 3 3" xfId="42801" xr:uid="{255A8B2A-DE25-49A1-A7C7-36303A5AD068}"/>
    <cellStyle name="Normal 4 8 5 3 4" xfId="24203" xr:uid="{A1315ADC-11C6-4FD1-8A48-DCD9D793C553}"/>
    <cellStyle name="Normal 4 8 5 4" xfId="11539" xr:uid="{43DA08BD-9F93-4B82-8CC6-C78E805AEBD5}"/>
    <cellStyle name="Normal 4 8 5 4 2" xfId="47881" xr:uid="{31C001EF-449C-4647-95D5-E1A84F32C513}"/>
    <cellStyle name="Normal 4 8 5 4 3" xfId="29285" xr:uid="{B96E450F-F7F8-4BDD-8241-679D335D646C}"/>
    <cellStyle name="Normal 4 8 5 5" xfId="38584" xr:uid="{3765A5EA-A3CA-40A7-A442-B36BBB52B503}"/>
    <cellStyle name="Normal 4 8 5 6" xfId="19986" xr:uid="{3C1ED40E-4BD6-4AF1-B3B9-52BA37A44102}"/>
    <cellStyle name="Normal 4 8 6" xfId="2560" xr:uid="{00000000-0005-0000-0000-0000DA160000}"/>
    <cellStyle name="Normal 4 8 6 2" xfId="6843" xr:uid="{00000000-0005-0000-0000-0000DB160000}"/>
    <cellStyle name="Normal 4 8 6 2 2" xfId="16169" xr:uid="{E26C755A-8DC8-4D2A-8FD6-02C6AE216BB9}"/>
    <cellStyle name="Normal 4 8 6 2 2 2" xfId="52511" xr:uid="{5B914315-40E9-49DA-BABF-8526179FE89A}"/>
    <cellStyle name="Normal 4 8 6 2 2 3" xfId="33915" xr:uid="{4D5043A6-FF0D-45F2-8526-325330A51AEA}"/>
    <cellStyle name="Normal 4 8 6 2 3" xfId="43214" xr:uid="{761EDA12-39C8-436C-A507-EF62C3D0DEC3}"/>
    <cellStyle name="Normal 4 8 6 2 4" xfId="24616" xr:uid="{47EF6EC1-53A5-41DC-9730-0AAD1EECEDD7}"/>
    <cellStyle name="Normal 4 8 6 3" xfId="11952" xr:uid="{83750780-A659-448C-9244-86AAA5CDA61C}"/>
    <cellStyle name="Normal 4 8 6 3 2" xfId="48294" xr:uid="{A1535DAB-C64C-4B08-8CD3-DF4C93E6560A}"/>
    <cellStyle name="Normal 4 8 6 3 3" xfId="29698" xr:uid="{32C1088D-8221-47CC-8084-C59DF4698226}"/>
    <cellStyle name="Normal 4 8 6 4" xfId="38997" xr:uid="{B08F01F1-5949-48D8-AFA6-41B8A65CCFB7}"/>
    <cellStyle name="Normal 4 8 6 5" xfId="20399" xr:uid="{FC732EAD-7F72-4B15-B0CF-AC03C278AB57}"/>
    <cellStyle name="Normal 4 8 7" xfId="4778" xr:uid="{00000000-0005-0000-0000-0000DC160000}"/>
    <cellStyle name="Normal 4 8 7 2" xfId="14104" xr:uid="{3F3D6CF7-F7E8-4309-A4DE-F92A216738B3}"/>
    <cellStyle name="Normal 4 8 7 2 2" xfId="50446" xr:uid="{637D0855-4142-4993-9A77-04371B2A074D}"/>
    <cellStyle name="Normal 4 8 7 2 3" xfId="31850" xr:uid="{C33070B1-8FA7-4DE2-895A-98FCCCA66048}"/>
    <cellStyle name="Normal 4 8 7 3" xfId="41149" xr:uid="{0C9EF423-0C51-42E9-9918-A98E0E97C116}"/>
    <cellStyle name="Normal 4 8 7 4" xfId="22551" xr:uid="{FA90A94E-45DA-4658-BB65-6B5141B294A2}"/>
    <cellStyle name="Normal 4 8 8" xfId="8959" xr:uid="{E3216EF3-66EB-48FF-967C-A258B3C3F4FF}"/>
    <cellStyle name="Normal 4 8 8 2" xfId="36029" xr:uid="{7AA6E0E8-2E60-48D1-A4D0-B28A9AF5F1B4}"/>
    <cellStyle name="Normal 4 8 8 2 2" xfId="54624" xr:uid="{B76F23D8-FA7E-4D9D-94A6-EF8329969CC1}"/>
    <cellStyle name="Normal 4 8 8 3" xfId="45327" xr:uid="{85C1E4E8-35C5-47DE-97B8-40557E10A86D}"/>
    <cellStyle name="Normal 4 8 8 4" xfId="26730" xr:uid="{7A5CE010-C6D9-4397-AF48-F7654E4BE5AA}"/>
    <cellStyle name="Normal 4 8 9" xfId="9887" xr:uid="{CB4C007B-5D84-41B1-B417-E890A33C7764}"/>
    <cellStyle name="Normal 4 8 9 2" xfId="46229" xr:uid="{A3000122-9F2D-4299-A137-354BEA84AF47}"/>
    <cellStyle name="Normal 4 8 9 3" xfId="27633" xr:uid="{B30E5DA5-8045-49C2-9C9D-4BE6BFF73408}"/>
    <cellStyle name="Normal 4 9" xfId="4715" xr:uid="{00000000-0005-0000-0000-0000DD160000}"/>
    <cellStyle name="Normal 4 9 2" xfId="9162" xr:uid="{BC355FAB-4557-4712-A03F-EB5522B29E6A}"/>
    <cellStyle name="Normal 4 9 2 2" xfId="36226" xr:uid="{A4AC60A6-4963-4484-91AB-AE37D9D23A22}"/>
    <cellStyle name="Normal 4 9 2 2 2" xfId="54820" xr:uid="{A39EB045-D2C0-43F6-909B-A03DBF6C078F}"/>
    <cellStyle name="Normal 4 9 2 3" xfId="45523" xr:uid="{7538DD3F-6259-49DE-9A74-EF617EA81762}"/>
    <cellStyle name="Normal 4 9 2 4" xfId="26927" xr:uid="{E28334D9-60B4-4164-B748-C677D5076745}"/>
    <cellStyle name="Normal 4 9 3" xfId="14041" xr:uid="{57A7ABC5-BBB0-4CB0-A8B2-B3E0A6E30657}"/>
    <cellStyle name="Normal 4 9 3 2" xfId="50383" xr:uid="{12ABC112-BD43-4B2B-814A-94A86AD285C9}"/>
    <cellStyle name="Normal 4 9 3 3" xfId="31787" xr:uid="{7F7DA9E0-25EC-4155-988C-00DBB07872AD}"/>
    <cellStyle name="Normal 4 9 4" xfId="41086" xr:uid="{739113DE-F0B7-47A9-8770-A42B6B53D4D5}"/>
    <cellStyle name="Normal 4 9 5" xfId="22488" xr:uid="{E299BD2C-E336-46C0-A016-FF70CB1F5D73}"/>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17489" xr:uid="{74E38EAD-1D1C-4B35-8DA2-CD99EF86E277}"/>
    <cellStyle name="Normal 5 10 2 2 2 2" xfId="53831" xr:uid="{53EED1DB-2A15-402A-84DC-E2C76DACCEED}"/>
    <cellStyle name="Normal 5 10 2 2 2 3" xfId="35235" xr:uid="{5B1E2C25-74F5-4D0F-A314-48ACC6249FBB}"/>
    <cellStyle name="Normal 5 10 2 2 3" xfId="44534" xr:uid="{AC0B4E2B-6918-40CF-811A-BE653738485F}"/>
    <cellStyle name="Normal 5 10 2 2 4" xfId="25936" xr:uid="{9BCEED90-2D07-440F-A9BE-2362C5496B1D}"/>
    <cellStyle name="Normal 5 10 2 3" xfId="13272" xr:uid="{276E5AF7-38C4-4238-9B1F-D03D5580A2CD}"/>
    <cellStyle name="Normal 5 10 2 3 2" xfId="49614" xr:uid="{2B33026A-4593-436B-8621-3A97AE0BA1BD}"/>
    <cellStyle name="Normal 5 10 2 3 3" xfId="31018" xr:uid="{7CF1B54E-D882-4363-ABA6-F11B0F221925}"/>
    <cellStyle name="Normal 5 10 2 4" xfId="40317" xr:uid="{D33150A6-3EB0-4F1B-8BFC-2A6EAEBF99FE}"/>
    <cellStyle name="Normal 5 10 2 5" xfId="21719" xr:uid="{46487F36-61C3-49B0-81A0-EADEB096C003}"/>
    <cellStyle name="Normal 5 10 3" xfId="6018" xr:uid="{00000000-0005-0000-0000-0000E2160000}"/>
    <cellStyle name="Normal 5 10 3 2" xfId="15344" xr:uid="{DAD3FA60-6975-481E-951F-7FC334EB773D}"/>
    <cellStyle name="Normal 5 10 3 2 2" xfId="51686" xr:uid="{82F01419-307B-4840-9F4E-1DF0AFE172DA}"/>
    <cellStyle name="Normal 5 10 3 2 3" xfId="33090" xr:uid="{F412C09E-588D-4699-B086-5AFDD34AA947}"/>
    <cellStyle name="Normal 5 10 3 3" xfId="42389" xr:uid="{C7841FAB-8F0B-43B5-97FE-8F7F8AAD27F7}"/>
    <cellStyle name="Normal 5 10 3 4" xfId="23791" xr:uid="{AE2D99D9-1BAA-407E-AF8E-7C175C6944A1}"/>
    <cellStyle name="Normal 5 10 4" xfId="11127" xr:uid="{CE327B32-DD43-4839-A7E5-1318BA7196C5}"/>
    <cellStyle name="Normal 5 10 4 2" xfId="47469" xr:uid="{9ECB6BA1-5917-4D16-8BAC-5D4F75754B98}"/>
    <cellStyle name="Normal 5 10 4 3" xfId="28873" xr:uid="{7BD557FF-A38A-4C4E-BDCD-5DD3BD9F478F}"/>
    <cellStyle name="Normal 5 10 5" xfId="38172" xr:uid="{1B94291F-8A9F-496A-BF0C-241E289E97B8}"/>
    <cellStyle name="Normal 5 10 6" xfId="19574" xr:uid="{833BE6DE-03D4-4674-ADAE-3F4050DD8D4B}"/>
    <cellStyle name="Normal 5 11" xfId="2125" xr:uid="{00000000-0005-0000-0000-0000E3160000}"/>
    <cellStyle name="Normal 5 11 2" xfId="4354" xr:uid="{00000000-0005-0000-0000-0000E4160000}"/>
    <cellStyle name="Normal 5 11 2 2" xfId="8576" xr:uid="{00000000-0005-0000-0000-0000E5160000}"/>
    <cellStyle name="Normal 5 11 2 2 2" xfId="17902" xr:uid="{8930254E-73F8-4906-9525-F704F241176A}"/>
    <cellStyle name="Normal 5 11 2 2 2 2" xfId="54244" xr:uid="{88DF20F9-6234-4460-8100-62FDE3D8A68F}"/>
    <cellStyle name="Normal 5 11 2 2 2 3" xfId="35648" xr:uid="{A78C9DE7-6960-4E53-9883-E3E3D3874B69}"/>
    <cellStyle name="Normal 5 11 2 2 3" xfId="44947" xr:uid="{2693524B-65A6-4183-BF64-8B252573DB85}"/>
    <cellStyle name="Normal 5 11 2 2 4" xfId="26349" xr:uid="{C629CD14-DF96-46ED-91FE-2E0320B79C45}"/>
    <cellStyle name="Normal 5 11 2 3" xfId="13685" xr:uid="{CECA06BE-8F98-4042-BD8B-BA70E5410091}"/>
    <cellStyle name="Normal 5 11 2 3 2" xfId="50027" xr:uid="{1950028C-B06C-4AC0-89D4-C39C6AB4E16D}"/>
    <cellStyle name="Normal 5 11 2 3 3" xfId="31431" xr:uid="{029A79BD-42CE-4E8A-BF71-FA74C8EAB562}"/>
    <cellStyle name="Normal 5 11 2 4" xfId="40730" xr:uid="{1CDA366B-8849-4F36-9CE0-D117AC5683EC}"/>
    <cellStyle name="Normal 5 11 2 5" xfId="22132" xr:uid="{BA2A29A7-AE3C-4F63-9963-960578F79968}"/>
    <cellStyle name="Normal 5 11 3" xfId="6431" xr:uid="{00000000-0005-0000-0000-0000E6160000}"/>
    <cellStyle name="Normal 5 11 3 2" xfId="15757" xr:uid="{A85D52B3-ED57-4FD4-B4E0-DB9F47851607}"/>
    <cellStyle name="Normal 5 11 3 2 2" xfId="52099" xr:uid="{E64AB9E0-2300-4390-B89E-B3116D6EC953}"/>
    <cellStyle name="Normal 5 11 3 2 3" xfId="33503" xr:uid="{7C8723AD-AF2F-4CFA-B9C9-ACDF5296C622}"/>
    <cellStyle name="Normal 5 11 3 3" xfId="42802" xr:uid="{14A91889-9F5B-4B12-B22E-782B0F7F6B3B}"/>
    <cellStyle name="Normal 5 11 3 4" xfId="24204" xr:uid="{580BAC46-00DB-47FE-8945-38E80B58374E}"/>
    <cellStyle name="Normal 5 11 4" xfId="11540" xr:uid="{7FB49725-C59E-4C62-A75A-2B8B27D077C0}"/>
    <cellStyle name="Normal 5 11 4 2" xfId="47882" xr:uid="{16A88501-E5F9-4552-A05E-37276F06753F}"/>
    <cellStyle name="Normal 5 11 4 3" xfId="29286" xr:uid="{34DEE537-3C27-4822-9E6B-1284DF389137}"/>
    <cellStyle name="Normal 5 11 5" xfId="38585" xr:uid="{7B9817AB-D97F-4664-9639-E63844984DBA}"/>
    <cellStyle name="Normal 5 11 6" xfId="19987" xr:uid="{656D276E-1560-4E62-8D21-AAE9EE2F21B7}"/>
    <cellStyle name="Normal 5 12" xfId="2561" xr:uid="{00000000-0005-0000-0000-0000E7160000}"/>
    <cellStyle name="Normal 5 12 2" xfId="6844" xr:uid="{00000000-0005-0000-0000-0000E8160000}"/>
    <cellStyle name="Normal 5 12 2 2" xfId="16170" xr:uid="{3EB88612-79A5-4712-9E8B-FFC6B02F4229}"/>
    <cellStyle name="Normal 5 12 2 2 2" xfId="52512" xr:uid="{EAECAC57-273C-43EB-BED6-339850525011}"/>
    <cellStyle name="Normal 5 12 2 2 3" xfId="33916" xr:uid="{9D563650-5D45-424D-A81D-39A88B7ABCD3}"/>
    <cellStyle name="Normal 5 12 2 3" xfId="43215" xr:uid="{AC6E5731-C566-4B17-BBB7-D10BE3D08AE1}"/>
    <cellStyle name="Normal 5 12 2 4" xfId="24617" xr:uid="{98CFC5C4-0793-4A9A-9C47-FB6CA5B74B28}"/>
    <cellStyle name="Normal 5 12 3" xfId="11953" xr:uid="{B73476E3-A624-4EDB-B113-09F7C897656D}"/>
    <cellStyle name="Normal 5 12 3 2" xfId="48295" xr:uid="{3CB4A538-BF84-4E74-A486-5D4DF879A014}"/>
    <cellStyle name="Normal 5 12 3 3" xfId="29699" xr:uid="{D762E07A-05F8-41F0-B6B4-A4BC6F41D552}"/>
    <cellStyle name="Normal 5 12 4" xfId="38998" xr:uid="{570FE6A4-526B-4D02-9A2A-B577C021137E}"/>
    <cellStyle name="Normal 5 12 5" xfId="20400" xr:uid="{02E3861E-AE79-46C3-B7BD-CA19440A81DB}"/>
    <cellStyle name="Normal 5 13" xfId="4779" xr:uid="{00000000-0005-0000-0000-0000E9160000}"/>
    <cellStyle name="Normal 5 13 2" xfId="14105" xr:uid="{3C13659B-31BD-4165-A0FF-17290E1E99F7}"/>
    <cellStyle name="Normal 5 13 2 2" xfId="50447" xr:uid="{79820F60-AF2D-4508-9E47-A5F984B4E436}"/>
    <cellStyle name="Normal 5 13 2 3" xfId="31851" xr:uid="{0B212AD5-1F74-4E5E-8818-AEE669F54E2D}"/>
    <cellStyle name="Normal 5 13 3" xfId="41150" xr:uid="{C38FC07A-0D56-4A9D-A583-48E4BE8C04E3}"/>
    <cellStyle name="Normal 5 13 4" xfId="22552" xr:uid="{D2848600-7F02-4361-9332-27DF73840B8B}"/>
    <cellStyle name="Normal 5 14" xfId="8741" xr:uid="{6467398C-BC57-47BF-AF01-9B3356F8431F}"/>
    <cellStyle name="Normal 5 14 2" xfId="35811" xr:uid="{6EACFEC6-CF66-4B3F-AE82-824C7F581F28}"/>
    <cellStyle name="Normal 5 14 2 2" xfId="54406" xr:uid="{6E8B290B-1D6A-44D1-A9BD-C7B82E4797DD}"/>
    <cellStyle name="Normal 5 14 3" xfId="45109" xr:uid="{C99B204E-C6FA-40C1-B569-346453118132}"/>
    <cellStyle name="Normal 5 14 4" xfId="26512" xr:uid="{7E6CA684-4101-4BE6-A437-B338381D1CCB}"/>
    <cellStyle name="Normal 5 15" xfId="9888" xr:uid="{5D87E986-4598-4BB3-88F6-93F784FD0049}"/>
    <cellStyle name="Normal 5 15 2" xfId="46230" xr:uid="{B8AE7596-E86C-4C53-A6E4-09BB2AABF397}"/>
    <cellStyle name="Normal 5 15 3" xfId="27634" xr:uid="{8169798E-3EF8-4A38-836A-22EA5B2D1647}"/>
    <cellStyle name="Normal 5 16" xfId="36933" xr:uid="{54BFE5FE-9649-4F33-80E9-7B129F6B0CBB}"/>
    <cellStyle name="Normal 5 17" xfId="18335" xr:uid="{9DABEF16-2B22-4E1D-AF83-A694EA1F6231}"/>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17903" xr:uid="{C9447E32-F705-406C-A93B-D2DCFF574DC0}"/>
    <cellStyle name="Normal 5 2 10 2 2 2 2" xfId="54245" xr:uid="{2AEEAC69-1CB4-4522-8802-B39E6C460411}"/>
    <cellStyle name="Normal 5 2 10 2 2 2 3" xfId="35649" xr:uid="{1C8C0B7B-EECA-487B-8A46-16473C499E85}"/>
    <cellStyle name="Normal 5 2 10 2 2 3" xfId="44948" xr:uid="{F18F31B3-AAA6-420B-82F7-95920535578D}"/>
    <cellStyle name="Normal 5 2 10 2 2 4" xfId="26350" xr:uid="{B84BFB81-0543-4320-A884-105EB8B9A2E2}"/>
    <cellStyle name="Normal 5 2 10 2 3" xfId="13686" xr:uid="{C4978E86-3D2D-416D-8EB0-CE4E3D9D21C7}"/>
    <cellStyle name="Normal 5 2 10 2 3 2" xfId="50028" xr:uid="{CC94EE7B-FECA-4A45-8A85-0ACA516564FC}"/>
    <cellStyle name="Normal 5 2 10 2 3 3" xfId="31432" xr:uid="{00BAE90F-B23C-4892-9A70-C394A903A668}"/>
    <cellStyle name="Normal 5 2 10 2 4" xfId="40731" xr:uid="{4EFA03CD-E604-40A2-A203-B274BE1BED90}"/>
    <cellStyle name="Normal 5 2 10 2 5" xfId="22133" xr:uid="{89B4C5FF-1A29-4A70-8C3A-10C3DFD0AC57}"/>
    <cellStyle name="Normal 5 2 10 3" xfId="6432" xr:uid="{00000000-0005-0000-0000-0000EE160000}"/>
    <cellStyle name="Normal 5 2 10 3 2" xfId="15758" xr:uid="{E56895C4-29EB-4F95-9EE0-86E9CE7AE6EC}"/>
    <cellStyle name="Normal 5 2 10 3 2 2" xfId="52100" xr:uid="{F2300E4C-C412-4FA1-ADCD-18E2DDFF3F78}"/>
    <cellStyle name="Normal 5 2 10 3 2 3" xfId="33504" xr:uid="{C57BA168-1B9E-4300-AC93-567567BC1C7F}"/>
    <cellStyle name="Normal 5 2 10 3 3" xfId="42803" xr:uid="{81C9EDB1-5881-4D27-8A66-CB01647CB746}"/>
    <cellStyle name="Normal 5 2 10 3 4" xfId="24205" xr:uid="{69A237A8-F7D3-450B-8ED7-FD86B802D46E}"/>
    <cellStyle name="Normal 5 2 10 4" xfId="11541" xr:uid="{61265FCF-F73D-4DEF-A3B3-F053A3D4B767}"/>
    <cellStyle name="Normal 5 2 10 4 2" xfId="47883" xr:uid="{239A4AD6-AE0C-4394-8072-63FE23E5446B}"/>
    <cellStyle name="Normal 5 2 10 4 3" xfId="29287" xr:uid="{D862BED1-234F-4D2F-BD0A-25A9F251478C}"/>
    <cellStyle name="Normal 5 2 10 5" xfId="38586" xr:uid="{2655E1DD-BD0E-4FC2-B282-83B058382ADB}"/>
    <cellStyle name="Normal 5 2 10 6" xfId="19988" xr:uid="{35190892-03E2-433B-B4A4-8A40FF04DC4A}"/>
    <cellStyle name="Normal 5 2 11" xfId="2562" xr:uid="{00000000-0005-0000-0000-0000EF160000}"/>
    <cellStyle name="Normal 5 2 11 2" xfId="6845" xr:uid="{00000000-0005-0000-0000-0000F0160000}"/>
    <cellStyle name="Normal 5 2 11 2 2" xfId="16171" xr:uid="{17E46C0E-DC85-4BDC-8EA8-10C0CBEAAE01}"/>
    <cellStyle name="Normal 5 2 11 2 2 2" xfId="52513" xr:uid="{F0B7A6F8-EAFE-42A8-B2B0-CD8CE50FA128}"/>
    <cellStyle name="Normal 5 2 11 2 2 3" xfId="33917" xr:uid="{4B940A00-A461-47EC-A928-21175B3298A0}"/>
    <cellStyle name="Normal 5 2 11 2 3" xfId="43216" xr:uid="{2B691D16-DED9-40B0-8B6C-B531C56CD944}"/>
    <cellStyle name="Normal 5 2 11 2 4" xfId="24618" xr:uid="{B504EB14-F6EE-4FC2-8116-17550525EF5A}"/>
    <cellStyle name="Normal 5 2 11 3" xfId="11954" xr:uid="{C7CEF66C-5793-4CF1-A8A6-792897F40D3D}"/>
    <cellStyle name="Normal 5 2 11 3 2" xfId="48296" xr:uid="{E876CB0C-9A74-42AB-B7BF-AF798331754D}"/>
    <cellStyle name="Normal 5 2 11 3 3" xfId="29700" xr:uid="{D1533A12-03C8-43A2-A8AE-A03D369C081D}"/>
    <cellStyle name="Normal 5 2 11 4" xfId="38999" xr:uid="{1646F216-0CD3-4B4E-AFB4-664CFFB68712}"/>
    <cellStyle name="Normal 5 2 11 5" xfId="20401" xr:uid="{5D580F60-CB5A-40EF-B7AC-F9D990AD55CE}"/>
    <cellStyle name="Normal 5 2 12" xfId="4780" xr:uid="{00000000-0005-0000-0000-0000F1160000}"/>
    <cellStyle name="Normal 5 2 12 2" xfId="14106" xr:uid="{61D7D2C4-7E2C-4123-8FBA-3D6718C8094A}"/>
    <cellStyle name="Normal 5 2 12 2 2" xfId="50448" xr:uid="{6AB0B66B-F731-4378-B563-5C12979ED768}"/>
    <cellStyle name="Normal 5 2 12 2 3" xfId="31852" xr:uid="{6403D53D-4D5C-4F45-A5D9-5B1B55E03BFF}"/>
    <cellStyle name="Normal 5 2 12 3" xfId="41151" xr:uid="{A4A6A738-8492-4A94-9320-1D5E5713F0C9}"/>
    <cellStyle name="Normal 5 2 12 4" xfId="22553" xr:uid="{9C4634D6-DA16-4289-9DC0-34E87898EB4B}"/>
    <cellStyle name="Normal 5 2 13" xfId="8744" xr:uid="{40D5DF2B-E9DF-4D52-AAE0-3E5A94050B59}"/>
    <cellStyle name="Normal 5 2 13 2" xfId="35814" xr:uid="{9633EE62-CF19-4507-8244-17A97C2B070A}"/>
    <cellStyle name="Normal 5 2 13 2 2" xfId="54409" xr:uid="{16FF71D2-7FAD-4232-A46B-D345B7A4B54C}"/>
    <cellStyle name="Normal 5 2 13 3" xfId="45112" xr:uid="{C3BEFB3D-3D69-4E24-B326-94A2D78C08A2}"/>
    <cellStyle name="Normal 5 2 13 4" xfId="26515" xr:uid="{97D15926-9C19-4A9B-8964-B9B994AA5BFF}"/>
    <cellStyle name="Normal 5 2 14" xfId="9889" xr:uid="{5933DE34-468A-4A82-9926-64421C301CBE}"/>
    <cellStyle name="Normal 5 2 14 2" xfId="46231" xr:uid="{676518A6-F3FC-45C6-ACCD-1E9B9FE0492C}"/>
    <cellStyle name="Normal 5 2 14 3" xfId="27635" xr:uid="{D24496AF-50C4-4CD1-B635-1647CE14F3E4}"/>
    <cellStyle name="Normal 5 2 15" xfId="36934" xr:uid="{AA6A7A55-3372-4017-9393-5C31443228C5}"/>
    <cellStyle name="Normal 5 2 16" xfId="18336" xr:uid="{E3D57043-E90A-4CC5-A382-E725F287A047}"/>
    <cellStyle name="Normal 5 2 2" xfId="408" xr:uid="{00000000-0005-0000-0000-0000F2160000}"/>
    <cellStyle name="Normal 5 2 2 10" xfId="2563" xr:uid="{00000000-0005-0000-0000-0000F3160000}"/>
    <cellStyle name="Normal 5 2 2 10 2" xfId="6846" xr:uid="{00000000-0005-0000-0000-0000F4160000}"/>
    <cellStyle name="Normal 5 2 2 10 2 2" xfId="16172" xr:uid="{F5171D7B-B572-4E58-AF65-2926B5FD85DA}"/>
    <cellStyle name="Normal 5 2 2 10 2 2 2" xfId="52514" xr:uid="{23595E94-1D89-4028-89DA-32859FD11CF7}"/>
    <cellStyle name="Normal 5 2 2 10 2 2 3" xfId="33918" xr:uid="{5B4EA475-44DD-4A97-9C25-258A86A7AC95}"/>
    <cellStyle name="Normal 5 2 2 10 2 3" xfId="43217" xr:uid="{0BECA5E8-C66B-479C-9328-B66B0552C180}"/>
    <cellStyle name="Normal 5 2 2 10 2 4" xfId="24619" xr:uid="{8302C0DE-F966-4D02-9FF1-2717E32BFAED}"/>
    <cellStyle name="Normal 5 2 2 10 3" xfId="11955" xr:uid="{B2CAB464-E438-408E-B767-67E89355FB36}"/>
    <cellStyle name="Normal 5 2 2 10 3 2" xfId="48297" xr:uid="{AC909632-6D9D-4351-B927-19C6F0C19B51}"/>
    <cellStyle name="Normal 5 2 2 10 3 3" xfId="29701" xr:uid="{5578B94E-990E-4FEE-BC97-8BA9B7381426}"/>
    <cellStyle name="Normal 5 2 2 10 4" xfId="39000" xr:uid="{0D4B6A27-7061-48D6-BEA5-476F6F196E7B}"/>
    <cellStyle name="Normal 5 2 2 10 5" xfId="20402" xr:uid="{40F49DAD-CCCC-4E3B-8B19-2D8D5B9A2E52}"/>
    <cellStyle name="Normal 5 2 2 11" xfId="4781" xr:uid="{00000000-0005-0000-0000-0000F5160000}"/>
    <cellStyle name="Normal 5 2 2 11 2" xfId="14107" xr:uid="{0C25B5DA-A47B-4573-894B-57B95C5F7139}"/>
    <cellStyle name="Normal 5 2 2 11 2 2" xfId="50449" xr:uid="{C7F30E53-AE27-499B-9D88-1978DF438D3B}"/>
    <cellStyle name="Normal 5 2 2 11 2 3" xfId="31853" xr:uid="{A703CE16-E5DF-4B87-86B6-EE521BAB7206}"/>
    <cellStyle name="Normal 5 2 2 11 3" xfId="41152" xr:uid="{D31ABD39-1667-464F-82C0-05E7278E0CF4}"/>
    <cellStyle name="Normal 5 2 2 11 4" xfId="22554" xr:uid="{40A52932-9954-42CE-ABA2-1055A4F79875}"/>
    <cellStyle name="Normal 5 2 2 12" xfId="8753" xr:uid="{96D04E2F-D92F-448D-9FDA-8261D8BEE094}"/>
    <cellStyle name="Normal 5 2 2 12 2" xfId="35823" xr:uid="{897041E4-D26B-4F05-AD7C-E093E38E9F36}"/>
    <cellStyle name="Normal 5 2 2 12 2 2" xfId="54418" xr:uid="{985FDC76-693C-4D48-9A1E-5550801C4452}"/>
    <cellStyle name="Normal 5 2 2 12 3" xfId="45121" xr:uid="{BA339A7B-4E0E-45CE-AD71-2DEBCD90169D}"/>
    <cellStyle name="Normal 5 2 2 12 4" xfId="26524" xr:uid="{AC6E355D-997A-42B3-A2A2-6DDFD626203E}"/>
    <cellStyle name="Normal 5 2 2 13" xfId="9890" xr:uid="{A5A7CB81-E612-451B-B20E-BD477A4924CC}"/>
    <cellStyle name="Normal 5 2 2 13 2" xfId="46232" xr:uid="{9D2D6B11-F74A-46DB-9856-FA36FD19B9B1}"/>
    <cellStyle name="Normal 5 2 2 13 3" xfId="27636" xr:uid="{C9F11267-1362-4E6E-AF5F-8FF6BA30F9ED}"/>
    <cellStyle name="Normal 5 2 2 14" xfId="36935" xr:uid="{7C1C55FD-E451-4420-AC11-E7919D493305}"/>
    <cellStyle name="Normal 5 2 2 15" xfId="18337" xr:uid="{D2537041-4E61-419E-9F97-0FACE2003BAE}"/>
    <cellStyle name="Normal 5 2 2 2" xfId="409" xr:uid="{00000000-0005-0000-0000-0000F6160000}"/>
    <cellStyle name="Normal 5 2 2 2 10" xfId="4782" xr:uid="{00000000-0005-0000-0000-0000F7160000}"/>
    <cellStyle name="Normal 5 2 2 2 10 2" xfId="14108" xr:uid="{469E2EC6-64D0-4264-B2D3-1E2942AA53D3}"/>
    <cellStyle name="Normal 5 2 2 2 10 2 2" xfId="50450" xr:uid="{28533B5A-5153-42B8-9286-42B3E75409AC}"/>
    <cellStyle name="Normal 5 2 2 2 10 2 3" xfId="31854" xr:uid="{97855662-844B-401A-B2F7-1255D62B19B5}"/>
    <cellStyle name="Normal 5 2 2 2 10 3" xfId="41153" xr:uid="{9E102CA8-5DB3-4A51-BB57-E1693C310AA4}"/>
    <cellStyle name="Normal 5 2 2 2 10 4" xfId="22555" xr:uid="{4DFE264D-340A-4B0A-8153-992581D6372F}"/>
    <cellStyle name="Normal 5 2 2 2 11" xfId="8771" xr:uid="{0E58ED1C-12F1-4692-801F-170CA6F7CBDB}"/>
    <cellStyle name="Normal 5 2 2 2 11 2" xfId="35841" xr:uid="{4CD01880-17E5-4828-B3C4-FA13DB739340}"/>
    <cellStyle name="Normal 5 2 2 2 11 2 2" xfId="54436" xr:uid="{470EE169-6C54-49BE-A373-44EFF886B163}"/>
    <cellStyle name="Normal 5 2 2 2 11 3" xfId="45139" xr:uid="{7E63F182-E965-4BBB-9287-FBD1F0399F16}"/>
    <cellStyle name="Normal 5 2 2 2 11 4" xfId="26542" xr:uid="{284C0F60-60C6-4F18-9771-9D92F6D05F4A}"/>
    <cellStyle name="Normal 5 2 2 2 12" xfId="9891" xr:uid="{1B1F9820-94E6-432F-9556-FBE9B2D7DF85}"/>
    <cellStyle name="Normal 5 2 2 2 12 2" xfId="46233" xr:uid="{09C461F7-E00B-4A21-A33E-3EC1DAFD8DED}"/>
    <cellStyle name="Normal 5 2 2 2 12 3" xfId="27637" xr:uid="{643823CE-53A4-483F-8D90-36C500789A04}"/>
    <cellStyle name="Normal 5 2 2 2 13" xfId="36936" xr:uid="{46AC2A74-E576-4861-8753-8A5C9ECA5BB1}"/>
    <cellStyle name="Normal 5 2 2 2 14" xfId="18338" xr:uid="{8E88BC28-A1FF-4A52-AAD5-5440BDF5BC3A}"/>
    <cellStyle name="Normal 5 2 2 2 2" xfId="410" xr:uid="{00000000-0005-0000-0000-0000F8160000}"/>
    <cellStyle name="Normal 5 2 2 2 2 10" xfId="8829" xr:uid="{AC161972-21E9-4E03-8D2E-9F95632CB08D}"/>
    <cellStyle name="Normal 5 2 2 2 2 10 2" xfId="35899" xr:uid="{59D506AA-6942-4ED5-B00D-8A3A37112AE6}"/>
    <cellStyle name="Normal 5 2 2 2 2 10 2 2" xfId="54494" xr:uid="{CCDB7AB5-18B5-4C11-A260-2FA83AE5FF8D}"/>
    <cellStyle name="Normal 5 2 2 2 2 10 3" xfId="45197" xr:uid="{831A86E6-4801-425C-9C87-6A7B392D68E8}"/>
    <cellStyle name="Normal 5 2 2 2 2 10 4" xfId="26600" xr:uid="{F21073B5-1FC8-4BD9-BAF7-44E577BC3B05}"/>
    <cellStyle name="Normal 5 2 2 2 2 11" xfId="9892" xr:uid="{F4D9B5E2-6B7F-4385-B424-E81F6A71CC16}"/>
    <cellStyle name="Normal 5 2 2 2 2 11 2" xfId="46234" xr:uid="{F19D8908-685D-4C42-BA9D-0CCE968DA0AA}"/>
    <cellStyle name="Normal 5 2 2 2 2 11 3" xfId="27638" xr:uid="{CC26B2B7-FBC3-4E77-8B23-3069258EFC0F}"/>
    <cellStyle name="Normal 5 2 2 2 2 12" xfId="36937" xr:uid="{4C5193FF-51A5-47DC-97FB-855126414F98}"/>
    <cellStyle name="Normal 5 2 2 2 2 13" xfId="18339" xr:uid="{9A288AD3-5567-4CDE-801C-7B61DF69F3DA}"/>
    <cellStyle name="Normal 5 2 2 2 2 2" xfId="411" xr:uid="{00000000-0005-0000-0000-0000F9160000}"/>
    <cellStyle name="Normal 5 2 2 2 2 2 10" xfId="9893" xr:uid="{BB8AD047-61E0-478E-B91C-429CC1CBCF20}"/>
    <cellStyle name="Normal 5 2 2 2 2 2 10 2" xfId="46235" xr:uid="{20817839-0DC5-4F10-9DFE-B518818F9E77}"/>
    <cellStyle name="Normal 5 2 2 2 2 2 10 3" xfId="27639" xr:uid="{F5EAA5D8-7F58-490B-8E2C-4635FDFF1D33}"/>
    <cellStyle name="Normal 5 2 2 2 2 2 11" xfId="36938" xr:uid="{9519B8F0-4780-47EE-9FB3-83638C74D32B}"/>
    <cellStyle name="Normal 5 2 2 2 2 2 12" xfId="18340" xr:uid="{EF2FDE57-04C9-4DDC-A0B2-0788E545C88B}"/>
    <cellStyle name="Normal 5 2 2 2 2 2 2" xfId="412" xr:uid="{00000000-0005-0000-0000-0000FA160000}"/>
    <cellStyle name="Normal 5 2 2 2 2 2 2 10" xfId="36939" xr:uid="{BBA9C77F-67BE-41CC-9A9E-AAE13C10AAB6}"/>
    <cellStyle name="Normal 5 2 2 2 2 2 2 11" xfId="18341" xr:uid="{AD6CAF21-723A-4362-BDAC-20A9E3BB8F8A}"/>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16669" xr:uid="{BF13CDE9-B507-4705-9AB2-9EFBED15DB34}"/>
    <cellStyle name="Normal 5 2 2 2 2 2 2 2 2 2 2 2" xfId="53011" xr:uid="{FDB7EC6F-4C80-4F09-BD3A-8D047B5680A5}"/>
    <cellStyle name="Normal 5 2 2 2 2 2 2 2 2 2 2 3" xfId="34415" xr:uid="{DC3DE95A-0FBF-42A9-B68E-3B19A6B5864A}"/>
    <cellStyle name="Normal 5 2 2 2 2 2 2 2 2 2 3" xfId="43714" xr:uid="{3D848B4C-1114-4FD7-A170-B82066A3E6D9}"/>
    <cellStyle name="Normal 5 2 2 2 2 2 2 2 2 2 4" xfId="25116" xr:uid="{098C85B8-4876-42C1-A891-2484BD2F126F}"/>
    <cellStyle name="Normal 5 2 2 2 2 2 2 2 2 3" xfId="12452" xr:uid="{79902719-1891-4644-B5E6-1586651BC778}"/>
    <cellStyle name="Normal 5 2 2 2 2 2 2 2 2 3 2" xfId="48794" xr:uid="{CADA5188-72B4-4B73-99AF-0762C0DB7E29}"/>
    <cellStyle name="Normal 5 2 2 2 2 2 2 2 2 3 3" xfId="30198" xr:uid="{43308156-A0A8-499D-8B63-EBA28D9FBAE3}"/>
    <cellStyle name="Normal 5 2 2 2 2 2 2 2 2 4" xfId="39497" xr:uid="{F757774D-F1FC-49C5-9ECC-C98E54487F3F}"/>
    <cellStyle name="Normal 5 2 2 2 2 2 2 2 2 5" xfId="20899" xr:uid="{A95DCDDB-780F-4FBD-8585-F7A2CDA798A1}"/>
    <cellStyle name="Normal 5 2 2 2 2 2 2 2 3" xfId="5198" xr:uid="{00000000-0005-0000-0000-0000FE160000}"/>
    <cellStyle name="Normal 5 2 2 2 2 2 2 2 3 2" xfId="14524" xr:uid="{6578B283-3E80-4BF1-8845-D25B907F9AC8}"/>
    <cellStyle name="Normal 5 2 2 2 2 2 2 2 3 2 2" xfId="50866" xr:uid="{BC2B321B-4FD3-4D93-98CF-D73FDE920CF9}"/>
    <cellStyle name="Normal 5 2 2 2 2 2 2 2 3 2 3" xfId="32270" xr:uid="{E2569E81-854F-4115-AE56-F7D83B94D8B6}"/>
    <cellStyle name="Normal 5 2 2 2 2 2 2 2 3 3" xfId="41569" xr:uid="{0CC486E8-9D9F-4776-BE7F-C7C74619CF6D}"/>
    <cellStyle name="Normal 5 2 2 2 2 2 2 2 3 4" xfId="22971" xr:uid="{1B867EA2-3E5E-43BD-A073-160F2C83C1A5}"/>
    <cellStyle name="Normal 5 2 2 2 2 2 2 2 4" xfId="9564" xr:uid="{15884BE4-44C0-46E7-A184-FC102AAADEB4}"/>
    <cellStyle name="Normal 5 2 2 2 2 2 2 2 4 2" xfId="36625" xr:uid="{4B5F6258-40FD-4DE6-9673-E767323503B0}"/>
    <cellStyle name="Normal 5 2 2 2 2 2 2 2 4 2 2" xfId="55219" xr:uid="{80456B09-2ABB-469C-9160-344D9C1DA64B}"/>
    <cellStyle name="Normal 5 2 2 2 2 2 2 2 4 3" xfId="45922" xr:uid="{08364E27-6DFF-46C4-B037-4F8CA484B95B}"/>
    <cellStyle name="Normal 5 2 2 2 2 2 2 2 4 4" xfId="27326" xr:uid="{0E67D840-893E-4357-A410-4791FAC927EB}"/>
    <cellStyle name="Normal 5 2 2 2 2 2 2 2 5" xfId="10307" xr:uid="{16B909F1-8DBF-433D-9B0F-9A35ADAF52BE}"/>
    <cellStyle name="Normal 5 2 2 2 2 2 2 2 5 2" xfId="46649" xr:uid="{A48219E9-E62E-407E-A79F-37167E806B76}"/>
    <cellStyle name="Normal 5 2 2 2 2 2 2 2 5 3" xfId="28053" xr:uid="{C6011287-9E27-4ED0-BBDD-8977D3C7FAAD}"/>
    <cellStyle name="Normal 5 2 2 2 2 2 2 2 6" xfId="37352" xr:uid="{9ACF865F-A127-4111-86C4-5F56E5B6F51D}"/>
    <cellStyle name="Normal 5 2 2 2 2 2 2 2 7" xfId="18754" xr:uid="{B49C3AA6-A43F-4DC9-B1DD-5941E5BE7AF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17082" xr:uid="{8E75A122-D77C-42B0-8C76-2CD974FB26C9}"/>
    <cellStyle name="Normal 5 2 2 2 2 2 2 3 2 2 2 2" xfId="53424" xr:uid="{67122311-8CA6-475B-8C45-3A560C6F4745}"/>
    <cellStyle name="Normal 5 2 2 2 2 2 2 3 2 2 2 3" xfId="34828" xr:uid="{049B365F-2728-407F-B4FE-960D9BD6C1D6}"/>
    <cellStyle name="Normal 5 2 2 2 2 2 2 3 2 2 3" xfId="44127" xr:uid="{D447A15F-7D3C-4457-9B43-0B84B7E1351A}"/>
    <cellStyle name="Normal 5 2 2 2 2 2 2 3 2 2 4" xfId="25529" xr:uid="{DAADEB9C-7B83-429A-B748-956EA9DE7341}"/>
    <cellStyle name="Normal 5 2 2 2 2 2 2 3 2 3" xfId="12865" xr:uid="{AA6333DA-07F1-4267-AB62-B22E99E50001}"/>
    <cellStyle name="Normal 5 2 2 2 2 2 2 3 2 3 2" xfId="49207" xr:uid="{9E065D0A-2EAB-4EDF-84BE-00891031BDE7}"/>
    <cellStyle name="Normal 5 2 2 2 2 2 2 3 2 3 3" xfId="30611" xr:uid="{7A4F9AA5-920D-4CA6-9944-54FFCC9D1647}"/>
    <cellStyle name="Normal 5 2 2 2 2 2 2 3 2 4" xfId="39910" xr:uid="{6DCEB4F3-757C-4FD5-8FA2-5DECB77D9F98}"/>
    <cellStyle name="Normal 5 2 2 2 2 2 2 3 2 5" xfId="21312" xr:uid="{E2A66D6E-0801-4BD2-9A9A-99DEB1F18F7B}"/>
    <cellStyle name="Normal 5 2 2 2 2 2 2 3 3" xfId="5611" xr:uid="{00000000-0005-0000-0000-000002170000}"/>
    <cellStyle name="Normal 5 2 2 2 2 2 2 3 3 2" xfId="14937" xr:uid="{3D49D058-2A0B-479F-98EB-F18FE6F35616}"/>
    <cellStyle name="Normal 5 2 2 2 2 2 2 3 3 2 2" xfId="51279" xr:uid="{5DDD0D7E-2812-4185-8D7C-33615722200A}"/>
    <cellStyle name="Normal 5 2 2 2 2 2 2 3 3 2 3" xfId="32683" xr:uid="{15833A66-6B85-4C4E-8018-4046BFD515C1}"/>
    <cellStyle name="Normal 5 2 2 2 2 2 2 3 3 3" xfId="41982" xr:uid="{3F6C3299-E15E-4E56-87C6-E9B0C4D3A7C6}"/>
    <cellStyle name="Normal 5 2 2 2 2 2 2 3 3 4" xfId="23384" xr:uid="{22FB0F2D-B28D-4768-8AB0-893E5F35579D}"/>
    <cellStyle name="Normal 5 2 2 2 2 2 2 3 4" xfId="10720" xr:uid="{447413D7-5C02-45BA-85B6-EF1376B48D20}"/>
    <cellStyle name="Normal 5 2 2 2 2 2 2 3 4 2" xfId="47062" xr:uid="{4EFAD72F-C329-4227-8A96-00C5F03E439D}"/>
    <cellStyle name="Normal 5 2 2 2 2 2 2 3 4 3" xfId="28466" xr:uid="{1AFEA2A0-CB22-4F8C-9BA9-0FD352B37AF2}"/>
    <cellStyle name="Normal 5 2 2 2 2 2 2 3 5" xfId="37765" xr:uid="{903EEC11-98E8-4B43-A4F6-2AA2E91CA824}"/>
    <cellStyle name="Normal 5 2 2 2 2 2 2 3 6" xfId="19167" xr:uid="{BA724441-13A6-44F7-967C-080F314BBF34}"/>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17495" xr:uid="{A519E1A0-F36B-476B-BD89-B92779D75B69}"/>
    <cellStyle name="Normal 5 2 2 2 2 2 2 4 2 2 2 2" xfId="53837" xr:uid="{78E4C64E-3D38-4A9D-9355-6A1E100E2906}"/>
    <cellStyle name="Normal 5 2 2 2 2 2 2 4 2 2 2 3" xfId="35241" xr:uid="{E7BF331E-0413-4CB0-9096-F001F75C9B50}"/>
    <cellStyle name="Normal 5 2 2 2 2 2 2 4 2 2 3" xfId="44540" xr:uid="{DC34FAE6-50E8-4CF8-A02A-C97F565A075D}"/>
    <cellStyle name="Normal 5 2 2 2 2 2 2 4 2 2 4" xfId="25942" xr:uid="{D4AC31AA-0031-4206-96E8-8FC80A0A46D3}"/>
    <cellStyle name="Normal 5 2 2 2 2 2 2 4 2 3" xfId="13278" xr:uid="{13A80536-7214-4A88-8511-86474716E6C8}"/>
    <cellStyle name="Normal 5 2 2 2 2 2 2 4 2 3 2" xfId="49620" xr:uid="{9B325ADE-3CC1-4BF9-AD0F-0B5A269E87A1}"/>
    <cellStyle name="Normal 5 2 2 2 2 2 2 4 2 3 3" xfId="31024" xr:uid="{96C68DC7-254B-4203-95EF-47CCCAAB3EBA}"/>
    <cellStyle name="Normal 5 2 2 2 2 2 2 4 2 4" xfId="40323" xr:uid="{C6979F48-D720-4816-BD87-402A71F0A22E}"/>
    <cellStyle name="Normal 5 2 2 2 2 2 2 4 2 5" xfId="21725" xr:uid="{E57F1DC4-A04E-4369-9047-80027738D75F}"/>
    <cellStyle name="Normal 5 2 2 2 2 2 2 4 3" xfId="6024" xr:uid="{00000000-0005-0000-0000-000006170000}"/>
    <cellStyle name="Normal 5 2 2 2 2 2 2 4 3 2" xfId="15350" xr:uid="{5C62E996-3A1A-4033-A013-1E587579E025}"/>
    <cellStyle name="Normal 5 2 2 2 2 2 2 4 3 2 2" xfId="51692" xr:uid="{54EFB55B-17FE-4566-809C-81596666DFA8}"/>
    <cellStyle name="Normal 5 2 2 2 2 2 2 4 3 2 3" xfId="33096" xr:uid="{2BDFE453-D259-4388-8FCE-8B84A3059536}"/>
    <cellStyle name="Normal 5 2 2 2 2 2 2 4 3 3" xfId="42395" xr:uid="{29381C4C-83A7-4ECA-A330-FF943812B954}"/>
    <cellStyle name="Normal 5 2 2 2 2 2 2 4 3 4" xfId="23797" xr:uid="{E9D46C36-024F-42F2-881D-549E6111B69D}"/>
    <cellStyle name="Normal 5 2 2 2 2 2 2 4 4" xfId="11133" xr:uid="{657D1D8D-7D24-4AF7-9B27-46B5F0E2C730}"/>
    <cellStyle name="Normal 5 2 2 2 2 2 2 4 4 2" xfId="47475" xr:uid="{FD80282D-F6F8-4949-B883-CF96EF414DB4}"/>
    <cellStyle name="Normal 5 2 2 2 2 2 2 4 4 3" xfId="28879" xr:uid="{ED58B963-C179-4195-A006-CD14A1625D02}"/>
    <cellStyle name="Normal 5 2 2 2 2 2 2 4 5" xfId="38178" xr:uid="{3627C47E-AABC-4608-9E08-4F4EA39AE113}"/>
    <cellStyle name="Normal 5 2 2 2 2 2 2 4 6" xfId="19580" xr:uid="{978662E0-DE3C-4F2C-80FC-318BBDD5DDF2}"/>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17908" xr:uid="{81C0C207-316B-47ED-A14D-8D985292B4F8}"/>
    <cellStyle name="Normal 5 2 2 2 2 2 2 5 2 2 2 2" xfId="54250" xr:uid="{4B374C72-702D-419E-92F8-C58EF68CF897}"/>
    <cellStyle name="Normal 5 2 2 2 2 2 2 5 2 2 2 3" xfId="35654" xr:uid="{D045CB4F-B698-4159-9D64-A9CE379E2EC4}"/>
    <cellStyle name="Normal 5 2 2 2 2 2 2 5 2 2 3" xfId="44953" xr:uid="{86CF952D-4FE0-4627-9EF7-D03CFD26FEA3}"/>
    <cellStyle name="Normal 5 2 2 2 2 2 2 5 2 2 4" xfId="26355" xr:uid="{C87E48FD-99F5-434E-9BFF-C975FC1134E9}"/>
    <cellStyle name="Normal 5 2 2 2 2 2 2 5 2 3" xfId="13691" xr:uid="{83AF7ECD-AED8-4B91-8F86-4401CDFD6A78}"/>
    <cellStyle name="Normal 5 2 2 2 2 2 2 5 2 3 2" xfId="50033" xr:uid="{5AF8923F-B6EE-4824-9C10-A891730FE015}"/>
    <cellStyle name="Normal 5 2 2 2 2 2 2 5 2 3 3" xfId="31437" xr:uid="{2919B72C-E0F0-4AF7-913E-63EA449C9C35}"/>
    <cellStyle name="Normal 5 2 2 2 2 2 2 5 2 4" xfId="40736" xr:uid="{527D3163-8B6A-41C3-B848-3A83FC75D559}"/>
    <cellStyle name="Normal 5 2 2 2 2 2 2 5 2 5" xfId="22138" xr:uid="{08E13053-0D83-4B73-B4BA-8F2A4B713F5F}"/>
    <cellStyle name="Normal 5 2 2 2 2 2 2 5 3" xfId="6437" xr:uid="{00000000-0005-0000-0000-00000A170000}"/>
    <cellStyle name="Normal 5 2 2 2 2 2 2 5 3 2" xfId="15763" xr:uid="{8F66878B-A4CF-4620-A5DB-E21E42991922}"/>
    <cellStyle name="Normal 5 2 2 2 2 2 2 5 3 2 2" xfId="52105" xr:uid="{4729BD32-7BAD-4E92-AB1C-0CD7EE7A8EF1}"/>
    <cellStyle name="Normal 5 2 2 2 2 2 2 5 3 2 3" xfId="33509" xr:uid="{169C49BF-8E58-43C7-8923-298F226856A0}"/>
    <cellStyle name="Normal 5 2 2 2 2 2 2 5 3 3" xfId="42808" xr:uid="{02528D0B-8E5C-46D4-9DED-F571393FAEBF}"/>
    <cellStyle name="Normal 5 2 2 2 2 2 2 5 3 4" xfId="24210" xr:uid="{3C4A1584-3AE9-4DF6-B5AE-BB75D4574BF1}"/>
    <cellStyle name="Normal 5 2 2 2 2 2 2 5 4" xfId="11546" xr:uid="{0ADA81D3-5BEB-4357-9BB7-E328F3CBF9F4}"/>
    <cellStyle name="Normal 5 2 2 2 2 2 2 5 4 2" xfId="47888" xr:uid="{786C1CFA-B308-44EE-90F1-CFDA99F874A7}"/>
    <cellStyle name="Normal 5 2 2 2 2 2 2 5 4 3" xfId="29292" xr:uid="{2C2AAB3A-3886-47E0-8D57-19E847BB2B11}"/>
    <cellStyle name="Normal 5 2 2 2 2 2 2 5 5" xfId="38591" xr:uid="{698382A5-90BB-45AB-8F13-D01E80B147AE}"/>
    <cellStyle name="Normal 5 2 2 2 2 2 2 5 6" xfId="19993" xr:uid="{BF818510-9262-4B86-A25F-DC7128F3FC43}"/>
    <cellStyle name="Normal 5 2 2 2 2 2 2 6" xfId="2567" xr:uid="{00000000-0005-0000-0000-00000B170000}"/>
    <cellStyle name="Normal 5 2 2 2 2 2 2 6 2" xfId="6850" xr:uid="{00000000-0005-0000-0000-00000C170000}"/>
    <cellStyle name="Normal 5 2 2 2 2 2 2 6 2 2" xfId="16176" xr:uid="{B9A28D4D-A688-473E-A62B-B6359EE7EB12}"/>
    <cellStyle name="Normal 5 2 2 2 2 2 2 6 2 2 2" xfId="52518" xr:uid="{64C05F37-B479-461F-B901-3A96A60DDC96}"/>
    <cellStyle name="Normal 5 2 2 2 2 2 2 6 2 2 3" xfId="33922" xr:uid="{C0DCC3C2-C34B-4909-8FE2-BCB84B8470D0}"/>
    <cellStyle name="Normal 5 2 2 2 2 2 2 6 2 3" xfId="43221" xr:uid="{A0E6F70E-88C9-4ACF-A8C4-015AB2277121}"/>
    <cellStyle name="Normal 5 2 2 2 2 2 2 6 2 4" xfId="24623" xr:uid="{722133DC-D50A-4E30-B068-D9771CBE1EB1}"/>
    <cellStyle name="Normal 5 2 2 2 2 2 2 6 3" xfId="11959" xr:uid="{D4F4DD7B-6D47-49D6-8AE9-4845FB87AF45}"/>
    <cellStyle name="Normal 5 2 2 2 2 2 2 6 3 2" xfId="48301" xr:uid="{0BB21DD2-B6BD-4897-9110-ED17EAA760F7}"/>
    <cellStyle name="Normal 5 2 2 2 2 2 2 6 3 3" xfId="29705" xr:uid="{3BC7E4AB-452D-4141-B854-7E9799B498A6}"/>
    <cellStyle name="Normal 5 2 2 2 2 2 2 6 4" xfId="39004" xr:uid="{81101992-41B5-4CD1-93B8-521333F97024}"/>
    <cellStyle name="Normal 5 2 2 2 2 2 2 6 5" xfId="20406" xr:uid="{67C4DC85-83F0-4CE0-9C6E-71AC89E520E1}"/>
    <cellStyle name="Normal 5 2 2 2 2 2 2 7" xfId="4785" xr:uid="{00000000-0005-0000-0000-00000D170000}"/>
    <cellStyle name="Normal 5 2 2 2 2 2 2 7 2" xfId="14111" xr:uid="{7EC7BCA6-2FD1-4194-A1F6-EB4E0FE95CBF}"/>
    <cellStyle name="Normal 5 2 2 2 2 2 2 7 2 2" xfId="50453" xr:uid="{D9B50737-9AEF-44F5-B682-1EDBBD2F4A2F}"/>
    <cellStyle name="Normal 5 2 2 2 2 2 2 7 2 3" xfId="31857" xr:uid="{5A022E0E-4FAB-4023-9C7E-869B1040B00B}"/>
    <cellStyle name="Normal 5 2 2 2 2 2 2 7 3" xfId="41156" xr:uid="{40073620-A873-4FB0-8E67-D963E3AB6048}"/>
    <cellStyle name="Normal 5 2 2 2 2 2 2 7 4" xfId="22558" xr:uid="{C71C3730-8958-4C04-BDFC-2D55A0D3D854}"/>
    <cellStyle name="Normal 5 2 2 2 2 2 2 8" xfId="9139" xr:uid="{CFCC7179-F81D-4929-81F2-C6E64655A093}"/>
    <cellStyle name="Normal 5 2 2 2 2 2 2 8 2" xfId="36209" xr:uid="{C29AF979-7DF1-489C-93F2-722A3FE84ACE}"/>
    <cellStyle name="Normal 5 2 2 2 2 2 2 8 2 2" xfId="54804" xr:uid="{89BA77B2-D192-4A7A-82C6-3F90AC613693}"/>
    <cellStyle name="Normal 5 2 2 2 2 2 2 8 3" xfId="45507" xr:uid="{30EB0AD2-9C96-47C0-A748-7F6F9EA01165}"/>
    <cellStyle name="Normal 5 2 2 2 2 2 2 8 4" xfId="26910" xr:uid="{9724A01F-D916-46FE-AE81-767B89632704}"/>
    <cellStyle name="Normal 5 2 2 2 2 2 2 9" xfId="9894" xr:uid="{B64DFCCF-0194-4E84-9F8F-92C53BF6A1F1}"/>
    <cellStyle name="Normal 5 2 2 2 2 2 2 9 2" xfId="46236" xr:uid="{DC009C31-96AF-4CC8-9688-D94B734D7D41}"/>
    <cellStyle name="Normal 5 2 2 2 2 2 2 9 3" xfId="27640" xr:uid="{7EE346B2-43A7-4264-A375-C71F9CBD986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16668" xr:uid="{6126609F-8589-4C19-97FE-0AEB3A147BE5}"/>
    <cellStyle name="Normal 5 2 2 2 2 2 3 2 2 2 2" xfId="53010" xr:uid="{DC0E334B-5DBF-4FE8-98DA-DC09E2D9983A}"/>
    <cellStyle name="Normal 5 2 2 2 2 2 3 2 2 2 3" xfId="34414" xr:uid="{6A33FCFC-6DCE-452A-B64E-5502582ACD1B}"/>
    <cellStyle name="Normal 5 2 2 2 2 2 3 2 2 3" xfId="43713" xr:uid="{E9DCDB45-9471-4B3C-9B2C-C84955BB8B64}"/>
    <cellStyle name="Normal 5 2 2 2 2 2 3 2 2 4" xfId="25115" xr:uid="{0898CBE5-E6FA-4729-9B2F-E8680404F963}"/>
    <cellStyle name="Normal 5 2 2 2 2 2 3 2 3" xfId="12451" xr:uid="{08CA3433-0F79-4558-819B-7594D291FF73}"/>
    <cellStyle name="Normal 5 2 2 2 2 2 3 2 3 2" xfId="48793" xr:uid="{C6F03DC2-2E77-4562-A829-9396E1D34ADA}"/>
    <cellStyle name="Normal 5 2 2 2 2 2 3 2 3 3" xfId="30197" xr:uid="{9F8AF614-D334-43D3-AB7D-B8C4F684DA6F}"/>
    <cellStyle name="Normal 5 2 2 2 2 2 3 2 4" xfId="39496" xr:uid="{0C5330F3-50F6-45A3-B5FA-A4761A78F962}"/>
    <cellStyle name="Normal 5 2 2 2 2 2 3 2 5" xfId="20898" xr:uid="{88E28D0D-C321-4E62-AD5D-5DDE0F9F43B0}"/>
    <cellStyle name="Normal 5 2 2 2 2 2 3 3" xfId="5197" xr:uid="{00000000-0005-0000-0000-000011170000}"/>
    <cellStyle name="Normal 5 2 2 2 2 2 3 3 2" xfId="14523" xr:uid="{7DAA0A8E-30C6-4C1E-A73F-39EF82483F10}"/>
    <cellStyle name="Normal 5 2 2 2 2 2 3 3 2 2" xfId="50865" xr:uid="{6FED3CD7-F418-4FDA-AEB8-FAC424F9D8A1}"/>
    <cellStyle name="Normal 5 2 2 2 2 2 3 3 2 3" xfId="32269" xr:uid="{79222CE0-A24C-45A4-9209-29036F2707D5}"/>
    <cellStyle name="Normal 5 2 2 2 2 2 3 3 3" xfId="41568" xr:uid="{6A3CB96D-C04E-4BF2-B7D8-90D4A528746D}"/>
    <cellStyle name="Normal 5 2 2 2 2 2 3 3 4" xfId="22970" xr:uid="{D24C7371-3389-4912-949A-DEBDD331D73A}"/>
    <cellStyle name="Normal 5 2 2 2 2 2 3 4" xfId="9357" xr:uid="{1809EB60-9E69-4954-99A5-643CD830C5FB}"/>
    <cellStyle name="Normal 5 2 2 2 2 2 3 4 2" xfId="36418" xr:uid="{B8286C6B-461F-4600-899A-C9F57516E435}"/>
    <cellStyle name="Normal 5 2 2 2 2 2 3 4 2 2" xfId="55012" xr:uid="{1DD8DF2B-0BB1-4560-83E9-384AFDD95A48}"/>
    <cellStyle name="Normal 5 2 2 2 2 2 3 4 3" xfId="45715" xr:uid="{C7F46F9F-51EC-41BA-A397-E52E5EA27A1E}"/>
    <cellStyle name="Normal 5 2 2 2 2 2 3 4 4" xfId="27119" xr:uid="{233CC0B6-A6E9-4F2E-BA68-18EC285F683E}"/>
    <cellStyle name="Normal 5 2 2 2 2 2 3 5" xfId="10306" xr:uid="{B535173A-8ED8-49E1-A5F4-FC9510A58C34}"/>
    <cellStyle name="Normal 5 2 2 2 2 2 3 5 2" xfId="46648" xr:uid="{30E3AF80-D0DD-42FB-A5CA-569412DE3389}"/>
    <cellStyle name="Normal 5 2 2 2 2 2 3 5 3" xfId="28052" xr:uid="{828CE810-AD9E-4E8E-A5D7-10433727A103}"/>
    <cellStyle name="Normal 5 2 2 2 2 2 3 6" xfId="37351" xr:uid="{EA48BF6D-6789-45EA-AB8F-39A13C54BB4A}"/>
    <cellStyle name="Normal 5 2 2 2 2 2 3 7" xfId="18753" xr:uid="{4DBB4CD3-88F1-4FE3-AC57-7A5093287C52}"/>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17081" xr:uid="{73E37640-2855-4BB1-8BC7-5AD228668D30}"/>
    <cellStyle name="Normal 5 2 2 2 2 2 4 2 2 2 2" xfId="53423" xr:uid="{A054EC6C-53DF-429C-A25E-3034E2586BE9}"/>
    <cellStyle name="Normal 5 2 2 2 2 2 4 2 2 2 3" xfId="34827" xr:uid="{CE3D3762-8981-410E-BC58-D6C3A9683981}"/>
    <cellStyle name="Normal 5 2 2 2 2 2 4 2 2 3" xfId="44126" xr:uid="{B0D776C7-DEA5-4C9D-93B2-5B309C5C911F}"/>
    <cellStyle name="Normal 5 2 2 2 2 2 4 2 2 4" xfId="25528" xr:uid="{5B57ABE0-A2D3-4F82-9FE8-4C4F2951D76C}"/>
    <cellStyle name="Normal 5 2 2 2 2 2 4 2 3" xfId="12864" xr:uid="{850F1B4D-C2DD-496F-A2E5-AFB740D77534}"/>
    <cellStyle name="Normal 5 2 2 2 2 2 4 2 3 2" xfId="49206" xr:uid="{AEA7F0D4-305A-4A7F-8E89-037839DF9133}"/>
    <cellStyle name="Normal 5 2 2 2 2 2 4 2 3 3" xfId="30610" xr:uid="{DF9B04AD-2304-4550-983A-2BBB428C7381}"/>
    <cellStyle name="Normal 5 2 2 2 2 2 4 2 4" xfId="39909" xr:uid="{31E21799-FFA3-4196-9A06-01C439632610}"/>
    <cellStyle name="Normal 5 2 2 2 2 2 4 2 5" xfId="21311" xr:uid="{43F378F0-C3FD-4467-8483-5FF6DBC3596F}"/>
    <cellStyle name="Normal 5 2 2 2 2 2 4 3" xfId="5610" xr:uid="{00000000-0005-0000-0000-000015170000}"/>
    <cellStyle name="Normal 5 2 2 2 2 2 4 3 2" xfId="14936" xr:uid="{BEB2DAE9-8798-41DE-8A69-6F64284EA1D0}"/>
    <cellStyle name="Normal 5 2 2 2 2 2 4 3 2 2" xfId="51278" xr:uid="{11A1396D-50F2-4163-AAD1-A4C64663A915}"/>
    <cellStyle name="Normal 5 2 2 2 2 2 4 3 2 3" xfId="32682" xr:uid="{2866868B-7C28-4C0E-B42A-705A1E4C426B}"/>
    <cellStyle name="Normal 5 2 2 2 2 2 4 3 3" xfId="41981" xr:uid="{4117103C-3B7E-4B3C-AB85-A16B40A1C7F1}"/>
    <cellStyle name="Normal 5 2 2 2 2 2 4 3 4" xfId="23383" xr:uid="{DD908E35-9047-40D6-B219-43EB49C5B392}"/>
    <cellStyle name="Normal 5 2 2 2 2 2 4 4" xfId="10719" xr:uid="{A1F7A23C-5DC7-4E5B-B211-3FE6E9391490}"/>
    <cellStyle name="Normal 5 2 2 2 2 2 4 4 2" xfId="47061" xr:uid="{ADBF7830-8E94-4658-960A-ADC013273049}"/>
    <cellStyle name="Normal 5 2 2 2 2 2 4 4 3" xfId="28465" xr:uid="{EA3721C4-6DEF-4FD6-B737-897DA4F01CA9}"/>
    <cellStyle name="Normal 5 2 2 2 2 2 4 5" xfId="37764" xr:uid="{D941BEBE-C8AB-45AF-8A29-65AD97119B92}"/>
    <cellStyle name="Normal 5 2 2 2 2 2 4 6" xfId="19166" xr:uid="{D3D79615-7259-4C06-989D-66B8C846FEA2}"/>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17494" xr:uid="{BBAB8AAA-AEF6-460E-9D42-F7327E318335}"/>
    <cellStyle name="Normal 5 2 2 2 2 2 5 2 2 2 2" xfId="53836" xr:uid="{865DAEAD-ED70-438F-AD94-C76BEE043BF8}"/>
    <cellStyle name="Normal 5 2 2 2 2 2 5 2 2 2 3" xfId="35240" xr:uid="{B12149BD-00C2-4CA6-8686-7D21F8D7C07E}"/>
    <cellStyle name="Normal 5 2 2 2 2 2 5 2 2 3" xfId="44539" xr:uid="{D0FB508A-E825-42CA-84DB-4EEBCD81EECB}"/>
    <cellStyle name="Normal 5 2 2 2 2 2 5 2 2 4" xfId="25941" xr:uid="{D18B72D4-9BBA-4D74-8FE6-E81CACB9C83E}"/>
    <cellStyle name="Normal 5 2 2 2 2 2 5 2 3" xfId="13277" xr:uid="{8410C5B9-0F85-48C8-B4E5-B137D2DDD9B7}"/>
    <cellStyle name="Normal 5 2 2 2 2 2 5 2 3 2" xfId="49619" xr:uid="{20AB51F0-B854-4C1B-BE2A-814B1A45D1F8}"/>
    <cellStyle name="Normal 5 2 2 2 2 2 5 2 3 3" xfId="31023" xr:uid="{A72CD52F-6C59-4EB5-A346-2DFC0F47AE05}"/>
    <cellStyle name="Normal 5 2 2 2 2 2 5 2 4" xfId="40322" xr:uid="{D3D8EC2D-FD2C-4447-A81C-E91F16D30A15}"/>
    <cellStyle name="Normal 5 2 2 2 2 2 5 2 5" xfId="21724" xr:uid="{7F748366-DCE0-4142-BEF7-F363E1DDDB3F}"/>
    <cellStyle name="Normal 5 2 2 2 2 2 5 3" xfId="6023" xr:uid="{00000000-0005-0000-0000-000019170000}"/>
    <cellStyle name="Normal 5 2 2 2 2 2 5 3 2" xfId="15349" xr:uid="{27AB5CE8-5ABC-4F1A-943A-3E14B75F98BD}"/>
    <cellStyle name="Normal 5 2 2 2 2 2 5 3 2 2" xfId="51691" xr:uid="{85049E98-C713-4917-8162-D4086DD4FF4E}"/>
    <cellStyle name="Normal 5 2 2 2 2 2 5 3 2 3" xfId="33095" xr:uid="{B37EB1B7-5806-4A05-81CE-41DDEAE5518E}"/>
    <cellStyle name="Normal 5 2 2 2 2 2 5 3 3" xfId="42394" xr:uid="{E7084155-C527-4A1C-B96F-01C8AFA6A93B}"/>
    <cellStyle name="Normal 5 2 2 2 2 2 5 3 4" xfId="23796" xr:uid="{663DEC4A-0547-42DD-9B28-269CBAFF9D73}"/>
    <cellStyle name="Normal 5 2 2 2 2 2 5 4" xfId="11132" xr:uid="{BE227351-FCD4-4317-89F3-AA4790818A65}"/>
    <cellStyle name="Normal 5 2 2 2 2 2 5 4 2" xfId="47474" xr:uid="{BB82906C-74EC-472F-A488-141C4B294244}"/>
    <cellStyle name="Normal 5 2 2 2 2 2 5 4 3" xfId="28878" xr:uid="{EBDE37EF-ABCA-4A18-BF54-6478330BA0C0}"/>
    <cellStyle name="Normal 5 2 2 2 2 2 5 5" xfId="38177" xr:uid="{4B4747FC-4E38-4BD2-9C0D-1BD32CD4B5E1}"/>
    <cellStyle name="Normal 5 2 2 2 2 2 5 6" xfId="19579" xr:uid="{1BB21C75-CB6E-4C57-857A-04E1F9E3A301}"/>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17907" xr:uid="{E8B7FC1D-5B9A-457A-9A0A-26A8371F0363}"/>
    <cellStyle name="Normal 5 2 2 2 2 2 6 2 2 2 2" xfId="54249" xr:uid="{3B2D5D65-D746-47F0-9B25-865CC0B57686}"/>
    <cellStyle name="Normal 5 2 2 2 2 2 6 2 2 2 3" xfId="35653" xr:uid="{31F42828-B929-443D-B088-E0CDA79AF955}"/>
    <cellStyle name="Normal 5 2 2 2 2 2 6 2 2 3" xfId="44952" xr:uid="{7E8A8BE2-AAC4-44AF-9E40-55D20E4FEAA1}"/>
    <cellStyle name="Normal 5 2 2 2 2 2 6 2 2 4" xfId="26354" xr:uid="{513CC359-7B91-4CCC-8C54-1A42E7115B51}"/>
    <cellStyle name="Normal 5 2 2 2 2 2 6 2 3" xfId="13690" xr:uid="{AB1CBF45-EA29-4FEF-BF8E-B3391A161753}"/>
    <cellStyle name="Normal 5 2 2 2 2 2 6 2 3 2" xfId="50032" xr:uid="{7EF79C6B-4E26-4A29-85F4-3AB3ADDFADF8}"/>
    <cellStyle name="Normal 5 2 2 2 2 2 6 2 3 3" xfId="31436" xr:uid="{0CDE9947-8CA6-406E-8754-323D1CCE19AE}"/>
    <cellStyle name="Normal 5 2 2 2 2 2 6 2 4" xfId="40735" xr:uid="{7452E5A8-3DB1-48FF-9431-E1329F49FF4C}"/>
    <cellStyle name="Normal 5 2 2 2 2 2 6 2 5" xfId="22137" xr:uid="{1FC4A442-C22D-40E8-A0A3-FF0C41B91A5F}"/>
    <cellStyle name="Normal 5 2 2 2 2 2 6 3" xfId="6436" xr:uid="{00000000-0005-0000-0000-00001D170000}"/>
    <cellStyle name="Normal 5 2 2 2 2 2 6 3 2" xfId="15762" xr:uid="{58525465-ED0F-41D7-9221-091737514286}"/>
    <cellStyle name="Normal 5 2 2 2 2 2 6 3 2 2" xfId="52104" xr:uid="{E0FFFE6B-0F9C-465E-8582-1750ADF56413}"/>
    <cellStyle name="Normal 5 2 2 2 2 2 6 3 2 3" xfId="33508" xr:uid="{CAF3DC07-5A03-4A58-8D0E-FC458C646AED}"/>
    <cellStyle name="Normal 5 2 2 2 2 2 6 3 3" xfId="42807" xr:uid="{D66A3BBD-1C0A-4904-81DC-9E55C8F03C55}"/>
    <cellStyle name="Normal 5 2 2 2 2 2 6 3 4" xfId="24209" xr:uid="{0CE85C04-659C-49B6-8C35-46F60362CF90}"/>
    <cellStyle name="Normal 5 2 2 2 2 2 6 4" xfId="11545" xr:uid="{8164DFFD-55B9-4E04-925B-889CB9D65873}"/>
    <cellStyle name="Normal 5 2 2 2 2 2 6 4 2" xfId="47887" xr:uid="{02724837-6C55-4FBF-9A14-9DF4B3B92BA4}"/>
    <cellStyle name="Normal 5 2 2 2 2 2 6 4 3" xfId="29291" xr:uid="{D56B03C9-BA14-4334-9B81-059E5A9EE7AB}"/>
    <cellStyle name="Normal 5 2 2 2 2 2 6 5" xfId="38590" xr:uid="{3D88FA4F-B19D-4601-8417-8DFAA11C0CB1}"/>
    <cellStyle name="Normal 5 2 2 2 2 2 6 6" xfId="19992" xr:uid="{A616F639-40B0-4CDF-8EE5-DE50FF0DC793}"/>
    <cellStyle name="Normal 5 2 2 2 2 2 7" xfId="2566" xr:uid="{00000000-0005-0000-0000-00001E170000}"/>
    <cellStyle name="Normal 5 2 2 2 2 2 7 2" xfId="6849" xr:uid="{00000000-0005-0000-0000-00001F170000}"/>
    <cellStyle name="Normal 5 2 2 2 2 2 7 2 2" xfId="16175" xr:uid="{EBA130B4-8210-45C2-93D2-9911ABF07355}"/>
    <cellStyle name="Normal 5 2 2 2 2 2 7 2 2 2" xfId="52517" xr:uid="{E1E6B868-F7CE-4C66-BBE0-5129644EDB9F}"/>
    <cellStyle name="Normal 5 2 2 2 2 2 7 2 2 3" xfId="33921" xr:uid="{1B446011-B162-4DCF-B8CA-126626EEB6B4}"/>
    <cellStyle name="Normal 5 2 2 2 2 2 7 2 3" xfId="43220" xr:uid="{5D0ABA07-C2FF-436A-8316-C858492F7C69}"/>
    <cellStyle name="Normal 5 2 2 2 2 2 7 2 4" xfId="24622" xr:uid="{704470D2-E624-4AD9-A23C-0D092D6F9526}"/>
    <cellStyle name="Normal 5 2 2 2 2 2 7 3" xfId="11958" xr:uid="{F0750309-9666-4581-ABF2-8406C3027AA4}"/>
    <cellStyle name="Normal 5 2 2 2 2 2 7 3 2" xfId="48300" xr:uid="{CC51B0FC-ECD8-49B1-ADB7-DD9AB141A682}"/>
    <cellStyle name="Normal 5 2 2 2 2 2 7 3 3" xfId="29704" xr:uid="{003BBF39-2D76-4011-A9C6-86135265BE44}"/>
    <cellStyle name="Normal 5 2 2 2 2 2 7 4" xfId="39003" xr:uid="{A6EC059C-7295-48A2-8BD0-10511A989F76}"/>
    <cellStyle name="Normal 5 2 2 2 2 2 7 5" xfId="20405" xr:uid="{B04AC90C-3EE0-45AB-8DC7-9600B96BF4B0}"/>
    <cellStyle name="Normal 5 2 2 2 2 2 8" xfId="4784" xr:uid="{00000000-0005-0000-0000-000020170000}"/>
    <cellStyle name="Normal 5 2 2 2 2 2 8 2" xfId="14110" xr:uid="{53BBD3F7-BC6F-41F2-84F4-F23DFB2D8A76}"/>
    <cellStyle name="Normal 5 2 2 2 2 2 8 2 2" xfId="50452" xr:uid="{852172C2-C600-4641-B3AC-74997008B341}"/>
    <cellStyle name="Normal 5 2 2 2 2 2 8 2 3" xfId="31856" xr:uid="{ACC67272-6E78-4C12-A57A-C143F6F7DD3B}"/>
    <cellStyle name="Normal 5 2 2 2 2 2 8 3" xfId="41155" xr:uid="{CAE750BE-FB1C-4483-A407-740F4DAB18D8}"/>
    <cellStyle name="Normal 5 2 2 2 2 2 8 4" xfId="22557" xr:uid="{F433E1E2-C678-4FD7-8E58-3EAD80056CC9}"/>
    <cellStyle name="Normal 5 2 2 2 2 2 9" xfId="8932" xr:uid="{8A89D9DD-5FCE-4028-8D52-F4758EFA866E}"/>
    <cellStyle name="Normal 5 2 2 2 2 2 9 2" xfId="36002" xr:uid="{15939F9C-7AFB-43C3-A661-347C7B8DC359}"/>
    <cellStyle name="Normal 5 2 2 2 2 2 9 2 2" xfId="54597" xr:uid="{41DE7BD6-BE75-47D0-AF43-281A99FF512D}"/>
    <cellStyle name="Normal 5 2 2 2 2 2 9 3" xfId="45300" xr:uid="{557E1825-76B6-41B7-AF9D-9C7C0B2C4551}"/>
    <cellStyle name="Normal 5 2 2 2 2 2 9 4" xfId="26703" xr:uid="{98519CE6-C09A-4F0C-801F-FE9F2FC69701}"/>
    <cellStyle name="Normal 5 2 2 2 2 3" xfId="413" xr:uid="{00000000-0005-0000-0000-000021170000}"/>
    <cellStyle name="Normal 5 2 2 2 2 3 10" xfId="36940" xr:uid="{8769D0D3-533F-440D-A4AD-C5361E5D1683}"/>
    <cellStyle name="Normal 5 2 2 2 2 3 11" xfId="18342" xr:uid="{4CE0E583-7CFF-4C68-B104-D8EE3EDA066B}"/>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16670" xr:uid="{6AF94B59-A745-44EC-8163-ADDB47D15FF6}"/>
    <cellStyle name="Normal 5 2 2 2 2 3 2 2 2 2 2" xfId="53012" xr:uid="{7DC6C6F8-3060-4744-B662-8133C059603D}"/>
    <cellStyle name="Normal 5 2 2 2 2 3 2 2 2 2 3" xfId="34416" xr:uid="{2AC24126-4DE1-46BF-8C62-9F13AC6B8EDE}"/>
    <cellStyle name="Normal 5 2 2 2 2 3 2 2 2 3" xfId="43715" xr:uid="{5BB27BEA-2C05-4B4C-8AB7-A65A09493857}"/>
    <cellStyle name="Normal 5 2 2 2 2 3 2 2 2 4" xfId="25117" xr:uid="{89A44053-36BA-4DA2-A99C-8C6D0344ACCA}"/>
    <cellStyle name="Normal 5 2 2 2 2 3 2 2 3" xfId="12453" xr:uid="{DB25244F-510C-404D-9B92-AC845FD80A85}"/>
    <cellStyle name="Normal 5 2 2 2 2 3 2 2 3 2" xfId="48795" xr:uid="{EEC5DD7B-1230-47E4-930F-4470F997924B}"/>
    <cellStyle name="Normal 5 2 2 2 2 3 2 2 3 3" xfId="30199" xr:uid="{DE0D4B86-BDD5-4B9D-9079-1B08BC18222C}"/>
    <cellStyle name="Normal 5 2 2 2 2 3 2 2 4" xfId="39498" xr:uid="{6CDFEAF0-15C4-4191-8D95-235778099F7E}"/>
    <cellStyle name="Normal 5 2 2 2 2 3 2 2 5" xfId="20900" xr:uid="{57613149-EBF3-446D-B75E-9296C5F9F1AA}"/>
    <cellStyle name="Normal 5 2 2 2 2 3 2 3" xfId="5199" xr:uid="{00000000-0005-0000-0000-000025170000}"/>
    <cellStyle name="Normal 5 2 2 2 2 3 2 3 2" xfId="14525" xr:uid="{1E618782-F437-4111-93F3-64D3806C4D8A}"/>
    <cellStyle name="Normal 5 2 2 2 2 3 2 3 2 2" xfId="50867" xr:uid="{DF32D8BA-8C97-496A-BC47-E1D1B8BBED19}"/>
    <cellStyle name="Normal 5 2 2 2 2 3 2 3 2 3" xfId="32271" xr:uid="{6B3CBE02-C720-49D7-9922-35C9BBD31C22}"/>
    <cellStyle name="Normal 5 2 2 2 2 3 2 3 3" xfId="41570" xr:uid="{2096FE75-07DA-4428-B87D-1543B92FDC94}"/>
    <cellStyle name="Normal 5 2 2 2 2 3 2 3 4" xfId="22972" xr:uid="{1DA91677-A4BA-42FE-BB9E-680A92FADDA0}"/>
    <cellStyle name="Normal 5 2 2 2 2 3 2 4" xfId="9461" xr:uid="{815E4D9A-ED64-4B6C-A17A-F6D83CC40A47}"/>
    <cellStyle name="Normal 5 2 2 2 2 3 2 4 2" xfId="36522" xr:uid="{C90AE290-B0B8-43B2-AA4C-236DCCFB9D8C}"/>
    <cellStyle name="Normal 5 2 2 2 2 3 2 4 2 2" xfId="55116" xr:uid="{39DC7E40-41E6-4958-94DC-B31D63C8B57C}"/>
    <cellStyle name="Normal 5 2 2 2 2 3 2 4 3" xfId="45819" xr:uid="{F1C7A39C-9D2E-4913-83E4-7EEDA842E7B0}"/>
    <cellStyle name="Normal 5 2 2 2 2 3 2 4 4" xfId="27223" xr:uid="{CC22E133-E9B0-467E-9300-81C9B82DC512}"/>
    <cellStyle name="Normal 5 2 2 2 2 3 2 5" xfId="10308" xr:uid="{1A4A7C34-B59F-437B-ADB6-E8525424B61A}"/>
    <cellStyle name="Normal 5 2 2 2 2 3 2 5 2" xfId="46650" xr:uid="{82679492-7D0A-490D-8520-8BFA6C2F3932}"/>
    <cellStyle name="Normal 5 2 2 2 2 3 2 5 3" xfId="28054" xr:uid="{F767BF1C-61BE-4BB5-9ED9-A07AA22E797F}"/>
    <cellStyle name="Normal 5 2 2 2 2 3 2 6" xfId="37353" xr:uid="{D22E3BFE-E6B7-400C-BC6A-03C594B800EF}"/>
    <cellStyle name="Normal 5 2 2 2 2 3 2 7" xfId="18755" xr:uid="{F747953D-C866-449A-878C-3C3321F8485D}"/>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17083" xr:uid="{99268DDA-CBD8-4CBB-A890-6DF2FAC5EF9C}"/>
    <cellStyle name="Normal 5 2 2 2 2 3 3 2 2 2 2" xfId="53425" xr:uid="{8D64E9C6-CF5A-464A-861E-D56533BBA7A8}"/>
    <cellStyle name="Normal 5 2 2 2 2 3 3 2 2 2 3" xfId="34829" xr:uid="{8716C1EA-E376-40FC-B998-45404D865E21}"/>
    <cellStyle name="Normal 5 2 2 2 2 3 3 2 2 3" xfId="44128" xr:uid="{003C186F-741B-4CE2-A039-3FE7067DE521}"/>
    <cellStyle name="Normal 5 2 2 2 2 3 3 2 2 4" xfId="25530" xr:uid="{10190802-094B-4406-9D91-C767F5EB67B4}"/>
    <cellStyle name="Normal 5 2 2 2 2 3 3 2 3" xfId="12866" xr:uid="{1F964A87-E1CA-453F-A20D-5DCD67C27680}"/>
    <cellStyle name="Normal 5 2 2 2 2 3 3 2 3 2" xfId="49208" xr:uid="{CB7813EC-971E-43AB-9774-5AE07CD14463}"/>
    <cellStyle name="Normal 5 2 2 2 2 3 3 2 3 3" xfId="30612" xr:uid="{35CCCD78-8241-4FED-8558-0FFDF2FCECFB}"/>
    <cellStyle name="Normal 5 2 2 2 2 3 3 2 4" xfId="39911" xr:uid="{1E16CE57-9B28-4115-954A-6093EA747C2C}"/>
    <cellStyle name="Normal 5 2 2 2 2 3 3 2 5" xfId="21313" xr:uid="{008F3DF8-0036-4A27-97F4-321EA7419D38}"/>
    <cellStyle name="Normal 5 2 2 2 2 3 3 3" xfId="5612" xr:uid="{00000000-0005-0000-0000-000029170000}"/>
    <cellStyle name="Normal 5 2 2 2 2 3 3 3 2" xfId="14938" xr:uid="{3634F224-966A-4B74-B51D-FE0D6F86A39C}"/>
    <cellStyle name="Normal 5 2 2 2 2 3 3 3 2 2" xfId="51280" xr:uid="{3651A0E3-6DF6-44E8-8FC6-35B33DA6592B}"/>
    <cellStyle name="Normal 5 2 2 2 2 3 3 3 2 3" xfId="32684" xr:uid="{F5080E9D-6973-4FE1-A661-A72F3AE3BF01}"/>
    <cellStyle name="Normal 5 2 2 2 2 3 3 3 3" xfId="41983" xr:uid="{674DC6EC-F4FF-426A-950B-BBACF050F13C}"/>
    <cellStyle name="Normal 5 2 2 2 2 3 3 3 4" xfId="23385" xr:uid="{6A51DD1E-E9F6-4374-9825-BE3346602E6E}"/>
    <cellStyle name="Normal 5 2 2 2 2 3 3 4" xfId="10721" xr:uid="{F6949686-8FF9-4BC3-85B1-7E32DEA23027}"/>
    <cellStyle name="Normal 5 2 2 2 2 3 3 4 2" xfId="47063" xr:uid="{F2A5C8A1-AC14-458D-8D9A-9F3E0D37B326}"/>
    <cellStyle name="Normal 5 2 2 2 2 3 3 4 3" xfId="28467" xr:uid="{3773C4F2-14B6-48B8-A31D-40242B94E70C}"/>
    <cellStyle name="Normal 5 2 2 2 2 3 3 5" xfId="37766" xr:uid="{DFBE5616-E5CC-4B5E-B628-1B15723766F2}"/>
    <cellStyle name="Normal 5 2 2 2 2 3 3 6" xfId="19168" xr:uid="{DA009CF7-C52B-4DB8-8828-F454579ED0C7}"/>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17496" xr:uid="{BB7FB528-F6DD-485F-A04C-B6070E51778C}"/>
    <cellStyle name="Normal 5 2 2 2 2 3 4 2 2 2 2" xfId="53838" xr:uid="{1D62FB56-9BD4-474B-9773-C89F4837FACE}"/>
    <cellStyle name="Normal 5 2 2 2 2 3 4 2 2 2 3" xfId="35242" xr:uid="{A8C23FCF-46BE-4683-98BE-EAFD4494C231}"/>
    <cellStyle name="Normal 5 2 2 2 2 3 4 2 2 3" xfId="44541" xr:uid="{8B833D9F-B564-4520-B2F1-B0B297022A96}"/>
    <cellStyle name="Normal 5 2 2 2 2 3 4 2 2 4" xfId="25943" xr:uid="{DF6B9C38-D400-499F-A0C6-662418010B03}"/>
    <cellStyle name="Normal 5 2 2 2 2 3 4 2 3" xfId="13279" xr:uid="{E0909C2B-989C-494E-B187-1C5383A5FBF6}"/>
    <cellStyle name="Normal 5 2 2 2 2 3 4 2 3 2" xfId="49621" xr:uid="{985C71A9-497D-43DB-BE13-FC6431453124}"/>
    <cellStyle name="Normal 5 2 2 2 2 3 4 2 3 3" xfId="31025" xr:uid="{2C74E70A-91C8-44C1-A613-1CF9EE23BE81}"/>
    <cellStyle name="Normal 5 2 2 2 2 3 4 2 4" xfId="40324" xr:uid="{7909CEB7-088B-471E-87E8-B1B4763EADC7}"/>
    <cellStyle name="Normal 5 2 2 2 2 3 4 2 5" xfId="21726" xr:uid="{5A0A9B27-3344-4FDA-A847-E218F50F1AC1}"/>
    <cellStyle name="Normal 5 2 2 2 2 3 4 3" xfId="6025" xr:uid="{00000000-0005-0000-0000-00002D170000}"/>
    <cellStyle name="Normal 5 2 2 2 2 3 4 3 2" xfId="15351" xr:uid="{F8B2724F-A2C7-4700-90E7-1E557CF5CBA8}"/>
    <cellStyle name="Normal 5 2 2 2 2 3 4 3 2 2" xfId="51693" xr:uid="{2228202F-52AB-49A1-9954-765AEE431B79}"/>
    <cellStyle name="Normal 5 2 2 2 2 3 4 3 2 3" xfId="33097" xr:uid="{8B33E73F-1894-4A2E-B54E-48C26AE62696}"/>
    <cellStyle name="Normal 5 2 2 2 2 3 4 3 3" xfId="42396" xr:uid="{50DA9CCF-6564-41A6-B1D2-7C31DA42C1DD}"/>
    <cellStyle name="Normal 5 2 2 2 2 3 4 3 4" xfId="23798" xr:uid="{FD409545-B7A9-4367-A1A2-C0DE2F9D3E63}"/>
    <cellStyle name="Normal 5 2 2 2 2 3 4 4" xfId="11134" xr:uid="{7F8B53D0-9C6C-4F18-88DE-A8EC5DB8AC24}"/>
    <cellStyle name="Normal 5 2 2 2 2 3 4 4 2" xfId="47476" xr:uid="{F146092A-2C28-4C38-8870-DCDD54E951C1}"/>
    <cellStyle name="Normal 5 2 2 2 2 3 4 4 3" xfId="28880" xr:uid="{F51CAE65-E539-45E4-8922-61832D05ED82}"/>
    <cellStyle name="Normal 5 2 2 2 2 3 4 5" xfId="38179" xr:uid="{8C1D2D59-7158-4A18-BA95-602C67A845BF}"/>
    <cellStyle name="Normal 5 2 2 2 2 3 4 6" xfId="19581" xr:uid="{78711611-7134-4CE0-B129-48F11CBFBF0E}"/>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17909" xr:uid="{DCA0D762-8A0F-4844-9C9A-A2A7EB80242A}"/>
    <cellStyle name="Normal 5 2 2 2 2 3 5 2 2 2 2" xfId="54251" xr:uid="{EE2E4535-44F5-46AE-9708-67C5789082A1}"/>
    <cellStyle name="Normal 5 2 2 2 2 3 5 2 2 2 3" xfId="35655" xr:uid="{E0B25934-1AD1-41B5-BF1A-7CB01FD848E1}"/>
    <cellStyle name="Normal 5 2 2 2 2 3 5 2 2 3" xfId="44954" xr:uid="{ED9AADE3-FFE0-4F67-BB75-374B94EA2998}"/>
    <cellStyle name="Normal 5 2 2 2 2 3 5 2 2 4" xfId="26356" xr:uid="{097034AC-177E-43FD-B94E-55CDC4DF9239}"/>
    <cellStyle name="Normal 5 2 2 2 2 3 5 2 3" xfId="13692" xr:uid="{845EB9ED-1A08-40F7-A7B7-806684CAFC87}"/>
    <cellStyle name="Normal 5 2 2 2 2 3 5 2 3 2" xfId="50034" xr:uid="{F6051A65-AA75-4AF7-83F6-D0F6DDE973D8}"/>
    <cellStyle name="Normal 5 2 2 2 2 3 5 2 3 3" xfId="31438" xr:uid="{812F3EE5-83DA-4C96-B14A-1D17FCBCBF9B}"/>
    <cellStyle name="Normal 5 2 2 2 2 3 5 2 4" xfId="40737" xr:uid="{36835FE7-21BC-4BBD-BA07-6DF51A6A03E4}"/>
    <cellStyle name="Normal 5 2 2 2 2 3 5 2 5" xfId="22139" xr:uid="{3D33EFD4-036E-4D8E-97DF-5E8E74607D77}"/>
    <cellStyle name="Normal 5 2 2 2 2 3 5 3" xfId="6438" xr:uid="{00000000-0005-0000-0000-000031170000}"/>
    <cellStyle name="Normal 5 2 2 2 2 3 5 3 2" xfId="15764" xr:uid="{20808602-EAF4-42B4-A045-CCDA5DA62169}"/>
    <cellStyle name="Normal 5 2 2 2 2 3 5 3 2 2" xfId="52106" xr:uid="{C193F054-4826-4702-BEF8-4CA3FF0EB2CA}"/>
    <cellStyle name="Normal 5 2 2 2 2 3 5 3 2 3" xfId="33510" xr:uid="{01ADB0F9-F006-4F96-8691-EBE71D1D18A6}"/>
    <cellStyle name="Normal 5 2 2 2 2 3 5 3 3" xfId="42809" xr:uid="{A2C99F6F-F4E7-4F78-A613-EE29DE75AED8}"/>
    <cellStyle name="Normal 5 2 2 2 2 3 5 3 4" xfId="24211" xr:uid="{62896A4B-5300-4AB2-BF4B-486849DBAFE0}"/>
    <cellStyle name="Normal 5 2 2 2 2 3 5 4" xfId="11547" xr:uid="{5D095761-05B1-4987-A3F2-AB4DA01A762E}"/>
    <cellStyle name="Normal 5 2 2 2 2 3 5 4 2" xfId="47889" xr:uid="{4A172785-8699-4AFC-B150-D3956D517A54}"/>
    <cellStyle name="Normal 5 2 2 2 2 3 5 4 3" xfId="29293" xr:uid="{58F0D584-2985-44C2-80F4-1DA7C0820E64}"/>
    <cellStyle name="Normal 5 2 2 2 2 3 5 5" xfId="38592" xr:uid="{1FA70582-179B-4590-A7A4-2947DDAA01EF}"/>
    <cellStyle name="Normal 5 2 2 2 2 3 5 6" xfId="19994" xr:uid="{84F4EA64-F929-4F64-922E-476F6FEA3C65}"/>
    <cellStyle name="Normal 5 2 2 2 2 3 6" xfId="2568" xr:uid="{00000000-0005-0000-0000-000032170000}"/>
    <cellStyle name="Normal 5 2 2 2 2 3 6 2" xfId="6851" xr:uid="{00000000-0005-0000-0000-000033170000}"/>
    <cellStyle name="Normal 5 2 2 2 2 3 6 2 2" xfId="16177" xr:uid="{C6574BBA-3BB7-40CB-A449-7DF87983F231}"/>
    <cellStyle name="Normal 5 2 2 2 2 3 6 2 2 2" xfId="52519" xr:uid="{77A37FBA-1347-4E00-9FCC-55C55F28921F}"/>
    <cellStyle name="Normal 5 2 2 2 2 3 6 2 2 3" xfId="33923" xr:uid="{4B5CFB02-E6E4-4C23-9256-8634E6526D29}"/>
    <cellStyle name="Normal 5 2 2 2 2 3 6 2 3" xfId="43222" xr:uid="{595C5F2E-A2FA-4DAC-A320-4EABB41196C0}"/>
    <cellStyle name="Normal 5 2 2 2 2 3 6 2 4" xfId="24624" xr:uid="{18410BD2-83D7-4605-B546-CB592501CA97}"/>
    <cellStyle name="Normal 5 2 2 2 2 3 6 3" xfId="11960" xr:uid="{709982BA-3462-4DD6-9A5C-F7D24B0D3B7B}"/>
    <cellStyle name="Normal 5 2 2 2 2 3 6 3 2" xfId="48302" xr:uid="{DAF8A96C-4174-4AE5-BE3D-CD8532D58A30}"/>
    <cellStyle name="Normal 5 2 2 2 2 3 6 3 3" xfId="29706" xr:uid="{95477A2D-B68B-4150-98D3-97DACC30AF76}"/>
    <cellStyle name="Normal 5 2 2 2 2 3 6 4" xfId="39005" xr:uid="{79CA92DA-D137-4533-B108-419F6C9E0CD3}"/>
    <cellStyle name="Normal 5 2 2 2 2 3 6 5" xfId="20407" xr:uid="{FEF75777-14C2-40B2-89BC-42E93C9AB46B}"/>
    <cellStyle name="Normal 5 2 2 2 2 3 7" xfId="4786" xr:uid="{00000000-0005-0000-0000-000034170000}"/>
    <cellStyle name="Normal 5 2 2 2 2 3 7 2" xfId="14112" xr:uid="{B5FA7A45-1726-409A-8370-FEFE698AA39F}"/>
    <cellStyle name="Normal 5 2 2 2 2 3 7 2 2" xfId="50454" xr:uid="{4A0296CF-8E05-4B2D-9199-DCC583C5D909}"/>
    <cellStyle name="Normal 5 2 2 2 2 3 7 2 3" xfId="31858" xr:uid="{DAE9D7F5-FF45-4174-B4FD-6642A01631A9}"/>
    <cellStyle name="Normal 5 2 2 2 2 3 7 3" xfId="41157" xr:uid="{AAE6623B-3D26-4108-8A66-2E675B878930}"/>
    <cellStyle name="Normal 5 2 2 2 2 3 7 4" xfId="22559" xr:uid="{2A67A622-3F9D-4754-A8F0-D542BB36A05B}"/>
    <cellStyle name="Normal 5 2 2 2 2 3 8" xfId="9036" xr:uid="{2B9BC3AC-900A-42EE-A23F-E5574B6E75BC}"/>
    <cellStyle name="Normal 5 2 2 2 2 3 8 2" xfId="36106" xr:uid="{496BE8C8-53CD-47C8-8ED9-C4092BCAB0FA}"/>
    <cellStyle name="Normal 5 2 2 2 2 3 8 2 2" xfId="54701" xr:uid="{2441A185-A701-4C93-B766-0F05734BBADF}"/>
    <cellStyle name="Normal 5 2 2 2 2 3 8 3" xfId="45404" xr:uid="{EEC9920C-66CB-4A4E-BD4A-61F102F1E60C}"/>
    <cellStyle name="Normal 5 2 2 2 2 3 8 4" xfId="26807" xr:uid="{6F6EFA7B-2814-418D-9082-31FC987E25D0}"/>
    <cellStyle name="Normal 5 2 2 2 2 3 9" xfId="9895" xr:uid="{00585E16-60C8-44D0-905B-92DCFBB05433}"/>
    <cellStyle name="Normal 5 2 2 2 2 3 9 2" xfId="46237" xr:uid="{81413BF4-CBD7-4401-9103-2B77D8E698A0}"/>
    <cellStyle name="Normal 5 2 2 2 2 3 9 3" xfId="27641" xr:uid="{0142CA2F-DB9B-4889-9F1B-F577273160BA}"/>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16667" xr:uid="{EF34E888-3AE6-4321-BD11-ED7D3F62E21A}"/>
    <cellStyle name="Normal 5 2 2 2 2 4 2 2 2 2" xfId="53009" xr:uid="{3BEA1DC4-8CC6-4F39-B3D3-4B4C988E9674}"/>
    <cellStyle name="Normal 5 2 2 2 2 4 2 2 2 3" xfId="34413" xr:uid="{011A4F8E-4EA0-4821-9C38-986844DF137B}"/>
    <cellStyle name="Normal 5 2 2 2 2 4 2 2 3" xfId="43712" xr:uid="{5A5FFE03-1665-42EA-9562-663F791B7809}"/>
    <cellStyle name="Normal 5 2 2 2 2 4 2 2 4" xfId="25114" xr:uid="{F46057D7-13FE-4D8E-A7C8-65F19318E948}"/>
    <cellStyle name="Normal 5 2 2 2 2 4 2 3" xfId="12450" xr:uid="{22DB3D9E-FEEC-4515-9010-E163FBC9BA96}"/>
    <cellStyle name="Normal 5 2 2 2 2 4 2 3 2" xfId="48792" xr:uid="{39A21EF2-0CE5-420C-BAE7-3D4D7D525FC3}"/>
    <cellStyle name="Normal 5 2 2 2 2 4 2 3 3" xfId="30196" xr:uid="{08F5C4F6-F4F2-4873-8645-9F4B3D76D5EA}"/>
    <cellStyle name="Normal 5 2 2 2 2 4 2 4" xfId="39495" xr:uid="{2C56E5FA-3039-4F24-BCF1-C3E7C017EDDA}"/>
    <cellStyle name="Normal 5 2 2 2 2 4 2 5" xfId="20897" xr:uid="{EF5AA490-689E-4379-A0CA-3AD51E32AFF1}"/>
    <cellStyle name="Normal 5 2 2 2 2 4 3" xfId="5196" xr:uid="{00000000-0005-0000-0000-000038170000}"/>
    <cellStyle name="Normal 5 2 2 2 2 4 3 2" xfId="14522" xr:uid="{CA3BBD4C-F211-4B2B-9CBD-83C6F2A4C5E0}"/>
    <cellStyle name="Normal 5 2 2 2 2 4 3 2 2" xfId="50864" xr:uid="{C0323F41-0343-4DF4-95A5-C17268BC2DDA}"/>
    <cellStyle name="Normal 5 2 2 2 2 4 3 2 3" xfId="32268" xr:uid="{E454135D-24DF-4F18-9936-2AACEB73C782}"/>
    <cellStyle name="Normal 5 2 2 2 2 4 3 3" xfId="41567" xr:uid="{9415ED71-072B-4835-B76B-5C0BCBD99485}"/>
    <cellStyle name="Normal 5 2 2 2 2 4 3 4" xfId="22969" xr:uid="{6DC3B76A-151B-4748-A627-662423B9CDEE}"/>
    <cellStyle name="Normal 5 2 2 2 2 4 4" xfId="9254" xr:uid="{B0B4DA0D-4C0F-4712-8BF0-280C2A85D575}"/>
    <cellStyle name="Normal 5 2 2 2 2 4 4 2" xfId="36315" xr:uid="{29BC37C4-3AD4-4640-9EB0-9FEE53C73CA1}"/>
    <cellStyle name="Normal 5 2 2 2 2 4 4 2 2" xfId="54909" xr:uid="{3FA9C9BC-7D4D-452B-8AF7-B037042D50A4}"/>
    <cellStyle name="Normal 5 2 2 2 2 4 4 3" xfId="45612" xr:uid="{758ED204-3EF7-4CE1-A42B-333E4CE0F02D}"/>
    <cellStyle name="Normal 5 2 2 2 2 4 4 4" xfId="27016" xr:uid="{79D6CA72-6357-4BE3-B6F3-66012117520B}"/>
    <cellStyle name="Normal 5 2 2 2 2 4 5" xfId="10305" xr:uid="{B7D73EDC-E7A6-4BE9-94D1-03BE991B618E}"/>
    <cellStyle name="Normal 5 2 2 2 2 4 5 2" xfId="46647" xr:uid="{1328D32F-03E8-4BBF-ABCD-BC7D84339871}"/>
    <cellStyle name="Normal 5 2 2 2 2 4 5 3" xfId="28051" xr:uid="{C944FA28-365B-4B59-8E5E-6E22E8D99A07}"/>
    <cellStyle name="Normal 5 2 2 2 2 4 6" xfId="37350" xr:uid="{3CA95B09-902F-490B-A944-CC8A188E965C}"/>
    <cellStyle name="Normal 5 2 2 2 2 4 7" xfId="18752" xr:uid="{DF322A90-61EE-440F-9DB3-41536D31B9B1}"/>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17080" xr:uid="{B558F5E4-988A-4D35-B508-78C793A86549}"/>
    <cellStyle name="Normal 5 2 2 2 2 5 2 2 2 2" xfId="53422" xr:uid="{3306D507-3228-4AF3-9CDD-F564B48DE3CF}"/>
    <cellStyle name="Normal 5 2 2 2 2 5 2 2 2 3" xfId="34826" xr:uid="{4F1123BB-9213-49D9-89C5-B2EAA2024BCD}"/>
    <cellStyle name="Normal 5 2 2 2 2 5 2 2 3" xfId="44125" xr:uid="{65549C68-7D45-47AC-B673-313857AE4AF6}"/>
    <cellStyle name="Normal 5 2 2 2 2 5 2 2 4" xfId="25527" xr:uid="{29534E7E-5AFA-4FA9-BFC4-B93FDBE8590E}"/>
    <cellStyle name="Normal 5 2 2 2 2 5 2 3" xfId="12863" xr:uid="{97AD177B-FAC7-470F-9177-43AB40C0FEE0}"/>
    <cellStyle name="Normal 5 2 2 2 2 5 2 3 2" xfId="49205" xr:uid="{A180518C-30D8-4F1E-9EAE-B6D6C5A5D945}"/>
    <cellStyle name="Normal 5 2 2 2 2 5 2 3 3" xfId="30609" xr:uid="{C0CD3485-0544-4DF3-A44C-9B7CF4355E37}"/>
    <cellStyle name="Normal 5 2 2 2 2 5 2 4" xfId="39908" xr:uid="{FE7F82EA-EE1A-4110-99BB-76BF7AEFC3E8}"/>
    <cellStyle name="Normal 5 2 2 2 2 5 2 5" xfId="21310" xr:uid="{971BE225-3793-4E8E-80E9-6CA937DFD534}"/>
    <cellStyle name="Normal 5 2 2 2 2 5 3" xfId="5609" xr:uid="{00000000-0005-0000-0000-00003C170000}"/>
    <cellStyle name="Normal 5 2 2 2 2 5 3 2" xfId="14935" xr:uid="{11827BAB-6354-4B70-B8BD-40D4E6B2A5E3}"/>
    <cellStyle name="Normal 5 2 2 2 2 5 3 2 2" xfId="51277" xr:uid="{6BA79D72-5AB6-477E-BC3E-A97EEA76334E}"/>
    <cellStyle name="Normal 5 2 2 2 2 5 3 2 3" xfId="32681" xr:uid="{4EFFECD4-26A9-48A6-B7FD-B85E6A179BAD}"/>
    <cellStyle name="Normal 5 2 2 2 2 5 3 3" xfId="41980" xr:uid="{3927B2CD-C23F-4D12-9C2B-08C6B413F8C6}"/>
    <cellStyle name="Normal 5 2 2 2 2 5 3 4" xfId="23382" xr:uid="{4FC756CF-B576-41BE-A953-4952BA968CAD}"/>
    <cellStyle name="Normal 5 2 2 2 2 5 4" xfId="10718" xr:uid="{C789A1ED-8087-4A4F-A175-5DB60F9D27B1}"/>
    <cellStyle name="Normal 5 2 2 2 2 5 4 2" xfId="47060" xr:uid="{CB95FBB8-9DCE-4BC5-8D5B-F9DBFFDD0EF5}"/>
    <cellStyle name="Normal 5 2 2 2 2 5 4 3" xfId="28464" xr:uid="{686A0C19-C7F3-47BB-BE65-985E65DFA48F}"/>
    <cellStyle name="Normal 5 2 2 2 2 5 5" xfId="37763" xr:uid="{87EE333A-4675-4DEE-9FAB-37EF75E16DB3}"/>
    <cellStyle name="Normal 5 2 2 2 2 5 6" xfId="19165" xr:uid="{A988973B-60FC-47CC-9436-74E977476027}"/>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17493" xr:uid="{3A010F6F-77CA-40FC-983D-EA0485A5D200}"/>
    <cellStyle name="Normal 5 2 2 2 2 6 2 2 2 2" xfId="53835" xr:uid="{A7C5C727-AA3E-42FE-8517-CEC901BD2D9B}"/>
    <cellStyle name="Normal 5 2 2 2 2 6 2 2 2 3" xfId="35239" xr:uid="{0C5C0FEE-974F-475C-8D16-8E0630D08F06}"/>
    <cellStyle name="Normal 5 2 2 2 2 6 2 2 3" xfId="44538" xr:uid="{57CDC1B1-2886-4027-BFEB-38BE845B0D01}"/>
    <cellStyle name="Normal 5 2 2 2 2 6 2 2 4" xfId="25940" xr:uid="{C6BEB1BE-2319-4275-82F4-785EEAA0E92D}"/>
    <cellStyle name="Normal 5 2 2 2 2 6 2 3" xfId="13276" xr:uid="{570142BF-7729-4BA1-A7C3-B559E1AC3867}"/>
    <cellStyle name="Normal 5 2 2 2 2 6 2 3 2" xfId="49618" xr:uid="{59A20EEC-3802-407F-811F-E4E5F2454559}"/>
    <cellStyle name="Normal 5 2 2 2 2 6 2 3 3" xfId="31022" xr:uid="{B567DED0-675E-4B11-8F2F-C3E517B0491D}"/>
    <cellStyle name="Normal 5 2 2 2 2 6 2 4" xfId="40321" xr:uid="{F89D7A40-E10F-4CB4-8F25-802FEC5593D3}"/>
    <cellStyle name="Normal 5 2 2 2 2 6 2 5" xfId="21723" xr:uid="{9E7A128D-722F-4738-845D-EB77B5FF2D60}"/>
    <cellStyle name="Normal 5 2 2 2 2 6 3" xfId="6022" xr:uid="{00000000-0005-0000-0000-000040170000}"/>
    <cellStyle name="Normal 5 2 2 2 2 6 3 2" xfId="15348" xr:uid="{541B5DFB-4BE2-48E0-977D-6314F24A9CEC}"/>
    <cellStyle name="Normal 5 2 2 2 2 6 3 2 2" xfId="51690" xr:uid="{A59FB747-E0CE-4E56-835C-2CEBF67E0B86}"/>
    <cellStyle name="Normal 5 2 2 2 2 6 3 2 3" xfId="33094" xr:uid="{5D26E372-A674-46A0-BBDD-5785664EE083}"/>
    <cellStyle name="Normal 5 2 2 2 2 6 3 3" xfId="42393" xr:uid="{68EBD5BC-4DC0-4175-8967-8780F51DE2B3}"/>
    <cellStyle name="Normal 5 2 2 2 2 6 3 4" xfId="23795" xr:uid="{F40AC928-2D33-4ED4-8F80-8798994B8C04}"/>
    <cellStyle name="Normal 5 2 2 2 2 6 4" xfId="11131" xr:uid="{A52ECB32-E10B-445C-8C34-76F6B7844203}"/>
    <cellStyle name="Normal 5 2 2 2 2 6 4 2" xfId="47473" xr:uid="{A6882175-6A78-4936-A31E-0A0F6DB42DEC}"/>
    <cellStyle name="Normal 5 2 2 2 2 6 4 3" xfId="28877" xr:uid="{4C7BF525-43A7-404E-9052-6272F633678F}"/>
    <cellStyle name="Normal 5 2 2 2 2 6 5" xfId="38176" xr:uid="{36786394-0FF0-497B-998D-7A79295D3E9A}"/>
    <cellStyle name="Normal 5 2 2 2 2 6 6" xfId="19578" xr:uid="{5C36B552-2D77-45D1-89D8-49CC962995B8}"/>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17906" xr:uid="{AB433A9F-B507-4B5B-BBDB-EB9A6C6F7CB9}"/>
    <cellStyle name="Normal 5 2 2 2 2 7 2 2 2 2" xfId="54248" xr:uid="{B22C1215-A33C-4D5E-8027-939E1DEF4367}"/>
    <cellStyle name="Normal 5 2 2 2 2 7 2 2 2 3" xfId="35652" xr:uid="{08A18730-B7B3-40A3-B923-0C9F7B984350}"/>
    <cellStyle name="Normal 5 2 2 2 2 7 2 2 3" xfId="44951" xr:uid="{8398B0CC-653A-4403-8FB5-F177DB22BFDF}"/>
    <cellStyle name="Normal 5 2 2 2 2 7 2 2 4" xfId="26353" xr:uid="{A34D89FD-FAC2-493B-8659-88613D18BE5B}"/>
    <cellStyle name="Normal 5 2 2 2 2 7 2 3" xfId="13689" xr:uid="{914C6D99-3584-4A8F-B672-C7C04F692888}"/>
    <cellStyle name="Normal 5 2 2 2 2 7 2 3 2" xfId="50031" xr:uid="{2519133B-719C-4C9B-827F-6C27728EC746}"/>
    <cellStyle name="Normal 5 2 2 2 2 7 2 3 3" xfId="31435" xr:uid="{9B8EBFE2-C1BC-4ACE-BD86-6E4F20634B15}"/>
    <cellStyle name="Normal 5 2 2 2 2 7 2 4" xfId="40734" xr:uid="{FEDFF25D-6844-42EE-B817-E685B69E8F47}"/>
    <cellStyle name="Normal 5 2 2 2 2 7 2 5" xfId="22136" xr:uid="{FDF549BC-FF0A-49E1-9083-2A43E558EDC5}"/>
    <cellStyle name="Normal 5 2 2 2 2 7 3" xfId="6435" xr:uid="{00000000-0005-0000-0000-000044170000}"/>
    <cellStyle name="Normal 5 2 2 2 2 7 3 2" xfId="15761" xr:uid="{3690AFBB-955E-47DD-B151-5F581408005F}"/>
    <cellStyle name="Normal 5 2 2 2 2 7 3 2 2" xfId="52103" xr:uid="{4DB935C6-C56D-4AD6-9ECA-B00C8CF1DBED}"/>
    <cellStyle name="Normal 5 2 2 2 2 7 3 2 3" xfId="33507" xr:uid="{FEFA0735-AF5C-4160-A3CA-0B42F8F077D3}"/>
    <cellStyle name="Normal 5 2 2 2 2 7 3 3" xfId="42806" xr:uid="{DEA9BDFA-07AF-4D49-9F85-37975E51FDFD}"/>
    <cellStyle name="Normal 5 2 2 2 2 7 3 4" xfId="24208" xr:uid="{B1613981-97EA-4AEA-ACAB-17BC5230BDCB}"/>
    <cellStyle name="Normal 5 2 2 2 2 7 4" xfId="11544" xr:uid="{4196EE16-DC05-4E55-AF53-2F6513E10689}"/>
    <cellStyle name="Normal 5 2 2 2 2 7 4 2" xfId="47886" xr:uid="{88E34DF0-76C4-46A2-9ECD-65796B569067}"/>
    <cellStyle name="Normal 5 2 2 2 2 7 4 3" xfId="29290" xr:uid="{E78BE8B9-929F-4553-8C11-8961E20960FC}"/>
    <cellStyle name="Normal 5 2 2 2 2 7 5" xfId="38589" xr:uid="{8A2B2DC6-2900-463F-BF51-89DF820A0D57}"/>
    <cellStyle name="Normal 5 2 2 2 2 7 6" xfId="19991" xr:uid="{D5EED9BC-C1CC-4A14-B693-0AEF0CC6F52A}"/>
    <cellStyle name="Normal 5 2 2 2 2 8" xfId="2565" xr:uid="{00000000-0005-0000-0000-000045170000}"/>
    <cellStyle name="Normal 5 2 2 2 2 8 2" xfId="6848" xr:uid="{00000000-0005-0000-0000-000046170000}"/>
    <cellStyle name="Normal 5 2 2 2 2 8 2 2" xfId="16174" xr:uid="{66283678-9056-4B4C-B72B-99D7ABC86723}"/>
    <cellStyle name="Normal 5 2 2 2 2 8 2 2 2" xfId="52516" xr:uid="{25BC2885-74AC-4FAD-9913-271F31D450E9}"/>
    <cellStyle name="Normal 5 2 2 2 2 8 2 2 3" xfId="33920" xr:uid="{911314D5-CA65-44A1-B93D-CD5AFF65C1D1}"/>
    <cellStyle name="Normal 5 2 2 2 2 8 2 3" xfId="43219" xr:uid="{31658FC7-62EE-44C1-864A-DBFC3F4E8A88}"/>
    <cellStyle name="Normal 5 2 2 2 2 8 2 4" xfId="24621" xr:uid="{73F21E93-4F50-4DE0-A5DE-27197EAEBEF4}"/>
    <cellStyle name="Normal 5 2 2 2 2 8 3" xfId="11957" xr:uid="{5615847A-D569-4047-9D92-320018F13615}"/>
    <cellStyle name="Normal 5 2 2 2 2 8 3 2" xfId="48299" xr:uid="{0C428400-B080-4741-8184-94E08E020EF5}"/>
    <cellStyle name="Normal 5 2 2 2 2 8 3 3" xfId="29703" xr:uid="{C1DB6FFB-647E-4C16-95CD-CF9A1EECFA4D}"/>
    <cellStyle name="Normal 5 2 2 2 2 8 4" xfId="39002" xr:uid="{62A44CE0-6C9A-4313-99D3-CDF23A065429}"/>
    <cellStyle name="Normal 5 2 2 2 2 8 5" xfId="20404" xr:uid="{8134FFFF-7D99-4F31-8171-0A1DBC995657}"/>
    <cellStyle name="Normal 5 2 2 2 2 9" xfId="4783" xr:uid="{00000000-0005-0000-0000-000047170000}"/>
    <cellStyle name="Normal 5 2 2 2 2 9 2" xfId="14109" xr:uid="{C6E31F04-24F7-441E-93DB-05BC319B2452}"/>
    <cellStyle name="Normal 5 2 2 2 2 9 2 2" xfId="50451" xr:uid="{BA42177B-97C2-4255-8739-89B3ACDD8E1B}"/>
    <cellStyle name="Normal 5 2 2 2 2 9 2 3" xfId="31855" xr:uid="{FB41F6B4-A11F-45A2-B1DA-CA6CDCD58545}"/>
    <cellStyle name="Normal 5 2 2 2 2 9 3" xfId="41154" xr:uid="{0E5B763F-59A6-4C5E-9820-9680B5F96A38}"/>
    <cellStyle name="Normal 5 2 2 2 2 9 4" xfId="22556" xr:uid="{2901D3F8-BA7F-4537-8349-B1ADE014C831}"/>
    <cellStyle name="Normal 5 2 2 2 3" xfId="414" xr:uid="{00000000-0005-0000-0000-000048170000}"/>
    <cellStyle name="Normal 5 2 2 2 3 10" xfId="9896" xr:uid="{FCF93642-2683-4C3B-A439-216689006F1B}"/>
    <cellStyle name="Normal 5 2 2 2 3 10 2" xfId="46238" xr:uid="{3E202C92-D0EE-4844-AD06-EEFA2D747A98}"/>
    <cellStyle name="Normal 5 2 2 2 3 10 3" xfId="27642" xr:uid="{7DDD6ED3-3096-468B-A58B-51714618BEAC}"/>
    <cellStyle name="Normal 5 2 2 2 3 11" xfId="36941" xr:uid="{D68D5C6C-BBA0-41B8-A801-A257BA28F051}"/>
    <cellStyle name="Normal 5 2 2 2 3 12" xfId="18343" xr:uid="{84504316-3519-4C7E-AAD1-9FC96B15C83B}"/>
    <cellStyle name="Normal 5 2 2 2 3 2" xfId="415" xr:uid="{00000000-0005-0000-0000-000049170000}"/>
    <cellStyle name="Normal 5 2 2 2 3 2 10" xfId="36942" xr:uid="{447ADFFB-718E-40AF-A415-612ED9B67719}"/>
    <cellStyle name="Normal 5 2 2 2 3 2 11" xfId="18344" xr:uid="{0BE93914-0D9B-40BD-93E7-FCA0E63D3973}"/>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16672" xr:uid="{6A703A04-5E44-404B-8778-C9667E5F1D08}"/>
    <cellStyle name="Normal 5 2 2 2 3 2 2 2 2 2 2" xfId="53014" xr:uid="{63EA0115-6DB8-4BEE-B6D1-4D5A2C5596B4}"/>
    <cellStyle name="Normal 5 2 2 2 3 2 2 2 2 2 3" xfId="34418" xr:uid="{5052997D-713F-4AC4-86B2-468C6F814310}"/>
    <cellStyle name="Normal 5 2 2 2 3 2 2 2 2 3" xfId="43717" xr:uid="{85C2215C-7B82-48DF-A0B2-8C6AF94BFD78}"/>
    <cellStyle name="Normal 5 2 2 2 3 2 2 2 2 4" xfId="25119" xr:uid="{D15B4F1F-FE60-4136-8CFF-3989D62CF77F}"/>
    <cellStyle name="Normal 5 2 2 2 3 2 2 2 3" xfId="12455" xr:uid="{F350DD2C-6646-4C78-92A0-BFFF893B7863}"/>
    <cellStyle name="Normal 5 2 2 2 3 2 2 2 3 2" xfId="48797" xr:uid="{D8C4936B-E905-4FCA-9630-3727478EFF05}"/>
    <cellStyle name="Normal 5 2 2 2 3 2 2 2 3 3" xfId="30201" xr:uid="{BA389A2C-4285-42D6-B9CE-9F85844BE950}"/>
    <cellStyle name="Normal 5 2 2 2 3 2 2 2 4" xfId="39500" xr:uid="{15AE8CBA-9BA5-43D8-B09F-DB7FB09EA6FB}"/>
    <cellStyle name="Normal 5 2 2 2 3 2 2 2 5" xfId="20902" xr:uid="{36AC0916-5370-4F81-BED9-BEF3B81F55FA}"/>
    <cellStyle name="Normal 5 2 2 2 3 2 2 3" xfId="5201" xr:uid="{00000000-0005-0000-0000-00004D170000}"/>
    <cellStyle name="Normal 5 2 2 2 3 2 2 3 2" xfId="14527" xr:uid="{7C9E38D4-EC7A-494D-8368-0D9C25EDC1C9}"/>
    <cellStyle name="Normal 5 2 2 2 3 2 2 3 2 2" xfId="50869" xr:uid="{D6604FB9-930A-427E-A7C5-983D84744887}"/>
    <cellStyle name="Normal 5 2 2 2 3 2 2 3 2 3" xfId="32273" xr:uid="{CD742DC8-398C-4DF5-8763-B133C6848D6B}"/>
    <cellStyle name="Normal 5 2 2 2 3 2 2 3 3" xfId="41572" xr:uid="{CBAB2F91-39EB-4A2E-87C7-CA847ED4D486}"/>
    <cellStyle name="Normal 5 2 2 2 3 2 2 3 4" xfId="22974" xr:uid="{6584028F-9F39-4162-AA82-28C5FF91C729}"/>
    <cellStyle name="Normal 5 2 2 2 3 2 2 4" xfId="9506" xr:uid="{65E8E1F9-5B62-47C9-8131-412DF42F5268}"/>
    <cellStyle name="Normal 5 2 2 2 3 2 2 4 2" xfId="36567" xr:uid="{702C825C-58F5-4BF7-9B8B-C7FA493E23FC}"/>
    <cellStyle name="Normal 5 2 2 2 3 2 2 4 2 2" xfId="55161" xr:uid="{64DD5B36-D49C-4C73-A561-144110E828E4}"/>
    <cellStyle name="Normal 5 2 2 2 3 2 2 4 3" xfId="45864" xr:uid="{5DACFC10-5276-4194-9E03-F5F7C2A21BCB}"/>
    <cellStyle name="Normal 5 2 2 2 3 2 2 4 4" xfId="27268" xr:uid="{D00EB1C3-492B-4AF5-9D42-9AC5A954A253}"/>
    <cellStyle name="Normal 5 2 2 2 3 2 2 5" xfId="10310" xr:uid="{2651B1C7-6ED6-4544-AC3D-A340213B135C}"/>
    <cellStyle name="Normal 5 2 2 2 3 2 2 5 2" xfId="46652" xr:uid="{0EA8D5EA-B279-4459-918B-FD46FF0704D3}"/>
    <cellStyle name="Normal 5 2 2 2 3 2 2 5 3" xfId="28056" xr:uid="{5DFDD8E1-737C-4EFC-BB55-8BCF27D1D6CD}"/>
    <cellStyle name="Normal 5 2 2 2 3 2 2 6" xfId="37355" xr:uid="{C483A1A4-8AB0-4A8F-94C3-DE14839896FF}"/>
    <cellStyle name="Normal 5 2 2 2 3 2 2 7" xfId="18757" xr:uid="{83B3F7C8-5C84-4333-BD2D-58C53BC09F4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17085" xr:uid="{2E178597-C8AE-43D0-A9D1-780742B2E629}"/>
    <cellStyle name="Normal 5 2 2 2 3 2 3 2 2 2 2" xfId="53427" xr:uid="{9F1822ED-875E-4BB7-A923-782E6B021C3A}"/>
    <cellStyle name="Normal 5 2 2 2 3 2 3 2 2 2 3" xfId="34831" xr:uid="{F69278A8-8BB9-4BFF-B317-30C3B0AC3862}"/>
    <cellStyle name="Normal 5 2 2 2 3 2 3 2 2 3" xfId="44130" xr:uid="{70489F19-53CE-4F12-8ECF-9E115B885E52}"/>
    <cellStyle name="Normal 5 2 2 2 3 2 3 2 2 4" xfId="25532" xr:uid="{0A6C2F05-B07D-42FC-AE6A-786273E07244}"/>
    <cellStyle name="Normal 5 2 2 2 3 2 3 2 3" xfId="12868" xr:uid="{62E0B6FE-818B-4A63-923C-CA7771DA52FE}"/>
    <cellStyle name="Normal 5 2 2 2 3 2 3 2 3 2" xfId="49210" xr:uid="{3B8C7817-AEAB-49FA-B7DD-B11100CF81BB}"/>
    <cellStyle name="Normal 5 2 2 2 3 2 3 2 3 3" xfId="30614" xr:uid="{FB9EE925-3525-4C87-9156-4159E9FF9657}"/>
    <cellStyle name="Normal 5 2 2 2 3 2 3 2 4" xfId="39913" xr:uid="{CD28F336-9C0E-40A9-8B63-40A65FEC5062}"/>
    <cellStyle name="Normal 5 2 2 2 3 2 3 2 5" xfId="21315" xr:uid="{E00EA497-CD09-4EDF-9EA3-AA5A1A96A472}"/>
    <cellStyle name="Normal 5 2 2 2 3 2 3 3" xfId="5614" xr:uid="{00000000-0005-0000-0000-000051170000}"/>
    <cellStyle name="Normal 5 2 2 2 3 2 3 3 2" xfId="14940" xr:uid="{DA89EC5E-DE71-47FF-9DBD-2E455EA6A789}"/>
    <cellStyle name="Normal 5 2 2 2 3 2 3 3 2 2" xfId="51282" xr:uid="{BE48437D-D379-4075-81A5-8ABA06B5748B}"/>
    <cellStyle name="Normal 5 2 2 2 3 2 3 3 2 3" xfId="32686" xr:uid="{706CD43B-6EBC-4F3B-9452-99D01EFBE14F}"/>
    <cellStyle name="Normal 5 2 2 2 3 2 3 3 3" xfId="41985" xr:uid="{BBF80EFB-CEDD-4049-BD61-77F4AA0DCEF2}"/>
    <cellStyle name="Normal 5 2 2 2 3 2 3 3 4" xfId="23387" xr:uid="{26962537-6327-42F3-8F66-BEDF92AC88AD}"/>
    <cellStyle name="Normal 5 2 2 2 3 2 3 4" xfId="10723" xr:uid="{744DA252-296E-4634-8459-CF84FDA15F99}"/>
    <cellStyle name="Normal 5 2 2 2 3 2 3 4 2" xfId="47065" xr:uid="{33185BA7-751A-4E85-8DC1-7367B3CDB0F0}"/>
    <cellStyle name="Normal 5 2 2 2 3 2 3 4 3" xfId="28469" xr:uid="{6E322A51-FE64-4063-A905-A5763B0A9BCF}"/>
    <cellStyle name="Normal 5 2 2 2 3 2 3 5" xfId="37768" xr:uid="{4A4C32A5-9263-4899-B499-C9BE56246415}"/>
    <cellStyle name="Normal 5 2 2 2 3 2 3 6" xfId="19170" xr:uid="{6D73926F-AF1D-4015-A43B-B1E005ED93A9}"/>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17498" xr:uid="{A3E0C6CF-EEB7-4949-9EAC-4601AF654781}"/>
    <cellStyle name="Normal 5 2 2 2 3 2 4 2 2 2 2" xfId="53840" xr:uid="{428BD8A8-98DD-4672-A36D-BFE9478B79A8}"/>
    <cellStyle name="Normal 5 2 2 2 3 2 4 2 2 2 3" xfId="35244" xr:uid="{44AC52C7-6498-426D-A700-5E3F27F6E0E4}"/>
    <cellStyle name="Normal 5 2 2 2 3 2 4 2 2 3" xfId="44543" xr:uid="{7A10DF5D-31D7-4C89-8B10-1A2264B01C27}"/>
    <cellStyle name="Normal 5 2 2 2 3 2 4 2 2 4" xfId="25945" xr:uid="{71B54F10-02B8-4AFB-A39E-A1B318A6FACF}"/>
    <cellStyle name="Normal 5 2 2 2 3 2 4 2 3" xfId="13281" xr:uid="{6AE67865-0B77-4DDD-B8F9-B037F1DAE216}"/>
    <cellStyle name="Normal 5 2 2 2 3 2 4 2 3 2" xfId="49623" xr:uid="{6F32D2C3-874C-4943-993E-58918EF1BE07}"/>
    <cellStyle name="Normal 5 2 2 2 3 2 4 2 3 3" xfId="31027" xr:uid="{265F92A9-0179-46A0-AEDE-B7AE1FC6F465}"/>
    <cellStyle name="Normal 5 2 2 2 3 2 4 2 4" xfId="40326" xr:uid="{B9EE7804-9D29-4FF6-B8BE-42AA45000C89}"/>
    <cellStyle name="Normal 5 2 2 2 3 2 4 2 5" xfId="21728" xr:uid="{348AE0FA-9454-45E7-85A4-40C9F2A340E3}"/>
    <cellStyle name="Normal 5 2 2 2 3 2 4 3" xfId="6027" xr:uid="{00000000-0005-0000-0000-000055170000}"/>
    <cellStyle name="Normal 5 2 2 2 3 2 4 3 2" xfId="15353" xr:uid="{FFB8B1FD-B06F-4834-A783-AE71940F4FE0}"/>
    <cellStyle name="Normal 5 2 2 2 3 2 4 3 2 2" xfId="51695" xr:uid="{799C0C50-C28B-47E7-8EAE-528547743595}"/>
    <cellStyle name="Normal 5 2 2 2 3 2 4 3 2 3" xfId="33099" xr:uid="{5FEDE433-6DE5-45D4-8A5D-767A8E384DCF}"/>
    <cellStyle name="Normal 5 2 2 2 3 2 4 3 3" xfId="42398" xr:uid="{A7F19521-7021-4EC7-8BBD-6EF5585EE06F}"/>
    <cellStyle name="Normal 5 2 2 2 3 2 4 3 4" xfId="23800" xr:uid="{617CC498-A19C-4554-8AB3-5F7D807FF972}"/>
    <cellStyle name="Normal 5 2 2 2 3 2 4 4" xfId="11136" xr:uid="{B0BB597F-4BA6-4300-A126-FD662E1B8B40}"/>
    <cellStyle name="Normal 5 2 2 2 3 2 4 4 2" xfId="47478" xr:uid="{98A3A37F-7BED-4431-9B30-A197D38B93F4}"/>
    <cellStyle name="Normal 5 2 2 2 3 2 4 4 3" xfId="28882" xr:uid="{ADE8F74B-D6D3-4C71-B4D0-B8C8D0364474}"/>
    <cellStyle name="Normal 5 2 2 2 3 2 4 5" xfId="38181" xr:uid="{9FEA5ECE-92F1-4DA4-9E9E-A0A71FECD476}"/>
    <cellStyle name="Normal 5 2 2 2 3 2 4 6" xfId="19583" xr:uid="{D2F6E1B6-A6DF-47CA-96EF-6FBCD4462B62}"/>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17911" xr:uid="{921BF74A-0EC5-4D87-BD51-7BA9E1CE8631}"/>
    <cellStyle name="Normal 5 2 2 2 3 2 5 2 2 2 2" xfId="54253" xr:uid="{F17A0131-ABBB-40A5-B8BA-34113A1872E0}"/>
    <cellStyle name="Normal 5 2 2 2 3 2 5 2 2 2 3" xfId="35657" xr:uid="{022D6522-B8F4-4B6F-A996-2E50FF4F5EA7}"/>
    <cellStyle name="Normal 5 2 2 2 3 2 5 2 2 3" xfId="44956" xr:uid="{0EAEB8B6-2FCB-4583-A54B-BADC467C3C72}"/>
    <cellStyle name="Normal 5 2 2 2 3 2 5 2 2 4" xfId="26358" xr:uid="{02F36C0B-65DA-4585-96F5-79F24EE4709C}"/>
    <cellStyle name="Normal 5 2 2 2 3 2 5 2 3" xfId="13694" xr:uid="{F507226A-0BF7-4C4E-B417-1947D538CF8A}"/>
    <cellStyle name="Normal 5 2 2 2 3 2 5 2 3 2" xfId="50036" xr:uid="{A20C03B7-6E1E-4507-93A2-380246375FA1}"/>
    <cellStyle name="Normal 5 2 2 2 3 2 5 2 3 3" xfId="31440" xr:uid="{34ECFDD7-E7D0-49BE-826F-2C1B63D1BC74}"/>
    <cellStyle name="Normal 5 2 2 2 3 2 5 2 4" xfId="40739" xr:uid="{D3483DB0-1249-4885-958E-C66897AF208A}"/>
    <cellStyle name="Normal 5 2 2 2 3 2 5 2 5" xfId="22141" xr:uid="{3A48D89C-0516-4FFA-ACE4-6B7DD5AA50D2}"/>
    <cellStyle name="Normal 5 2 2 2 3 2 5 3" xfId="6440" xr:uid="{00000000-0005-0000-0000-000059170000}"/>
    <cellStyle name="Normal 5 2 2 2 3 2 5 3 2" xfId="15766" xr:uid="{E5B3D595-9307-4375-B73C-FD47B0EFFC1D}"/>
    <cellStyle name="Normal 5 2 2 2 3 2 5 3 2 2" xfId="52108" xr:uid="{A15369D2-A880-4D25-B606-E57A2E6C4D52}"/>
    <cellStyle name="Normal 5 2 2 2 3 2 5 3 2 3" xfId="33512" xr:uid="{5DB63536-FAD1-4A18-8B22-6C3CEA00D159}"/>
    <cellStyle name="Normal 5 2 2 2 3 2 5 3 3" xfId="42811" xr:uid="{E765947F-2571-4F80-8A7E-83632E61415C}"/>
    <cellStyle name="Normal 5 2 2 2 3 2 5 3 4" xfId="24213" xr:uid="{562832DA-2F1F-40ED-BCD7-F4C6A0E5282D}"/>
    <cellStyle name="Normal 5 2 2 2 3 2 5 4" xfId="11549" xr:uid="{23FA5FA8-4879-4ABE-83A8-87F4639FF68A}"/>
    <cellStyle name="Normal 5 2 2 2 3 2 5 4 2" xfId="47891" xr:uid="{6FF71D21-E26A-45C9-8F74-F1CE3B9B221A}"/>
    <cellStyle name="Normal 5 2 2 2 3 2 5 4 3" xfId="29295" xr:uid="{FEFB891A-1187-48EF-8AE4-0F92FE2FA88A}"/>
    <cellStyle name="Normal 5 2 2 2 3 2 5 5" xfId="38594" xr:uid="{C6962E70-FD69-4B33-94F0-3166EB36C030}"/>
    <cellStyle name="Normal 5 2 2 2 3 2 5 6" xfId="19996" xr:uid="{D291130B-9AB7-47F1-9BC8-5230BCCCBE8F}"/>
    <cellStyle name="Normal 5 2 2 2 3 2 6" xfId="2570" xr:uid="{00000000-0005-0000-0000-00005A170000}"/>
    <cellStyle name="Normal 5 2 2 2 3 2 6 2" xfId="6853" xr:uid="{00000000-0005-0000-0000-00005B170000}"/>
    <cellStyle name="Normal 5 2 2 2 3 2 6 2 2" xfId="16179" xr:uid="{6AA0968C-AA20-4ADB-827F-909B698D9868}"/>
    <cellStyle name="Normal 5 2 2 2 3 2 6 2 2 2" xfId="52521" xr:uid="{B9B02B09-B4C0-4BB7-A8E3-478320936966}"/>
    <cellStyle name="Normal 5 2 2 2 3 2 6 2 2 3" xfId="33925" xr:uid="{507F07A5-7C0C-4ADD-B6D8-098A9B26E074}"/>
    <cellStyle name="Normal 5 2 2 2 3 2 6 2 3" xfId="43224" xr:uid="{3A6ECD07-B1A6-42D9-8759-312E8E850D9B}"/>
    <cellStyle name="Normal 5 2 2 2 3 2 6 2 4" xfId="24626" xr:uid="{2447094F-6685-4A6B-A884-0525A7A87D74}"/>
    <cellStyle name="Normal 5 2 2 2 3 2 6 3" xfId="11962" xr:uid="{7EE9DFBF-2FA2-48D9-8E0B-7C4FBEEB77D6}"/>
    <cellStyle name="Normal 5 2 2 2 3 2 6 3 2" xfId="48304" xr:uid="{4BC64C37-C0F7-4EC4-AC08-33055A09355A}"/>
    <cellStyle name="Normal 5 2 2 2 3 2 6 3 3" xfId="29708" xr:uid="{C5A410F0-6373-4AEF-85D0-AB5D8C9D3C1D}"/>
    <cellStyle name="Normal 5 2 2 2 3 2 6 4" xfId="39007" xr:uid="{99299252-65CA-47E6-B9E7-FB318C17FD83}"/>
    <cellStyle name="Normal 5 2 2 2 3 2 6 5" xfId="20409" xr:uid="{68029896-0796-489F-A97E-DE28F8C1B564}"/>
    <cellStyle name="Normal 5 2 2 2 3 2 7" xfId="4788" xr:uid="{00000000-0005-0000-0000-00005C170000}"/>
    <cellStyle name="Normal 5 2 2 2 3 2 7 2" xfId="14114" xr:uid="{14E81EE4-39DA-4634-A907-86F5C9A74170}"/>
    <cellStyle name="Normal 5 2 2 2 3 2 7 2 2" xfId="50456" xr:uid="{B9204D3E-BCF6-4E4C-ADD0-361E1728E4E3}"/>
    <cellStyle name="Normal 5 2 2 2 3 2 7 2 3" xfId="31860" xr:uid="{3685A83A-FD7A-4EBC-8687-CD1AB076E98C}"/>
    <cellStyle name="Normal 5 2 2 2 3 2 7 3" xfId="41159" xr:uid="{63C90D30-0DD3-4D1D-A331-165BF921A263}"/>
    <cellStyle name="Normal 5 2 2 2 3 2 7 4" xfId="22561" xr:uid="{96F2B76D-8507-4A2F-87BD-C5D7246A14F3}"/>
    <cellStyle name="Normal 5 2 2 2 3 2 8" xfId="9081" xr:uid="{B0400C6D-4400-4F06-9092-2DCAD3324CF1}"/>
    <cellStyle name="Normal 5 2 2 2 3 2 8 2" xfId="36151" xr:uid="{599A7923-80C6-49B3-8054-6932D1D7606E}"/>
    <cellStyle name="Normal 5 2 2 2 3 2 8 2 2" xfId="54746" xr:uid="{DD245091-9122-4EA0-938D-BC3BC674F4E8}"/>
    <cellStyle name="Normal 5 2 2 2 3 2 8 3" xfId="45449" xr:uid="{9CC4790B-4CBB-4E12-B6A9-C5FA6B7A5F75}"/>
    <cellStyle name="Normal 5 2 2 2 3 2 8 4" xfId="26852" xr:uid="{DEF92A77-5903-4025-9966-C2488ABA2D3C}"/>
    <cellStyle name="Normal 5 2 2 2 3 2 9" xfId="9897" xr:uid="{1CCDCDBF-E048-4AEA-BEA9-5F7937BFAB82}"/>
    <cellStyle name="Normal 5 2 2 2 3 2 9 2" xfId="46239" xr:uid="{06FA70B1-45FB-453F-A4E4-E1929340D94C}"/>
    <cellStyle name="Normal 5 2 2 2 3 2 9 3" xfId="27643" xr:uid="{B81A2EAD-D77F-4E70-A2E0-5A61D9D9E378}"/>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16671" xr:uid="{9D6ACF29-9D85-477A-9918-0E1D58BFBA92}"/>
    <cellStyle name="Normal 5 2 2 2 3 3 2 2 2 2" xfId="53013" xr:uid="{2EBF3B83-AFFC-4B3C-BEE9-F76BEFDFDF6F}"/>
    <cellStyle name="Normal 5 2 2 2 3 3 2 2 2 3" xfId="34417" xr:uid="{1574A580-6D8D-4F61-9845-9AA0AF897511}"/>
    <cellStyle name="Normal 5 2 2 2 3 3 2 2 3" xfId="43716" xr:uid="{45D14C6A-D835-46A9-BB08-CA2A810D95BD}"/>
    <cellStyle name="Normal 5 2 2 2 3 3 2 2 4" xfId="25118" xr:uid="{26E58235-E537-477F-AC69-D58D3476EFC5}"/>
    <cellStyle name="Normal 5 2 2 2 3 3 2 3" xfId="12454" xr:uid="{667A9413-CD09-4547-8A69-46218072A29C}"/>
    <cellStyle name="Normal 5 2 2 2 3 3 2 3 2" xfId="48796" xr:uid="{4EEEA6F9-D7B3-4C3C-8689-6BDA80F6EDED}"/>
    <cellStyle name="Normal 5 2 2 2 3 3 2 3 3" xfId="30200" xr:uid="{EF426E78-0C88-4C13-BE28-AD4B9574EF44}"/>
    <cellStyle name="Normal 5 2 2 2 3 3 2 4" xfId="39499" xr:uid="{F8009B15-7925-4AC9-A249-FAC92DDC1496}"/>
    <cellStyle name="Normal 5 2 2 2 3 3 2 5" xfId="20901" xr:uid="{355EE8B3-6984-4B28-89F1-91F8AE01132E}"/>
    <cellStyle name="Normal 5 2 2 2 3 3 3" xfId="5200" xr:uid="{00000000-0005-0000-0000-000060170000}"/>
    <cellStyle name="Normal 5 2 2 2 3 3 3 2" xfId="14526" xr:uid="{CA6DC8FB-1195-4282-946F-F0781B2F2AD4}"/>
    <cellStyle name="Normal 5 2 2 2 3 3 3 2 2" xfId="50868" xr:uid="{617417DB-0549-447B-8518-27C239B79CC0}"/>
    <cellStyle name="Normal 5 2 2 2 3 3 3 2 3" xfId="32272" xr:uid="{994715A1-3830-4114-9D59-18933355F73A}"/>
    <cellStyle name="Normal 5 2 2 2 3 3 3 3" xfId="41571" xr:uid="{019337EF-4834-4568-97B6-6945FA549EFD}"/>
    <cellStyle name="Normal 5 2 2 2 3 3 3 4" xfId="22973" xr:uid="{2A517CA8-8864-4068-8BE3-CBB351A64C41}"/>
    <cellStyle name="Normal 5 2 2 2 3 3 4" xfId="9299" xr:uid="{85780536-A38F-4D86-8846-D9FA6BB2D61D}"/>
    <cellStyle name="Normal 5 2 2 2 3 3 4 2" xfId="36360" xr:uid="{DAE493B9-4122-43C6-8B55-F3C924958005}"/>
    <cellStyle name="Normal 5 2 2 2 3 3 4 2 2" xfId="54954" xr:uid="{1B2AAC65-A541-4465-852C-A78B2496DBB4}"/>
    <cellStyle name="Normal 5 2 2 2 3 3 4 3" xfId="45657" xr:uid="{198CFDD4-1EF8-46DD-83D9-8588F4982093}"/>
    <cellStyle name="Normal 5 2 2 2 3 3 4 4" xfId="27061" xr:uid="{07E67755-0BDC-438A-9DA0-B467205F7027}"/>
    <cellStyle name="Normal 5 2 2 2 3 3 5" xfId="10309" xr:uid="{4CDD5594-D618-4791-9C72-16A6E332CC22}"/>
    <cellStyle name="Normal 5 2 2 2 3 3 5 2" xfId="46651" xr:uid="{BBEBC538-7E13-4991-8274-102168BA4CAD}"/>
    <cellStyle name="Normal 5 2 2 2 3 3 5 3" xfId="28055" xr:uid="{08589AC1-F270-45C8-871F-4A3439097FCE}"/>
    <cellStyle name="Normal 5 2 2 2 3 3 6" xfId="37354" xr:uid="{F211C1AF-4430-46D8-A0BC-5A3C7F3B2E20}"/>
    <cellStyle name="Normal 5 2 2 2 3 3 7" xfId="18756" xr:uid="{0EC2B97D-A92E-44B7-93FB-72AC55AAEFE9}"/>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17084" xr:uid="{879A5732-65C4-49C9-8D99-0D0BFAD020D9}"/>
    <cellStyle name="Normal 5 2 2 2 3 4 2 2 2 2" xfId="53426" xr:uid="{E8555697-58EE-40B8-BCDE-5C4D3921E14B}"/>
    <cellStyle name="Normal 5 2 2 2 3 4 2 2 2 3" xfId="34830" xr:uid="{BCABE9F4-69DD-4EE0-8626-3443068485EB}"/>
    <cellStyle name="Normal 5 2 2 2 3 4 2 2 3" xfId="44129" xr:uid="{03887B1B-10FA-47DD-956D-F61B7370B7B7}"/>
    <cellStyle name="Normal 5 2 2 2 3 4 2 2 4" xfId="25531" xr:uid="{428C4EAD-FA58-4871-B5A9-44E3C414F8E6}"/>
    <cellStyle name="Normal 5 2 2 2 3 4 2 3" xfId="12867" xr:uid="{6181FDD5-9558-428C-A92E-B3D6D69E6B72}"/>
    <cellStyle name="Normal 5 2 2 2 3 4 2 3 2" xfId="49209" xr:uid="{E2B7FED8-FB81-4F8F-BD68-11EC01E4AD28}"/>
    <cellStyle name="Normal 5 2 2 2 3 4 2 3 3" xfId="30613" xr:uid="{4AB560CC-D75A-4081-B70A-098731560B5D}"/>
    <cellStyle name="Normal 5 2 2 2 3 4 2 4" xfId="39912" xr:uid="{38861444-13F2-4BC7-8732-2AE8A6CB727F}"/>
    <cellStyle name="Normal 5 2 2 2 3 4 2 5" xfId="21314" xr:uid="{1439D676-D01A-4125-9089-F3628FDE6BF3}"/>
    <cellStyle name="Normal 5 2 2 2 3 4 3" xfId="5613" xr:uid="{00000000-0005-0000-0000-000064170000}"/>
    <cellStyle name="Normal 5 2 2 2 3 4 3 2" xfId="14939" xr:uid="{FA476C68-5256-4976-B784-1485482B1170}"/>
    <cellStyle name="Normal 5 2 2 2 3 4 3 2 2" xfId="51281" xr:uid="{DB558357-28FC-459A-B617-970B48D19159}"/>
    <cellStyle name="Normal 5 2 2 2 3 4 3 2 3" xfId="32685" xr:uid="{3747BA1F-010C-472E-A627-BBD8766EAA2F}"/>
    <cellStyle name="Normal 5 2 2 2 3 4 3 3" xfId="41984" xr:uid="{0C347918-600D-47C2-88EA-997EB599CEF1}"/>
    <cellStyle name="Normal 5 2 2 2 3 4 3 4" xfId="23386" xr:uid="{B42B5568-32E0-4B22-AD35-ABCEB04AE0E8}"/>
    <cellStyle name="Normal 5 2 2 2 3 4 4" xfId="10722" xr:uid="{4076796A-A8F9-42D1-910D-C260657B432D}"/>
    <cellStyle name="Normal 5 2 2 2 3 4 4 2" xfId="47064" xr:uid="{343DEB98-8EB0-4B41-8EB8-5D9008E1C303}"/>
    <cellStyle name="Normal 5 2 2 2 3 4 4 3" xfId="28468" xr:uid="{FF33F0B5-F829-4451-A377-671B409230A7}"/>
    <cellStyle name="Normal 5 2 2 2 3 4 5" xfId="37767" xr:uid="{44F73253-EE09-469A-9FB5-6182B45CD157}"/>
    <cellStyle name="Normal 5 2 2 2 3 4 6" xfId="19169" xr:uid="{2412B936-EEF7-485D-8CC1-E88FC9EFE079}"/>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17497" xr:uid="{B52F0BCA-717F-417D-B678-BE6FA7FAFD07}"/>
    <cellStyle name="Normal 5 2 2 2 3 5 2 2 2 2" xfId="53839" xr:uid="{8F4C3200-70B5-4D51-8FA7-11ED6AFEA5FD}"/>
    <cellStyle name="Normal 5 2 2 2 3 5 2 2 2 3" xfId="35243" xr:uid="{B8D74636-34AE-4CEC-B379-E520924867F5}"/>
    <cellStyle name="Normal 5 2 2 2 3 5 2 2 3" xfId="44542" xr:uid="{3F2FFA11-53A7-400E-99E7-39F509E49748}"/>
    <cellStyle name="Normal 5 2 2 2 3 5 2 2 4" xfId="25944" xr:uid="{139E507A-3D00-4F16-A088-3E7A07B38BC7}"/>
    <cellStyle name="Normal 5 2 2 2 3 5 2 3" xfId="13280" xr:uid="{0D88E419-7259-4ED8-9377-4C2C5FE0F4A0}"/>
    <cellStyle name="Normal 5 2 2 2 3 5 2 3 2" xfId="49622" xr:uid="{8111413A-F7EE-4198-83B8-243630BB66F7}"/>
    <cellStyle name="Normal 5 2 2 2 3 5 2 3 3" xfId="31026" xr:uid="{48A06B5C-D4D8-475F-AC70-1FC6AE95B942}"/>
    <cellStyle name="Normal 5 2 2 2 3 5 2 4" xfId="40325" xr:uid="{2C535795-D1A8-42EC-A332-47DA3F105A45}"/>
    <cellStyle name="Normal 5 2 2 2 3 5 2 5" xfId="21727" xr:uid="{34FD1E04-3A4C-4F10-B356-76C1F0CE25B5}"/>
    <cellStyle name="Normal 5 2 2 2 3 5 3" xfId="6026" xr:uid="{00000000-0005-0000-0000-000068170000}"/>
    <cellStyle name="Normal 5 2 2 2 3 5 3 2" xfId="15352" xr:uid="{F4123200-6D4E-42DA-BF43-6A96DDD00233}"/>
    <cellStyle name="Normal 5 2 2 2 3 5 3 2 2" xfId="51694" xr:uid="{0E0363A4-20ED-41AA-B14A-12979D3FACD9}"/>
    <cellStyle name="Normal 5 2 2 2 3 5 3 2 3" xfId="33098" xr:uid="{DDA64499-C8B4-4D0B-A7E7-AE0BB301074E}"/>
    <cellStyle name="Normal 5 2 2 2 3 5 3 3" xfId="42397" xr:uid="{6D331860-D8CA-4331-AE6A-1B9F9BD65F09}"/>
    <cellStyle name="Normal 5 2 2 2 3 5 3 4" xfId="23799" xr:uid="{A23BD2BB-696E-4023-914C-B40410101661}"/>
    <cellStyle name="Normal 5 2 2 2 3 5 4" xfId="11135" xr:uid="{C916C7A3-FC3C-4E4E-BED6-987E8C07753B}"/>
    <cellStyle name="Normal 5 2 2 2 3 5 4 2" xfId="47477" xr:uid="{12BF37F4-3836-4370-BAE0-EAF7ACFFF083}"/>
    <cellStyle name="Normal 5 2 2 2 3 5 4 3" xfId="28881" xr:uid="{DF962B74-6B50-446F-9B4F-B82EB85B5318}"/>
    <cellStyle name="Normal 5 2 2 2 3 5 5" xfId="38180" xr:uid="{6C02DE0B-B544-4083-9C1D-F5B9E023946A}"/>
    <cellStyle name="Normal 5 2 2 2 3 5 6" xfId="19582" xr:uid="{9865DEC3-4A59-4C68-97D7-3DC490927CB7}"/>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17910" xr:uid="{780F4857-80DD-404F-9B0C-A27953AE8C8A}"/>
    <cellStyle name="Normal 5 2 2 2 3 6 2 2 2 2" xfId="54252" xr:uid="{8E62586D-911B-46B0-9915-ACAF72152BDF}"/>
    <cellStyle name="Normal 5 2 2 2 3 6 2 2 2 3" xfId="35656" xr:uid="{5579389C-FCDC-4C42-8F6A-0A324090BFBE}"/>
    <cellStyle name="Normal 5 2 2 2 3 6 2 2 3" xfId="44955" xr:uid="{BFD37C4F-48B6-4227-A4B2-AD7B21C0772E}"/>
    <cellStyle name="Normal 5 2 2 2 3 6 2 2 4" xfId="26357" xr:uid="{55522E66-F2C9-4993-8E7F-C6424FBAAA24}"/>
    <cellStyle name="Normal 5 2 2 2 3 6 2 3" xfId="13693" xr:uid="{A3D4598C-EEFA-4EBA-8B05-0892385E8107}"/>
    <cellStyle name="Normal 5 2 2 2 3 6 2 3 2" xfId="50035" xr:uid="{6050B582-5A59-452C-AB30-6B539DBB2F09}"/>
    <cellStyle name="Normal 5 2 2 2 3 6 2 3 3" xfId="31439" xr:uid="{1777ACE9-729F-42C9-A9AF-AB74228C39F1}"/>
    <cellStyle name="Normal 5 2 2 2 3 6 2 4" xfId="40738" xr:uid="{613B7FF0-82E3-4891-835A-702449B7A870}"/>
    <cellStyle name="Normal 5 2 2 2 3 6 2 5" xfId="22140" xr:uid="{2A462E55-9581-40BB-9E60-49AB2A9353C2}"/>
    <cellStyle name="Normal 5 2 2 2 3 6 3" xfId="6439" xr:uid="{00000000-0005-0000-0000-00006C170000}"/>
    <cellStyle name="Normal 5 2 2 2 3 6 3 2" xfId="15765" xr:uid="{0E85A133-4C36-4A5E-AC77-187614CA58C8}"/>
    <cellStyle name="Normal 5 2 2 2 3 6 3 2 2" xfId="52107" xr:uid="{35EA28A7-BC34-4B87-8705-30F8B16A78C4}"/>
    <cellStyle name="Normal 5 2 2 2 3 6 3 2 3" xfId="33511" xr:uid="{E38FB9EE-04D6-4CCA-9304-E10F7CD1C7E7}"/>
    <cellStyle name="Normal 5 2 2 2 3 6 3 3" xfId="42810" xr:uid="{AB963F8F-473C-4C56-BA26-507D0E1A3A8E}"/>
    <cellStyle name="Normal 5 2 2 2 3 6 3 4" xfId="24212" xr:uid="{DC846EA4-040D-4E59-8AC4-74C2F913D993}"/>
    <cellStyle name="Normal 5 2 2 2 3 6 4" xfId="11548" xr:uid="{9B30CBBD-CB88-49DD-8678-09BBE8DCB462}"/>
    <cellStyle name="Normal 5 2 2 2 3 6 4 2" xfId="47890" xr:uid="{34E1B74D-CA54-4CC7-AB62-7FFCB4FB41EE}"/>
    <cellStyle name="Normal 5 2 2 2 3 6 4 3" xfId="29294" xr:uid="{4BE1FF7B-A5CB-4E85-8124-9309414E1465}"/>
    <cellStyle name="Normal 5 2 2 2 3 6 5" xfId="38593" xr:uid="{897B369E-C604-4D0B-A892-20CA035BEC58}"/>
    <cellStyle name="Normal 5 2 2 2 3 6 6" xfId="19995" xr:uid="{60DC6DBD-A5B2-469A-8069-3AAA0924B1CB}"/>
    <cellStyle name="Normal 5 2 2 2 3 7" xfId="2569" xr:uid="{00000000-0005-0000-0000-00006D170000}"/>
    <cellStyle name="Normal 5 2 2 2 3 7 2" xfId="6852" xr:uid="{00000000-0005-0000-0000-00006E170000}"/>
    <cellStyle name="Normal 5 2 2 2 3 7 2 2" xfId="16178" xr:uid="{54A03023-EE8A-473E-9878-CFBD007BDDC0}"/>
    <cellStyle name="Normal 5 2 2 2 3 7 2 2 2" xfId="52520" xr:uid="{A7DB1A24-5B77-44C2-8E1A-F234E7DA3FAB}"/>
    <cellStyle name="Normal 5 2 2 2 3 7 2 2 3" xfId="33924" xr:uid="{8E7FD0FB-C2CD-41AA-AADB-B3A26509B924}"/>
    <cellStyle name="Normal 5 2 2 2 3 7 2 3" xfId="43223" xr:uid="{4C1A7E4A-1CEE-4B78-8FD0-059432F37C88}"/>
    <cellStyle name="Normal 5 2 2 2 3 7 2 4" xfId="24625" xr:uid="{854E5E10-F119-4A2D-8926-8596ED0BC9A0}"/>
    <cellStyle name="Normal 5 2 2 2 3 7 3" xfId="11961" xr:uid="{01623F75-B478-40E0-9752-7BD4CE764820}"/>
    <cellStyle name="Normal 5 2 2 2 3 7 3 2" xfId="48303" xr:uid="{9CBD353F-7207-48DE-B43B-53D260685D72}"/>
    <cellStyle name="Normal 5 2 2 2 3 7 3 3" xfId="29707" xr:uid="{73D886A1-A740-4EC5-80B8-1E51879F6511}"/>
    <cellStyle name="Normal 5 2 2 2 3 7 4" xfId="39006" xr:uid="{9179F3C0-8306-41E4-B2F4-4021B42B866E}"/>
    <cellStyle name="Normal 5 2 2 2 3 7 5" xfId="20408" xr:uid="{962C2485-55F7-4F8F-ACEB-147530ABCBC8}"/>
    <cellStyle name="Normal 5 2 2 2 3 8" xfId="4787" xr:uid="{00000000-0005-0000-0000-00006F170000}"/>
    <cellStyle name="Normal 5 2 2 2 3 8 2" xfId="14113" xr:uid="{43C49B60-9A2F-4C30-98C4-0D63CB39D9A3}"/>
    <cellStyle name="Normal 5 2 2 2 3 8 2 2" xfId="50455" xr:uid="{809342E0-274A-44C9-9946-C157E52F836D}"/>
    <cellStyle name="Normal 5 2 2 2 3 8 2 3" xfId="31859" xr:uid="{F511222C-47E7-4BBA-99BF-CB9B1013441B}"/>
    <cellStyle name="Normal 5 2 2 2 3 8 3" xfId="41158" xr:uid="{5D4111EE-8D18-4A6E-AA10-1D2A70C9D6C4}"/>
    <cellStyle name="Normal 5 2 2 2 3 8 4" xfId="22560" xr:uid="{7ABB9290-C648-4A11-BC60-4DE41071CB57}"/>
    <cellStyle name="Normal 5 2 2 2 3 9" xfId="8874" xr:uid="{D7CEB9F3-DFA5-483F-B08A-C4A582DD7FE8}"/>
    <cellStyle name="Normal 5 2 2 2 3 9 2" xfId="35944" xr:uid="{ED079CC9-2669-43B3-BBAB-36749FA9840F}"/>
    <cellStyle name="Normal 5 2 2 2 3 9 2 2" xfId="54539" xr:uid="{EB2F4567-EA29-4F93-BB35-4E0DB972783B}"/>
    <cellStyle name="Normal 5 2 2 2 3 9 3" xfId="45242" xr:uid="{D7EF2255-684E-4FAC-910A-C1E2744E0A6D}"/>
    <cellStyle name="Normal 5 2 2 2 3 9 4" xfId="26645" xr:uid="{78CB48FC-7B03-4990-B912-5B62EC5F8D89}"/>
    <cellStyle name="Normal 5 2 2 2 4" xfId="416" xr:uid="{00000000-0005-0000-0000-000070170000}"/>
    <cellStyle name="Normal 5 2 2 2 4 10" xfId="36943" xr:uid="{15BCBC7D-D89C-42A7-A081-974251B94039}"/>
    <cellStyle name="Normal 5 2 2 2 4 11" xfId="18345" xr:uid="{A7B60C5F-C57D-4E2E-93A6-9BA3A7C0C80E}"/>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16673" xr:uid="{C7F9E160-23EA-42DE-8157-1DE26A2555F3}"/>
    <cellStyle name="Normal 5 2 2 2 4 2 2 2 2 2" xfId="53015" xr:uid="{AD98C9F9-EC63-4FC0-8715-1CE3098A5F99}"/>
    <cellStyle name="Normal 5 2 2 2 4 2 2 2 2 3" xfId="34419" xr:uid="{13142A68-5D81-42E4-A133-A12CB16DB74A}"/>
    <cellStyle name="Normal 5 2 2 2 4 2 2 2 3" xfId="43718" xr:uid="{570FDB27-C9AF-4481-857D-AD56E048CB94}"/>
    <cellStyle name="Normal 5 2 2 2 4 2 2 2 4" xfId="25120" xr:uid="{A76C3D56-1844-4CD2-B0D8-0D78B764B7AD}"/>
    <cellStyle name="Normal 5 2 2 2 4 2 2 3" xfId="12456" xr:uid="{A9DA53AE-D2C3-448E-9024-B826C30C6ECB}"/>
    <cellStyle name="Normal 5 2 2 2 4 2 2 3 2" xfId="48798" xr:uid="{DA9CC8EA-B5E1-4EA2-BF44-7F2F86F5B0AB}"/>
    <cellStyle name="Normal 5 2 2 2 4 2 2 3 3" xfId="30202" xr:uid="{21CA97E6-A06B-4F0A-972E-0DA57940B5F6}"/>
    <cellStyle name="Normal 5 2 2 2 4 2 2 4" xfId="39501" xr:uid="{EE7EFFE0-9BE1-47AB-824A-B5C7282B93C2}"/>
    <cellStyle name="Normal 5 2 2 2 4 2 2 5" xfId="20903" xr:uid="{A921A107-6D49-475A-A6FA-DEB69988F1EA}"/>
    <cellStyle name="Normal 5 2 2 2 4 2 3" xfId="5202" xr:uid="{00000000-0005-0000-0000-000074170000}"/>
    <cellStyle name="Normal 5 2 2 2 4 2 3 2" xfId="14528" xr:uid="{14E7669D-19FD-4254-92E5-28AEEBC2C048}"/>
    <cellStyle name="Normal 5 2 2 2 4 2 3 2 2" xfId="50870" xr:uid="{C8DE0072-45AD-4181-B837-044880DB98D6}"/>
    <cellStyle name="Normal 5 2 2 2 4 2 3 2 3" xfId="32274" xr:uid="{2EE68873-D546-4218-ADD6-23C727B81AC8}"/>
    <cellStyle name="Normal 5 2 2 2 4 2 3 3" xfId="41573" xr:uid="{F0B4C0CC-1073-4A44-A253-153A30288BD2}"/>
    <cellStyle name="Normal 5 2 2 2 4 2 3 4" xfId="22975" xr:uid="{155E5AE3-CBFA-4EAE-A45C-275D4F86AC1E}"/>
    <cellStyle name="Normal 5 2 2 2 4 2 4" xfId="9403" xr:uid="{DDA7C497-662A-4A76-A324-A27E6A0A2B3D}"/>
    <cellStyle name="Normal 5 2 2 2 4 2 4 2" xfId="36464" xr:uid="{054951A2-92A0-4C61-BF40-454FE7DFF3EE}"/>
    <cellStyle name="Normal 5 2 2 2 4 2 4 2 2" xfId="55058" xr:uid="{47A62763-82B4-425F-8009-640DACA1C105}"/>
    <cellStyle name="Normal 5 2 2 2 4 2 4 3" xfId="45761" xr:uid="{020BAEDD-CE4C-48D8-91E2-5BC2D5744898}"/>
    <cellStyle name="Normal 5 2 2 2 4 2 4 4" xfId="27165" xr:uid="{10B1E68A-41F2-40EE-BBB9-B94DDCC46775}"/>
    <cellStyle name="Normal 5 2 2 2 4 2 5" xfId="10311" xr:uid="{E3AEB8B3-7F1F-4575-A2CF-FC0CA4D45CA0}"/>
    <cellStyle name="Normal 5 2 2 2 4 2 5 2" xfId="46653" xr:uid="{EB92A6A7-C3E4-4F24-A430-89CDC1C3B3B9}"/>
    <cellStyle name="Normal 5 2 2 2 4 2 5 3" xfId="28057" xr:uid="{E51A139E-D599-4317-84C7-22BE06F3C8E3}"/>
    <cellStyle name="Normal 5 2 2 2 4 2 6" xfId="37356" xr:uid="{CE72B5C9-38DE-4AE6-ACF6-BE0F164F027D}"/>
    <cellStyle name="Normal 5 2 2 2 4 2 7" xfId="18758" xr:uid="{1761BF33-616A-4582-AAA0-DC9A0A51C34B}"/>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17086" xr:uid="{37E7F18C-65B0-425F-8250-9B6387C4CB87}"/>
    <cellStyle name="Normal 5 2 2 2 4 3 2 2 2 2" xfId="53428" xr:uid="{5D92841C-98CE-4996-BD6A-4B5DAEC96B29}"/>
    <cellStyle name="Normal 5 2 2 2 4 3 2 2 2 3" xfId="34832" xr:uid="{9CAE7862-E6A6-4F56-85C5-E6A1923D9F94}"/>
    <cellStyle name="Normal 5 2 2 2 4 3 2 2 3" xfId="44131" xr:uid="{28E7A32E-D249-47D5-8B52-D11FF977CBEB}"/>
    <cellStyle name="Normal 5 2 2 2 4 3 2 2 4" xfId="25533" xr:uid="{103243C9-DAE1-41FB-B3FE-4831F5843D11}"/>
    <cellStyle name="Normal 5 2 2 2 4 3 2 3" xfId="12869" xr:uid="{1D3C9368-24E4-4B94-8BFB-5CDA1ECCD463}"/>
    <cellStyle name="Normal 5 2 2 2 4 3 2 3 2" xfId="49211" xr:uid="{EDD26222-80C6-4AF9-9990-3FCFD50BD924}"/>
    <cellStyle name="Normal 5 2 2 2 4 3 2 3 3" xfId="30615" xr:uid="{28D27C0F-0A9B-4457-B164-87D63061E987}"/>
    <cellStyle name="Normal 5 2 2 2 4 3 2 4" xfId="39914" xr:uid="{10766E35-E8BA-4E54-8A31-A13285C4172E}"/>
    <cellStyle name="Normal 5 2 2 2 4 3 2 5" xfId="21316" xr:uid="{525E0B19-F657-49D8-B446-813EF5AB4D12}"/>
    <cellStyle name="Normal 5 2 2 2 4 3 3" xfId="5615" xr:uid="{00000000-0005-0000-0000-000078170000}"/>
    <cellStyle name="Normal 5 2 2 2 4 3 3 2" xfId="14941" xr:uid="{77220B75-E432-4CB8-AD2F-304D9946BB53}"/>
    <cellStyle name="Normal 5 2 2 2 4 3 3 2 2" xfId="51283" xr:uid="{B2060916-D1DF-44AA-924E-E14D1CCA4347}"/>
    <cellStyle name="Normal 5 2 2 2 4 3 3 2 3" xfId="32687" xr:uid="{719C123D-CFE7-4567-8522-022848EFD92C}"/>
    <cellStyle name="Normal 5 2 2 2 4 3 3 3" xfId="41986" xr:uid="{7A3B9210-A188-4C72-BFF6-59A4EC126125}"/>
    <cellStyle name="Normal 5 2 2 2 4 3 3 4" xfId="23388" xr:uid="{A6C8F4D8-E450-4744-88E2-89634ACCD087}"/>
    <cellStyle name="Normal 5 2 2 2 4 3 4" xfId="10724" xr:uid="{57802F4D-D135-444A-A210-2C764571D1F2}"/>
    <cellStyle name="Normal 5 2 2 2 4 3 4 2" xfId="47066" xr:uid="{F808C98F-2A74-44E3-B3AB-F14DCD485F33}"/>
    <cellStyle name="Normal 5 2 2 2 4 3 4 3" xfId="28470" xr:uid="{E7B8FBE7-8F37-4BE0-BC47-5C9AFA1D8AED}"/>
    <cellStyle name="Normal 5 2 2 2 4 3 5" xfId="37769" xr:uid="{DD4E9E1C-6BFC-48B9-B3F4-75D172BA2B19}"/>
    <cellStyle name="Normal 5 2 2 2 4 3 6" xfId="19171" xr:uid="{787C5B09-8297-40D8-BE59-D0E08165824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17499" xr:uid="{E98C14FA-AE3E-418C-AE57-5B5D9E9C587D}"/>
    <cellStyle name="Normal 5 2 2 2 4 4 2 2 2 2" xfId="53841" xr:uid="{0B6F0E40-8D14-43D3-8B63-6A30E6A44F7F}"/>
    <cellStyle name="Normal 5 2 2 2 4 4 2 2 2 3" xfId="35245" xr:uid="{E72B71FE-A532-4AED-A70C-9EDEA56F0FD7}"/>
    <cellStyle name="Normal 5 2 2 2 4 4 2 2 3" xfId="44544" xr:uid="{D949BD9A-FF71-4DAB-BEA2-C271A285805D}"/>
    <cellStyle name="Normal 5 2 2 2 4 4 2 2 4" xfId="25946" xr:uid="{A5E2F814-D37B-4091-B1E3-7F755393471C}"/>
    <cellStyle name="Normal 5 2 2 2 4 4 2 3" xfId="13282" xr:uid="{BF8A2577-C878-4D15-9E78-0286892BFF15}"/>
    <cellStyle name="Normal 5 2 2 2 4 4 2 3 2" xfId="49624" xr:uid="{DD7CD343-33FC-41D2-A76F-D02BD61DD71F}"/>
    <cellStyle name="Normal 5 2 2 2 4 4 2 3 3" xfId="31028" xr:uid="{9DDA733C-99E6-4479-9EE4-40BED8538B91}"/>
    <cellStyle name="Normal 5 2 2 2 4 4 2 4" xfId="40327" xr:uid="{CC4E6B05-73B3-46C6-A527-63DE84010F78}"/>
    <cellStyle name="Normal 5 2 2 2 4 4 2 5" xfId="21729" xr:uid="{7D4CFE2A-1007-4065-AAA7-25180B9E1E43}"/>
    <cellStyle name="Normal 5 2 2 2 4 4 3" xfId="6028" xr:uid="{00000000-0005-0000-0000-00007C170000}"/>
    <cellStyle name="Normal 5 2 2 2 4 4 3 2" xfId="15354" xr:uid="{A44F014B-9A77-4D34-BB62-8F4E96F15D17}"/>
    <cellStyle name="Normal 5 2 2 2 4 4 3 2 2" xfId="51696" xr:uid="{5F8F4F63-5FE9-4D1C-820C-AAEE66654F86}"/>
    <cellStyle name="Normal 5 2 2 2 4 4 3 2 3" xfId="33100" xr:uid="{C6915C02-2DA5-4C6F-B1D9-5738002B232B}"/>
    <cellStyle name="Normal 5 2 2 2 4 4 3 3" xfId="42399" xr:uid="{0D08C55A-87B0-4677-88E1-812948581F26}"/>
    <cellStyle name="Normal 5 2 2 2 4 4 3 4" xfId="23801" xr:uid="{6CDE210A-DB7A-46D6-9A7F-37619E7DA993}"/>
    <cellStyle name="Normal 5 2 2 2 4 4 4" xfId="11137" xr:uid="{CB0D2062-23C2-46D8-8895-266EB0FA6D47}"/>
    <cellStyle name="Normal 5 2 2 2 4 4 4 2" xfId="47479" xr:uid="{10703304-9E12-4AB2-9092-4B11B314B2FE}"/>
    <cellStyle name="Normal 5 2 2 2 4 4 4 3" xfId="28883" xr:uid="{2A05F3BA-6262-4C96-9216-7F5A8413148E}"/>
    <cellStyle name="Normal 5 2 2 2 4 4 5" xfId="38182" xr:uid="{BD9CC61B-0AD9-468C-BEA4-55ECFA53CB4F}"/>
    <cellStyle name="Normal 5 2 2 2 4 4 6" xfId="19584" xr:uid="{210D8C7F-92D7-42EA-8A34-35BBD291B74C}"/>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17912" xr:uid="{76EB3244-7977-4F07-B9AD-59BB207EE821}"/>
    <cellStyle name="Normal 5 2 2 2 4 5 2 2 2 2" xfId="54254" xr:uid="{719DEF92-A2C8-44A8-8FB9-8EF57B48FA0C}"/>
    <cellStyle name="Normal 5 2 2 2 4 5 2 2 2 3" xfId="35658" xr:uid="{A5719B64-C4B8-45C5-94FB-4AA45CC65887}"/>
    <cellStyle name="Normal 5 2 2 2 4 5 2 2 3" xfId="44957" xr:uid="{8FEB8775-CDD5-4484-AFDD-71DC6B1AD947}"/>
    <cellStyle name="Normal 5 2 2 2 4 5 2 2 4" xfId="26359" xr:uid="{5156777F-F711-4C06-88AB-751157C5ACCE}"/>
    <cellStyle name="Normal 5 2 2 2 4 5 2 3" xfId="13695" xr:uid="{5376327B-21D4-43E5-8BCD-CD72B460BF08}"/>
    <cellStyle name="Normal 5 2 2 2 4 5 2 3 2" xfId="50037" xr:uid="{5655AD53-68A2-4795-96DB-8915399C05A1}"/>
    <cellStyle name="Normal 5 2 2 2 4 5 2 3 3" xfId="31441" xr:uid="{E65BF2A6-E830-4D16-80F6-423F20D38163}"/>
    <cellStyle name="Normal 5 2 2 2 4 5 2 4" xfId="40740" xr:uid="{E10413FF-DC4E-4702-941B-6067D8EBEB1A}"/>
    <cellStyle name="Normal 5 2 2 2 4 5 2 5" xfId="22142" xr:uid="{2F871558-662E-4D63-B4CD-2AF664C2EEA4}"/>
    <cellStyle name="Normal 5 2 2 2 4 5 3" xfId="6441" xr:uid="{00000000-0005-0000-0000-000080170000}"/>
    <cellStyle name="Normal 5 2 2 2 4 5 3 2" xfId="15767" xr:uid="{2FA5BAF7-EB89-493B-8335-398E12745CC2}"/>
    <cellStyle name="Normal 5 2 2 2 4 5 3 2 2" xfId="52109" xr:uid="{2D90521E-57B4-4E49-8A08-4216711E6035}"/>
    <cellStyle name="Normal 5 2 2 2 4 5 3 2 3" xfId="33513" xr:uid="{5B99745A-C803-45D5-9205-8A1F146D2996}"/>
    <cellStyle name="Normal 5 2 2 2 4 5 3 3" xfId="42812" xr:uid="{EEF915FF-BF5B-4F51-95E0-996BCF645AEA}"/>
    <cellStyle name="Normal 5 2 2 2 4 5 3 4" xfId="24214" xr:uid="{C82A71E4-E82C-43CA-B9B8-E7581D9E558F}"/>
    <cellStyle name="Normal 5 2 2 2 4 5 4" xfId="11550" xr:uid="{22B3F252-658D-4DEB-AC53-38A659BE082A}"/>
    <cellStyle name="Normal 5 2 2 2 4 5 4 2" xfId="47892" xr:uid="{EDFE07E6-6EDE-4BBF-A04D-6190AEE094D6}"/>
    <cellStyle name="Normal 5 2 2 2 4 5 4 3" xfId="29296" xr:uid="{75FAA663-D6B1-4167-8EAD-2976461DC4FB}"/>
    <cellStyle name="Normal 5 2 2 2 4 5 5" xfId="38595" xr:uid="{77D67CAF-D471-447A-A1B3-094DD0A0E33D}"/>
    <cellStyle name="Normal 5 2 2 2 4 5 6" xfId="19997" xr:uid="{40CF8A03-8DCA-4E26-B26D-6F521D488204}"/>
    <cellStyle name="Normal 5 2 2 2 4 6" xfId="2571" xr:uid="{00000000-0005-0000-0000-000081170000}"/>
    <cellStyle name="Normal 5 2 2 2 4 6 2" xfId="6854" xr:uid="{00000000-0005-0000-0000-000082170000}"/>
    <cellStyle name="Normal 5 2 2 2 4 6 2 2" xfId="16180" xr:uid="{8F464EE2-315F-42C1-B114-8A2587F357E9}"/>
    <cellStyle name="Normal 5 2 2 2 4 6 2 2 2" xfId="52522" xr:uid="{CB482944-7184-44AA-AAB3-95FA65D10BBC}"/>
    <cellStyle name="Normal 5 2 2 2 4 6 2 2 3" xfId="33926" xr:uid="{528E3203-B47D-4014-A726-DD8312451BA9}"/>
    <cellStyle name="Normal 5 2 2 2 4 6 2 3" xfId="43225" xr:uid="{215ADFC1-BE4B-417C-8324-F4C8C4439AFB}"/>
    <cellStyle name="Normal 5 2 2 2 4 6 2 4" xfId="24627" xr:uid="{37540333-89B5-4AE7-BCEA-D08581163854}"/>
    <cellStyle name="Normal 5 2 2 2 4 6 3" xfId="11963" xr:uid="{531F5D08-6C04-4A9E-BF2C-B4EF0232A2AD}"/>
    <cellStyle name="Normal 5 2 2 2 4 6 3 2" xfId="48305" xr:uid="{BC65AFD9-9D8A-45BF-919C-74DD870906B4}"/>
    <cellStyle name="Normal 5 2 2 2 4 6 3 3" xfId="29709" xr:uid="{A4D61A4C-3BA6-4A98-8302-4F1D9C52A0F2}"/>
    <cellStyle name="Normal 5 2 2 2 4 6 4" xfId="39008" xr:uid="{207A11F8-FFCE-490F-A57F-9223E4B0540A}"/>
    <cellStyle name="Normal 5 2 2 2 4 6 5" xfId="20410" xr:uid="{F7EC5064-846A-4EB2-AC3E-CDBD57E4E71F}"/>
    <cellStyle name="Normal 5 2 2 2 4 7" xfId="4789" xr:uid="{00000000-0005-0000-0000-000083170000}"/>
    <cellStyle name="Normal 5 2 2 2 4 7 2" xfId="14115" xr:uid="{FDBDA02F-10C3-434F-BD8C-05761E940C0D}"/>
    <cellStyle name="Normal 5 2 2 2 4 7 2 2" xfId="50457" xr:uid="{F0EFDF75-110D-4E1F-B439-652E3D22B7AB}"/>
    <cellStyle name="Normal 5 2 2 2 4 7 2 3" xfId="31861" xr:uid="{C7AE666B-607D-4AFA-ACB1-E50D9022DA57}"/>
    <cellStyle name="Normal 5 2 2 2 4 7 3" xfId="41160" xr:uid="{86CBEEFC-05E6-40F7-98D0-315CE085E63B}"/>
    <cellStyle name="Normal 5 2 2 2 4 7 4" xfId="22562" xr:uid="{3D3B5BF9-6BFF-4E2E-AF7E-B744F237A22E}"/>
    <cellStyle name="Normal 5 2 2 2 4 8" xfId="8978" xr:uid="{5B5F86B4-BA0F-43A7-920A-E466FD014739}"/>
    <cellStyle name="Normal 5 2 2 2 4 8 2" xfId="36048" xr:uid="{90F0E9F8-3B44-40B9-BC32-0688172CB045}"/>
    <cellStyle name="Normal 5 2 2 2 4 8 2 2" xfId="54643" xr:uid="{A66F3E47-7B29-49C9-A46C-1A282F248212}"/>
    <cellStyle name="Normal 5 2 2 2 4 8 3" xfId="45346" xr:uid="{1DEF3391-B176-4B48-9A79-922BF2EABD2D}"/>
    <cellStyle name="Normal 5 2 2 2 4 8 4" xfId="26749" xr:uid="{99F60940-1163-4F57-8E2A-560B2F01E474}"/>
    <cellStyle name="Normal 5 2 2 2 4 9" xfId="9898" xr:uid="{6E76A8FB-0EAC-4833-933A-329C5C7323EF}"/>
    <cellStyle name="Normal 5 2 2 2 4 9 2" xfId="46240" xr:uid="{37D7A15B-CC9E-4456-A6F1-8765CFF25461}"/>
    <cellStyle name="Normal 5 2 2 2 4 9 3" xfId="27644" xr:uid="{E52D2995-F410-47E5-B62F-5691E1F3AD28}"/>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16666" xr:uid="{5FA894B1-253D-422C-8AD8-7B091A5958D2}"/>
    <cellStyle name="Normal 5 2 2 2 5 2 2 2 2" xfId="53008" xr:uid="{DE32D170-BEE4-4050-99EB-9B989E82170F}"/>
    <cellStyle name="Normal 5 2 2 2 5 2 2 2 3" xfId="34412" xr:uid="{726143B5-FC95-476C-A5AC-536DDACB740A}"/>
    <cellStyle name="Normal 5 2 2 2 5 2 2 3" xfId="43711" xr:uid="{12F84443-21BD-4CAF-8E3E-532072FC5A2F}"/>
    <cellStyle name="Normal 5 2 2 2 5 2 2 4" xfId="25113" xr:uid="{797F712D-ECAC-4327-ADAC-8F8E1B72126D}"/>
    <cellStyle name="Normal 5 2 2 2 5 2 3" xfId="12449" xr:uid="{70F9AFC3-3344-4E73-BEF9-E2DAD39E18C0}"/>
    <cellStyle name="Normal 5 2 2 2 5 2 3 2" xfId="48791" xr:uid="{F8E98928-7FAA-4585-8E75-2D304729790B}"/>
    <cellStyle name="Normal 5 2 2 2 5 2 3 3" xfId="30195" xr:uid="{0D6DB101-4737-415D-BF2D-D1D09750A7A3}"/>
    <cellStyle name="Normal 5 2 2 2 5 2 4" xfId="39494" xr:uid="{295C79D3-1C63-4526-B457-F0EEED918D32}"/>
    <cellStyle name="Normal 5 2 2 2 5 2 5" xfId="20896" xr:uid="{49ABC9FF-B4C4-4483-8388-9F8814EE1DCA}"/>
    <cellStyle name="Normal 5 2 2 2 5 3" xfId="5195" xr:uid="{00000000-0005-0000-0000-000087170000}"/>
    <cellStyle name="Normal 5 2 2 2 5 3 2" xfId="14521" xr:uid="{EBBD1F1A-5557-4906-BE44-99F7341A6D4C}"/>
    <cellStyle name="Normal 5 2 2 2 5 3 2 2" xfId="50863" xr:uid="{9814F0FC-0040-45E8-BDBA-AA285682ED73}"/>
    <cellStyle name="Normal 5 2 2 2 5 3 2 3" xfId="32267" xr:uid="{5912A725-D5B8-4962-AAEF-23C746BE6A2E}"/>
    <cellStyle name="Normal 5 2 2 2 5 3 3" xfId="41566" xr:uid="{B4ADA3A3-B42B-42F9-9DF6-977B5E238FF8}"/>
    <cellStyle name="Normal 5 2 2 2 5 3 4" xfId="22968" xr:uid="{7BAA5044-88C0-4CCB-954B-80D73A509488}"/>
    <cellStyle name="Normal 5 2 2 2 5 4" xfId="9195" xr:uid="{A7E71EA0-2CA4-4918-870E-A32EEF45C61A}"/>
    <cellStyle name="Normal 5 2 2 2 5 4 2" xfId="36257" xr:uid="{4B793548-0461-47A7-B228-1A171E67FDB4}"/>
    <cellStyle name="Normal 5 2 2 2 5 4 2 2" xfId="54851" xr:uid="{3EA03482-A4C7-4A00-B102-04A21C481586}"/>
    <cellStyle name="Normal 5 2 2 2 5 4 3" xfId="45554" xr:uid="{621824A4-7A9A-4A6D-8C37-F57ACF5572BE}"/>
    <cellStyle name="Normal 5 2 2 2 5 4 4" xfId="26958" xr:uid="{DBEC1EB6-BAF4-4B10-8D39-DEF85332FDE2}"/>
    <cellStyle name="Normal 5 2 2 2 5 5" xfId="10304" xr:uid="{C99C4433-34AE-4BD7-93FC-F865AF4E965B}"/>
    <cellStyle name="Normal 5 2 2 2 5 5 2" xfId="46646" xr:uid="{3404F3B7-1C41-459F-9E01-FE41B15FEE29}"/>
    <cellStyle name="Normal 5 2 2 2 5 5 3" xfId="28050" xr:uid="{09226D84-34C6-4241-BA45-2F393F192C77}"/>
    <cellStyle name="Normal 5 2 2 2 5 6" xfId="37349" xr:uid="{7018D4F3-9A8C-41FA-BEF4-829C4378904E}"/>
    <cellStyle name="Normal 5 2 2 2 5 7" xfId="18751" xr:uid="{5C5C237C-B8C7-47E5-8C6B-667C514ACD75}"/>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17079" xr:uid="{4F37E8A2-A596-4ED3-A582-5AFC7E19AD5B}"/>
    <cellStyle name="Normal 5 2 2 2 6 2 2 2 2" xfId="53421" xr:uid="{7041914E-C604-4972-8595-801643E52B7F}"/>
    <cellStyle name="Normal 5 2 2 2 6 2 2 2 3" xfId="34825" xr:uid="{3683DDE3-C588-4583-959B-A5390AA0FF04}"/>
    <cellStyle name="Normal 5 2 2 2 6 2 2 3" xfId="44124" xr:uid="{8F545DE4-B7F7-47C9-A635-B113FF3A9CD8}"/>
    <cellStyle name="Normal 5 2 2 2 6 2 2 4" xfId="25526" xr:uid="{D348509D-6C29-439A-BED8-BBC9F9B123F1}"/>
    <cellStyle name="Normal 5 2 2 2 6 2 3" xfId="12862" xr:uid="{86F7D3C4-BC9F-4417-AB71-EB8214D778CF}"/>
    <cellStyle name="Normal 5 2 2 2 6 2 3 2" xfId="49204" xr:uid="{3BF39F55-8BD3-4983-9C82-CE79CA1A1C25}"/>
    <cellStyle name="Normal 5 2 2 2 6 2 3 3" xfId="30608" xr:uid="{01E0CCD1-9AAB-4582-91F9-BFBF8DF0FC9D}"/>
    <cellStyle name="Normal 5 2 2 2 6 2 4" xfId="39907" xr:uid="{EAA94934-6E04-438A-B152-436FFA61D55F}"/>
    <cellStyle name="Normal 5 2 2 2 6 2 5" xfId="21309" xr:uid="{9450117C-21A3-43B3-9921-C4D2802052D4}"/>
    <cellStyle name="Normal 5 2 2 2 6 3" xfId="5608" xr:uid="{00000000-0005-0000-0000-00008B170000}"/>
    <cellStyle name="Normal 5 2 2 2 6 3 2" xfId="14934" xr:uid="{37686F14-0981-48F9-8721-0A5D5076A649}"/>
    <cellStyle name="Normal 5 2 2 2 6 3 2 2" xfId="51276" xr:uid="{3C316B67-5A37-4051-8D38-92B3CDF27976}"/>
    <cellStyle name="Normal 5 2 2 2 6 3 2 3" xfId="32680" xr:uid="{9E4EDD24-13C8-49E1-A0BB-6821DC8C2167}"/>
    <cellStyle name="Normal 5 2 2 2 6 3 3" xfId="41979" xr:uid="{87E342E1-D937-4AD5-B93C-5A9FBE7F3F6F}"/>
    <cellStyle name="Normal 5 2 2 2 6 3 4" xfId="23381" xr:uid="{5D1B91DA-566D-43FC-A2A6-2F1DF80A9E19}"/>
    <cellStyle name="Normal 5 2 2 2 6 4" xfId="10717" xr:uid="{DB69FA23-66A7-4C27-A87C-5D858A4629FD}"/>
    <cellStyle name="Normal 5 2 2 2 6 4 2" xfId="47059" xr:uid="{AEDD1322-B92F-4CA2-BB67-E45D58ED53C7}"/>
    <cellStyle name="Normal 5 2 2 2 6 4 3" xfId="28463" xr:uid="{F1162880-6222-4AA1-8592-335434870A42}"/>
    <cellStyle name="Normal 5 2 2 2 6 5" xfId="37762" xr:uid="{28C0860C-B465-4A42-BA09-5DDB04C701B4}"/>
    <cellStyle name="Normal 5 2 2 2 6 6" xfId="19164" xr:uid="{E5C7F025-E362-49E8-ADCA-AA4BC9C4E24D}"/>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17492" xr:uid="{BC99D7F9-21F5-4C3B-AE82-1670A52E9BB1}"/>
    <cellStyle name="Normal 5 2 2 2 7 2 2 2 2" xfId="53834" xr:uid="{8A5D4211-25E8-4ECD-B7C1-1C188528B140}"/>
    <cellStyle name="Normal 5 2 2 2 7 2 2 2 3" xfId="35238" xr:uid="{851123EF-0809-478A-BAC2-20D47699C7F5}"/>
    <cellStyle name="Normal 5 2 2 2 7 2 2 3" xfId="44537" xr:uid="{54828C22-9B72-4507-B1C9-42697A5DC636}"/>
    <cellStyle name="Normal 5 2 2 2 7 2 2 4" xfId="25939" xr:uid="{6E08AE5F-E8A7-46A8-8285-FE864329954C}"/>
    <cellStyle name="Normal 5 2 2 2 7 2 3" xfId="13275" xr:uid="{265A474A-2BEE-4F8E-A2DE-74A4E7B6D07F}"/>
    <cellStyle name="Normal 5 2 2 2 7 2 3 2" xfId="49617" xr:uid="{A892C0CF-E44D-466D-99B7-07061D22C1D3}"/>
    <cellStyle name="Normal 5 2 2 2 7 2 3 3" xfId="31021" xr:uid="{7EDEB60F-B391-4180-BB35-2896A79175C2}"/>
    <cellStyle name="Normal 5 2 2 2 7 2 4" xfId="40320" xr:uid="{99D4BE68-40A7-4738-8900-FA9A4794249D}"/>
    <cellStyle name="Normal 5 2 2 2 7 2 5" xfId="21722" xr:uid="{DECF46DC-27FB-4110-A116-B14CC485966A}"/>
    <cellStyle name="Normal 5 2 2 2 7 3" xfId="6021" xr:uid="{00000000-0005-0000-0000-00008F170000}"/>
    <cellStyle name="Normal 5 2 2 2 7 3 2" xfId="15347" xr:uid="{9E228D77-DF37-49B6-9A15-0CE4B7964792}"/>
    <cellStyle name="Normal 5 2 2 2 7 3 2 2" xfId="51689" xr:uid="{ECF5F3A4-1AB8-4049-B964-F224CEEE087B}"/>
    <cellStyle name="Normal 5 2 2 2 7 3 2 3" xfId="33093" xr:uid="{8D1A699D-73F5-435F-BAF8-1D08761333D3}"/>
    <cellStyle name="Normal 5 2 2 2 7 3 3" xfId="42392" xr:uid="{C8E2CDC1-575C-4DA7-9A61-A632BB3F5819}"/>
    <cellStyle name="Normal 5 2 2 2 7 3 4" xfId="23794" xr:uid="{6B402BC2-544E-4AAA-A2DA-BD895EA535B5}"/>
    <cellStyle name="Normal 5 2 2 2 7 4" xfId="11130" xr:uid="{47501717-E817-41AE-B4EF-EFA5B0BCB945}"/>
    <cellStyle name="Normal 5 2 2 2 7 4 2" xfId="47472" xr:uid="{83EB1A6E-9F48-4BBD-B9B5-9B3228A62084}"/>
    <cellStyle name="Normal 5 2 2 2 7 4 3" xfId="28876" xr:uid="{7984A7F5-2332-4C9C-BF85-536BC2CB6171}"/>
    <cellStyle name="Normal 5 2 2 2 7 5" xfId="38175" xr:uid="{DD4113AD-9D85-4682-BBF5-9A628C4E6522}"/>
    <cellStyle name="Normal 5 2 2 2 7 6" xfId="19577" xr:uid="{FD327CEE-C128-4009-8249-4E35DDEE6FEA}"/>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17905" xr:uid="{88684BF6-423B-4BEA-A969-A01B54C4E214}"/>
    <cellStyle name="Normal 5 2 2 2 8 2 2 2 2" xfId="54247" xr:uid="{74924C35-A6F8-49D0-8440-7552AEE6A50D}"/>
    <cellStyle name="Normal 5 2 2 2 8 2 2 2 3" xfId="35651" xr:uid="{83A96544-25B1-4529-905E-48B40B55D553}"/>
    <cellStyle name="Normal 5 2 2 2 8 2 2 3" xfId="44950" xr:uid="{E45152B1-5641-4A41-9473-39CDAA0AB3D4}"/>
    <cellStyle name="Normal 5 2 2 2 8 2 2 4" xfId="26352" xr:uid="{9C62A320-3935-408A-B84D-DCF9C1962C0E}"/>
    <cellStyle name="Normal 5 2 2 2 8 2 3" xfId="13688" xr:uid="{A7E34A2C-3511-47A9-9129-9823D2250C80}"/>
    <cellStyle name="Normal 5 2 2 2 8 2 3 2" xfId="50030" xr:uid="{512289ED-10B4-4609-879C-74755033379E}"/>
    <cellStyle name="Normal 5 2 2 2 8 2 3 3" xfId="31434" xr:uid="{A9D436E2-F6C5-4113-B85D-15B52729C6DF}"/>
    <cellStyle name="Normal 5 2 2 2 8 2 4" xfId="40733" xr:uid="{6EE31382-A55A-4F6E-8EB4-FE75B49AE472}"/>
    <cellStyle name="Normal 5 2 2 2 8 2 5" xfId="22135" xr:uid="{DE501242-4ED7-43DB-A9DC-4DC558A61C5C}"/>
    <cellStyle name="Normal 5 2 2 2 8 3" xfId="6434" xr:uid="{00000000-0005-0000-0000-000093170000}"/>
    <cellStyle name="Normal 5 2 2 2 8 3 2" xfId="15760" xr:uid="{6E310C33-33B0-42E4-A4E7-AAF2B02FF8BF}"/>
    <cellStyle name="Normal 5 2 2 2 8 3 2 2" xfId="52102" xr:uid="{41079F30-9E14-4EC1-A739-E7E6BA78060B}"/>
    <cellStyle name="Normal 5 2 2 2 8 3 2 3" xfId="33506" xr:uid="{BD22883D-FDBE-4176-B74F-FE37B0CE1474}"/>
    <cellStyle name="Normal 5 2 2 2 8 3 3" xfId="42805" xr:uid="{C4C65516-3488-4337-851A-36EBB8858CD9}"/>
    <cellStyle name="Normal 5 2 2 2 8 3 4" xfId="24207" xr:uid="{EB430FCF-4966-4BFF-98E2-C982E5011DF6}"/>
    <cellStyle name="Normal 5 2 2 2 8 4" xfId="11543" xr:uid="{F28B58D8-95B7-4D7E-86B4-242AA6A171B0}"/>
    <cellStyle name="Normal 5 2 2 2 8 4 2" xfId="47885" xr:uid="{D8E16B99-A358-4C16-A192-286D686D4F8B}"/>
    <cellStyle name="Normal 5 2 2 2 8 4 3" xfId="29289" xr:uid="{8B69AD9C-042E-4CFB-B32E-8AB3CFD8F39D}"/>
    <cellStyle name="Normal 5 2 2 2 8 5" xfId="38588" xr:uid="{0E855919-4D54-4BBD-8FD5-2B7643AD1553}"/>
    <cellStyle name="Normal 5 2 2 2 8 6" xfId="19990" xr:uid="{C8F58F67-F325-4894-A99B-C5A0FE9A46DA}"/>
    <cellStyle name="Normal 5 2 2 2 9" xfId="2564" xr:uid="{00000000-0005-0000-0000-000094170000}"/>
    <cellStyle name="Normal 5 2 2 2 9 2" xfId="6847" xr:uid="{00000000-0005-0000-0000-000095170000}"/>
    <cellStyle name="Normal 5 2 2 2 9 2 2" xfId="16173" xr:uid="{C543431D-8F6B-4A09-8D04-4D51BBCE460D}"/>
    <cellStyle name="Normal 5 2 2 2 9 2 2 2" xfId="52515" xr:uid="{74BB5A34-6902-4C0F-91E5-9F909214006A}"/>
    <cellStyle name="Normal 5 2 2 2 9 2 2 3" xfId="33919" xr:uid="{F17E6924-7836-4F78-817E-FA32563D0626}"/>
    <cellStyle name="Normal 5 2 2 2 9 2 3" xfId="43218" xr:uid="{F6DFBB24-EFA6-4671-BCDB-00495BEE633A}"/>
    <cellStyle name="Normal 5 2 2 2 9 2 4" xfId="24620" xr:uid="{CCEB61DF-A9AD-4BD7-B926-9362F50699FC}"/>
    <cellStyle name="Normal 5 2 2 2 9 3" xfId="11956" xr:uid="{F17C3D3B-A9B1-4BFF-BF3B-D2C731A9F848}"/>
    <cellStyle name="Normal 5 2 2 2 9 3 2" xfId="48298" xr:uid="{9C445BDF-DE0F-49F9-BA37-3360F536A91E}"/>
    <cellStyle name="Normal 5 2 2 2 9 3 3" xfId="29702" xr:uid="{7EDDD67C-4480-474A-8593-5ECB2D1A5C96}"/>
    <cellStyle name="Normal 5 2 2 2 9 4" xfId="39001" xr:uid="{F72D9B55-AEC7-46CB-A6EE-3AC799E3E724}"/>
    <cellStyle name="Normal 5 2 2 2 9 5" xfId="20403" xr:uid="{672F8E6E-4B71-4E95-B006-AE1048BF1908}"/>
    <cellStyle name="Normal 5 2 2 3" xfId="417" xr:uid="{00000000-0005-0000-0000-000096170000}"/>
    <cellStyle name="Normal 5 2 2 3 10" xfId="8828" xr:uid="{5CED8211-F967-469B-812B-9DF6FC250177}"/>
    <cellStyle name="Normal 5 2 2 3 10 2" xfId="35898" xr:uid="{5C06076E-7A90-43DE-9237-C7D5F52BF8B3}"/>
    <cellStyle name="Normal 5 2 2 3 10 2 2" xfId="54493" xr:uid="{E2CE30D2-4EB5-4C9F-B294-334995640FF2}"/>
    <cellStyle name="Normal 5 2 2 3 10 3" xfId="45196" xr:uid="{2FFDD501-A4F5-4C57-9213-64ABE20AE1E7}"/>
    <cellStyle name="Normal 5 2 2 3 10 4" xfId="26599" xr:uid="{B2E983FF-7CD0-4B3D-9833-4BABD9C5FDA7}"/>
    <cellStyle name="Normal 5 2 2 3 11" xfId="9899" xr:uid="{F40CD305-DA38-4831-9350-163164945657}"/>
    <cellStyle name="Normal 5 2 2 3 11 2" xfId="46241" xr:uid="{A11597A4-6E30-45EC-AC91-FC3052A7D8A5}"/>
    <cellStyle name="Normal 5 2 2 3 11 3" xfId="27645" xr:uid="{2EB3090D-B202-42B5-9B92-4928F0BFA9A5}"/>
    <cellStyle name="Normal 5 2 2 3 12" xfId="36944" xr:uid="{AA70A1A5-47F5-4705-B592-08BFB8FA4D8A}"/>
    <cellStyle name="Normal 5 2 2 3 13" xfId="18346" xr:uid="{58539B8F-E514-40CC-9F17-641F11A49D2E}"/>
    <cellStyle name="Normal 5 2 2 3 2" xfId="418" xr:uid="{00000000-0005-0000-0000-000097170000}"/>
    <cellStyle name="Normal 5 2 2 3 2 10" xfId="9900" xr:uid="{6712275A-38A8-497D-90E5-A31A31F39B82}"/>
    <cellStyle name="Normal 5 2 2 3 2 10 2" xfId="46242" xr:uid="{D5E5E963-02DE-489D-9347-8236F32CEE44}"/>
    <cellStyle name="Normal 5 2 2 3 2 10 3" xfId="27646" xr:uid="{D82D2721-C55C-4EA9-B21C-33642DDC53CB}"/>
    <cellStyle name="Normal 5 2 2 3 2 11" xfId="36945" xr:uid="{724B07E7-72D6-4F39-9171-FFFEFF6B8173}"/>
    <cellStyle name="Normal 5 2 2 3 2 12" xfId="18347" xr:uid="{BFCB9B9B-C49F-4B53-809A-5DD38D7CE510}"/>
    <cellStyle name="Normal 5 2 2 3 2 2" xfId="419" xr:uid="{00000000-0005-0000-0000-000098170000}"/>
    <cellStyle name="Normal 5 2 2 3 2 2 10" xfId="36946" xr:uid="{97DC8720-4B3E-4F0B-AED4-067447A7918D}"/>
    <cellStyle name="Normal 5 2 2 3 2 2 11" xfId="18348" xr:uid="{7452F027-442D-493D-9071-625BE5D86A95}"/>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16676" xr:uid="{18520F2C-F889-4437-855F-19E1BA2E4D9B}"/>
    <cellStyle name="Normal 5 2 2 3 2 2 2 2 2 2 2" xfId="53018" xr:uid="{FEB57344-37F0-4E1F-ACB1-8D794A137B60}"/>
    <cellStyle name="Normal 5 2 2 3 2 2 2 2 2 2 3" xfId="34422" xr:uid="{4798E5EC-D9F5-41FD-9F17-79543E3D76B5}"/>
    <cellStyle name="Normal 5 2 2 3 2 2 2 2 2 3" xfId="43721" xr:uid="{A6FF5132-8380-451D-94A7-3D2EAB498818}"/>
    <cellStyle name="Normal 5 2 2 3 2 2 2 2 2 4" xfId="25123" xr:uid="{C201A025-75E1-4F2D-A526-96A4F992ED15}"/>
    <cellStyle name="Normal 5 2 2 3 2 2 2 2 3" xfId="12459" xr:uid="{B921483C-0AC6-4E97-93E5-A02D24D608FF}"/>
    <cellStyle name="Normal 5 2 2 3 2 2 2 2 3 2" xfId="48801" xr:uid="{A963B289-152C-44FC-98C1-1810B9547830}"/>
    <cellStyle name="Normal 5 2 2 3 2 2 2 2 3 3" xfId="30205" xr:uid="{E11E1FC1-8390-4985-B467-38670BBD26F6}"/>
    <cellStyle name="Normal 5 2 2 3 2 2 2 2 4" xfId="39504" xr:uid="{88BDEFF7-0D0B-4775-8D01-5A423C7099FC}"/>
    <cellStyle name="Normal 5 2 2 3 2 2 2 2 5" xfId="20906" xr:uid="{F8F1B3A9-321D-42E0-939D-BC6482F69BED}"/>
    <cellStyle name="Normal 5 2 2 3 2 2 2 3" xfId="5205" xr:uid="{00000000-0005-0000-0000-00009C170000}"/>
    <cellStyle name="Normal 5 2 2 3 2 2 2 3 2" xfId="14531" xr:uid="{CC30E707-73E3-4D7C-BAC9-1CCF88632CB6}"/>
    <cellStyle name="Normal 5 2 2 3 2 2 2 3 2 2" xfId="50873" xr:uid="{46CE38C9-82BD-457E-8673-B5A475D850B1}"/>
    <cellStyle name="Normal 5 2 2 3 2 2 2 3 2 3" xfId="32277" xr:uid="{0FDF6B89-CFE4-4C7D-94EB-72D49D9A88BF}"/>
    <cellStyle name="Normal 5 2 2 3 2 2 2 3 3" xfId="41576" xr:uid="{C4F03C8E-8378-424A-848D-723D47FD65F3}"/>
    <cellStyle name="Normal 5 2 2 3 2 2 2 3 4" xfId="22978" xr:uid="{1EBB9A89-55EC-450E-A023-4A14B8D471D1}"/>
    <cellStyle name="Normal 5 2 2 3 2 2 2 4" xfId="9563" xr:uid="{804E641C-B5FA-46A3-B805-C1D4AF390C28}"/>
    <cellStyle name="Normal 5 2 2 3 2 2 2 4 2" xfId="36624" xr:uid="{C722648B-0AA3-4DDA-9E70-0B21042CCE50}"/>
    <cellStyle name="Normal 5 2 2 3 2 2 2 4 2 2" xfId="55218" xr:uid="{6B5B6FC1-D698-475E-ADEF-4410FD9B9B81}"/>
    <cellStyle name="Normal 5 2 2 3 2 2 2 4 3" xfId="45921" xr:uid="{6CC2C428-6FE3-4403-8232-0962560D7F17}"/>
    <cellStyle name="Normal 5 2 2 3 2 2 2 4 4" xfId="27325" xr:uid="{BEEF481A-BAD9-4E5A-A8BF-46E29295EE2F}"/>
    <cellStyle name="Normal 5 2 2 3 2 2 2 5" xfId="10314" xr:uid="{5B7C946E-CB1B-4713-9A39-B40026E2FB59}"/>
    <cellStyle name="Normal 5 2 2 3 2 2 2 5 2" xfId="46656" xr:uid="{9221F319-CCAA-40AD-A3D2-23F54BE3A78B}"/>
    <cellStyle name="Normal 5 2 2 3 2 2 2 5 3" xfId="28060" xr:uid="{55DE405D-8D6A-4359-BB4D-82B22297775E}"/>
    <cellStyle name="Normal 5 2 2 3 2 2 2 6" xfId="37359" xr:uid="{1A6E51EB-36B6-4AF8-81F4-D4F5D6E44D7A}"/>
    <cellStyle name="Normal 5 2 2 3 2 2 2 7" xfId="18761" xr:uid="{F137A5AA-6DAA-4969-90E1-06DED36475D3}"/>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17089" xr:uid="{3EE4DE33-49D5-4996-AD31-80275A5D70B0}"/>
    <cellStyle name="Normal 5 2 2 3 2 2 3 2 2 2 2" xfId="53431" xr:uid="{13D378A7-DBA4-4DF9-A244-C22772A10174}"/>
    <cellStyle name="Normal 5 2 2 3 2 2 3 2 2 2 3" xfId="34835" xr:uid="{BE16F0A0-5179-43A5-8A4E-6AD72B0A7083}"/>
    <cellStyle name="Normal 5 2 2 3 2 2 3 2 2 3" xfId="44134" xr:uid="{2A0C79D1-BA1C-4E3C-82CB-9954A316F367}"/>
    <cellStyle name="Normal 5 2 2 3 2 2 3 2 2 4" xfId="25536" xr:uid="{CC3479C7-F08D-48C5-955B-36A92E19A31B}"/>
    <cellStyle name="Normal 5 2 2 3 2 2 3 2 3" xfId="12872" xr:uid="{1C861D15-DAF5-4B04-83EA-BF5287CC2C87}"/>
    <cellStyle name="Normal 5 2 2 3 2 2 3 2 3 2" xfId="49214" xr:uid="{58CBDCC9-B499-4EDF-B28C-45AEDB60B0F0}"/>
    <cellStyle name="Normal 5 2 2 3 2 2 3 2 3 3" xfId="30618" xr:uid="{0672077B-0EC3-465F-A54C-C509D6F1FD7D}"/>
    <cellStyle name="Normal 5 2 2 3 2 2 3 2 4" xfId="39917" xr:uid="{E8AC1EB0-EEDE-4542-B345-146DBCE360BD}"/>
    <cellStyle name="Normal 5 2 2 3 2 2 3 2 5" xfId="21319" xr:uid="{B664975A-02C4-44E6-B7D2-8BADBEF4E32B}"/>
    <cellStyle name="Normal 5 2 2 3 2 2 3 3" xfId="5618" xr:uid="{00000000-0005-0000-0000-0000A0170000}"/>
    <cellStyle name="Normal 5 2 2 3 2 2 3 3 2" xfId="14944" xr:uid="{6EB897B2-AC8D-4E6B-B70A-495F9AE87B3E}"/>
    <cellStyle name="Normal 5 2 2 3 2 2 3 3 2 2" xfId="51286" xr:uid="{F32F6DC6-18D0-4D59-8D87-0040D458C2C7}"/>
    <cellStyle name="Normal 5 2 2 3 2 2 3 3 2 3" xfId="32690" xr:uid="{393FEC52-FC26-4EC0-9457-07D91EC619D6}"/>
    <cellStyle name="Normal 5 2 2 3 2 2 3 3 3" xfId="41989" xr:uid="{0F8F9428-322C-4B81-88D8-CC2CB87FACC1}"/>
    <cellStyle name="Normal 5 2 2 3 2 2 3 3 4" xfId="23391" xr:uid="{F2A605D9-7667-4841-8F03-17C475FC2877}"/>
    <cellStyle name="Normal 5 2 2 3 2 2 3 4" xfId="10727" xr:uid="{62459AF5-D4BE-4F3A-AF0A-85DECBC31D85}"/>
    <cellStyle name="Normal 5 2 2 3 2 2 3 4 2" xfId="47069" xr:uid="{1A68F7F6-BB7C-477A-802E-959A6611C701}"/>
    <cellStyle name="Normal 5 2 2 3 2 2 3 4 3" xfId="28473" xr:uid="{078A41FC-B999-482F-8678-B8790935D6C2}"/>
    <cellStyle name="Normal 5 2 2 3 2 2 3 5" xfId="37772" xr:uid="{B13BF56A-074F-4F71-8BE6-908261A7ABF5}"/>
    <cellStyle name="Normal 5 2 2 3 2 2 3 6" xfId="19174" xr:uid="{CD27C323-D949-4770-8CBA-01E4815C982B}"/>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17502" xr:uid="{4126D2CF-DAAB-405E-9263-B7CF24E45AC4}"/>
    <cellStyle name="Normal 5 2 2 3 2 2 4 2 2 2 2" xfId="53844" xr:uid="{5E1FF2A3-2CBE-401E-9213-6F4DF0BFBE25}"/>
    <cellStyle name="Normal 5 2 2 3 2 2 4 2 2 2 3" xfId="35248" xr:uid="{267ECA42-C957-4134-9D9E-3F71858FBC19}"/>
    <cellStyle name="Normal 5 2 2 3 2 2 4 2 2 3" xfId="44547" xr:uid="{B5C479E6-9E05-41A0-896B-EAFDC55FC991}"/>
    <cellStyle name="Normal 5 2 2 3 2 2 4 2 2 4" xfId="25949" xr:uid="{B9C609C4-EE42-484A-82E2-7F56B5EC4D8D}"/>
    <cellStyle name="Normal 5 2 2 3 2 2 4 2 3" xfId="13285" xr:uid="{83A09FB7-B8E3-4046-89BF-C9082765FAAE}"/>
    <cellStyle name="Normal 5 2 2 3 2 2 4 2 3 2" xfId="49627" xr:uid="{02040713-E41A-48E5-B30D-F93951B9791F}"/>
    <cellStyle name="Normal 5 2 2 3 2 2 4 2 3 3" xfId="31031" xr:uid="{EF26689B-61E7-407C-95CC-94E2187B6023}"/>
    <cellStyle name="Normal 5 2 2 3 2 2 4 2 4" xfId="40330" xr:uid="{BCFD8123-0AEF-4E81-99F6-7B66922937C3}"/>
    <cellStyle name="Normal 5 2 2 3 2 2 4 2 5" xfId="21732" xr:uid="{9D226A43-31AE-424D-9251-96B3328A12D8}"/>
    <cellStyle name="Normal 5 2 2 3 2 2 4 3" xfId="6031" xr:uid="{00000000-0005-0000-0000-0000A4170000}"/>
    <cellStyle name="Normal 5 2 2 3 2 2 4 3 2" xfId="15357" xr:uid="{F880AE74-A35E-4FB2-A5CE-ADCE50E7B10A}"/>
    <cellStyle name="Normal 5 2 2 3 2 2 4 3 2 2" xfId="51699" xr:uid="{086FA5AA-8F6F-4F01-9EEB-4DDD70D77F7A}"/>
    <cellStyle name="Normal 5 2 2 3 2 2 4 3 2 3" xfId="33103" xr:uid="{B16AB21D-37FE-43DB-BDBA-FD3CAA96A3DA}"/>
    <cellStyle name="Normal 5 2 2 3 2 2 4 3 3" xfId="42402" xr:uid="{9430A3C4-F91D-48F2-A533-B43CB217AD72}"/>
    <cellStyle name="Normal 5 2 2 3 2 2 4 3 4" xfId="23804" xr:uid="{6ADEC0FB-7FE4-4C14-9FC3-49375881FF1D}"/>
    <cellStyle name="Normal 5 2 2 3 2 2 4 4" xfId="11140" xr:uid="{261A836A-9D39-4440-9976-D85CD81EB6A4}"/>
    <cellStyle name="Normal 5 2 2 3 2 2 4 4 2" xfId="47482" xr:uid="{0919791A-AD6A-4B59-93F5-DA04DE0F6189}"/>
    <cellStyle name="Normal 5 2 2 3 2 2 4 4 3" xfId="28886" xr:uid="{ABED54E3-6339-4519-9B76-C2D67851E261}"/>
    <cellStyle name="Normal 5 2 2 3 2 2 4 5" xfId="38185" xr:uid="{41969008-0DA7-4E43-B8F1-4B31E5B02797}"/>
    <cellStyle name="Normal 5 2 2 3 2 2 4 6" xfId="19587" xr:uid="{76FE4005-D6DB-4B71-94E4-573FD99CDF26}"/>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17915" xr:uid="{D4167DA0-474F-4321-8BF4-160671AF7375}"/>
    <cellStyle name="Normal 5 2 2 3 2 2 5 2 2 2 2" xfId="54257" xr:uid="{283816DF-3F85-4521-8E72-6B5125658CDC}"/>
    <cellStyle name="Normal 5 2 2 3 2 2 5 2 2 2 3" xfId="35661" xr:uid="{119A44EE-4D0A-48E8-9715-CB6999CAD565}"/>
    <cellStyle name="Normal 5 2 2 3 2 2 5 2 2 3" xfId="44960" xr:uid="{35FC77E7-793F-4606-8BDE-A4CF80C046EE}"/>
    <cellStyle name="Normal 5 2 2 3 2 2 5 2 2 4" xfId="26362" xr:uid="{DAEB2A95-3F2A-4593-A2F1-97753D8FB26D}"/>
    <cellStyle name="Normal 5 2 2 3 2 2 5 2 3" xfId="13698" xr:uid="{DAA013B5-4017-4558-B222-9CC07DCD0B99}"/>
    <cellStyle name="Normal 5 2 2 3 2 2 5 2 3 2" xfId="50040" xr:uid="{0E19CB57-5DC7-49BF-8B37-EB425C1544A3}"/>
    <cellStyle name="Normal 5 2 2 3 2 2 5 2 3 3" xfId="31444" xr:uid="{7C6A0155-D6A4-4810-94BE-0BD7F48A368C}"/>
    <cellStyle name="Normal 5 2 2 3 2 2 5 2 4" xfId="40743" xr:uid="{A272DF6A-AF60-465C-B7E5-44EF736B6AF8}"/>
    <cellStyle name="Normal 5 2 2 3 2 2 5 2 5" xfId="22145" xr:uid="{F6CDE0E2-3D0E-456C-A7F2-2AAEE409D1A4}"/>
    <cellStyle name="Normal 5 2 2 3 2 2 5 3" xfId="6444" xr:uid="{00000000-0005-0000-0000-0000A8170000}"/>
    <cellStyle name="Normal 5 2 2 3 2 2 5 3 2" xfId="15770" xr:uid="{96B2DA97-B338-4822-BEA8-B7D79515BE94}"/>
    <cellStyle name="Normal 5 2 2 3 2 2 5 3 2 2" xfId="52112" xr:uid="{F5D85210-FCBB-4129-B608-0C6DA60918CF}"/>
    <cellStyle name="Normal 5 2 2 3 2 2 5 3 2 3" xfId="33516" xr:uid="{78191D31-5182-45F5-8BBE-9E82792789CA}"/>
    <cellStyle name="Normal 5 2 2 3 2 2 5 3 3" xfId="42815" xr:uid="{0B7D6346-20A6-4F75-A335-B584CE140484}"/>
    <cellStyle name="Normal 5 2 2 3 2 2 5 3 4" xfId="24217" xr:uid="{E237932F-2FB6-4ED6-BD06-4FA335A7B5E1}"/>
    <cellStyle name="Normal 5 2 2 3 2 2 5 4" xfId="11553" xr:uid="{2CE64DFC-BB32-4EDE-B5F1-538F7F5BC5AE}"/>
    <cellStyle name="Normal 5 2 2 3 2 2 5 4 2" xfId="47895" xr:uid="{8FE6ED21-B1BA-412E-AF4C-E3C782732630}"/>
    <cellStyle name="Normal 5 2 2 3 2 2 5 4 3" xfId="29299" xr:uid="{DBA98BBE-F04E-4F0F-BDFC-C210AE6E346F}"/>
    <cellStyle name="Normal 5 2 2 3 2 2 5 5" xfId="38598" xr:uid="{A606722E-04C3-4508-82C0-5D86DA56B8D0}"/>
    <cellStyle name="Normal 5 2 2 3 2 2 5 6" xfId="20000" xr:uid="{5A4BF3B4-1E9B-4EE0-AE1A-16CA394BC165}"/>
    <cellStyle name="Normal 5 2 2 3 2 2 6" xfId="2574" xr:uid="{00000000-0005-0000-0000-0000A9170000}"/>
    <cellStyle name="Normal 5 2 2 3 2 2 6 2" xfId="6857" xr:uid="{00000000-0005-0000-0000-0000AA170000}"/>
    <cellStyle name="Normal 5 2 2 3 2 2 6 2 2" xfId="16183" xr:uid="{02B4CC19-40FD-4D29-BC0B-2876A00DE982}"/>
    <cellStyle name="Normal 5 2 2 3 2 2 6 2 2 2" xfId="52525" xr:uid="{0D5625E0-AD1C-4E5E-969D-6DB2A4244CA1}"/>
    <cellStyle name="Normal 5 2 2 3 2 2 6 2 2 3" xfId="33929" xr:uid="{0C5B1B6A-C1E0-4661-B436-18037E125515}"/>
    <cellStyle name="Normal 5 2 2 3 2 2 6 2 3" xfId="43228" xr:uid="{3B4835F4-6181-4DA0-9792-91ADFB7E915A}"/>
    <cellStyle name="Normal 5 2 2 3 2 2 6 2 4" xfId="24630" xr:uid="{24C3B5F4-084D-408C-AE63-876BC424115F}"/>
    <cellStyle name="Normal 5 2 2 3 2 2 6 3" xfId="11966" xr:uid="{CF380C70-6BE4-49F2-9CC1-C0579EB9A3B9}"/>
    <cellStyle name="Normal 5 2 2 3 2 2 6 3 2" xfId="48308" xr:uid="{80D5C294-DC22-4259-9D66-C081110E1F99}"/>
    <cellStyle name="Normal 5 2 2 3 2 2 6 3 3" xfId="29712" xr:uid="{78B17FE3-B2C3-4DD1-A648-38D42D4A18B1}"/>
    <cellStyle name="Normal 5 2 2 3 2 2 6 4" xfId="39011" xr:uid="{639A14B6-9D79-4054-A3F5-C88860C894AB}"/>
    <cellStyle name="Normal 5 2 2 3 2 2 6 5" xfId="20413" xr:uid="{7D48E6CE-8246-4C00-8173-3D0AA654AB99}"/>
    <cellStyle name="Normal 5 2 2 3 2 2 7" xfId="4792" xr:uid="{00000000-0005-0000-0000-0000AB170000}"/>
    <cellStyle name="Normal 5 2 2 3 2 2 7 2" xfId="14118" xr:uid="{E408DDC9-36C1-418B-8884-1256622A3E04}"/>
    <cellStyle name="Normal 5 2 2 3 2 2 7 2 2" xfId="50460" xr:uid="{D9DD4B72-517C-4E46-841A-81727A9BF8C0}"/>
    <cellStyle name="Normal 5 2 2 3 2 2 7 2 3" xfId="31864" xr:uid="{024F100E-4086-4220-AFDC-19D2EF341022}"/>
    <cellStyle name="Normal 5 2 2 3 2 2 7 3" xfId="41163" xr:uid="{1BDDE38D-B01F-4E8D-A268-EBB5DCA18F5E}"/>
    <cellStyle name="Normal 5 2 2 3 2 2 7 4" xfId="22565" xr:uid="{55316896-AC40-4E52-A49D-46FA47EA7213}"/>
    <cellStyle name="Normal 5 2 2 3 2 2 8" xfId="9138" xr:uid="{BE73D583-3CAB-48A9-8A6F-E88EE69D1D1D}"/>
    <cellStyle name="Normal 5 2 2 3 2 2 8 2" xfId="36208" xr:uid="{FE3E7C71-EAF0-4587-891E-26F7D1FBD2E0}"/>
    <cellStyle name="Normal 5 2 2 3 2 2 8 2 2" xfId="54803" xr:uid="{EC794E96-B0C1-48A8-8CA3-826E481C4741}"/>
    <cellStyle name="Normal 5 2 2 3 2 2 8 3" xfId="45506" xr:uid="{FD378B94-8950-412A-AC0D-B33F965D2C0B}"/>
    <cellStyle name="Normal 5 2 2 3 2 2 8 4" xfId="26909" xr:uid="{3265E1D2-F72C-4CAD-9D64-13CF52C9BE3E}"/>
    <cellStyle name="Normal 5 2 2 3 2 2 9" xfId="9901" xr:uid="{92C70B3A-8A58-4148-B11C-3F975D00C2EA}"/>
    <cellStyle name="Normal 5 2 2 3 2 2 9 2" xfId="46243" xr:uid="{A004316F-48E3-447D-812A-B68E5B9C3292}"/>
    <cellStyle name="Normal 5 2 2 3 2 2 9 3" xfId="27647" xr:uid="{15754A7D-340C-4722-BD65-B696429EA3BA}"/>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16675" xr:uid="{A9F6A883-9EA4-483E-B0ED-AFC1EFEE287B}"/>
    <cellStyle name="Normal 5 2 2 3 2 3 2 2 2 2" xfId="53017" xr:uid="{0307169B-35AD-49F5-840F-27285F798BA5}"/>
    <cellStyle name="Normal 5 2 2 3 2 3 2 2 2 3" xfId="34421" xr:uid="{88E33A08-F088-48F5-8E08-CAA7FAB520AF}"/>
    <cellStyle name="Normal 5 2 2 3 2 3 2 2 3" xfId="43720" xr:uid="{172C930E-0205-48C5-A134-9EC9D6CAA30F}"/>
    <cellStyle name="Normal 5 2 2 3 2 3 2 2 4" xfId="25122" xr:uid="{0DCFE69B-FB48-4ACC-AF3B-BA935BEC9EBA}"/>
    <cellStyle name="Normal 5 2 2 3 2 3 2 3" xfId="12458" xr:uid="{3AFA3814-76A6-49C1-8DED-24BEAE226CC3}"/>
    <cellStyle name="Normal 5 2 2 3 2 3 2 3 2" xfId="48800" xr:uid="{08655E90-74C9-499F-872E-2EB7C7C66519}"/>
    <cellStyle name="Normal 5 2 2 3 2 3 2 3 3" xfId="30204" xr:uid="{2E0EE215-62FC-4872-87AF-DDCC8DF78DD2}"/>
    <cellStyle name="Normal 5 2 2 3 2 3 2 4" xfId="39503" xr:uid="{E8026897-A151-4514-B475-C3FEB8263051}"/>
    <cellStyle name="Normal 5 2 2 3 2 3 2 5" xfId="20905" xr:uid="{BC7A67D8-F0A4-4850-AD1D-427515A12C62}"/>
    <cellStyle name="Normal 5 2 2 3 2 3 3" xfId="5204" xr:uid="{00000000-0005-0000-0000-0000AF170000}"/>
    <cellStyle name="Normal 5 2 2 3 2 3 3 2" xfId="14530" xr:uid="{1CC0F86C-898E-4BF1-9A99-8173BBFED9A6}"/>
    <cellStyle name="Normal 5 2 2 3 2 3 3 2 2" xfId="50872" xr:uid="{58DCC306-D68E-4995-B6BB-ACA2BF7A9B8B}"/>
    <cellStyle name="Normal 5 2 2 3 2 3 3 2 3" xfId="32276" xr:uid="{AE20EE00-4C44-4D8C-BF46-173F4C84B807}"/>
    <cellStyle name="Normal 5 2 2 3 2 3 3 3" xfId="41575" xr:uid="{641799A7-0152-46E2-B119-15A67D7EBA49}"/>
    <cellStyle name="Normal 5 2 2 3 2 3 3 4" xfId="22977" xr:uid="{7B7BAE80-AEE1-4041-97D3-C24B2D48DCB7}"/>
    <cellStyle name="Normal 5 2 2 3 2 3 4" xfId="9356" xr:uid="{58BAA3B3-A7A2-4F6F-9929-D8BE9F0A557D}"/>
    <cellStyle name="Normal 5 2 2 3 2 3 4 2" xfId="36417" xr:uid="{A95B73EF-1D07-4F1F-B162-57B348DE4FE5}"/>
    <cellStyle name="Normal 5 2 2 3 2 3 4 2 2" xfId="55011" xr:uid="{E0F2BE60-B972-4045-B98F-606F426D1566}"/>
    <cellStyle name="Normal 5 2 2 3 2 3 4 3" xfId="45714" xr:uid="{63A64F81-0A43-4456-81B1-0ED2CB0ECEA2}"/>
    <cellStyle name="Normal 5 2 2 3 2 3 4 4" xfId="27118" xr:uid="{971315E7-E15F-4F21-87C4-B4ABC16709C6}"/>
    <cellStyle name="Normal 5 2 2 3 2 3 5" xfId="10313" xr:uid="{C24CED10-B263-4C93-9329-DAC66D8010A5}"/>
    <cellStyle name="Normal 5 2 2 3 2 3 5 2" xfId="46655" xr:uid="{C16D607F-1358-49DE-A857-1BA5A9F260E6}"/>
    <cellStyle name="Normal 5 2 2 3 2 3 5 3" xfId="28059" xr:uid="{1C7AAD32-FDE6-4193-B2B8-65931AC508FB}"/>
    <cellStyle name="Normal 5 2 2 3 2 3 6" xfId="37358" xr:uid="{29E60819-5420-4BB0-AE0D-1279D0BB0435}"/>
    <cellStyle name="Normal 5 2 2 3 2 3 7" xfId="18760" xr:uid="{AFE501EC-1A3A-489A-BE65-65F544A146D8}"/>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17088" xr:uid="{0D4E4618-4C7F-4647-BC92-B22C275E2B79}"/>
    <cellStyle name="Normal 5 2 2 3 2 4 2 2 2 2" xfId="53430" xr:uid="{50BDBC47-28FB-49E3-A7DA-95CA07FD3655}"/>
    <cellStyle name="Normal 5 2 2 3 2 4 2 2 2 3" xfId="34834" xr:uid="{C232F807-25DF-43B1-8BB0-61D2B7E36E55}"/>
    <cellStyle name="Normal 5 2 2 3 2 4 2 2 3" xfId="44133" xr:uid="{57A858C8-CD17-4BBE-9B59-9244E138CC54}"/>
    <cellStyle name="Normal 5 2 2 3 2 4 2 2 4" xfId="25535" xr:uid="{6FFBDB3E-7657-473B-B5CD-E7B761170C24}"/>
    <cellStyle name="Normal 5 2 2 3 2 4 2 3" xfId="12871" xr:uid="{C2473FC3-590F-4FF9-A6E0-4FF9D303269B}"/>
    <cellStyle name="Normal 5 2 2 3 2 4 2 3 2" xfId="49213" xr:uid="{5C249AEB-66E6-43DA-B91C-358406747277}"/>
    <cellStyle name="Normal 5 2 2 3 2 4 2 3 3" xfId="30617" xr:uid="{19F9FBAD-AB7E-455F-A591-342A3F1D4EF6}"/>
    <cellStyle name="Normal 5 2 2 3 2 4 2 4" xfId="39916" xr:uid="{5BB86D11-62A3-4702-8216-5BCA8D14D3D8}"/>
    <cellStyle name="Normal 5 2 2 3 2 4 2 5" xfId="21318" xr:uid="{B8E32F3A-CA4F-4706-AB44-70EC1B5B67C3}"/>
    <cellStyle name="Normal 5 2 2 3 2 4 3" xfId="5617" xr:uid="{00000000-0005-0000-0000-0000B3170000}"/>
    <cellStyle name="Normal 5 2 2 3 2 4 3 2" xfId="14943" xr:uid="{E8A5CD8C-D5CD-474C-B34F-96F96E85950E}"/>
    <cellStyle name="Normal 5 2 2 3 2 4 3 2 2" xfId="51285" xr:uid="{9869C86B-88B8-41FA-986D-FC7CF52251F1}"/>
    <cellStyle name="Normal 5 2 2 3 2 4 3 2 3" xfId="32689" xr:uid="{64D4AEC1-B8CA-4EE7-885B-26D959FA42CE}"/>
    <cellStyle name="Normal 5 2 2 3 2 4 3 3" xfId="41988" xr:uid="{B4C6FFAC-EC0F-486A-9E91-A5CAE296E815}"/>
    <cellStyle name="Normal 5 2 2 3 2 4 3 4" xfId="23390" xr:uid="{003F2932-D6CC-4EE1-9551-33476344BC35}"/>
    <cellStyle name="Normal 5 2 2 3 2 4 4" xfId="10726" xr:uid="{B4887EDB-8DB7-4561-B0AC-91D9348B323D}"/>
    <cellStyle name="Normal 5 2 2 3 2 4 4 2" xfId="47068" xr:uid="{0115BE1C-EC89-4EC1-8DCC-CDBEA7EEF156}"/>
    <cellStyle name="Normal 5 2 2 3 2 4 4 3" xfId="28472" xr:uid="{64F433BC-7653-4548-AFB5-BC9EE2869B41}"/>
    <cellStyle name="Normal 5 2 2 3 2 4 5" xfId="37771" xr:uid="{4D762F19-8DB6-4CF3-9901-5E88EEC90BB5}"/>
    <cellStyle name="Normal 5 2 2 3 2 4 6" xfId="19173" xr:uid="{00EB43C6-FB8F-4013-B6E8-0AB129304152}"/>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17501" xr:uid="{E6A7E763-CC2E-49B1-9899-67EAD6F9042D}"/>
    <cellStyle name="Normal 5 2 2 3 2 5 2 2 2 2" xfId="53843" xr:uid="{A6F673A4-71C0-48FA-8FDD-143DA68D0F77}"/>
    <cellStyle name="Normal 5 2 2 3 2 5 2 2 2 3" xfId="35247" xr:uid="{818DAF53-BC97-4EEE-ADAB-FDB89A869080}"/>
    <cellStyle name="Normal 5 2 2 3 2 5 2 2 3" xfId="44546" xr:uid="{35588F22-A6C4-4EE3-A194-8645D65C96BD}"/>
    <cellStyle name="Normal 5 2 2 3 2 5 2 2 4" xfId="25948" xr:uid="{B7E1A1E3-3FB2-4CA5-9AD3-341597DAA17A}"/>
    <cellStyle name="Normal 5 2 2 3 2 5 2 3" xfId="13284" xr:uid="{5228CAEA-5704-4ED9-BB5D-B228F4CE72D1}"/>
    <cellStyle name="Normal 5 2 2 3 2 5 2 3 2" xfId="49626" xr:uid="{3F338A49-8C9C-414F-B54C-2BCF4DA0E975}"/>
    <cellStyle name="Normal 5 2 2 3 2 5 2 3 3" xfId="31030" xr:uid="{C2F6E6EC-7467-4E43-8ED0-033C9A169672}"/>
    <cellStyle name="Normal 5 2 2 3 2 5 2 4" xfId="40329" xr:uid="{D42900CF-1764-4409-86B8-F376E4803A6C}"/>
    <cellStyle name="Normal 5 2 2 3 2 5 2 5" xfId="21731" xr:uid="{2680B4E4-97E9-4F52-BD57-76354D52D6A8}"/>
    <cellStyle name="Normal 5 2 2 3 2 5 3" xfId="6030" xr:uid="{00000000-0005-0000-0000-0000B7170000}"/>
    <cellStyle name="Normal 5 2 2 3 2 5 3 2" xfId="15356" xr:uid="{D81C748A-9EC0-46D3-846E-F801BAC69A2A}"/>
    <cellStyle name="Normal 5 2 2 3 2 5 3 2 2" xfId="51698" xr:uid="{01505AF1-24E7-43BB-A5C4-C8C5A5612F4F}"/>
    <cellStyle name="Normal 5 2 2 3 2 5 3 2 3" xfId="33102" xr:uid="{95E31983-5C68-43D7-AAFD-1EA283366202}"/>
    <cellStyle name="Normal 5 2 2 3 2 5 3 3" xfId="42401" xr:uid="{CFA164C9-CABF-43DE-888F-A852B7B820EF}"/>
    <cellStyle name="Normal 5 2 2 3 2 5 3 4" xfId="23803" xr:uid="{4A07F526-E5CD-4682-8AD0-4EB0647D445B}"/>
    <cellStyle name="Normal 5 2 2 3 2 5 4" xfId="11139" xr:uid="{8938B3D1-AA1C-4497-9477-B6A394D4A933}"/>
    <cellStyle name="Normal 5 2 2 3 2 5 4 2" xfId="47481" xr:uid="{D8B3EF89-2E46-44C1-B2E1-C1F2D020A642}"/>
    <cellStyle name="Normal 5 2 2 3 2 5 4 3" xfId="28885" xr:uid="{39BA2CFD-5556-48B6-8006-09CE8B5AD90E}"/>
    <cellStyle name="Normal 5 2 2 3 2 5 5" xfId="38184" xr:uid="{EA8E8290-062A-4A3F-9698-65CE03934434}"/>
    <cellStyle name="Normal 5 2 2 3 2 5 6" xfId="19586" xr:uid="{541E6C7D-A998-42DA-97AC-0D97193EB06A}"/>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17914" xr:uid="{E8E9F264-932A-4164-94A7-70C6A9287B71}"/>
    <cellStyle name="Normal 5 2 2 3 2 6 2 2 2 2" xfId="54256" xr:uid="{E0B9EE61-527D-4F15-A42A-7B6C50B5D2B3}"/>
    <cellStyle name="Normal 5 2 2 3 2 6 2 2 2 3" xfId="35660" xr:uid="{EF943D25-6379-4888-846B-2E7E4631382C}"/>
    <cellStyle name="Normal 5 2 2 3 2 6 2 2 3" xfId="44959" xr:uid="{0DFF05CF-2CBA-46CC-A697-46D5A356260F}"/>
    <cellStyle name="Normal 5 2 2 3 2 6 2 2 4" xfId="26361" xr:uid="{0C7BCCF6-E1C1-4718-ADB4-70A6E8B50E79}"/>
    <cellStyle name="Normal 5 2 2 3 2 6 2 3" xfId="13697" xr:uid="{8FD66CA9-8082-4F43-A9DC-455BEC496C37}"/>
    <cellStyle name="Normal 5 2 2 3 2 6 2 3 2" xfId="50039" xr:uid="{6C2A99F6-D594-4F5C-9008-0559613B16B5}"/>
    <cellStyle name="Normal 5 2 2 3 2 6 2 3 3" xfId="31443" xr:uid="{75614881-E223-4CDC-9B32-B18963702E8E}"/>
    <cellStyle name="Normal 5 2 2 3 2 6 2 4" xfId="40742" xr:uid="{F7AEEF36-5612-4847-ABC2-CD37725E2995}"/>
    <cellStyle name="Normal 5 2 2 3 2 6 2 5" xfId="22144" xr:uid="{1B9DC090-EB19-4A72-8FB9-65F467DDE36B}"/>
    <cellStyle name="Normal 5 2 2 3 2 6 3" xfId="6443" xr:uid="{00000000-0005-0000-0000-0000BB170000}"/>
    <cellStyle name="Normal 5 2 2 3 2 6 3 2" xfId="15769" xr:uid="{F34E89C8-7A0D-49EE-BF9B-5B307DAE0E0E}"/>
    <cellStyle name="Normal 5 2 2 3 2 6 3 2 2" xfId="52111" xr:uid="{B44AFFC3-5400-4FE7-80C8-755A764469C2}"/>
    <cellStyle name="Normal 5 2 2 3 2 6 3 2 3" xfId="33515" xr:uid="{DAFA135F-2FB9-4EE9-8C3C-15101202457D}"/>
    <cellStyle name="Normal 5 2 2 3 2 6 3 3" xfId="42814" xr:uid="{6B180DC9-3C76-4A87-8CA4-45773CD1AE4F}"/>
    <cellStyle name="Normal 5 2 2 3 2 6 3 4" xfId="24216" xr:uid="{4025C3AF-7DC4-4AC3-A77B-473AC2ED196C}"/>
    <cellStyle name="Normal 5 2 2 3 2 6 4" xfId="11552" xr:uid="{B6D317C1-FD11-4E41-9258-EFF904012C67}"/>
    <cellStyle name="Normal 5 2 2 3 2 6 4 2" xfId="47894" xr:uid="{43C0069E-C0AB-4451-B44E-478EBA3BD334}"/>
    <cellStyle name="Normal 5 2 2 3 2 6 4 3" xfId="29298" xr:uid="{DC8F8ED6-84C6-4C3E-BFA4-029281B4B95E}"/>
    <cellStyle name="Normal 5 2 2 3 2 6 5" xfId="38597" xr:uid="{3FCE3E88-7637-4B3B-B293-5C03CC84E74F}"/>
    <cellStyle name="Normal 5 2 2 3 2 6 6" xfId="19999" xr:uid="{2806BAC9-8105-494D-8FB4-5FF88B5998E2}"/>
    <cellStyle name="Normal 5 2 2 3 2 7" xfId="2573" xr:uid="{00000000-0005-0000-0000-0000BC170000}"/>
    <cellStyle name="Normal 5 2 2 3 2 7 2" xfId="6856" xr:uid="{00000000-0005-0000-0000-0000BD170000}"/>
    <cellStyle name="Normal 5 2 2 3 2 7 2 2" xfId="16182" xr:uid="{D1EF75BC-5F9F-431F-A3BD-B84CF58050FB}"/>
    <cellStyle name="Normal 5 2 2 3 2 7 2 2 2" xfId="52524" xr:uid="{073DDF28-FD44-4C88-8B6A-6CEE937992FC}"/>
    <cellStyle name="Normal 5 2 2 3 2 7 2 2 3" xfId="33928" xr:uid="{95AEECFF-C7BB-4208-BE9D-9C9A41B7C585}"/>
    <cellStyle name="Normal 5 2 2 3 2 7 2 3" xfId="43227" xr:uid="{5C17908C-7B68-4006-BDC0-1D353D300FCC}"/>
    <cellStyle name="Normal 5 2 2 3 2 7 2 4" xfId="24629" xr:uid="{25ABE650-57AA-47D1-89C7-BE9385CDB9D6}"/>
    <cellStyle name="Normal 5 2 2 3 2 7 3" xfId="11965" xr:uid="{9B07FD59-F904-4C69-9D9E-B028779AD7BC}"/>
    <cellStyle name="Normal 5 2 2 3 2 7 3 2" xfId="48307" xr:uid="{FEA90876-83BE-43EC-806A-EB46EFBA8F15}"/>
    <cellStyle name="Normal 5 2 2 3 2 7 3 3" xfId="29711" xr:uid="{32553124-7C16-4A1C-9F58-FB1642736D34}"/>
    <cellStyle name="Normal 5 2 2 3 2 7 4" xfId="39010" xr:uid="{CB4E201C-DC1F-4FFF-A2C4-ECDA2AE0F3CB}"/>
    <cellStyle name="Normal 5 2 2 3 2 7 5" xfId="20412" xr:uid="{23603DD2-4C90-41E7-972E-8AB46AC29E49}"/>
    <cellStyle name="Normal 5 2 2 3 2 8" xfId="4791" xr:uid="{00000000-0005-0000-0000-0000BE170000}"/>
    <cellStyle name="Normal 5 2 2 3 2 8 2" xfId="14117" xr:uid="{2A5DA60E-5398-4057-B92B-2D75BBBCEAED}"/>
    <cellStyle name="Normal 5 2 2 3 2 8 2 2" xfId="50459" xr:uid="{D65340CC-CF1C-4C99-A88D-14E71DD1973A}"/>
    <cellStyle name="Normal 5 2 2 3 2 8 2 3" xfId="31863" xr:uid="{6929804C-5883-4425-8924-43B1EC5551F2}"/>
    <cellStyle name="Normal 5 2 2 3 2 8 3" xfId="41162" xr:uid="{5583A501-F3B6-45A6-822D-17AF8EDBB7C8}"/>
    <cellStyle name="Normal 5 2 2 3 2 8 4" xfId="22564" xr:uid="{0B66405E-E641-4058-AFC5-F560A810BD8F}"/>
    <cellStyle name="Normal 5 2 2 3 2 9" xfId="8931" xr:uid="{E27E09D3-2564-4B82-8EA4-A27330B6B436}"/>
    <cellStyle name="Normal 5 2 2 3 2 9 2" xfId="36001" xr:uid="{9E1949F5-2F8E-47FB-86BF-17FFC872CECA}"/>
    <cellStyle name="Normal 5 2 2 3 2 9 2 2" xfId="54596" xr:uid="{9A35379E-9F0D-4566-A587-D6929F8024D7}"/>
    <cellStyle name="Normal 5 2 2 3 2 9 3" xfId="45299" xr:uid="{D970665C-EE41-48A3-8FE8-A2E342B06224}"/>
    <cellStyle name="Normal 5 2 2 3 2 9 4" xfId="26702" xr:uid="{5EFAC377-64D0-4462-AED0-5B624304F7E1}"/>
    <cellStyle name="Normal 5 2 2 3 3" xfId="420" xr:uid="{00000000-0005-0000-0000-0000BF170000}"/>
    <cellStyle name="Normal 5 2 2 3 3 10" xfId="36947" xr:uid="{0E1C32F6-B992-42D0-B30E-91C247DB88E5}"/>
    <cellStyle name="Normal 5 2 2 3 3 11" xfId="18349" xr:uid="{5E5AF415-F245-46A6-B23D-85BA81084F96}"/>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16677" xr:uid="{C792132C-2BDB-419C-B30D-A8475DE33F0E}"/>
    <cellStyle name="Normal 5 2 2 3 3 2 2 2 2 2" xfId="53019" xr:uid="{1047B2BF-7A17-4103-86E2-D0C944DB3B1F}"/>
    <cellStyle name="Normal 5 2 2 3 3 2 2 2 2 3" xfId="34423" xr:uid="{E05C3954-12E2-4A7C-AD6A-732EFABC96DF}"/>
    <cellStyle name="Normal 5 2 2 3 3 2 2 2 3" xfId="43722" xr:uid="{01DC473C-C89A-4471-8186-D616EDF4B79E}"/>
    <cellStyle name="Normal 5 2 2 3 3 2 2 2 4" xfId="25124" xr:uid="{AF99DBB6-A926-42BF-A0CB-029E507E8BD9}"/>
    <cellStyle name="Normal 5 2 2 3 3 2 2 3" xfId="12460" xr:uid="{F6F98068-9007-4FBA-99E7-E31F039152E3}"/>
    <cellStyle name="Normal 5 2 2 3 3 2 2 3 2" xfId="48802" xr:uid="{53904EED-BE45-4DBD-9CBF-0F3F6604348B}"/>
    <cellStyle name="Normal 5 2 2 3 3 2 2 3 3" xfId="30206" xr:uid="{F0EFF294-8022-4E8A-84CE-AB1F69AB3ADE}"/>
    <cellStyle name="Normal 5 2 2 3 3 2 2 4" xfId="39505" xr:uid="{96481105-B3DE-44C2-B58C-93D90C049CDE}"/>
    <cellStyle name="Normal 5 2 2 3 3 2 2 5" xfId="20907" xr:uid="{B9515835-134C-45DB-A0BB-043A6BB3D823}"/>
    <cellStyle name="Normal 5 2 2 3 3 2 3" xfId="5206" xr:uid="{00000000-0005-0000-0000-0000C3170000}"/>
    <cellStyle name="Normal 5 2 2 3 3 2 3 2" xfId="14532" xr:uid="{00F7F45C-E621-4CF0-A352-4DE9FAC237B7}"/>
    <cellStyle name="Normal 5 2 2 3 3 2 3 2 2" xfId="50874" xr:uid="{D088E3BE-035D-4FE3-96FE-51C935606EEA}"/>
    <cellStyle name="Normal 5 2 2 3 3 2 3 2 3" xfId="32278" xr:uid="{50A69F12-F92D-44A4-9BFB-2E0B7690F031}"/>
    <cellStyle name="Normal 5 2 2 3 3 2 3 3" xfId="41577" xr:uid="{6AF82912-F5B1-46EA-A0C2-E2C0BA352DB7}"/>
    <cellStyle name="Normal 5 2 2 3 3 2 3 4" xfId="22979" xr:uid="{23D9A1BD-AF30-490F-8949-BA42D7DD32BC}"/>
    <cellStyle name="Normal 5 2 2 3 3 2 4" xfId="9460" xr:uid="{423E0BE9-24F3-4EF0-8962-2565594BF831}"/>
    <cellStyle name="Normal 5 2 2 3 3 2 4 2" xfId="36521" xr:uid="{E0A2F61C-FFBF-4A57-911A-E4295B87C9C9}"/>
    <cellStyle name="Normal 5 2 2 3 3 2 4 2 2" xfId="55115" xr:uid="{D3E3F1C6-2933-4FBD-9C7E-9D8A0BF053A4}"/>
    <cellStyle name="Normal 5 2 2 3 3 2 4 3" xfId="45818" xr:uid="{CB8E0DA8-E8C4-41B6-896A-00771C1806E1}"/>
    <cellStyle name="Normal 5 2 2 3 3 2 4 4" xfId="27222" xr:uid="{CCABBEF9-DEB7-4589-AA8C-FB1DA1829B4B}"/>
    <cellStyle name="Normal 5 2 2 3 3 2 5" xfId="10315" xr:uid="{B1861DD3-C812-4F5D-BB49-FE3F1D26F882}"/>
    <cellStyle name="Normal 5 2 2 3 3 2 5 2" xfId="46657" xr:uid="{5510AD47-6CB8-4C18-86B6-AA84B4CAF643}"/>
    <cellStyle name="Normal 5 2 2 3 3 2 5 3" xfId="28061" xr:uid="{F27EABBD-787C-4485-A689-2F7D314A3A12}"/>
    <cellStyle name="Normal 5 2 2 3 3 2 6" xfId="37360" xr:uid="{574AC3DD-A732-4F2B-A02D-F7C959CF8FDC}"/>
    <cellStyle name="Normal 5 2 2 3 3 2 7" xfId="18762" xr:uid="{DC3D0E9F-FFE9-4F4F-80B0-3E432D96F245}"/>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17090" xr:uid="{3D0B6AD8-298D-4FB7-B48B-144C09D054B1}"/>
    <cellStyle name="Normal 5 2 2 3 3 3 2 2 2 2" xfId="53432" xr:uid="{430F496E-9B68-47BE-8D83-A1356143921F}"/>
    <cellStyle name="Normal 5 2 2 3 3 3 2 2 2 3" xfId="34836" xr:uid="{900F2DD2-401D-4063-B99C-AF4522621F5B}"/>
    <cellStyle name="Normal 5 2 2 3 3 3 2 2 3" xfId="44135" xr:uid="{3503E60B-B41F-4662-80A4-DDE4887B0CEE}"/>
    <cellStyle name="Normal 5 2 2 3 3 3 2 2 4" xfId="25537" xr:uid="{ACB7F2D7-208D-462F-8C3A-D5C3DBCEAC5B}"/>
    <cellStyle name="Normal 5 2 2 3 3 3 2 3" xfId="12873" xr:uid="{D62FA302-B690-4D26-BD13-4656388BD9B7}"/>
    <cellStyle name="Normal 5 2 2 3 3 3 2 3 2" xfId="49215" xr:uid="{AE8A2911-D97C-478A-AAE6-2CD4028C6570}"/>
    <cellStyle name="Normal 5 2 2 3 3 3 2 3 3" xfId="30619" xr:uid="{3F20F6C8-440E-4CB3-848C-7DAED734B195}"/>
    <cellStyle name="Normal 5 2 2 3 3 3 2 4" xfId="39918" xr:uid="{355384AD-2444-4F82-ACFD-A172C71FAB10}"/>
    <cellStyle name="Normal 5 2 2 3 3 3 2 5" xfId="21320" xr:uid="{5087CFF0-3CA5-4F08-94E7-E695C3009E22}"/>
    <cellStyle name="Normal 5 2 2 3 3 3 3" xfId="5619" xr:uid="{00000000-0005-0000-0000-0000C7170000}"/>
    <cellStyle name="Normal 5 2 2 3 3 3 3 2" xfId="14945" xr:uid="{32971E19-E3BB-49BB-8798-A6A009B95078}"/>
    <cellStyle name="Normal 5 2 2 3 3 3 3 2 2" xfId="51287" xr:uid="{612E051F-F6AA-4A06-9D68-4E1635FC9A53}"/>
    <cellStyle name="Normal 5 2 2 3 3 3 3 2 3" xfId="32691" xr:uid="{49FF972A-93C2-4D80-9101-5F67D9C4A29E}"/>
    <cellStyle name="Normal 5 2 2 3 3 3 3 3" xfId="41990" xr:uid="{1FB87883-65F7-4B17-8217-ED4F1600DC0C}"/>
    <cellStyle name="Normal 5 2 2 3 3 3 3 4" xfId="23392" xr:uid="{8A7A751A-83C1-4C85-B356-0B94E5C71032}"/>
    <cellStyle name="Normal 5 2 2 3 3 3 4" xfId="10728" xr:uid="{9F3EE625-C58B-4452-94B6-F2283492841E}"/>
    <cellStyle name="Normal 5 2 2 3 3 3 4 2" xfId="47070" xr:uid="{CB90FF36-A964-4518-BB0D-27BD346331C1}"/>
    <cellStyle name="Normal 5 2 2 3 3 3 4 3" xfId="28474" xr:uid="{223E30BF-C144-4FEE-88B0-8062D77CD5C4}"/>
    <cellStyle name="Normal 5 2 2 3 3 3 5" xfId="37773" xr:uid="{C78074EF-D3F7-4805-9EA1-2CE5A9F396E8}"/>
    <cellStyle name="Normal 5 2 2 3 3 3 6" xfId="19175" xr:uid="{81E32727-9028-4922-9495-AF886FCD5FBB}"/>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17503" xr:uid="{FA3201AB-8CC1-45AE-845F-6BEE98112D1A}"/>
    <cellStyle name="Normal 5 2 2 3 3 4 2 2 2 2" xfId="53845" xr:uid="{6C6D6CB9-D2BD-4184-8BDF-A7CF7C85169D}"/>
    <cellStyle name="Normal 5 2 2 3 3 4 2 2 2 3" xfId="35249" xr:uid="{A7961290-8DF4-4705-9FF2-668F2244FE29}"/>
    <cellStyle name="Normal 5 2 2 3 3 4 2 2 3" xfId="44548" xr:uid="{EB7FAA04-13A1-42E1-821B-B89EDF882963}"/>
    <cellStyle name="Normal 5 2 2 3 3 4 2 2 4" xfId="25950" xr:uid="{02601528-7E85-4DD2-AEA1-69402680FF39}"/>
    <cellStyle name="Normal 5 2 2 3 3 4 2 3" xfId="13286" xr:uid="{5895540D-DE05-44DF-A1D2-A827BCB93CAB}"/>
    <cellStyle name="Normal 5 2 2 3 3 4 2 3 2" xfId="49628" xr:uid="{21BB07A5-7966-4F9B-8E8A-7D2462D54882}"/>
    <cellStyle name="Normal 5 2 2 3 3 4 2 3 3" xfId="31032" xr:uid="{DB20F074-441F-41FD-8DAF-794A7AD99F03}"/>
    <cellStyle name="Normal 5 2 2 3 3 4 2 4" xfId="40331" xr:uid="{50D164A7-635A-4FFE-A373-5063F38DB3B3}"/>
    <cellStyle name="Normal 5 2 2 3 3 4 2 5" xfId="21733" xr:uid="{30D663FC-2975-4260-BA03-2136E932DF43}"/>
    <cellStyle name="Normal 5 2 2 3 3 4 3" xfId="6032" xr:uid="{00000000-0005-0000-0000-0000CB170000}"/>
    <cellStyle name="Normal 5 2 2 3 3 4 3 2" xfId="15358" xr:uid="{6521724C-6A80-4CE3-81D7-847039202BED}"/>
    <cellStyle name="Normal 5 2 2 3 3 4 3 2 2" xfId="51700" xr:uid="{89305BAB-EE53-4FE2-B5B4-0486468E8338}"/>
    <cellStyle name="Normal 5 2 2 3 3 4 3 2 3" xfId="33104" xr:uid="{3EEBE8BE-F295-483A-BFD9-3185738C6DB8}"/>
    <cellStyle name="Normal 5 2 2 3 3 4 3 3" xfId="42403" xr:uid="{A94E375C-9CA9-4B47-9F4F-4F22A45147CB}"/>
    <cellStyle name="Normal 5 2 2 3 3 4 3 4" xfId="23805" xr:uid="{F6C8A7D4-BE81-42E5-98E5-D9FF2047716E}"/>
    <cellStyle name="Normal 5 2 2 3 3 4 4" xfId="11141" xr:uid="{C57FBCA2-8251-4AB5-B803-D600AD759DCC}"/>
    <cellStyle name="Normal 5 2 2 3 3 4 4 2" xfId="47483" xr:uid="{D210AF8C-DA47-4014-9C57-6C35D75226C7}"/>
    <cellStyle name="Normal 5 2 2 3 3 4 4 3" xfId="28887" xr:uid="{72FA1571-763D-413A-B05C-D35F86A07ED0}"/>
    <cellStyle name="Normal 5 2 2 3 3 4 5" xfId="38186" xr:uid="{9337DB34-5661-4860-8A9D-08AAFA9406F6}"/>
    <cellStyle name="Normal 5 2 2 3 3 4 6" xfId="19588" xr:uid="{9C197A97-B5B6-4F69-9264-AF6AB3B27CE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17916" xr:uid="{C9669FF2-4069-4C02-81AF-B4B01ED17A19}"/>
    <cellStyle name="Normal 5 2 2 3 3 5 2 2 2 2" xfId="54258" xr:uid="{66C9B840-C70D-41BC-9125-6570A654FDB0}"/>
    <cellStyle name="Normal 5 2 2 3 3 5 2 2 2 3" xfId="35662" xr:uid="{41B5F62F-7798-4624-9CB8-5572BAD2D06C}"/>
    <cellStyle name="Normal 5 2 2 3 3 5 2 2 3" xfId="44961" xr:uid="{B2C842A5-1B7F-4E83-899B-7F284E5048C7}"/>
    <cellStyle name="Normal 5 2 2 3 3 5 2 2 4" xfId="26363" xr:uid="{3ECC6C93-EFE0-46F5-B116-0644301D0085}"/>
    <cellStyle name="Normal 5 2 2 3 3 5 2 3" xfId="13699" xr:uid="{A5D977C3-A3A0-41B1-9BD0-E03CA23BD2A1}"/>
    <cellStyle name="Normal 5 2 2 3 3 5 2 3 2" xfId="50041" xr:uid="{2E474AC6-B608-4CD4-8FC8-A28CF7A09537}"/>
    <cellStyle name="Normal 5 2 2 3 3 5 2 3 3" xfId="31445" xr:uid="{79CC1029-FDD9-4222-8076-F4E64C111EE7}"/>
    <cellStyle name="Normal 5 2 2 3 3 5 2 4" xfId="40744" xr:uid="{9E34C582-A6E4-413F-95D4-F7F073972632}"/>
    <cellStyle name="Normal 5 2 2 3 3 5 2 5" xfId="22146" xr:uid="{1CA7C9D5-1786-4CB1-AD6D-66A8720050AB}"/>
    <cellStyle name="Normal 5 2 2 3 3 5 3" xfId="6445" xr:uid="{00000000-0005-0000-0000-0000CF170000}"/>
    <cellStyle name="Normal 5 2 2 3 3 5 3 2" xfId="15771" xr:uid="{D3DD6FCD-6E66-4046-ADEC-89F6FEBC7142}"/>
    <cellStyle name="Normal 5 2 2 3 3 5 3 2 2" xfId="52113" xr:uid="{E496EEEA-1FA6-4E1E-8B82-2FCBC2D0684E}"/>
    <cellStyle name="Normal 5 2 2 3 3 5 3 2 3" xfId="33517" xr:uid="{B60F9A7A-EBFD-42B1-B197-9AE4306314BF}"/>
    <cellStyle name="Normal 5 2 2 3 3 5 3 3" xfId="42816" xr:uid="{9754A853-347F-4E34-BC0B-AE861DE4429D}"/>
    <cellStyle name="Normal 5 2 2 3 3 5 3 4" xfId="24218" xr:uid="{3B466F96-760E-4D1B-BB3C-15B11D4D26D9}"/>
    <cellStyle name="Normal 5 2 2 3 3 5 4" xfId="11554" xr:uid="{73E34803-9B44-4A81-8FC3-8712415871FC}"/>
    <cellStyle name="Normal 5 2 2 3 3 5 4 2" xfId="47896" xr:uid="{2549C232-99A8-44CE-90B1-8754C69F5387}"/>
    <cellStyle name="Normal 5 2 2 3 3 5 4 3" xfId="29300" xr:uid="{9D915CE8-F955-434C-A445-DC21FD8D2DFF}"/>
    <cellStyle name="Normal 5 2 2 3 3 5 5" xfId="38599" xr:uid="{6A6AB820-AFDE-4851-BAFD-CBD3E9E613AE}"/>
    <cellStyle name="Normal 5 2 2 3 3 5 6" xfId="20001" xr:uid="{9F49D8DE-0F2C-4617-8AA2-51C6E1519448}"/>
    <cellStyle name="Normal 5 2 2 3 3 6" xfId="2575" xr:uid="{00000000-0005-0000-0000-0000D0170000}"/>
    <cellStyle name="Normal 5 2 2 3 3 6 2" xfId="6858" xr:uid="{00000000-0005-0000-0000-0000D1170000}"/>
    <cellStyle name="Normal 5 2 2 3 3 6 2 2" xfId="16184" xr:uid="{067C52B1-285D-4A06-A5CE-E53F3632C1D9}"/>
    <cellStyle name="Normal 5 2 2 3 3 6 2 2 2" xfId="52526" xr:uid="{D1E0CE75-CEC8-44FA-8D5F-5AA242D1DD7A}"/>
    <cellStyle name="Normal 5 2 2 3 3 6 2 2 3" xfId="33930" xr:uid="{2D165C8A-40BA-4431-9A75-2B2305AB3C0F}"/>
    <cellStyle name="Normal 5 2 2 3 3 6 2 3" xfId="43229" xr:uid="{CDC4770A-6FB6-4DF6-89B7-386BFF80B77F}"/>
    <cellStyle name="Normal 5 2 2 3 3 6 2 4" xfId="24631" xr:uid="{ABE435B7-72E2-4510-BCB9-13104D3B72E7}"/>
    <cellStyle name="Normal 5 2 2 3 3 6 3" xfId="11967" xr:uid="{2AD694BE-D1D0-46E5-8975-2645A5437632}"/>
    <cellStyle name="Normal 5 2 2 3 3 6 3 2" xfId="48309" xr:uid="{38B52D05-4837-4D97-9928-6683659C08CA}"/>
    <cellStyle name="Normal 5 2 2 3 3 6 3 3" xfId="29713" xr:uid="{45354E9B-2075-466D-A0F9-62E157D27A50}"/>
    <cellStyle name="Normal 5 2 2 3 3 6 4" xfId="39012" xr:uid="{66326374-E15A-4B9A-8EA8-1D2F56DB12F3}"/>
    <cellStyle name="Normal 5 2 2 3 3 6 5" xfId="20414" xr:uid="{0B38B0A7-DF40-4173-AB09-FF690C8CC2D1}"/>
    <cellStyle name="Normal 5 2 2 3 3 7" xfId="4793" xr:uid="{00000000-0005-0000-0000-0000D2170000}"/>
    <cellStyle name="Normal 5 2 2 3 3 7 2" xfId="14119" xr:uid="{2E08E2AC-F2C3-4CD7-BFD9-2EF1AA4CEDC0}"/>
    <cellStyle name="Normal 5 2 2 3 3 7 2 2" xfId="50461" xr:uid="{83722BCE-6251-400E-9596-B28390CA81F4}"/>
    <cellStyle name="Normal 5 2 2 3 3 7 2 3" xfId="31865" xr:uid="{F698BA65-1C2C-493D-9A68-BB9C82C8399B}"/>
    <cellStyle name="Normal 5 2 2 3 3 7 3" xfId="41164" xr:uid="{575D320E-F174-45E7-8FA7-AD977D74A663}"/>
    <cellStyle name="Normal 5 2 2 3 3 7 4" xfId="22566" xr:uid="{27FE882B-AB34-4C63-A6DE-99E7460621A2}"/>
    <cellStyle name="Normal 5 2 2 3 3 8" xfId="9035" xr:uid="{6AC57173-16AF-4847-A277-E4254AACDA36}"/>
    <cellStyle name="Normal 5 2 2 3 3 8 2" xfId="36105" xr:uid="{B05A7095-A359-4B94-BFD4-E9B0977EF27F}"/>
    <cellStyle name="Normal 5 2 2 3 3 8 2 2" xfId="54700" xr:uid="{B30EC87F-48C1-49DA-842F-C58D1C8126FB}"/>
    <cellStyle name="Normal 5 2 2 3 3 8 3" xfId="45403" xr:uid="{37B86418-D79D-4143-908D-D9AF2178925F}"/>
    <cellStyle name="Normal 5 2 2 3 3 8 4" xfId="26806" xr:uid="{CC023BB5-BD9E-4287-9CA4-59BD4D04A1E8}"/>
    <cellStyle name="Normal 5 2 2 3 3 9" xfId="9902" xr:uid="{B035E29B-5F52-4ACD-8114-E6602F20A7F6}"/>
    <cellStyle name="Normal 5 2 2 3 3 9 2" xfId="46244" xr:uid="{AA2D7B62-B9CA-430F-9CB7-97428640E436}"/>
    <cellStyle name="Normal 5 2 2 3 3 9 3" xfId="27648" xr:uid="{E59C1911-D5EB-4C06-80D2-478C518DAA8E}"/>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16674" xr:uid="{20EF0E7C-AB0C-4848-87B6-E93CFCCA26D7}"/>
    <cellStyle name="Normal 5 2 2 3 4 2 2 2 2" xfId="53016" xr:uid="{0EFC189E-0CB7-4EBA-9FD7-F92FB0ACF7B8}"/>
    <cellStyle name="Normal 5 2 2 3 4 2 2 2 3" xfId="34420" xr:uid="{B1AABC8F-3544-40FE-B8A8-F263C1E02010}"/>
    <cellStyle name="Normal 5 2 2 3 4 2 2 3" xfId="43719" xr:uid="{F0E3D7F9-D9A5-49E1-8652-823156306F69}"/>
    <cellStyle name="Normal 5 2 2 3 4 2 2 4" xfId="25121" xr:uid="{28533381-B171-4DCA-A37D-3FB097796BB8}"/>
    <cellStyle name="Normal 5 2 2 3 4 2 3" xfId="12457" xr:uid="{C23B6301-38D5-4AC4-A113-A3D08938C49A}"/>
    <cellStyle name="Normal 5 2 2 3 4 2 3 2" xfId="48799" xr:uid="{2EDBC9C1-7E92-4AAD-A402-48D059BC2041}"/>
    <cellStyle name="Normal 5 2 2 3 4 2 3 3" xfId="30203" xr:uid="{914D1791-217F-44AA-8329-A669BA53E5FC}"/>
    <cellStyle name="Normal 5 2 2 3 4 2 4" xfId="39502" xr:uid="{9480484B-D267-4F3E-B672-D62C786B74F1}"/>
    <cellStyle name="Normal 5 2 2 3 4 2 5" xfId="20904" xr:uid="{CA26C460-C469-4336-829D-3826F88810F5}"/>
    <cellStyle name="Normal 5 2 2 3 4 3" xfId="5203" xr:uid="{00000000-0005-0000-0000-0000D6170000}"/>
    <cellStyle name="Normal 5 2 2 3 4 3 2" xfId="14529" xr:uid="{405DB82A-D920-4C2E-8FF2-0A626BB32FD3}"/>
    <cellStyle name="Normal 5 2 2 3 4 3 2 2" xfId="50871" xr:uid="{32529B39-F22A-49E1-9ADF-4B3FFEBA06BC}"/>
    <cellStyle name="Normal 5 2 2 3 4 3 2 3" xfId="32275" xr:uid="{91520AEA-4CA9-4D01-A008-444EDF5B3A60}"/>
    <cellStyle name="Normal 5 2 2 3 4 3 3" xfId="41574" xr:uid="{C42C7388-1DB8-48C5-A053-D3190C255230}"/>
    <cellStyle name="Normal 5 2 2 3 4 3 4" xfId="22976" xr:uid="{7DE7B428-3541-470F-B6B7-7997ABE4AB9D}"/>
    <cellStyle name="Normal 5 2 2 3 4 4" xfId="9253" xr:uid="{A5C3AAF9-67DD-41B1-A0BF-05B69F588F71}"/>
    <cellStyle name="Normal 5 2 2 3 4 4 2" xfId="36314" xr:uid="{FA660A00-A38F-4397-8FB9-6AD281A42F32}"/>
    <cellStyle name="Normal 5 2 2 3 4 4 2 2" xfId="54908" xr:uid="{A3841305-EDE0-4BBB-A77F-012580DA732B}"/>
    <cellStyle name="Normal 5 2 2 3 4 4 3" xfId="45611" xr:uid="{129737D8-C821-49D4-823A-AE7E116793ED}"/>
    <cellStyle name="Normal 5 2 2 3 4 4 4" xfId="27015" xr:uid="{B9ED48E3-5637-452B-BDBE-06E09F0630A3}"/>
    <cellStyle name="Normal 5 2 2 3 4 5" xfId="10312" xr:uid="{77BEC0B2-896B-49E5-9526-B52990660F30}"/>
    <cellStyle name="Normal 5 2 2 3 4 5 2" xfId="46654" xr:uid="{49B91759-4A07-4C51-9AF5-426BB83B21DE}"/>
    <cellStyle name="Normal 5 2 2 3 4 5 3" xfId="28058" xr:uid="{010ECBC3-D2A3-49AD-8DA4-15F532E866F8}"/>
    <cellStyle name="Normal 5 2 2 3 4 6" xfId="37357" xr:uid="{012534FF-AC21-43B4-AB39-888D10F9434C}"/>
    <cellStyle name="Normal 5 2 2 3 4 7" xfId="18759" xr:uid="{52F864CE-7C88-45E7-BCDE-73252C4B21FC}"/>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17087" xr:uid="{E8355C02-BE83-471D-96BF-16B264983126}"/>
    <cellStyle name="Normal 5 2 2 3 5 2 2 2 2" xfId="53429" xr:uid="{267AD663-6375-484B-89F8-CC0C9FACA792}"/>
    <cellStyle name="Normal 5 2 2 3 5 2 2 2 3" xfId="34833" xr:uid="{F463245A-260B-4EAC-98CD-F177AF44D5FF}"/>
    <cellStyle name="Normal 5 2 2 3 5 2 2 3" xfId="44132" xr:uid="{802E8681-BD81-4322-81C9-6A58B9CFBFEE}"/>
    <cellStyle name="Normal 5 2 2 3 5 2 2 4" xfId="25534" xr:uid="{2E7E9158-FA88-4C71-87CF-D055A3C57555}"/>
    <cellStyle name="Normal 5 2 2 3 5 2 3" xfId="12870" xr:uid="{AB6F1BFD-C9FA-48AE-8AF4-3493F9BF4FED}"/>
    <cellStyle name="Normal 5 2 2 3 5 2 3 2" xfId="49212" xr:uid="{CC361740-067B-41CA-88E6-663A27546E74}"/>
    <cellStyle name="Normal 5 2 2 3 5 2 3 3" xfId="30616" xr:uid="{FDCBAAA1-1B2B-4BDC-9AD6-31FFD528790B}"/>
    <cellStyle name="Normal 5 2 2 3 5 2 4" xfId="39915" xr:uid="{B5D5F813-88F4-4986-96B6-3CA0C4F7844B}"/>
    <cellStyle name="Normal 5 2 2 3 5 2 5" xfId="21317" xr:uid="{52E5DE62-52E0-47CE-BCC5-A25BFB5615B4}"/>
    <cellStyle name="Normal 5 2 2 3 5 3" xfId="5616" xr:uid="{00000000-0005-0000-0000-0000DA170000}"/>
    <cellStyle name="Normal 5 2 2 3 5 3 2" xfId="14942" xr:uid="{9E5B7014-5207-41EB-9967-356F6A1FCF29}"/>
    <cellStyle name="Normal 5 2 2 3 5 3 2 2" xfId="51284" xr:uid="{4FFF07B4-44A3-445B-8EA6-1F7BC3A8FE08}"/>
    <cellStyle name="Normal 5 2 2 3 5 3 2 3" xfId="32688" xr:uid="{07DB722B-C81C-4FD5-9A78-5237F3115655}"/>
    <cellStyle name="Normal 5 2 2 3 5 3 3" xfId="41987" xr:uid="{05B9EC1F-F264-4544-8530-D016CD5D4BA7}"/>
    <cellStyle name="Normal 5 2 2 3 5 3 4" xfId="23389" xr:uid="{A0B6EE1E-3D9A-4532-8613-169E35C082A1}"/>
    <cellStyle name="Normal 5 2 2 3 5 4" xfId="10725" xr:uid="{7BB58E38-3470-4E9C-A237-D78EBFA31A5E}"/>
    <cellStyle name="Normal 5 2 2 3 5 4 2" xfId="47067" xr:uid="{1AD56B4F-C116-4AF7-ADE1-31685909E481}"/>
    <cellStyle name="Normal 5 2 2 3 5 4 3" xfId="28471" xr:uid="{60A48451-FC81-4137-94C0-664B2B347F5E}"/>
    <cellStyle name="Normal 5 2 2 3 5 5" xfId="37770" xr:uid="{3BBDDF1F-E7B0-47DB-9A1B-32C484A11E2F}"/>
    <cellStyle name="Normal 5 2 2 3 5 6" xfId="19172" xr:uid="{17BC070C-E785-4825-A3F3-F46D17D8C441}"/>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17500" xr:uid="{E02F5450-C50F-4A12-89AB-74B28DE76DB9}"/>
    <cellStyle name="Normal 5 2 2 3 6 2 2 2 2" xfId="53842" xr:uid="{40BAAF3C-8151-4B42-9AC2-97E1ABFA9853}"/>
    <cellStyle name="Normal 5 2 2 3 6 2 2 2 3" xfId="35246" xr:uid="{6E9E3DE2-4547-4EE8-8BF4-F92165F848D5}"/>
    <cellStyle name="Normal 5 2 2 3 6 2 2 3" xfId="44545" xr:uid="{6585AF06-9F95-42D0-9FDC-D3D2285A857A}"/>
    <cellStyle name="Normal 5 2 2 3 6 2 2 4" xfId="25947" xr:uid="{FFCF7080-F48E-49A8-BFE3-92FB200F20A0}"/>
    <cellStyle name="Normal 5 2 2 3 6 2 3" xfId="13283" xr:uid="{0A830898-FC90-4D61-A972-46ABDA6FF53E}"/>
    <cellStyle name="Normal 5 2 2 3 6 2 3 2" xfId="49625" xr:uid="{E8C62545-50F6-479F-B006-76AA9A55FABF}"/>
    <cellStyle name="Normal 5 2 2 3 6 2 3 3" xfId="31029" xr:uid="{E7F81A92-4318-4951-893E-29BE70B1A8D0}"/>
    <cellStyle name="Normal 5 2 2 3 6 2 4" xfId="40328" xr:uid="{3EC5ACCA-53CD-4587-BB26-AFD9B88ED5B5}"/>
    <cellStyle name="Normal 5 2 2 3 6 2 5" xfId="21730" xr:uid="{904BC291-6209-49B4-88BB-5FD74FC705FE}"/>
    <cellStyle name="Normal 5 2 2 3 6 3" xfId="6029" xr:uid="{00000000-0005-0000-0000-0000DE170000}"/>
    <cellStyle name="Normal 5 2 2 3 6 3 2" xfId="15355" xr:uid="{D8289C74-A6C8-4C9A-8907-E2A9E919FC95}"/>
    <cellStyle name="Normal 5 2 2 3 6 3 2 2" xfId="51697" xr:uid="{738BC722-5A40-4EF7-91F2-E9E61126571E}"/>
    <cellStyle name="Normal 5 2 2 3 6 3 2 3" xfId="33101" xr:uid="{5F63234F-6DBA-43DB-AB00-246E7436F99D}"/>
    <cellStyle name="Normal 5 2 2 3 6 3 3" xfId="42400" xr:uid="{D7ECC881-555A-4326-ABE6-3A08D0429A55}"/>
    <cellStyle name="Normal 5 2 2 3 6 3 4" xfId="23802" xr:uid="{C549BEDF-43BC-4228-B8CA-CAEAB3206EAE}"/>
    <cellStyle name="Normal 5 2 2 3 6 4" xfId="11138" xr:uid="{AEA27DFF-82E0-4009-88D4-02E62B00D264}"/>
    <cellStyle name="Normal 5 2 2 3 6 4 2" xfId="47480" xr:uid="{3381E358-5D92-43A0-8D01-8099D87B5F31}"/>
    <cellStyle name="Normal 5 2 2 3 6 4 3" xfId="28884" xr:uid="{B99CBB8E-9712-40E3-8436-DA6CC12AAC7D}"/>
    <cellStyle name="Normal 5 2 2 3 6 5" xfId="38183" xr:uid="{062E7B15-BCF7-40A9-83EA-DEA631953797}"/>
    <cellStyle name="Normal 5 2 2 3 6 6" xfId="19585" xr:uid="{05D5C679-F1A9-465E-8979-EC5A3A66D7E7}"/>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17913" xr:uid="{69C89EE3-F72C-498D-8C24-5ABE6DD81DAD}"/>
    <cellStyle name="Normal 5 2 2 3 7 2 2 2 2" xfId="54255" xr:uid="{B711DF9E-0E5F-433C-A6E9-BB838BBD8C2E}"/>
    <cellStyle name="Normal 5 2 2 3 7 2 2 2 3" xfId="35659" xr:uid="{84D9AD3F-90A3-405C-83DC-6C167BA9848C}"/>
    <cellStyle name="Normal 5 2 2 3 7 2 2 3" xfId="44958" xr:uid="{D6439C60-4B06-49D5-BE36-81550B7B822C}"/>
    <cellStyle name="Normal 5 2 2 3 7 2 2 4" xfId="26360" xr:uid="{5E48858A-DC8F-402C-B71D-E5AD8D16ABAE}"/>
    <cellStyle name="Normal 5 2 2 3 7 2 3" xfId="13696" xr:uid="{E5E85FB9-B54E-4D46-B905-10F8FFF7A142}"/>
    <cellStyle name="Normal 5 2 2 3 7 2 3 2" xfId="50038" xr:uid="{0EBFADD6-10C2-4376-B6B8-E4DA2660ACE5}"/>
    <cellStyle name="Normal 5 2 2 3 7 2 3 3" xfId="31442" xr:uid="{462F0319-7C72-4541-A259-97E6CD73E084}"/>
    <cellStyle name="Normal 5 2 2 3 7 2 4" xfId="40741" xr:uid="{48F3D787-4AE2-4728-84B8-C2B12E3D3480}"/>
    <cellStyle name="Normal 5 2 2 3 7 2 5" xfId="22143" xr:uid="{95573056-A9D0-4D17-8EAB-A5E5D3BEC5C8}"/>
    <cellStyle name="Normal 5 2 2 3 7 3" xfId="6442" xr:uid="{00000000-0005-0000-0000-0000E2170000}"/>
    <cellStyle name="Normal 5 2 2 3 7 3 2" xfId="15768" xr:uid="{A407F91B-BF4B-48AD-911A-F51C6FB2A6D0}"/>
    <cellStyle name="Normal 5 2 2 3 7 3 2 2" xfId="52110" xr:uid="{FD9DAC76-96D4-4CF9-B80C-5FEA2C0A5E89}"/>
    <cellStyle name="Normal 5 2 2 3 7 3 2 3" xfId="33514" xr:uid="{0476747E-598E-424C-9B4F-E70563312678}"/>
    <cellStyle name="Normal 5 2 2 3 7 3 3" xfId="42813" xr:uid="{624F9A63-4ADD-48E3-B8D1-C8378D82092E}"/>
    <cellStyle name="Normal 5 2 2 3 7 3 4" xfId="24215" xr:uid="{7DC1A4F2-553C-40B9-87CA-8296EA855493}"/>
    <cellStyle name="Normal 5 2 2 3 7 4" xfId="11551" xr:uid="{96D8D6AA-9F6A-474A-BDFE-58307641B25B}"/>
    <cellStyle name="Normal 5 2 2 3 7 4 2" xfId="47893" xr:uid="{000A65F4-F08C-43F3-8C92-20F76E74C07E}"/>
    <cellStyle name="Normal 5 2 2 3 7 4 3" xfId="29297" xr:uid="{091F542B-6E59-4FDE-9E80-337BE4EC7FE7}"/>
    <cellStyle name="Normal 5 2 2 3 7 5" xfId="38596" xr:uid="{186B27B2-DF64-4F75-8FCC-1CCD45A176A4}"/>
    <cellStyle name="Normal 5 2 2 3 7 6" xfId="19998" xr:uid="{55527C0F-47D1-4CC1-A1A8-5896B577B856}"/>
    <cellStyle name="Normal 5 2 2 3 8" xfId="2572" xr:uid="{00000000-0005-0000-0000-0000E3170000}"/>
    <cellStyle name="Normal 5 2 2 3 8 2" xfId="6855" xr:uid="{00000000-0005-0000-0000-0000E4170000}"/>
    <cellStyle name="Normal 5 2 2 3 8 2 2" xfId="16181" xr:uid="{6237D97B-0054-4337-9DFB-18158CA0A1B4}"/>
    <cellStyle name="Normal 5 2 2 3 8 2 2 2" xfId="52523" xr:uid="{314A3B37-AB4F-4F3D-A400-C940145B733D}"/>
    <cellStyle name="Normal 5 2 2 3 8 2 2 3" xfId="33927" xr:uid="{FAEBD64E-88AA-4527-A096-0722DBF56BC0}"/>
    <cellStyle name="Normal 5 2 2 3 8 2 3" xfId="43226" xr:uid="{F5680A20-90BA-4171-BE5C-72C4F83BC30C}"/>
    <cellStyle name="Normal 5 2 2 3 8 2 4" xfId="24628" xr:uid="{0D2DB000-A0D6-4061-9123-3F00127347B0}"/>
    <cellStyle name="Normal 5 2 2 3 8 3" xfId="11964" xr:uid="{141F5172-D926-450F-B8B9-538DCC16ED3B}"/>
    <cellStyle name="Normal 5 2 2 3 8 3 2" xfId="48306" xr:uid="{13CEDB39-87A8-46FF-A322-136B280614C8}"/>
    <cellStyle name="Normal 5 2 2 3 8 3 3" xfId="29710" xr:uid="{E395135F-AE0B-487C-823A-FBE296CDC36E}"/>
    <cellStyle name="Normal 5 2 2 3 8 4" xfId="39009" xr:uid="{B544D4D4-8DBA-4450-9364-4E16B6F8B180}"/>
    <cellStyle name="Normal 5 2 2 3 8 5" xfId="20411" xr:uid="{E724F107-8F11-4381-BB91-0C6FB6DECFFC}"/>
    <cellStyle name="Normal 5 2 2 3 9" xfId="4790" xr:uid="{00000000-0005-0000-0000-0000E5170000}"/>
    <cellStyle name="Normal 5 2 2 3 9 2" xfId="14116" xr:uid="{FA3F5E77-18BD-4063-8015-0182EB9C431A}"/>
    <cellStyle name="Normal 5 2 2 3 9 2 2" xfId="50458" xr:uid="{C71DCFC6-2B65-4E6A-B9D5-D682FBF66748}"/>
    <cellStyle name="Normal 5 2 2 3 9 2 3" xfId="31862" xr:uid="{9425DB56-AA20-447A-8700-74C044F60ADB}"/>
    <cellStyle name="Normal 5 2 2 3 9 3" xfId="41161" xr:uid="{761CD17F-57AE-4F97-A8B7-6E01452957F5}"/>
    <cellStyle name="Normal 5 2 2 3 9 4" xfId="22563" xr:uid="{71581C4A-0E30-4E61-BAE3-4E39DAF54175}"/>
    <cellStyle name="Normal 5 2 2 4" xfId="421" xr:uid="{00000000-0005-0000-0000-0000E6170000}"/>
    <cellStyle name="Normal 5 2 2 4 10" xfId="9903" xr:uid="{CF79C4C3-028F-467D-8845-5FD87898A003}"/>
    <cellStyle name="Normal 5 2 2 4 10 2" xfId="46245" xr:uid="{594B9325-3E88-4FFC-9234-8DCF9A9BFC4E}"/>
    <cellStyle name="Normal 5 2 2 4 10 3" xfId="27649" xr:uid="{615E647A-D227-44A7-BF00-0E316530C97A}"/>
    <cellStyle name="Normal 5 2 2 4 11" xfId="36948" xr:uid="{F4A4EB0F-8573-42D8-9BA0-B41D711B81E7}"/>
    <cellStyle name="Normal 5 2 2 4 12" xfId="18350" xr:uid="{BF4C8601-2354-426C-AC7D-1E03F0934CA7}"/>
    <cellStyle name="Normal 5 2 2 4 2" xfId="422" xr:uid="{00000000-0005-0000-0000-0000E7170000}"/>
    <cellStyle name="Normal 5 2 2 4 2 10" xfId="36949" xr:uid="{C723F3BA-D318-4088-84F8-831E1816D477}"/>
    <cellStyle name="Normal 5 2 2 4 2 11" xfId="18351" xr:uid="{B717237D-3BFE-4941-A274-77C1F7699746}"/>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16679" xr:uid="{E906C621-5A1B-4B7C-AD06-A4AF47A3B6DF}"/>
    <cellStyle name="Normal 5 2 2 4 2 2 2 2 2 2" xfId="53021" xr:uid="{B9667949-8459-4435-B1FD-A97FCF51C41D}"/>
    <cellStyle name="Normal 5 2 2 4 2 2 2 2 2 3" xfId="34425" xr:uid="{34067AAB-AB68-40CB-910E-1978A92ECBCC}"/>
    <cellStyle name="Normal 5 2 2 4 2 2 2 2 3" xfId="43724" xr:uid="{13D210D1-9A15-4BFC-B40E-13FC8F01DA40}"/>
    <cellStyle name="Normal 5 2 2 4 2 2 2 2 4" xfId="25126" xr:uid="{017E92B8-BD9D-4AC9-89BA-32D849F0AE1B}"/>
    <cellStyle name="Normal 5 2 2 4 2 2 2 3" xfId="12462" xr:uid="{942A847A-4F29-4D97-8DD0-8C32809D32B0}"/>
    <cellStyle name="Normal 5 2 2 4 2 2 2 3 2" xfId="48804" xr:uid="{98FAEB93-314A-4396-8FAA-A736A564A850}"/>
    <cellStyle name="Normal 5 2 2 4 2 2 2 3 3" xfId="30208" xr:uid="{63EF4E9D-2009-4D3F-A082-DB90A2E89CD1}"/>
    <cellStyle name="Normal 5 2 2 4 2 2 2 4" xfId="39507" xr:uid="{26E76071-0D81-4715-B5DE-F04436F3DC9D}"/>
    <cellStyle name="Normal 5 2 2 4 2 2 2 5" xfId="20909" xr:uid="{2F9F52B3-70F1-411E-90DB-4203BC9772D3}"/>
    <cellStyle name="Normal 5 2 2 4 2 2 3" xfId="5208" xr:uid="{00000000-0005-0000-0000-0000EB170000}"/>
    <cellStyle name="Normal 5 2 2 4 2 2 3 2" xfId="14534" xr:uid="{D978D993-B6C1-4414-8DB7-3D3C6EF9F2F1}"/>
    <cellStyle name="Normal 5 2 2 4 2 2 3 2 2" xfId="50876" xr:uid="{E28C51ED-2BD5-4936-BE81-20A5823CC7AA}"/>
    <cellStyle name="Normal 5 2 2 4 2 2 3 2 3" xfId="32280" xr:uid="{E7DB22C3-B02E-404E-8645-F2E59F7F7DA1}"/>
    <cellStyle name="Normal 5 2 2 4 2 2 3 3" xfId="41579" xr:uid="{B38A7119-E1CA-4DD0-8883-F32154A0B97E}"/>
    <cellStyle name="Normal 5 2 2 4 2 2 3 4" xfId="22981" xr:uid="{70CD6CA3-497C-48A1-8D6A-2E2F0CC3174E}"/>
    <cellStyle name="Normal 5 2 2 4 2 2 4" xfId="9488" xr:uid="{2997B11D-E810-48A4-BD3C-4498479B295E}"/>
    <cellStyle name="Normal 5 2 2 4 2 2 4 2" xfId="36549" xr:uid="{60F5CCCE-9394-43E4-985D-CE6E7D764986}"/>
    <cellStyle name="Normal 5 2 2 4 2 2 4 2 2" xfId="55143" xr:uid="{7CB418A5-3AFF-4889-B3E7-0FE08DEEF4EC}"/>
    <cellStyle name="Normal 5 2 2 4 2 2 4 3" xfId="45846" xr:uid="{BB81ADB0-6460-48E1-9FE0-FE00AFF2EE28}"/>
    <cellStyle name="Normal 5 2 2 4 2 2 4 4" xfId="27250" xr:uid="{D51D3F8D-AD1A-4B72-BF29-75A23C47D419}"/>
    <cellStyle name="Normal 5 2 2 4 2 2 5" xfId="10317" xr:uid="{A7941E9B-A0B0-49D2-A95F-669B99FA493D}"/>
    <cellStyle name="Normal 5 2 2 4 2 2 5 2" xfId="46659" xr:uid="{673151E0-FD0E-4D20-93B6-C139C4964C61}"/>
    <cellStyle name="Normal 5 2 2 4 2 2 5 3" xfId="28063" xr:uid="{62D07CC7-55C2-46A5-A840-82FCB55EF957}"/>
    <cellStyle name="Normal 5 2 2 4 2 2 6" xfId="37362" xr:uid="{65C1847B-C67D-43F3-98F4-EE14B0A7DFA8}"/>
    <cellStyle name="Normal 5 2 2 4 2 2 7" xfId="18764" xr:uid="{F75AC1BE-1C15-4496-893A-D357678471C9}"/>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17092" xr:uid="{FFCD0D5E-361A-40C8-BC40-D860D6587B14}"/>
    <cellStyle name="Normal 5 2 2 4 2 3 2 2 2 2" xfId="53434" xr:uid="{5ECF02F3-943E-459F-AA14-B6350D8CF162}"/>
    <cellStyle name="Normal 5 2 2 4 2 3 2 2 2 3" xfId="34838" xr:uid="{C55E937D-D6D0-46F2-AEDE-DDF2C0B6888F}"/>
    <cellStyle name="Normal 5 2 2 4 2 3 2 2 3" xfId="44137" xr:uid="{B645A0A4-9708-4618-9E3F-07B64CEF29CA}"/>
    <cellStyle name="Normal 5 2 2 4 2 3 2 2 4" xfId="25539" xr:uid="{9A4CC5FB-F540-4F46-8B52-F2E27A0BEF05}"/>
    <cellStyle name="Normal 5 2 2 4 2 3 2 3" xfId="12875" xr:uid="{BD5E97EA-56F1-49DA-8126-1B500AE52EDD}"/>
    <cellStyle name="Normal 5 2 2 4 2 3 2 3 2" xfId="49217" xr:uid="{430DC761-A26D-40BF-A400-3785B7F51E4A}"/>
    <cellStyle name="Normal 5 2 2 4 2 3 2 3 3" xfId="30621" xr:uid="{25D29BC7-62D9-4C6A-8707-7CB5A2964521}"/>
    <cellStyle name="Normal 5 2 2 4 2 3 2 4" xfId="39920" xr:uid="{106C9BAF-09D0-41CA-906F-01B5203E8974}"/>
    <cellStyle name="Normal 5 2 2 4 2 3 2 5" xfId="21322" xr:uid="{749EA0B6-9364-4E33-AE10-B16A090AB4F7}"/>
    <cellStyle name="Normal 5 2 2 4 2 3 3" xfId="5621" xr:uid="{00000000-0005-0000-0000-0000EF170000}"/>
    <cellStyle name="Normal 5 2 2 4 2 3 3 2" xfId="14947" xr:uid="{679CCE13-C7F5-4E43-B1EE-A4ECFC9A1526}"/>
    <cellStyle name="Normal 5 2 2 4 2 3 3 2 2" xfId="51289" xr:uid="{7727D6BC-0701-4EBD-AB57-4246CA799C79}"/>
    <cellStyle name="Normal 5 2 2 4 2 3 3 2 3" xfId="32693" xr:uid="{76044AF9-91EB-42B0-B392-2D29E0D2B6A7}"/>
    <cellStyle name="Normal 5 2 2 4 2 3 3 3" xfId="41992" xr:uid="{72A3B0FF-4349-4A36-930D-F23F1E82AC43}"/>
    <cellStyle name="Normal 5 2 2 4 2 3 3 4" xfId="23394" xr:uid="{2D2CBEA1-100B-43F8-93B9-7CB2E06EE44C}"/>
    <cellStyle name="Normal 5 2 2 4 2 3 4" xfId="10730" xr:uid="{26541A5E-49BB-4CB6-B632-14BF60B9B2A0}"/>
    <cellStyle name="Normal 5 2 2 4 2 3 4 2" xfId="47072" xr:uid="{F118FADF-3914-4D76-8FE7-E189C67B1379}"/>
    <cellStyle name="Normal 5 2 2 4 2 3 4 3" xfId="28476" xr:uid="{8E978288-24A9-4D52-833C-4C538554AD91}"/>
    <cellStyle name="Normal 5 2 2 4 2 3 5" xfId="37775" xr:uid="{03ADF395-7850-4A03-A967-C160667B7567}"/>
    <cellStyle name="Normal 5 2 2 4 2 3 6" xfId="19177" xr:uid="{94AFC5FB-611F-4064-9AC3-C62D3F96BBC2}"/>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17505" xr:uid="{DD0AEA6E-D444-4982-9ED8-A12629157D26}"/>
    <cellStyle name="Normal 5 2 2 4 2 4 2 2 2 2" xfId="53847" xr:uid="{DA3432B1-518A-4505-8D4F-B93FA2BA4CF3}"/>
    <cellStyle name="Normal 5 2 2 4 2 4 2 2 2 3" xfId="35251" xr:uid="{B82CE586-E87F-45A5-BDEC-F507296CDC63}"/>
    <cellStyle name="Normal 5 2 2 4 2 4 2 2 3" xfId="44550" xr:uid="{E591860A-F2BB-4FBC-90FE-4E865835CCF4}"/>
    <cellStyle name="Normal 5 2 2 4 2 4 2 2 4" xfId="25952" xr:uid="{865D8DE0-E52D-4940-BD8E-C5D551F7AC6D}"/>
    <cellStyle name="Normal 5 2 2 4 2 4 2 3" xfId="13288" xr:uid="{5C04ABF3-1EDF-4D48-9001-50A1B3949271}"/>
    <cellStyle name="Normal 5 2 2 4 2 4 2 3 2" xfId="49630" xr:uid="{6F260B22-49CE-4DC9-B8E3-836B59ED7965}"/>
    <cellStyle name="Normal 5 2 2 4 2 4 2 3 3" xfId="31034" xr:uid="{75DD272C-2304-4F93-937B-A14C3F1A2A1E}"/>
    <cellStyle name="Normal 5 2 2 4 2 4 2 4" xfId="40333" xr:uid="{17BBFFBD-F14C-4883-81D5-138D09F8CC3B}"/>
    <cellStyle name="Normal 5 2 2 4 2 4 2 5" xfId="21735" xr:uid="{83637323-71A3-411F-A610-0AD7B4A97DDC}"/>
    <cellStyle name="Normal 5 2 2 4 2 4 3" xfId="6034" xr:uid="{00000000-0005-0000-0000-0000F3170000}"/>
    <cellStyle name="Normal 5 2 2 4 2 4 3 2" xfId="15360" xr:uid="{AEFF1192-1D30-43B5-9C32-2D82F135F16B}"/>
    <cellStyle name="Normal 5 2 2 4 2 4 3 2 2" xfId="51702" xr:uid="{6D369FCD-3F28-41FA-A64D-89B5218CA3AB}"/>
    <cellStyle name="Normal 5 2 2 4 2 4 3 2 3" xfId="33106" xr:uid="{5D5C10C6-BC34-433A-92D8-88740EAAFC2D}"/>
    <cellStyle name="Normal 5 2 2 4 2 4 3 3" xfId="42405" xr:uid="{77FEB55D-68C6-45E2-B841-077A28B547F6}"/>
    <cellStyle name="Normal 5 2 2 4 2 4 3 4" xfId="23807" xr:uid="{1D2E5ABF-6F86-4DC6-9880-F5301FC000CF}"/>
    <cellStyle name="Normal 5 2 2 4 2 4 4" xfId="11143" xr:uid="{66B44111-68E8-4564-81B0-CF8D3815E9ED}"/>
    <cellStyle name="Normal 5 2 2 4 2 4 4 2" xfId="47485" xr:uid="{0D32A98B-1004-4B27-89CA-1E81D0909D62}"/>
    <cellStyle name="Normal 5 2 2 4 2 4 4 3" xfId="28889" xr:uid="{EC9C8D54-ABEE-4518-BBAB-B7EFA826CCE4}"/>
    <cellStyle name="Normal 5 2 2 4 2 4 5" xfId="38188" xr:uid="{27B9D19C-B183-4404-B625-53974129076A}"/>
    <cellStyle name="Normal 5 2 2 4 2 4 6" xfId="19590" xr:uid="{40C2060E-D2BF-4E22-9E6A-22E584263838}"/>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17918" xr:uid="{43B00B96-56E8-4529-906C-F58132E8E8E1}"/>
    <cellStyle name="Normal 5 2 2 4 2 5 2 2 2 2" xfId="54260" xr:uid="{E50E3A73-12E4-49E7-A726-8C589DE04520}"/>
    <cellStyle name="Normal 5 2 2 4 2 5 2 2 2 3" xfId="35664" xr:uid="{035F5E95-B58C-4352-A40C-758B5DDF4C05}"/>
    <cellStyle name="Normal 5 2 2 4 2 5 2 2 3" xfId="44963" xr:uid="{65385992-E5C2-4449-85A3-106397A7F8E5}"/>
    <cellStyle name="Normal 5 2 2 4 2 5 2 2 4" xfId="26365" xr:uid="{338A4FA3-BBF2-4C7D-9E26-04683A7C58B4}"/>
    <cellStyle name="Normal 5 2 2 4 2 5 2 3" xfId="13701" xr:uid="{EFBB5CF4-7127-41A4-AD79-0FE9460427CD}"/>
    <cellStyle name="Normal 5 2 2 4 2 5 2 3 2" xfId="50043" xr:uid="{B3580007-23E3-4D67-9B06-41D4864F7866}"/>
    <cellStyle name="Normal 5 2 2 4 2 5 2 3 3" xfId="31447" xr:uid="{E681D4D5-F6EC-4826-A140-B64A356BCD9C}"/>
    <cellStyle name="Normal 5 2 2 4 2 5 2 4" xfId="40746" xr:uid="{A746AE86-46C2-49BD-B7CB-CB8CF882D42E}"/>
    <cellStyle name="Normal 5 2 2 4 2 5 2 5" xfId="22148" xr:uid="{CBEFE754-A462-4BB2-A2E8-5D52BC1E4889}"/>
    <cellStyle name="Normal 5 2 2 4 2 5 3" xfId="6447" xr:uid="{00000000-0005-0000-0000-0000F7170000}"/>
    <cellStyle name="Normal 5 2 2 4 2 5 3 2" xfId="15773" xr:uid="{2A75C1A1-A6BC-4CBF-82DF-841B5F8EFDB4}"/>
    <cellStyle name="Normal 5 2 2 4 2 5 3 2 2" xfId="52115" xr:uid="{A1A329B6-F0E5-4439-AE99-6ABBEE7FE5FF}"/>
    <cellStyle name="Normal 5 2 2 4 2 5 3 2 3" xfId="33519" xr:uid="{89597A42-A3A6-4DCC-9642-EE397BBAFEF8}"/>
    <cellStyle name="Normal 5 2 2 4 2 5 3 3" xfId="42818" xr:uid="{E9D22D3C-BD5D-486D-872D-6BF36C3B2CAC}"/>
    <cellStyle name="Normal 5 2 2 4 2 5 3 4" xfId="24220" xr:uid="{B86D1476-273A-462E-A340-6BF657B340E2}"/>
    <cellStyle name="Normal 5 2 2 4 2 5 4" xfId="11556" xr:uid="{B96CA4F3-47E5-4D40-AA7F-0922D06073DA}"/>
    <cellStyle name="Normal 5 2 2 4 2 5 4 2" xfId="47898" xr:uid="{32593FD1-834F-40EF-9920-1B3083C15CB6}"/>
    <cellStyle name="Normal 5 2 2 4 2 5 4 3" xfId="29302" xr:uid="{5B0362EB-5971-4DB8-818B-C6B1DD345574}"/>
    <cellStyle name="Normal 5 2 2 4 2 5 5" xfId="38601" xr:uid="{3DDB4B5D-26B0-47C6-B5AE-EFDCFDC8A842}"/>
    <cellStyle name="Normal 5 2 2 4 2 5 6" xfId="20003" xr:uid="{E92A844F-2D4A-4CA6-A9A6-AF235804CEE5}"/>
    <cellStyle name="Normal 5 2 2 4 2 6" xfId="2577" xr:uid="{00000000-0005-0000-0000-0000F8170000}"/>
    <cellStyle name="Normal 5 2 2 4 2 6 2" xfId="6860" xr:uid="{00000000-0005-0000-0000-0000F9170000}"/>
    <cellStyle name="Normal 5 2 2 4 2 6 2 2" xfId="16186" xr:uid="{CFA77456-650C-4F47-AB3C-147ECE18F614}"/>
    <cellStyle name="Normal 5 2 2 4 2 6 2 2 2" xfId="52528" xr:uid="{566802C5-B4A0-4795-B7C4-5711407878B7}"/>
    <cellStyle name="Normal 5 2 2 4 2 6 2 2 3" xfId="33932" xr:uid="{19F0AE20-E4CF-41BC-9B33-DD27D0F25E35}"/>
    <cellStyle name="Normal 5 2 2 4 2 6 2 3" xfId="43231" xr:uid="{55A395E7-14A4-42C1-98AD-6810F0E96681}"/>
    <cellStyle name="Normal 5 2 2 4 2 6 2 4" xfId="24633" xr:uid="{59478E6D-8843-4058-A68C-036EA1D7E643}"/>
    <cellStyle name="Normal 5 2 2 4 2 6 3" xfId="11969" xr:uid="{3FE550D4-6875-492C-805D-0946AF1F112C}"/>
    <cellStyle name="Normal 5 2 2 4 2 6 3 2" xfId="48311" xr:uid="{AA86A161-BE50-4ACA-A722-C5C0910E725C}"/>
    <cellStyle name="Normal 5 2 2 4 2 6 3 3" xfId="29715" xr:uid="{ED450F74-97CC-4B31-8364-6124DD829054}"/>
    <cellStyle name="Normal 5 2 2 4 2 6 4" xfId="39014" xr:uid="{B67F1DEE-24C7-4D8C-BBED-843F8906F2A7}"/>
    <cellStyle name="Normal 5 2 2 4 2 6 5" xfId="20416" xr:uid="{E09E00B2-9025-4BF6-BE38-E52015AECABC}"/>
    <cellStyle name="Normal 5 2 2 4 2 7" xfId="4795" xr:uid="{00000000-0005-0000-0000-0000FA170000}"/>
    <cellStyle name="Normal 5 2 2 4 2 7 2" xfId="14121" xr:uid="{B2F3A870-1CA5-4D0E-B4B1-827FD7A7777B}"/>
    <cellStyle name="Normal 5 2 2 4 2 7 2 2" xfId="50463" xr:uid="{5A3F1F96-8677-4088-982C-FCAB96591F2B}"/>
    <cellStyle name="Normal 5 2 2 4 2 7 2 3" xfId="31867" xr:uid="{651F4DF2-7A07-46DD-B3DB-C33EC70DB2E2}"/>
    <cellStyle name="Normal 5 2 2 4 2 7 3" xfId="41166" xr:uid="{3EE7B4B9-3B11-4F35-9AD1-B985E41B0E7B}"/>
    <cellStyle name="Normal 5 2 2 4 2 7 4" xfId="22568" xr:uid="{4A1DF3BE-338B-42BD-9B01-6AC4BD151BF4}"/>
    <cellStyle name="Normal 5 2 2 4 2 8" xfId="9063" xr:uid="{3B1AA107-8D7F-4938-A60C-EED41E9B9A2A}"/>
    <cellStyle name="Normal 5 2 2 4 2 8 2" xfId="36133" xr:uid="{1050028A-E962-46C2-886A-F571721F8C3D}"/>
    <cellStyle name="Normal 5 2 2 4 2 8 2 2" xfId="54728" xr:uid="{CC98D5B6-A860-494F-86BD-ED466994226A}"/>
    <cellStyle name="Normal 5 2 2 4 2 8 3" xfId="45431" xr:uid="{CA2F1FD1-D6BF-44BE-9753-6968818BA6C1}"/>
    <cellStyle name="Normal 5 2 2 4 2 8 4" xfId="26834" xr:uid="{FC56D6A6-86CF-4C65-BB22-96E89FC83D23}"/>
    <cellStyle name="Normal 5 2 2 4 2 9" xfId="9904" xr:uid="{5A8AAD4B-BAF6-4B3C-BF82-B58AAA512665}"/>
    <cellStyle name="Normal 5 2 2 4 2 9 2" xfId="46246" xr:uid="{53E3F39A-8BF9-4FD8-9A55-08EB58094D72}"/>
    <cellStyle name="Normal 5 2 2 4 2 9 3" xfId="27650" xr:uid="{B867CDD6-A7E9-4AC7-BB64-494B82ABE3C0}"/>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16678" xr:uid="{F2EF3D07-062C-46A7-AB27-05C5F5F55277}"/>
    <cellStyle name="Normal 5 2 2 4 3 2 2 2 2" xfId="53020" xr:uid="{47FE0A5A-49B3-48F3-96A5-199FE5037253}"/>
    <cellStyle name="Normal 5 2 2 4 3 2 2 2 3" xfId="34424" xr:uid="{8F618B54-2722-46B5-8B64-B4E6538567F5}"/>
    <cellStyle name="Normal 5 2 2 4 3 2 2 3" xfId="43723" xr:uid="{772F4D0F-4FEF-499E-B735-0C71B76B7318}"/>
    <cellStyle name="Normal 5 2 2 4 3 2 2 4" xfId="25125" xr:uid="{FE361197-3569-43E2-9FE7-6FC66A3F4DF5}"/>
    <cellStyle name="Normal 5 2 2 4 3 2 3" xfId="12461" xr:uid="{56D6EB24-F238-4E31-918B-9E75697A3BA7}"/>
    <cellStyle name="Normal 5 2 2 4 3 2 3 2" xfId="48803" xr:uid="{7F4ED87B-3776-4EDA-965B-EEE6C890808E}"/>
    <cellStyle name="Normal 5 2 2 4 3 2 3 3" xfId="30207" xr:uid="{DA8D45D7-E060-4975-A7A0-704B1DEFFAA5}"/>
    <cellStyle name="Normal 5 2 2 4 3 2 4" xfId="39506" xr:uid="{E73135EC-9191-4105-A3EA-FC583C293EE8}"/>
    <cellStyle name="Normal 5 2 2 4 3 2 5" xfId="20908" xr:uid="{F5DB6D1F-4C46-4730-9AE7-8D236C1B40CC}"/>
    <cellStyle name="Normal 5 2 2 4 3 3" xfId="5207" xr:uid="{00000000-0005-0000-0000-0000FE170000}"/>
    <cellStyle name="Normal 5 2 2 4 3 3 2" xfId="14533" xr:uid="{D69AD523-E86A-4762-93F8-988B4EF7E34E}"/>
    <cellStyle name="Normal 5 2 2 4 3 3 2 2" xfId="50875" xr:uid="{653F59B1-3B00-4078-A56A-B4198EC15508}"/>
    <cellStyle name="Normal 5 2 2 4 3 3 2 3" xfId="32279" xr:uid="{5E6E5F47-7A9F-4712-B3B0-C0B9BA30E6B9}"/>
    <cellStyle name="Normal 5 2 2 4 3 3 3" xfId="41578" xr:uid="{DF4C4892-DC18-4560-95B2-D29A1659D294}"/>
    <cellStyle name="Normal 5 2 2 4 3 3 4" xfId="22980" xr:uid="{D865D7A9-D4DE-4358-93EC-233569E5C1EF}"/>
    <cellStyle name="Normal 5 2 2 4 3 4" xfId="9281" xr:uid="{9304050F-95A7-4BE3-AD21-FEBB7D0875B2}"/>
    <cellStyle name="Normal 5 2 2 4 3 4 2" xfId="36342" xr:uid="{1E09A1EC-8503-4316-8D60-3EECAA871607}"/>
    <cellStyle name="Normal 5 2 2 4 3 4 2 2" xfId="54936" xr:uid="{03BFF7E4-DF08-4C57-A9C9-88AB3C387DAB}"/>
    <cellStyle name="Normal 5 2 2 4 3 4 3" xfId="45639" xr:uid="{36040A77-3ADF-403F-81FE-4D623A5B7F2E}"/>
    <cellStyle name="Normal 5 2 2 4 3 4 4" xfId="27043" xr:uid="{2D81D76E-737C-4106-853C-918CED6326A8}"/>
    <cellStyle name="Normal 5 2 2 4 3 5" xfId="10316" xr:uid="{4D808DA2-F518-48CE-8147-638065B6841B}"/>
    <cellStyle name="Normal 5 2 2 4 3 5 2" xfId="46658" xr:uid="{5AFA94BA-8302-43B6-BB3F-CC6F701E5F20}"/>
    <cellStyle name="Normal 5 2 2 4 3 5 3" xfId="28062" xr:uid="{FB4CE4F6-61BA-4979-8BDC-B51113C0B2D6}"/>
    <cellStyle name="Normal 5 2 2 4 3 6" xfId="37361" xr:uid="{83C22BE1-F128-450B-BBCE-3F1D4E1BAE88}"/>
    <cellStyle name="Normal 5 2 2 4 3 7" xfId="18763" xr:uid="{5ED6CFD4-878F-4BE0-BB4F-788501AF93BA}"/>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17091" xr:uid="{02DCDFF2-89D5-438F-91D9-7F9936AF9981}"/>
    <cellStyle name="Normal 5 2 2 4 4 2 2 2 2" xfId="53433" xr:uid="{7BCCC8F6-2E24-4E4C-AF50-4EAA04F0A3A1}"/>
    <cellStyle name="Normal 5 2 2 4 4 2 2 2 3" xfId="34837" xr:uid="{B6D9AFA6-E43B-4ACE-A8FC-15427611881E}"/>
    <cellStyle name="Normal 5 2 2 4 4 2 2 3" xfId="44136" xr:uid="{437E67E9-3F86-418A-AF13-D365055056F9}"/>
    <cellStyle name="Normal 5 2 2 4 4 2 2 4" xfId="25538" xr:uid="{3ECD1408-4D69-4EE7-A9B5-1416EE77DEC0}"/>
    <cellStyle name="Normal 5 2 2 4 4 2 3" xfId="12874" xr:uid="{2C289F88-91A6-4C32-BA03-17D06C40257C}"/>
    <cellStyle name="Normal 5 2 2 4 4 2 3 2" xfId="49216" xr:uid="{983F2F08-7493-4931-B0AF-0781A7D1C3EC}"/>
    <cellStyle name="Normal 5 2 2 4 4 2 3 3" xfId="30620" xr:uid="{62B74899-416E-48AB-9F6D-4DF6EB84BFC3}"/>
    <cellStyle name="Normal 5 2 2 4 4 2 4" xfId="39919" xr:uid="{599F91A8-F01F-44A8-B194-6EDE49C1E957}"/>
    <cellStyle name="Normal 5 2 2 4 4 2 5" xfId="21321" xr:uid="{C4EF29E5-94B2-4A4E-A6F2-32A37D24762E}"/>
    <cellStyle name="Normal 5 2 2 4 4 3" xfId="5620" xr:uid="{00000000-0005-0000-0000-000002180000}"/>
    <cellStyle name="Normal 5 2 2 4 4 3 2" xfId="14946" xr:uid="{0DD1ACDB-8F9E-40C9-87EC-37387E172175}"/>
    <cellStyle name="Normal 5 2 2 4 4 3 2 2" xfId="51288" xr:uid="{D3AEB0EC-F8C9-4B24-A8AF-93675843D6F4}"/>
    <cellStyle name="Normal 5 2 2 4 4 3 2 3" xfId="32692" xr:uid="{BAD85A2B-1317-4999-860C-54329FCC45E8}"/>
    <cellStyle name="Normal 5 2 2 4 4 3 3" xfId="41991" xr:uid="{9AE15EBD-AB15-4626-B9CB-A99FF98156DC}"/>
    <cellStyle name="Normal 5 2 2 4 4 3 4" xfId="23393" xr:uid="{FC138191-C51C-4F9B-96B9-0F4415FC1406}"/>
    <cellStyle name="Normal 5 2 2 4 4 4" xfId="10729" xr:uid="{607FC4D5-7042-4250-99FD-5CEB1FDBBAA7}"/>
    <cellStyle name="Normal 5 2 2 4 4 4 2" xfId="47071" xr:uid="{3DBA60B9-E05D-4563-9A41-E08B464D5121}"/>
    <cellStyle name="Normal 5 2 2 4 4 4 3" xfId="28475" xr:uid="{E465F6D3-466F-4030-93D5-CD1E99735C61}"/>
    <cellStyle name="Normal 5 2 2 4 4 5" xfId="37774" xr:uid="{24333F35-4D02-42CB-8CFF-5EE9AFC97665}"/>
    <cellStyle name="Normal 5 2 2 4 4 6" xfId="19176" xr:uid="{6CA8A1C1-5560-4D4A-8B50-FFFE6EE946DD}"/>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17504" xr:uid="{C7121958-427D-429E-A16F-1F3FFA666774}"/>
    <cellStyle name="Normal 5 2 2 4 5 2 2 2 2" xfId="53846" xr:uid="{6419034F-02C2-40F3-8460-1E1094FA6B8B}"/>
    <cellStyle name="Normal 5 2 2 4 5 2 2 2 3" xfId="35250" xr:uid="{67E72151-E61C-4C54-9A9B-AD5DC8BEEA9C}"/>
    <cellStyle name="Normal 5 2 2 4 5 2 2 3" xfId="44549" xr:uid="{306CE9E1-86A5-4F3D-9A80-54C432604B94}"/>
    <cellStyle name="Normal 5 2 2 4 5 2 2 4" xfId="25951" xr:uid="{ADF9E1BC-1501-464D-A920-FD365BA1C53D}"/>
    <cellStyle name="Normal 5 2 2 4 5 2 3" xfId="13287" xr:uid="{B0DD2542-A3B3-4DB7-A5D4-E9BB58EE0089}"/>
    <cellStyle name="Normal 5 2 2 4 5 2 3 2" xfId="49629" xr:uid="{05BD2C42-A640-4811-800A-D569E35D6370}"/>
    <cellStyle name="Normal 5 2 2 4 5 2 3 3" xfId="31033" xr:uid="{27856711-BC63-4E7A-8623-9C1A75E01BF0}"/>
    <cellStyle name="Normal 5 2 2 4 5 2 4" xfId="40332" xr:uid="{D61BFDD6-E985-4186-BC8B-780CA7F8867F}"/>
    <cellStyle name="Normal 5 2 2 4 5 2 5" xfId="21734" xr:uid="{AB4D7EC3-82B0-435B-94C5-57BEF2FCCE78}"/>
    <cellStyle name="Normal 5 2 2 4 5 3" xfId="6033" xr:uid="{00000000-0005-0000-0000-000006180000}"/>
    <cellStyle name="Normal 5 2 2 4 5 3 2" xfId="15359" xr:uid="{8A2DEA33-2130-4983-AD68-1568A311DAE1}"/>
    <cellStyle name="Normal 5 2 2 4 5 3 2 2" xfId="51701" xr:uid="{15B920E7-1FAE-4DB9-A8BD-7C84CC71C830}"/>
    <cellStyle name="Normal 5 2 2 4 5 3 2 3" xfId="33105" xr:uid="{5BA060FF-97B2-4D36-8C15-F85963CE7E10}"/>
    <cellStyle name="Normal 5 2 2 4 5 3 3" xfId="42404" xr:uid="{28321AB8-6A4F-4526-B077-E74FA8E9F3E5}"/>
    <cellStyle name="Normal 5 2 2 4 5 3 4" xfId="23806" xr:uid="{4E599DF0-D845-43F4-A5E2-C5BD2F21F45E}"/>
    <cellStyle name="Normal 5 2 2 4 5 4" xfId="11142" xr:uid="{26AC4146-1F4F-4BF2-9EC2-967BBC091AB5}"/>
    <cellStyle name="Normal 5 2 2 4 5 4 2" xfId="47484" xr:uid="{B98D26D8-8DCA-46ED-B934-F781FF83DCA1}"/>
    <cellStyle name="Normal 5 2 2 4 5 4 3" xfId="28888" xr:uid="{392801A2-42CA-4D46-9978-109121DA7F1E}"/>
    <cellStyle name="Normal 5 2 2 4 5 5" xfId="38187" xr:uid="{4A5BE55D-5651-4B22-8FB7-43A578FE874E}"/>
    <cellStyle name="Normal 5 2 2 4 5 6" xfId="19589" xr:uid="{439F9BF5-3FE0-4561-BD16-5D9AE7BF0039}"/>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17917" xr:uid="{C9F1EE6A-3C12-4DE1-AF7D-46C28AF6F8F3}"/>
    <cellStyle name="Normal 5 2 2 4 6 2 2 2 2" xfId="54259" xr:uid="{CC302956-4E47-4CAA-9EC4-2B003079E14C}"/>
    <cellStyle name="Normal 5 2 2 4 6 2 2 2 3" xfId="35663" xr:uid="{B74D1E9F-FE36-47F9-9887-E144B47B1C17}"/>
    <cellStyle name="Normal 5 2 2 4 6 2 2 3" xfId="44962" xr:uid="{77362090-B4CC-4690-A4F7-A34A45D1CAC1}"/>
    <cellStyle name="Normal 5 2 2 4 6 2 2 4" xfId="26364" xr:uid="{4BBBD143-9435-44FA-B944-2CA98AD766CD}"/>
    <cellStyle name="Normal 5 2 2 4 6 2 3" xfId="13700" xr:uid="{B4B192E1-8C93-4A21-B267-43BB1985EF10}"/>
    <cellStyle name="Normal 5 2 2 4 6 2 3 2" xfId="50042" xr:uid="{12C9A202-3FF9-4275-BF47-5A0AD9EA023F}"/>
    <cellStyle name="Normal 5 2 2 4 6 2 3 3" xfId="31446" xr:uid="{1857A6DC-D050-4110-BA95-EA8335FC7A02}"/>
    <cellStyle name="Normal 5 2 2 4 6 2 4" xfId="40745" xr:uid="{4B34533C-36B5-4777-BFDA-421B635DE714}"/>
    <cellStyle name="Normal 5 2 2 4 6 2 5" xfId="22147" xr:uid="{8E3AFE71-3BE2-47BE-B0F5-49C5BFD468CC}"/>
    <cellStyle name="Normal 5 2 2 4 6 3" xfId="6446" xr:uid="{00000000-0005-0000-0000-00000A180000}"/>
    <cellStyle name="Normal 5 2 2 4 6 3 2" xfId="15772" xr:uid="{9ADB8189-6E1A-4743-96C2-4CD38F1A62EA}"/>
    <cellStyle name="Normal 5 2 2 4 6 3 2 2" xfId="52114" xr:uid="{0D516256-4ACC-4A61-87D4-6799CA51C7D8}"/>
    <cellStyle name="Normal 5 2 2 4 6 3 2 3" xfId="33518" xr:uid="{38142E6B-64EF-4235-9BC5-3873039E1196}"/>
    <cellStyle name="Normal 5 2 2 4 6 3 3" xfId="42817" xr:uid="{6160AF87-4161-4FDE-9C95-DF676333503A}"/>
    <cellStyle name="Normal 5 2 2 4 6 3 4" xfId="24219" xr:uid="{48E1D2CB-A74E-4CB0-8CF1-AE78645EDA6A}"/>
    <cellStyle name="Normal 5 2 2 4 6 4" xfId="11555" xr:uid="{19521D0A-D398-4E62-9607-09F2520F801B}"/>
    <cellStyle name="Normal 5 2 2 4 6 4 2" xfId="47897" xr:uid="{7A0D84CD-D191-47E2-8019-040A4E16A51B}"/>
    <cellStyle name="Normal 5 2 2 4 6 4 3" xfId="29301" xr:uid="{ACDD14A5-E7BB-41F4-8257-E2747F5DC7FC}"/>
    <cellStyle name="Normal 5 2 2 4 6 5" xfId="38600" xr:uid="{0DC4D9A9-C91B-4D9E-8F7F-E3245110F115}"/>
    <cellStyle name="Normal 5 2 2 4 6 6" xfId="20002" xr:uid="{FC5C7F21-A3A8-4EAB-AD68-4FD0BD4D7140}"/>
    <cellStyle name="Normal 5 2 2 4 7" xfId="2576" xr:uid="{00000000-0005-0000-0000-00000B180000}"/>
    <cellStyle name="Normal 5 2 2 4 7 2" xfId="6859" xr:uid="{00000000-0005-0000-0000-00000C180000}"/>
    <cellStyle name="Normal 5 2 2 4 7 2 2" xfId="16185" xr:uid="{37421E57-FA4D-4598-9D61-968B2173230D}"/>
    <cellStyle name="Normal 5 2 2 4 7 2 2 2" xfId="52527" xr:uid="{608BCE1A-6EC5-4CDD-AB52-974AB5515803}"/>
    <cellStyle name="Normal 5 2 2 4 7 2 2 3" xfId="33931" xr:uid="{17B11D78-1D1A-4267-9FC8-D86559BA0EAB}"/>
    <cellStyle name="Normal 5 2 2 4 7 2 3" xfId="43230" xr:uid="{45413B7C-D5F1-4826-A611-2C3FFA1ABC62}"/>
    <cellStyle name="Normal 5 2 2 4 7 2 4" xfId="24632" xr:uid="{709D3970-96C9-4FE2-8E4E-54702139C68F}"/>
    <cellStyle name="Normal 5 2 2 4 7 3" xfId="11968" xr:uid="{5B192E95-C5D9-4EF6-9680-1517E9E1656B}"/>
    <cellStyle name="Normal 5 2 2 4 7 3 2" xfId="48310" xr:uid="{42978665-2A86-479A-B311-501CBEDA6BCD}"/>
    <cellStyle name="Normal 5 2 2 4 7 3 3" xfId="29714" xr:uid="{04624560-B3D8-43CA-8CA6-C4C4E4FC847D}"/>
    <cellStyle name="Normal 5 2 2 4 7 4" xfId="39013" xr:uid="{435BA297-E587-4352-860B-ECBB619E22FD}"/>
    <cellStyle name="Normal 5 2 2 4 7 5" xfId="20415" xr:uid="{17A0B941-CDD7-4C81-A8D6-F4190E7DA475}"/>
    <cellStyle name="Normal 5 2 2 4 8" xfId="4794" xr:uid="{00000000-0005-0000-0000-00000D180000}"/>
    <cellStyle name="Normal 5 2 2 4 8 2" xfId="14120" xr:uid="{2C38F813-0F04-4407-BCA7-3B393E5DA194}"/>
    <cellStyle name="Normal 5 2 2 4 8 2 2" xfId="50462" xr:uid="{252ECAE8-DC3C-43D0-8FB5-716F2CDEF04B}"/>
    <cellStyle name="Normal 5 2 2 4 8 2 3" xfId="31866" xr:uid="{A870EC99-10A2-4D9F-B3E1-83B04FD286CA}"/>
    <cellStyle name="Normal 5 2 2 4 8 3" xfId="41165" xr:uid="{36483DC3-EF8C-4716-B353-92E5CC64A2DE}"/>
    <cellStyle name="Normal 5 2 2 4 8 4" xfId="22567" xr:uid="{D39AC8DF-BEF5-4FB2-821E-083CB3ED98F3}"/>
    <cellStyle name="Normal 5 2 2 4 9" xfId="8856" xr:uid="{8A537EF5-BE1D-4B82-9546-B2DC1F74308F}"/>
    <cellStyle name="Normal 5 2 2 4 9 2" xfId="35926" xr:uid="{D4C01A25-B81F-496E-8FCB-38891098F691}"/>
    <cellStyle name="Normal 5 2 2 4 9 2 2" xfId="54521" xr:uid="{5BEA0301-E17E-40C5-AB98-F968F56D0958}"/>
    <cellStyle name="Normal 5 2 2 4 9 3" xfId="45224" xr:uid="{45DF2499-E06E-45DD-8040-860E4194BE49}"/>
    <cellStyle name="Normal 5 2 2 4 9 4" xfId="26627" xr:uid="{19512868-2155-42BA-AD1B-016CDB3C3AB2}"/>
    <cellStyle name="Normal 5 2 2 5" xfId="423" xr:uid="{00000000-0005-0000-0000-00000E180000}"/>
    <cellStyle name="Normal 5 2 2 5 10" xfId="36950" xr:uid="{59276F3B-4A7F-430F-9209-0D4B482D575E}"/>
    <cellStyle name="Normal 5 2 2 5 11" xfId="18352" xr:uid="{C073B0CF-3E1D-49C3-BC51-F23F9A4FFAAB}"/>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16680" xr:uid="{6A69F948-BB08-4F67-9FBE-F451DD993C35}"/>
    <cellStyle name="Normal 5 2 2 5 2 2 2 2 2" xfId="53022" xr:uid="{D1B7F86D-03B4-4CD4-BB80-9A551B1798A2}"/>
    <cellStyle name="Normal 5 2 2 5 2 2 2 2 3" xfId="34426" xr:uid="{873CCF42-6727-4D1B-B091-5367C22B77B8}"/>
    <cellStyle name="Normal 5 2 2 5 2 2 2 3" xfId="43725" xr:uid="{185928F7-C1C7-49FB-AD05-EAE883739259}"/>
    <cellStyle name="Normal 5 2 2 5 2 2 2 4" xfId="25127" xr:uid="{C8854220-FF98-48C1-A25B-C33F95DD8802}"/>
    <cellStyle name="Normal 5 2 2 5 2 2 3" xfId="12463" xr:uid="{FC21D7AD-200C-4C8B-9FAC-E519D3096664}"/>
    <cellStyle name="Normal 5 2 2 5 2 2 3 2" xfId="48805" xr:uid="{089BA965-FAFD-4916-80FE-CC1A5B00524E}"/>
    <cellStyle name="Normal 5 2 2 5 2 2 3 3" xfId="30209" xr:uid="{753F275A-6222-41F2-9EBC-ADB277D28F44}"/>
    <cellStyle name="Normal 5 2 2 5 2 2 4" xfId="39508" xr:uid="{30433F37-1935-45B9-809F-97EB69E76AA8}"/>
    <cellStyle name="Normal 5 2 2 5 2 2 5" xfId="20910" xr:uid="{90A80A5F-358B-4BF0-B419-A260D09BB2F0}"/>
    <cellStyle name="Normal 5 2 2 5 2 3" xfId="5209" xr:uid="{00000000-0005-0000-0000-000012180000}"/>
    <cellStyle name="Normal 5 2 2 5 2 3 2" xfId="14535" xr:uid="{183109B7-FE71-44D8-8F84-D2120C54E2B5}"/>
    <cellStyle name="Normal 5 2 2 5 2 3 2 2" xfId="50877" xr:uid="{3310DA27-82C0-41A1-A4DA-775FE997EDA0}"/>
    <cellStyle name="Normal 5 2 2 5 2 3 2 3" xfId="32281" xr:uid="{C351FC86-0C4A-46CD-97D4-EE655474C397}"/>
    <cellStyle name="Normal 5 2 2 5 2 3 3" xfId="41580" xr:uid="{99127202-F25F-4392-B08D-BC4F5E71D3D8}"/>
    <cellStyle name="Normal 5 2 2 5 2 3 4" xfId="22982" xr:uid="{4DE40AE5-FEDF-4489-8650-8E058C69AAE8}"/>
    <cellStyle name="Normal 5 2 2 5 2 4" xfId="9397" xr:uid="{3CB0B9A4-F907-4F52-ACFC-7970F7AF9B13}"/>
    <cellStyle name="Normal 5 2 2 5 2 4 2" xfId="36458" xr:uid="{F0EA4C8C-9A7C-499D-AAB8-6B5759CD946F}"/>
    <cellStyle name="Normal 5 2 2 5 2 4 2 2" xfId="55052" xr:uid="{874B0506-87FA-44E5-92CC-C4EC3A668EF6}"/>
    <cellStyle name="Normal 5 2 2 5 2 4 3" xfId="45755" xr:uid="{15C0A2CF-47C8-45D7-A75B-A708689E06AC}"/>
    <cellStyle name="Normal 5 2 2 5 2 4 4" xfId="27159" xr:uid="{8324056B-FD9F-484A-A5CC-E695538838DB}"/>
    <cellStyle name="Normal 5 2 2 5 2 5" xfId="10318" xr:uid="{AF80F326-2526-4E2B-981B-D7EE114553D0}"/>
    <cellStyle name="Normal 5 2 2 5 2 5 2" xfId="46660" xr:uid="{1571C5DB-220D-4EE6-8545-5CE0E03AA5AB}"/>
    <cellStyle name="Normal 5 2 2 5 2 5 3" xfId="28064" xr:uid="{9C42DA20-F1F4-4080-8CA9-2FBC34D657C6}"/>
    <cellStyle name="Normal 5 2 2 5 2 6" xfId="37363" xr:uid="{AB349473-51D8-417A-B2F4-F701D3A569AD}"/>
    <cellStyle name="Normal 5 2 2 5 2 7" xfId="18765" xr:uid="{91A2B3EC-61FD-4F95-8E5D-4F5F0A9EA04E}"/>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17093" xr:uid="{81F0FE9F-3BD4-4D83-A471-B0FCDF395FDF}"/>
    <cellStyle name="Normal 5 2 2 5 3 2 2 2 2" xfId="53435" xr:uid="{FCEB0E75-E9BF-4989-908D-14B256AE5290}"/>
    <cellStyle name="Normal 5 2 2 5 3 2 2 2 3" xfId="34839" xr:uid="{1C2E1439-BD85-4C52-BF8F-C2A34A40B5C8}"/>
    <cellStyle name="Normal 5 2 2 5 3 2 2 3" xfId="44138" xr:uid="{721ED584-9F30-48F5-87BF-5D1C04F05956}"/>
    <cellStyle name="Normal 5 2 2 5 3 2 2 4" xfId="25540" xr:uid="{A03BBFF1-4A96-4C4C-89D0-AA72EC3749AE}"/>
    <cellStyle name="Normal 5 2 2 5 3 2 3" xfId="12876" xr:uid="{455A38E5-B23A-46B9-BBE0-ADC93A0D9B82}"/>
    <cellStyle name="Normal 5 2 2 5 3 2 3 2" xfId="49218" xr:uid="{446F94D0-6D71-47F4-8F66-1EB072C49AE6}"/>
    <cellStyle name="Normal 5 2 2 5 3 2 3 3" xfId="30622" xr:uid="{B29AD1F0-1F45-4354-AD13-0683BD49678F}"/>
    <cellStyle name="Normal 5 2 2 5 3 2 4" xfId="39921" xr:uid="{034F1B3D-81CB-48C1-B7AF-80995A8622A4}"/>
    <cellStyle name="Normal 5 2 2 5 3 2 5" xfId="21323" xr:uid="{1071C884-1EA1-4661-8C14-CC87D7AA409B}"/>
    <cellStyle name="Normal 5 2 2 5 3 3" xfId="5622" xr:uid="{00000000-0005-0000-0000-000016180000}"/>
    <cellStyle name="Normal 5 2 2 5 3 3 2" xfId="14948" xr:uid="{550B29E3-9C52-4D4C-B91E-A968EB5E4017}"/>
    <cellStyle name="Normal 5 2 2 5 3 3 2 2" xfId="51290" xr:uid="{67933209-F83A-4F90-9133-A050616D4E34}"/>
    <cellStyle name="Normal 5 2 2 5 3 3 2 3" xfId="32694" xr:uid="{C415F158-EB56-4E7B-92E6-4DEC650FBC36}"/>
    <cellStyle name="Normal 5 2 2 5 3 3 3" xfId="41993" xr:uid="{9C274685-0A29-4257-8CD9-5045C804AFE5}"/>
    <cellStyle name="Normal 5 2 2 5 3 3 4" xfId="23395" xr:uid="{3D3E7A74-D95A-4404-82F7-D19763BD94E0}"/>
    <cellStyle name="Normal 5 2 2 5 3 4" xfId="10731" xr:uid="{6E47DF72-9524-44A4-9809-5659E627FB04}"/>
    <cellStyle name="Normal 5 2 2 5 3 4 2" xfId="47073" xr:uid="{476173F2-46B9-4C4A-9647-D9A33DDB1A90}"/>
    <cellStyle name="Normal 5 2 2 5 3 4 3" xfId="28477" xr:uid="{9DE76947-54DE-4C02-8028-5D4FEED00D74}"/>
    <cellStyle name="Normal 5 2 2 5 3 5" xfId="37776" xr:uid="{8875C6BA-41E7-4F76-BA5D-B43A60BE47A9}"/>
    <cellStyle name="Normal 5 2 2 5 3 6" xfId="19178" xr:uid="{89191F80-096D-49B8-99DF-AC24864E75EA}"/>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17506" xr:uid="{CAA53863-ED96-4EE4-864E-241B4474A2A7}"/>
    <cellStyle name="Normal 5 2 2 5 4 2 2 2 2" xfId="53848" xr:uid="{F3C3E355-D2AE-4B45-BE7E-B60750EB70F2}"/>
    <cellStyle name="Normal 5 2 2 5 4 2 2 2 3" xfId="35252" xr:uid="{CAAC810A-C876-4712-A3B3-798C2D94C03C}"/>
    <cellStyle name="Normal 5 2 2 5 4 2 2 3" xfId="44551" xr:uid="{2ECB1CFA-C6FA-4886-8B2A-7F4BC1749800}"/>
    <cellStyle name="Normal 5 2 2 5 4 2 2 4" xfId="25953" xr:uid="{AB32B1E6-847D-421B-8420-086D6A3D8126}"/>
    <cellStyle name="Normal 5 2 2 5 4 2 3" xfId="13289" xr:uid="{711F4892-2DE6-41AB-9668-8EBEDD5D40BD}"/>
    <cellStyle name="Normal 5 2 2 5 4 2 3 2" xfId="49631" xr:uid="{63D2DE99-1EBB-4EFD-95C1-1AA4B8785A96}"/>
    <cellStyle name="Normal 5 2 2 5 4 2 3 3" xfId="31035" xr:uid="{BA8EF91D-3B64-4582-805B-348A54DF1EA8}"/>
    <cellStyle name="Normal 5 2 2 5 4 2 4" xfId="40334" xr:uid="{1383B462-F2DC-496C-A923-199980D33424}"/>
    <cellStyle name="Normal 5 2 2 5 4 2 5" xfId="21736" xr:uid="{C4704D58-B2E6-403C-824A-1EADC371C2E1}"/>
    <cellStyle name="Normal 5 2 2 5 4 3" xfId="6035" xr:uid="{00000000-0005-0000-0000-00001A180000}"/>
    <cellStyle name="Normal 5 2 2 5 4 3 2" xfId="15361" xr:uid="{34C8D69E-BBFC-4F79-8310-79C4CBC27ED5}"/>
    <cellStyle name="Normal 5 2 2 5 4 3 2 2" xfId="51703" xr:uid="{867DD940-5344-4E8F-98A4-32FBEDB947C4}"/>
    <cellStyle name="Normal 5 2 2 5 4 3 2 3" xfId="33107" xr:uid="{BB4F9B66-6A2B-48F5-A99A-F319BD7B49F8}"/>
    <cellStyle name="Normal 5 2 2 5 4 3 3" xfId="42406" xr:uid="{1DBFB5B2-7169-46D7-8522-738DA2251825}"/>
    <cellStyle name="Normal 5 2 2 5 4 3 4" xfId="23808" xr:uid="{D77D3FC6-3EA3-4941-B443-A52A6540AF51}"/>
    <cellStyle name="Normal 5 2 2 5 4 4" xfId="11144" xr:uid="{3B901E70-C884-4315-9D94-3977453AF49D}"/>
    <cellStyle name="Normal 5 2 2 5 4 4 2" xfId="47486" xr:uid="{2588079C-7767-4267-B426-C8B70062C849}"/>
    <cellStyle name="Normal 5 2 2 5 4 4 3" xfId="28890" xr:uid="{3CDC7ECC-5DAA-4A69-9468-30A917D311F9}"/>
    <cellStyle name="Normal 5 2 2 5 4 5" xfId="38189" xr:uid="{C0CFC4FD-A66C-4B31-BA0D-3D5ADB1A94A2}"/>
    <cellStyle name="Normal 5 2 2 5 4 6" xfId="19591" xr:uid="{05E28DA4-2ABD-49A3-B6A2-971130956554}"/>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17919" xr:uid="{7E45C4D0-FE1E-4D34-B409-E681422FD9ED}"/>
    <cellStyle name="Normal 5 2 2 5 5 2 2 2 2" xfId="54261" xr:uid="{7FFA4492-65AD-4D9A-BB72-FDDF7C86BF6B}"/>
    <cellStyle name="Normal 5 2 2 5 5 2 2 2 3" xfId="35665" xr:uid="{F241EFBA-6553-476B-AA10-26E96BBDBDD0}"/>
    <cellStyle name="Normal 5 2 2 5 5 2 2 3" xfId="44964" xr:uid="{0C3389E3-3182-414E-B408-1592CAA17B7D}"/>
    <cellStyle name="Normal 5 2 2 5 5 2 2 4" xfId="26366" xr:uid="{748F8E3D-6A3E-4A40-9CA7-F38CFF856A2C}"/>
    <cellStyle name="Normal 5 2 2 5 5 2 3" xfId="13702" xr:uid="{2EC8CBAA-B00E-441F-B823-FE265E5E7BCD}"/>
    <cellStyle name="Normal 5 2 2 5 5 2 3 2" xfId="50044" xr:uid="{7492AF7C-0FA3-44A2-838B-53421F9E7E42}"/>
    <cellStyle name="Normal 5 2 2 5 5 2 3 3" xfId="31448" xr:uid="{780D41E1-28EF-4CAF-834A-D5CAFDFF0997}"/>
    <cellStyle name="Normal 5 2 2 5 5 2 4" xfId="40747" xr:uid="{8A306839-1D2D-4A3E-AFC3-1B65A0B885AC}"/>
    <cellStyle name="Normal 5 2 2 5 5 2 5" xfId="22149" xr:uid="{0DBF33E3-5F5E-4000-9FAC-AFE2E3F82CCC}"/>
    <cellStyle name="Normal 5 2 2 5 5 3" xfId="6448" xr:uid="{00000000-0005-0000-0000-00001E180000}"/>
    <cellStyle name="Normal 5 2 2 5 5 3 2" xfId="15774" xr:uid="{B339AF52-D9AC-409E-B5D5-D03EE456A288}"/>
    <cellStyle name="Normal 5 2 2 5 5 3 2 2" xfId="52116" xr:uid="{9C7A4FD3-C44A-4A53-846F-61232A032E64}"/>
    <cellStyle name="Normal 5 2 2 5 5 3 2 3" xfId="33520" xr:uid="{D522966B-BF23-4F12-8689-1B4EF58749FD}"/>
    <cellStyle name="Normal 5 2 2 5 5 3 3" xfId="42819" xr:uid="{17BE8C31-9C10-4F86-A15D-81BA329BE20C}"/>
    <cellStyle name="Normal 5 2 2 5 5 3 4" xfId="24221" xr:uid="{E82934EE-801B-49C3-ADEF-6BE6E52E62C8}"/>
    <cellStyle name="Normal 5 2 2 5 5 4" xfId="11557" xr:uid="{B99E62B5-8207-4249-8668-1016E1105C88}"/>
    <cellStyle name="Normal 5 2 2 5 5 4 2" xfId="47899" xr:uid="{78CD7D0F-B6EF-468F-834C-0B27988F047A}"/>
    <cellStyle name="Normal 5 2 2 5 5 4 3" xfId="29303" xr:uid="{6FBB3BC9-96EE-450D-895B-BDF719F51D03}"/>
    <cellStyle name="Normal 5 2 2 5 5 5" xfId="38602" xr:uid="{A024D981-AEF7-47B7-9057-21E608744FC3}"/>
    <cellStyle name="Normal 5 2 2 5 5 6" xfId="20004" xr:uid="{8B74373C-9136-40BD-80C6-9185F5780C8F}"/>
    <cellStyle name="Normal 5 2 2 5 6" xfId="2578" xr:uid="{00000000-0005-0000-0000-00001F180000}"/>
    <cellStyle name="Normal 5 2 2 5 6 2" xfId="6861" xr:uid="{00000000-0005-0000-0000-000020180000}"/>
    <cellStyle name="Normal 5 2 2 5 6 2 2" xfId="16187" xr:uid="{7142E591-B41F-4B30-A4B3-49D9EB67C728}"/>
    <cellStyle name="Normal 5 2 2 5 6 2 2 2" xfId="52529" xr:uid="{BC8A40F8-C846-4AE7-A8F1-654DFD5FF120}"/>
    <cellStyle name="Normal 5 2 2 5 6 2 2 3" xfId="33933" xr:uid="{46AF30B4-13CE-4F97-BF2E-E156FB15B0A0}"/>
    <cellStyle name="Normal 5 2 2 5 6 2 3" xfId="43232" xr:uid="{B4B2E1D7-A408-493F-914D-20BF51921593}"/>
    <cellStyle name="Normal 5 2 2 5 6 2 4" xfId="24634" xr:uid="{07D85B9D-CF7F-4BBF-89DE-986364AB4529}"/>
    <cellStyle name="Normal 5 2 2 5 6 3" xfId="11970" xr:uid="{C6CE8758-199B-4510-910F-D677A4C023B8}"/>
    <cellStyle name="Normal 5 2 2 5 6 3 2" xfId="48312" xr:uid="{504522B7-48B9-4A1B-AF6D-717E21C1D986}"/>
    <cellStyle name="Normal 5 2 2 5 6 3 3" xfId="29716" xr:uid="{6A14D4F2-1C0E-4471-BCB5-07B1D9271DF4}"/>
    <cellStyle name="Normal 5 2 2 5 6 4" xfId="39015" xr:uid="{E07832B6-9ED4-4512-87AA-C58E813A4B48}"/>
    <cellStyle name="Normal 5 2 2 5 6 5" xfId="20417" xr:uid="{53C62F4D-FF47-46D9-981B-D36F38499545}"/>
    <cellStyle name="Normal 5 2 2 5 7" xfId="4796" xr:uid="{00000000-0005-0000-0000-000021180000}"/>
    <cellStyle name="Normal 5 2 2 5 7 2" xfId="14122" xr:uid="{30CEE0E9-03E3-4DCF-8D11-CD38705DF760}"/>
    <cellStyle name="Normal 5 2 2 5 7 2 2" xfId="50464" xr:uid="{5462A2E0-2418-4FB9-AB1A-69B290075190}"/>
    <cellStyle name="Normal 5 2 2 5 7 2 3" xfId="31868" xr:uid="{F72CA5B6-35FD-4398-8A56-E225420420BE}"/>
    <cellStyle name="Normal 5 2 2 5 7 3" xfId="41167" xr:uid="{66C029E8-69C6-4ECE-B633-81A7B50A3594}"/>
    <cellStyle name="Normal 5 2 2 5 7 4" xfId="22569" xr:uid="{4FF21E7E-F868-47E5-B6BE-3C7BC815008E}"/>
    <cellStyle name="Normal 5 2 2 5 8" xfId="8972" xr:uid="{3CCC8856-6464-4309-A4F9-43F74A48C503}"/>
    <cellStyle name="Normal 5 2 2 5 8 2" xfId="36042" xr:uid="{700D1B21-920F-4470-8965-E8137E53658F}"/>
    <cellStyle name="Normal 5 2 2 5 8 2 2" xfId="54637" xr:uid="{8B0A7430-A3F3-4D34-AC71-D0D8E690D3A9}"/>
    <cellStyle name="Normal 5 2 2 5 8 3" xfId="45340" xr:uid="{98634763-7EC9-46CD-BF94-EEB5BE3A2867}"/>
    <cellStyle name="Normal 5 2 2 5 8 4" xfId="26743" xr:uid="{6AE4E14E-7B24-4C2A-8EA5-A29F18156D3F}"/>
    <cellStyle name="Normal 5 2 2 5 9" xfId="9905" xr:uid="{0FB4AE97-F8A9-40C9-8C83-80E68DC64B82}"/>
    <cellStyle name="Normal 5 2 2 5 9 2" xfId="46247" xr:uid="{422C142F-0CC1-4378-81C8-70373D9AE13A}"/>
    <cellStyle name="Normal 5 2 2 5 9 3" xfId="27651" xr:uid="{907BB5AF-8ECC-4C2C-9E29-1FC71E8CAB35}"/>
    <cellStyle name="Normal 5 2 2 6" xfId="882" xr:uid="{00000000-0005-0000-0000-000022180000}"/>
    <cellStyle name="Normal 5 2 2 6 2" xfId="3117" xr:uid="{00000000-0005-0000-0000-000023180000}"/>
    <cellStyle name="Normal 5 2 2 6 2 2" xfId="7339" xr:uid="{00000000-0005-0000-0000-000024180000}"/>
    <cellStyle name="Normal 5 2 2 6 2 2 2" xfId="16665" xr:uid="{AD056E90-A0D2-4DFF-B64A-391AFEF6F2F5}"/>
    <cellStyle name="Normal 5 2 2 6 2 2 2 2" xfId="53007" xr:uid="{F401CAC1-7575-4E94-B558-37234A181BE9}"/>
    <cellStyle name="Normal 5 2 2 6 2 2 2 3" xfId="34411" xr:uid="{0D452682-FA3E-4C48-8AE1-CCFDFF383ACB}"/>
    <cellStyle name="Normal 5 2 2 6 2 2 3" xfId="43710" xr:uid="{4DC49003-231A-4DF1-9F4E-9ECA1AEBA2DB}"/>
    <cellStyle name="Normal 5 2 2 6 2 2 4" xfId="25112" xr:uid="{D6897A0A-8FF3-4E72-87BC-316AE5441158}"/>
    <cellStyle name="Normal 5 2 2 6 2 3" xfId="12448" xr:uid="{949DB901-06EB-4D9C-A96D-87F331983451}"/>
    <cellStyle name="Normal 5 2 2 6 2 3 2" xfId="48790" xr:uid="{BFBD8E67-3AEC-441F-9769-3603B1195BD8}"/>
    <cellStyle name="Normal 5 2 2 6 2 3 3" xfId="30194" xr:uid="{A2BC2C2E-2C29-4661-AEB3-BF5095188088}"/>
    <cellStyle name="Normal 5 2 2 6 2 4" xfId="39493" xr:uid="{A318D980-9501-4264-80FD-B552ED2490E4}"/>
    <cellStyle name="Normal 5 2 2 6 2 5" xfId="20895" xr:uid="{5282804C-97CD-4973-B894-888D33586841}"/>
    <cellStyle name="Normal 5 2 2 6 3" xfId="5194" xr:uid="{00000000-0005-0000-0000-000025180000}"/>
    <cellStyle name="Normal 5 2 2 6 3 2" xfId="14520" xr:uid="{EF77E4B8-DDE6-4C07-B626-079BF57E2C0C}"/>
    <cellStyle name="Normal 5 2 2 6 3 2 2" xfId="50862" xr:uid="{5348FF78-97A8-4B98-A256-5972DA63D620}"/>
    <cellStyle name="Normal 5 2 2 6 3 2 3" xfId="32266" xr:uid="{615024BA-C374-45EC-8288-F7BF2B2A9649}"/>
    <cellStyle name="Normal 5 2 2 6 3 3" xfId="41565" xr:uid="{EE6EFAEB-D278-4E8B-AA0F-82C3B81C21FC}"/>
    <cellStyle name="Normal 5 2 2 6 3 4" xfId="22967" xr:uid="{AF5CFA32-4F56-47AB-B6FF-B78E0E46E3E1}"/>
    <cellStyle name="Normal 5 2 2 6 4" xfId="9175" xr:uid="{A0BC076A-DB75-4963-A17E-57836FA6391D}"/>
    <cellStyle name="Normal 5 2 2 6 4 2" xfId="36239" xr:uid="{D5826159-3EF3-4FB8-8FA7-24D9A1310BB3}"/>
    <cellStyle name="Normal 5 2 2 6 4 2 2" xfId="54833" xr:uid="{FCE35DA5-A117-4E75-A96B-82EBB750F453}"/>
    <cellStyle name="Normal 5 2 2 6 4 3" xfId="45536" xr:uid="{7A0D10BB-702E-48F4-911B-34AA7EF3D721}"/>
    <cellStyle name="Normal 5 2 2 6 4 4" xfId="26940" xr:uid="{92E73BE7-A1FF-4A0E-A785-7ACEFA48D5BD}"/>
    <cellStyle name="Normal 5 2 2 6 5" xfId="10303" xr:uid="{CE5E116B-F552-4AA7-901E-93A706DCEB52}"/>
    <cellStyle name="Normal 5 2 2 6 5 2" xfId="46645" xr:uid="{5CFE85D3-5FA0-4914-AF53-F43ABB96CC0B}"/>
    <cellStyle name="Normal 5 2 2 6 5 3" xfId="28049" xr:uid="{F63FD514-53B3-4C27-BE67-5311F23C70E7}"/>
    <cellStyle name="Normal 5 2 2 6 6" xfId="37348" xr:uid="{7662D84A-7ED0-46EB-8BAD-CA415ABEAA10}"/>
    <cellStyle name="Normal 5 2 2 6 7" xfId="18750" xr:uid="{273B07E8-73B0-4B06-A016-1033CF4D7368}"/>
    <cellStyle name="Normal 5 2 2 7" xfId="1300" xr:uid="{00000000-0005-0000-0000-000026180000}"/>
    <cellStyle name="Normal 5 2 2 7 2" xfId="3530" xr:uid="{00000000-0005-0000-0000-000027180000}"/>
    <cellStyle name="Normal 5 2 2 7 2 2" xfId="7752" xr:uid="{00000000-0005-0000-0000-000028180000}"/>
    <cellStyle name="Normal 5 2 2 7 2 2 2" xfId="17078" xr:uid="{5F72C7B6-C66B-46C8-9C3A-1531D2483698}"/>
    <cellStyle name="Normal 5 2 2 7 2 2 2 2" xfId="53420" xr:uid="{13EF9DE3-BA09-4CA8-BA37-10454EB49F3F}"/>
    <cellStyle name="Normal 5 2 2 7 2 2 2 3" xfId="34824" xr:uid="{481BE91C-B332-46D7-9F21-9A02BCF5F80B}"/>
    <cellStyle name="Normal 5 2 2 7 2 2 3" xfId="44123" xr:uid="{21929C6E-917D-4E50-AD32-D94B3D3AEEB8}"/>
    <cellStyle name="Normal 5 2 2 7 2 2 4" xfId="25525" xr:uid="{959FDFC0-6A60-4351-B517-6015BB210FB6}"/>
    <cellStyle name="Normal 5 2 2 7 2 3" xfId="12861" xr:uid="{C650BBF5-1961-4C8F-B54D-B4457E5B2243}"/>
    <cellStyle name="Normal 5 2 2 7 2 3 2" xfId="49203" xr:uid="{B002D358-2168-4353-AC99-743560662901}"/>
    <cellStyle name="Normal 5 2 2 7 2 3 3" xfId="30607" xr:uid="{76F7EAEB-16DA-4DC8-BE7E-D1BE5A9A2DE1}"/>
    <cellStyle name="Normal 5 2 2 7 2 4" xfId="39906" xr:uid="{2959F352-7C60-455F-843F-3BA49EDFA6FA}"/>
    <cellStyle name="Normal 5 2 2 7 2 5" xfId="21308" xr:uid="{432161A9-5C26-477F-B19B-D54F19153234}"/>
    <cellStyle name="Normal 5 2 2 7 3" xfId="5607" xr:uid="{00000000-0005-0000-0000-000029180000}"/>
    <cellStyle name="Normal 5 2 2 7 3 2" xfId="14933" xr:uid="{838D1B6E-FBA0-47BB-A6DA-1EAFCCB22433}"/>
    <cellStyle name="Normal 5 2 2 7 3 2 2" xfId="51275" xr:uid="{E8B5BBE4-AD79-49EB-8088-4663F1029E67}"/>
    <cellStyle name="Normal 5 2 2 7 3 2 3" xfId="32679" xr:uid="{9483D3EB-F804-4E63-A943-F417A1D77D24}"/>
    <cellStyle name="Normal 5 2 2 7 3 3" xfId="41978" xr:uid="{D12C3EB2-767D-4800-83D7-D2F561883B60}"/>
    <cellStyle name="Normal 5 2 2 7 3 4" xfId="23380" xr:uid="{EB982CC5-443A-48D7-9289-CEA0618835A6}"/>
    <cellStyle name="Normal 5 2 2 7 4" xfId="10716" xr:uid="{7AFF7BB9-B1F4-4452-90AB-C265110C049D}"/>
    <cellStyle name="Normal 5 2 2 7 4 2" xfId="47058" xr:uid="{6919DBBE-844A-420D-9498-E0EDB4714608}"/>
    <cellStyle name="Normal 5 2 2 7 4 3" xfId="28462" xr:uid="{D6325845-8AF5-4A66-8390-B0D1D20D4398}"/>
    <cellStyle name="Normal 5 2 2 7 5" xfId="37761" xr:uid="{ECB66937-FF82-4942-836B-921244DB4DD0}"/>
    <cellStyle name="Normal 5 2 2 7 6" xfId="19163" xr:uid="{4DCABA95-7B68-4AB4-A4D5-5904CD60C7CA}"/>
    <cellStyle name="Normal 5 2 2 8" xfId="1713" xr:uid="{00000000-0005-0000-0000-00002A180000}"/>
    <cellStyle name="Normal 5 2 2 8 2" xfId="3943" xr:uid="{00000000-0005-0000-0000-00002B180000}"/>
    <cellStyle name="Normal 5 2 2 8 2 2" xfId="8165" xr:uid="{00000000-0005-0000-0000-00002C180000}"/>
    <cellStyle name="Normal 5 2 2 8 2 2 2" xfId="17491" xr:uid="{526986D0-D120-40E0-883A-5F7DD15CE0D4}"/>
    <cellStyle name="Normal 5 2 2 8 2 2 2 2" xfId="53833" xr:uid="{38B71691-3663-4734-9682-6DB9423B15C8}"/>
    <cellStyle name="Normal 5 2 2 8 2 2 2 3" xfId="35237" xr:uid="{D56EAE71-A6AE-426A-8EAD-D5E1048E8847}"/>
    <cellStyle name="Normal 5 2 2 8 2 2 3" xfId="44536" xr:uid="{6EE496C1-CFEE-40D1-9493-9E32FBDF0B38}"/>
    <cellStyle name="Normal 5 2 2 8 2 2 4" xfId="25938" xr:uid="{ED0AEE0F-3B4E-4BFC-B2C2-3437D5D0CD7E}"/>
    <cellStyle name="Normal 5 2 2 8 2 3" xfId="13274" xr:uid="{485FFB9F-4675-46E8-A53D-2F2BDBFC5750}"/>
    <cellStyle name="Normal 5 2 2 8 2 3 2" xfId="49616" xr:uid="{0DD9114C-BAE8-4A92-9571-E96C7B757FDF}"/>
    <cellStyle name="Normal 5 2 2 8 2 3 3" xfId="31020" xr:uid="{94E3EA5D-1BDC-4FA4-8F16-C899A44182B5}"/>
    <cellStyle name="Normal 5 2 2 8 2 4" xfId="40319" xr:uid="{CBA256F9-8217-44B4-BC0B-DD69E8EEC31A}"/>
    <cellStyle name="Normal 5 2 2 8 2 5" xfId="21721" xr:uid="{38633F01-D3F8-4E1D-9594-B4F01AF0FF77}"/>
    <cellStyle name="Normal 5 2 2 8 3" xfId="6020" xr:uid="{00000000-0005-0000-0000-00002D180000}"/>
    <cellStyle name="Normal 5 2 2 8 3 2" xfId="15346" xr:uid="{F12FB53C-C50C-4403-8C2D-2DB607AEE5CA}"/>
    <cellStyle name="Normal 5 2 2 8 3 2 2" xfId="51688" xr:uid="{EFC52E18-02B6-4AAC-8C69-080D54AA5255}"/>
    <cellStyle name="Normal 5 2 2 8 3 2 3" xfId="33092" xr:uid="{876151B5-CB91-4A9A-B076-18A1C67D7697}"/>
    <cellStyle name="Normal 5 2 2 8 3 3" xfId="42391" xr:uid="{12DBF2A9-9197-47AA-96F5-41B3324E38F0}"/>
    <cellStyle name="Normal 5 2 2 8 3 4" xfId="23793" xr:uid="{FD56A94D-67AB-4CA7-8CB6-A2D2C1F4B651}"/>
    <cellStyle name="Normal 5 2 2 8 4" xfId="11129" xr:uid="{817E40EF-19AD-48C0-9CD8-646D5C66A59A}"/>
    <cellStyle name="Normal 5 2 2 8 4 2" xfId="47471" xr:uid="{9D781D09-C0F1-42FE-8367-93DB0E831558}"/>
    <cellStyle name="Normal 5 2 2 8 4 3" xfId="28875" xr:uid="{5AC028AE-6D91-4BA7-A5FD-72D592B8EF09}"/>
    <cellStyle name="Normal 5 2 2 8 5" xfId="38174" xr:uid="{91696AB6-139D-4F67-804D-FCE83C4B9F2E}"/>
    <cellStyle name="Normal 5 2 2 8 6" xfId="19576" xr:uid="{B7B5C84E-2B72-402C-91BF-7E05B6F03B09}"/>
    <cellStyle name="Normal 5 2 2 9" xfId="2127" xr:uid="{00000000-0005-0000-0000-00002E180000}"/>
    <cellStyle name="Normal 5 2 2 9 2" xfId="4356" xr:uid="{00000000-0005-0000-0000-00002F180000}"/>
    <cellStyle name="Normal 5 2 2 9 2 2" xfId="8578" xr:uid="{00000000-0005-0000-0000-000030180000}"/>
    <cellStyle name="Normal 5 2 2 9 2 2 2" xfId="17904" xr:uid="{65ECCF5E-A473-49D8-A846-FE9E0BDCC9B5}"/>
    <cellStyle name="Normal 5 2 2 9 2 2 2 2" xfId="54246" xr:uid="{99F5A9B0-2490-443A-83E0-11542435ADB7}"/>
    <cellStyle name="Normal 5 2 2 9 2 2 2 3" xfId="35650" xr:uid="{996A33DD-9E32-4CBB-9E8F-83757912ED00}"/>
    <cellStyle name="Normal 5 2 2 9 2 2 3" xfId="44949" xr:uid="{B8CE812D-FBFE-453F-96BF-BD3B518F7453}"/>
    <cellStyle name="Normal 5 2 2 9 2 2 4" xfId="26351" xr:uid="{16E99B75-9777-4107-8C0C-54D8D4202F19}"/>
    <cellStyle name="Normal 5 2 2 9 2 3" xfId="13687" xr:uid="{BD0C1173-53AE-4D54-BDB5-5C3172498078}"/>
    <cellStyle name="Normal 5 2 2 9 2 3 2" xfId="50029" xr:uid="{E0022FAC-6BD3-484F-9D98-204C9CF7E1FE}"/>
    <cellStyle name="Normal 5 2 2 9 2 3 3" xfId="31433" xr:uid="{B2833371-8D06-4DB9-ABF1-0A747812864D}"/>
    <cellStyle name="Normal 5 2 2 9 2 4" xfId="40732" xr:uid="{9E4203A4-84E2-4D39-8D98-DDEB1DA03F2C}"/>
    <cellStyle name="Normal 5 2 2 9 2 5" xfId="22134" xr:uid="{8A4B8691-2DED-45BA-A46A-9E5EF165F8BA}"/>
    <cellStyle name="Normal 5 2 2 9 3" xfId="6433" xr:uid="{00000000-0005-0000-0000-000031180000}"/>
    <cellStyle name="Normal 5 2 2 9 3 2" xfId="15759" xr:uid="{12136432-160D-44D7-AC50-7DFD20D20FAE}"/>
    <cellStyle name="Normal 5 2 2 9 3 2 2" xfId="52101" xr:uid="{BC0F6436-C98E-4885-90E0-292992980674}"/>
    <cellStyle name="Normal 5 2 2 9 3 2 3" xfId="33505" xr:uid="{0B255544-D6D3-48DC-AA25-12179ED173E3}"/>
    <cellStyle name="Normal 5 2 2 9 3 3" xfId="42804" xr:uid="{60B96B89-3EE2-498D-A485-A8771CE46D58}"/>
    <cellStyle name="Normal 5 2 2 9 3 4" xfId="24206" xr:uid="{E12C4B63-BA8D-448A-96BC-FF3D6803A88B}"/>
    <cellStyle name="Normal 5 2 2 9 4" xfId="11542" xr:uid="{D8E73F22-3722-4B76-B272-DF5735DD0EEF}"/>
    <cellStyle name="Normal 5 2 2 9 4 2" xfId="47884" xr:uid="{B673A4EA-4104-4E99-B8FB-D59E07ED066B}"/>
    <cellStyle name="Normal 5 2 2 9 4 3" xfId="29288" xr:uid="{495DECBB-1E7B-4262-B4F9-2C1DF0FBCA20}"/>
    <cellStyle name="Normal 5 2 2 9 5" xfId="38587" xr:uid="{7D3D60C6-5EAF-421A-9891-7F5D77FD62DE}"/>
    <cellStyle name="Normal 5 2 2 9 6" xfId="19989" xr:uid="{8169CA45-A1F9-4E90-BD09-849C29ABBFA6}"/>
    <cellStyle name="Normal 5 2 3" xfId="424" xr:uid="{00000000-0005-0000-0000-000032180000}"/>
    <cellStyle name="Normal 5 2 3 10" xfId="4797" xr:uid="{00000000-0005-0000-0000-000033180000}"/>
    <cellStyle name="Normal 5 2 3 10 2" xfId="14123" xr:uid="{2833A8BD-04D2-44E5-9C7E-547CAE1957DD}"/>
    <cellStyle name="Normal 5 2 3 10 2 2" xfId="50465" xr:uid="{CC87B203-7FD1-4E13-AE4C-B9AE5EE7830A}"/>
    <cellStyle name="Normal 5 2 3 10 2 3" xfId="31869" xr:uid="{31AF8A59-5E1E-4CEE-AE7D-EAEF56EF0F2C}"/>
    <cellStyle name="Normal 5 2 3 10 3" xfId="41168" xr:uid="{0C882236-32C1-4E01-89F3-7254B5CFA146}"/>
    <cellStyle name="Normal 5 2 3 10 4" xfId="22570" xr:uid="{0A861F06-BACA-44EB-86CA-3788D7129021}"/>
    <cellStyle name="Normal 5 2 3 11" xfId="8776" xr:uid="{883173D2-CE3E-48F3-8E13-32EAEF7B08C3}"/>
    <cellStyle name="Normal 5 2 3 11 2" xfId="35846" xr:uid="{3BF40184-6879-43E4-BB8F-8F5D4944CD78}"/>
    <cellStyle name="Normal 5 2 3 11 2 2" xfId="54441" xr:uid="{75D25EE4-FB97-40D0-B3D1-8F67371A7CF6}"/>
    <cellStyle name="Normal 5 2 3 11 3" xfId="45144" xr:uid="{1934C9F3-92F7-4C2E-BCD5-D3C1332525D2}"/>
    <cellStyle name="Normal 5 2 3 11 4" xfId="26547" xr:uid="{CB0DC74E-CA45-4464-A976-B9178FBA1DFB}"/>
    <cellStyle name="Normal 5 2 3 12" xfId="9906" xr:uid="{20EF0FDD-273D-4931-9B7E-0D2A76A0956A}"/>
    <cellStyle name="Normal 5 2 3 12 2" xfId="46248" xr:uid="{2289EF2E-FAA3-4BE7-B4BB-930E40E8CBCC}"/>
    <cellStyle name="Normal 5 2 3 12 3" xfId="27652" xr:uid="{6D1D360B-866E-40C5-AE1A-75D600FC0091}"/>
    <cellStyle name="Normal 5 2 3 13" xfId="36951" xr:uid="{E4D8ADAE-F9D1-455E-98BF-B9755A28A71A}"/>
    <cellStyle name="Normal 5 2 3 14" xfId="18353" xr:uid="{55E6BBEE-E4F1-4E6C-B220-EFE35FDF4F70}"/>
    <cellStyle name="Normal 5 2 3 2" xfId="425" xr:uid="{00000000-0005-0000-0000-000034180000}"/>
    <cellStyle name="Normal 5 2 3 2 10" xfId="8830" xr:uid="{287E15F2-6F23-4B3E-B8AA-9DE92D950FBA}"/>
    <cellStyle name="Normal 5 2 3 2 10 2" xfId="35900" xr:uid="{194CF636-AA32-43A4-9A8F-0635D40ACB7C}"/>
    <cellStyle name="Normal 5 2 3 2 10 2 2" xfId="54495" xr:uid="{952EE104-0A06-4D9E-B59B-B3056D6D4AC7}"/>
    <cellStyle name="Normal 5 2 3 2 10 3" xfId="45198" xr:uid="{745C4A27-B22A-499D-9168-FDAF5CEE1081}"/>
    <cellStyle name="Normal 5 2 3 2 10 4" xfId="26601" xr:uid="{165DA153-AA3B-4D6F-A1EF-9100872ECEAD}"/>
    <cellStyle name="Normal 5 2 3 2 11" xfId="9907" xr:uid="{70B966CC-1A61-4595-A3EE-2F2B36310FF8}"/>
    <cellStyle name="Normal 5 2 3 2 11 2" xfId="46249" xr:uid="{182B267A-A810-4F14-B4CD-54BB9AF5875C}"/>
    <cellStyle name="Normal 5 2 3 2 11 3" xfId="27653" xr:uid="{8EE7FD16-7193-46F2-821C-258922C00CDD}"/>
    <cellStyle name="Normal 5 2 3 2 12" xfId="36952" xr:uid="{475B82F7-681C-4972-B834-ECC87F179A84}"/>
    <cellStyle name="Normal 5 2 3 2 13" xfId="18354" xr:uid="{5F4DB6F4-4AB5-4E69-A0FC-15C1BF887807}"/>
    <cellStyle name="Normal 5 2 3 2 2" xfId="426" xr:uid="{00000000-0005-0000-0000-000035180000}"/>
    <cellStyle name="Normal 5 2 3 2 2 10" xfId="9908" xr:uid="{671BFCA5-BB09-439C-A363-5E75B73B7980}"/>
    <cellStyle name="Normal 5 2 3 2 2 10 2" xfId="46250" xr:uid="{D3D15600-1B94-478A-864C-1F685FDEA739}"/>
    <cellStyle name="Normal 5 2 3 2 2 10 3" xfId="27654" xr:uid="{0C20793D-369F-4918-AB46-E01A88C5A7E3}"/>
    <cellStyle name="Normal 5 2 3 2 2 11" xfId="36953" xr:uid="{1861DBA8-FA2C-4AEA-93EE-4824D5845A46}"/>
    <cellStyle name="Normal 5 2 3 2 2 12" xfId="18355" xr:uid="{64016C62-5108-49CF-995A-E7FBFC1F139A}"/>
    <cellStyle name="Normal 5 2 3 2 2 2" xfId="427" xr:uid="{00000000-0005-0000-0000-000036180000}"/>
    <cellStyle name="Normal 5 2 3 2 2 2 10" xfId="36954" xr:uid="{1C40D092-005C-4B75-A356-3F1D88E0350B}"/>
    <cellStyle name="Normal 5 2 3 2 2 2 11" xfId="18356" xr:uid="{5E52253C-C128-4432-962B-10E0862AA65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16684" xr:uid="{A4BE8EC7-7037-4779-9B9F-80382B4B6087}"/>
    <cellStyle name="Normal 5 2 3 2 2 2 2 2 2 2 2" xfId="53026" xr:uid="{FEE0494B-F60F-47ED-8FE4-BA697BF2D72C}"/>
    <cellStyle name="Normal 5 2 3 2 2 2 2 2 2 2 3" xfId="34430" xr:uid="{6FB8C664-6467-4252-BC02-270EE40E0D16}"/>
    <cellStyle name="Normal 5 2 3 2 2 2 2 2 2 3" xfId="43729" xr:uid="{9455C8B9-923F-41F4-A741-715C7DBC4533}"/>
    <cellStyle name="Normal 5 2 3 2 2 2 2 2 2 4" xfId="25131" xr:uid="{DE4B6AA5-3A3A-44C0-8A7D-DB04D5F29FA9}"/>
    <cellStyle name="Normal 5 2 3 2 2 2 2 2 3" xfId="12467" xr:uid="{947833BC-7B0C-4177-B268-4B3AEBE98C72}"/>
    <cellStyle name="Normal 5 2 3 2 2 2 2 2 3 2" xfId="48809" xr:uid="{B87D228E-6A4F-4A80-BF32-6E6058E95F65}"/>
    <cellStyle name="Normal 5 2 3 2 2 2 2 2 3 3" xfId="30213" xr:uid="{670664E4-760D-4240-8842-961565BDABEC}"/>
    <cellStyle name="Normal 5 2 3 2 2 2 2 2 4" xfId="39512" xr:uid="{EB2F0AEA-71CB-480D-9E20-86CD0509E367}"/>
    <cellStyle name="Normal 5 2 3 2 2 2 2 2 5" xfId="20914" xr:uid="{2ACF2687-BA9C-4F16-A376-AE39DA485324}"/>
    <cellStyle name="Normal 5 2 3 2 2 2 2 3" xfId="5213" xr:uid="{00000000-0005-0000-0000-00003A180000}"/>
    <cellStyle name="Normal 5 2 3 2 2 2 2 3 2" xfId="14539" xr:uid="{70CCF1A4-10BA-494C-82BB-29D4C49D0A9C}"/>
    <cellStyle name="Normal 5 2 3 2 2 2 2 3 2 2" xfId="50881" xr:uid="{AB936BE8-85D8-4045-9F1B-1428FD13660D}"/>
    <cellStyle name="Normal 5 2 3 2 2 2 2 3 2 3" xfId="32285" xr:uid="{5BB9DB10-01B8-4E30-A324-BB72C2C8DCA7}"/>
    <cellStyle name="Normal 5 2 3 2 2 2 2 3 3" xfId="41584" xr:uid="{E22FECB1-E47B-40CD-9A54-E9AB406C5714}"/>
    <cellStyle name="Normal 5 2 3 2 2 2 2 3 4" xfId="22986" xr:uid="{D319B480-2914-4D6B-BC4D-1885D94763A9}"/>
    <cellStyle name="Normal 5 2 3 2 2 2 2 4" xfId="9565" xr:uid="{B33C5ECB-02D9-4BAF-B467-F38E8EEB7F6E}"/>
    <cellStyle name="Normal 5 2 3 2 2 2 2 4 2" xfId="36626" xr:uid="{5DDAA845-D6CC-47BA-B403-7ADB59DFA855}"/>
    <cellStyle name="Normal 5 2 3 2 2 2 2 4 2 2" xfId="55220" xr:uid="{95681A16-A64C-4E0D-B78E-0846894183E3}"/>
    <cellStyle name="Normal 5 2 3 2 2 2 2 4 3" xfId="45923" xr:uid="{FE0FE63A-6D59-43DF-B1C6-F6E25F4D4C7F}"/>
    <cellStyle name="Normal 5 2 3 2 2 2 2 4 4" xfId="27327" xr:uid="{27434AF9-A7F9-4F2A-B0DE-199F651D91BB}"/>
    <cellStyle name="Normal 5 2 3 2 2 2 2 5" xfId="10322" xr:uid="{B77B530D-2CB5-4362-97A8-B5B6DC626EFF}"/>
    <cellStyle name="Normal 5 2 3 2 2 2 2 5 2" xfId="46664" xr:uid="{5FDBD7F3-E8A4-44FC-99A2-05BC434399BF}"/>
    <cellStyle name="Normal 5 2 3 2 2 2 2 5 3" xfId="28068" xr:uid="{CF8DD58F-6141-4C9E-A629-7AB188758841}"/>
    <cellStyle name="Normal 5 2 3 2 2 2 2 6" xfId="37367" xr:uid="{4DF41F0E-8690-4C09-AFFA-C3C2043A2B85}"/>
    <cellStyle name="Normal 5 2 3 2 2 2 2 7" xfId="18769" xr:uid="{C2D95FC5-AEE4-439B-B416-6F2B954A4737}"/>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17097" xr:uid="{B3AE8735-73F6-4204-BF1A-78A507798757}"/>
    <cellStyle name="Normal 5 2 3 2 2 2 3 2 2 2 2" xfId="53439" xr:uid="{5284241B-B711-4758-9682-824309D73D93}"/>
    <cellStyle name="Normal 5 2 3 2 2 2 3 2 2 2 3" xfId="34843" xr:uid="{BD920FAB-0072-4BA9-80AA-017BE3384C4D}"/>
    <cellStyle name="Normal 5 2 3 2 2 2 3 2 2 3" xfId="44142" xr:uid="{BF2D5856-275E-4B79-9E4E-65C37466373E}"/>
    <cellStyle name="Normal 5 2 3 2 2 2 3 2 2 4" xfId="25544" xr:uid="{E261D4C4-D363-46CD-ACE0-548FB75C0D20}"/>
    <cellStyle name="Normal 5 2 3 2 2 2 3 2 3" xfId="12880" xr:uid="{28706A44-8E19-457C-91DF-F98557301E6F}"/>
    <cellStyle name="Normal 5 2 3 2 2 2 3 2 3 2" xfId="49222" xr:uid="{419EF37B-1923-4B9D-8428-CFA3B0337D2C}"/>
    <cellStyle name="Normal 5 2 3 2 2 2 3 2 3 3" xfId="30626" xr:uid="{DF199D5A-8FA7-453F-B473-68D1EAB181DC}"/>
    <cellStyle name="Normal 5 2 3 2 2 2 3 2 4" xfId="39925" xr:uid="{0EA53552-FB6B-4F53-B948-DF5F7C520381}"/>
    <cellStyle name="Normal 5 2 3 2 2 2 3 2 5" xfId="21327" xr:uid="{5B8B121F-B0D0-4532-AA77-24358EA2E713}"/>
    <cellStyle name="Normal 5 2 3 2 2 2 3 3" xfId="5626" xr:uid="{00000000-0005-0000-0000-00003E180000}"/>
    <cellStyle name="Normal 5 2 3 2 2 2 3 3 2" xfId="14952" xr:uid="{EA7F9796-7B78-4E00-BD59-EA969DC369E2}"/>
    <cellStyle name="Normal 5 2 3 2 2 2 3 3 2 2" xfId="51294" xr:uid="{C1534CA1-E338-47A6-865E-35EB4D7CB117}"/>
    <cellStyle name="Normal 5 2 3 2 2 2 3 3 2 3" xfId="32698" xr:uid="{746E6E32-2C8B-4A67-87C5-D3B0A1D88CB6}"/>
    <cellStyle name="Normal 5 2 3 2 2 2 3 3 3" xfId="41997" xr:uid="{69151114-5F77-4604-82D8-6F377A02128E}"/>
    <cellStyle name="Normal 5 2 3 2 2 2 3 3 4" xfId="23399" xr:uid="{818CB9FD-E26D-4927-BF24-36FD7E70AAD1}"/>
    <cellStyle name="Normal 5 2 3 2 2 2 3 4" xfId="10735" xr:uid="{278E74A5-9B2F-42FD-904E-1C9B4CB6918F}"/>
    <cellStyle name="Normal 5 2 3 2 2 2 3 4 2" xfId="47077" xr:uid="{F1BD607B-C231-48D1-A8C5-AB3B4E670F4F}"/>
    <cellStyle name="Normal 5 2 3 2 2 2 3 4 3" xfId="28481" xr:uid="{0E834032-4D98-4AF9-9A94-2E52BF3DD19B}"/>
    <cellStyle name="Normal 5 2 3 2 2 2 3 5" xfId="37780" xr:uid="{F08109C9-E9FF-4501-80A1-5E605E272CDF}"/>
    <cellStyle name="Normal 5 2 3 2 2 2 3 6" xfId="19182" xr:uid="{558D0536-2670-4FE8-9E72-A72A80D8A63A}"/>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17510" xr:uid="{0ABEB9D1-8B97-4AE1-B1DC-4A606F0D6B08}"/>
    <cellStyle name="Normal 5 2 3 2 2 2 4 2 2 2 2" xfId="53852" xr:uid="{1F3B7F2F-9620-4C49-937A-CFCDEA0AB45F}"/>
    <cellStyle name="Normal 5 2 3 2 2 2 4 2 2 2 3" xfId="35256" xr:uid="{A5E460F3-9106-4C7B-8B4D-D4DEB33AE897}"/>
    <cellStyle name="Normal 5 2 3 2 2 2 4 2 2 3" xfId="44555" xr:uid="{8670E80E-0CDC-4C1E-9957-828A10CA8641}"/>
    <cellStyle name="Normal 5 2 3 2 2 2 4 2 2 4" xfId="25957" xr:uid="{E44E9397-B280-4310-90AA-D2D56282AE5A}"/>
    <cellStyle name="Normal 5 2 3 2 2 2 4 2 3" xfId="13293" xr:uid="{A24CF66D-DA83-4AB8-B290-BD898BE1A0A7}"/>
    <cellStyle name="Normal 5 2 3 2 2 2 4 2 3 2" xfId="49635" xr:uid="{9E3DD3D1-F3B1-4A6E-8759-52B61BD11843}"/>
    <cellStyle name="Normal 5 2 3 2 2 2 4 2 3 3" xfId="31039" xr:uid="{96236115-C3D3-464D-A0E4-BB84BE885662}"/>
    <cellStyle name="Normal 5 2 3 2 2 2 4 2 4" xfId="40338" xr:uid="{C7A754D9-7E77-404D-80EA-B8FADC733AD7}"/>
    <cellStyle name="Normal 5 2 3 2 2 2 4 2 5" xfId="21740" xr:uid="{0454633A-6AEC-4EF4-80EF-0FFE8C758DE0}"/>
    <cellStyle name="Normal 5 2 3 2 2 2 4 3" xfId="6039" xr:uid="{00000000-0005-0000-0000-000042180000}"/>
    <cellStyle name="Normal 5 2 3 2 2 2 4 3 2" xfId="15365" xr:uid="{6A05B2CB-CFE8-4D3A-A412-6ADE9CC7AF99}"/>
    <cellStyle name="Normal 5 2 3 2 2 2 4 3 2 2" xfId="51707" xr:uid="{44952D55-3B39-43A0-A925-17DE2088F3C8}"/>
    <cellStyle name="Normal 5 2 3 2 2 2 4 3 2 3" xfId="33111" xr:uid="{FEB43443-8F20-4914-BACB-2EB06DC4C95E}"/>
    <cellStyle name="Normal 5 2 3 2 2 2 4 3 3" xfId="42410" xr:uid="{AD85E39A-0B72-479A-9E20-473968D3023A}"/>
    <cellStyle name="Normal 5 2 3 2 2 2 4 3 4" xfId="23812" xr:uid="{B0C1CB6C-FCD7-476A-8F03-E746966B0735}"/>
    <cellStyle name="Normal 5 2 3 2 2 2 4 4" xfId="11148" xr:uid="{60E1C542-6E54-4A9C-B83E-EB513B7C5D95}"/>
    <cellStyle name="Normal 5 2 3 2 2 2 4 4 2" xfId="47490" xr:uid="{00A379F4-A720-4BD9-9228-7291D098EB7C}"/>
    <cellStyle name="Normal 5 2 3 2 2 2 4 4 3" xfId="28894" xr:uid="{6FE4BB49-D005-4F3C-B74F-1254A5E27B0F}"/>
    <cellStyle name="Normal 5 2 3 2 2 2 4 5" xfId="38193" xr:uid="{CE349960-8306-49E2-928E-8C41201414CC}"/>
    <cellStyle name="Normal 5 2 3 2 2 2 4 6" xfId="19595" xr:uid="{8DBAD73F-EA10-4CEF-9D5E-61C83DC6BA5F}"/>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17923" xr:uid="{7009393A-6761-44CA-A22D-3B7BC1968F28}"/>
    <cellStyle name="Normal 5 2 3 2 2 2 5 2 2 2 2" xfId="54265" xr:uid="{B765EAEB-C637-42E3-B956-21B1462DCBF4}"/>
    <cellStyle name="Normal 5 2 3 2 2 2 5 2 2 2 3" xfId="35669" xr:uid="{2506DECB-A246-4D1F-8509-D7D905FBC830}"/>
    <cellStyle name="Normal 5 2 3 2 2 2 5 2 2 3" xfId="44968" xr:uid="{A0801038-4857-42A0-9A27-B07FD8445E24}"/>
    <cellStyle name="Normal 5 2 3 2 2 2 5 2 2 4" xfId="26370" xr:uid="{664E3DCD-B964-432C-8AEA-09607FDB5708}"/>
    <cellStyle name="Normal 5 2 3 2 2 2 5 2 3" xfId="13706" xr:uid="{23653E50-6507-4ED6-907C-7CF4E78787DD}"/>
    <cellStyle name="Normal 5 2 3 2 2 2 5 2 3 2" xfId="50048" xr:uid="{77069921-F0C0-4984-BD76-C77B0F32B5A6}"/>
    <cellStyle name="Normal 5 2 3 2 2 2 5 2 3 3" xfId="31452" xr:uid="{6911EDEA-A8C7-4E88-9A78-7AA8F3967287}"/>
    <cellStyle name="Normal 5 2 3 2 2 2 5 2 4" xfId="40751" xr:uid="{DBC91FDB-31DB-49A2-8A17-B891744CADAF}"/>
    <cellStyle name="Normal 5 2 3 2 2 2 5 2 5" xfId="22153" xr:uid="{CD1B3F52-28EC-40CD-8714-F0EA5992813E}"/>
    <cellStyle name="Normal 5 2 3 2 2 2 5 3" xfId="6452" xr:uid="{00000000-0005-0000-0000-000046180000}"/>
    <cellStyle name="Normal 5 2 3 2 2 2 5 3 2" xfId="15778" xr:uid="{D04F9A7A-6E69-44FA-BEFE-05BD1C501203}"/>
    <cellStyle name="Normal 5 2 3 2 2 2 5 3 2 2" xfId="52120" xr:uid="{85EADAEB-8067-4ACC-B5DF-F4E6B4C6E91A}"/>
    <cellStyle name="Normal 5 2 3 2 2 2 5 3 2 3" xfId="33524" xr:uid="{1EA17111-F63E-4748-B6D1-C4B8529E266C}"/>
    <cellStyle name="Normal 5 2 3 2 2 2 5 3 3" xfId="42823" xr:uid="{BE3F4A7F-8396-4175-878A-862792689F93}"/>
    <cellStyle name="Normal 5 2 3 2 2 2 5 3 4" xfId="24225" xr:uid="{80F2C784-7FEF-41C0-A2B3-4374ABF1DD3A}"/>
    <cellStyle name="Normal 5 2 3 2 2 2 5 4" xfId="11561" xr:uid="{CFE4A762-0114-41AB-8204-F2CA9998425F}"/>
    <cellStyle name="Normal 5 2 3 2 2 2 5 4 2" xfId="47903" xr:uid="{C1948D74-7C60-47E8-87E8-AE7C3BA030EE}"/>
    <cellStyle name="Normal 5 2 3 2 2 2 5 4 3" xfId="29307" xr:uid="{1E7CC97E-7238-41A6-8DBB-8DBE4BC0BDA7}"/>
    <cellStyle name="Normal 5 2 3 2 2 2 5 5" xfId="38606" xr:uid="{B46A685F-3F36-4406-8F7D-599580F99BE6}"/>
    <cellStyle name="Normal 5 2 3 2 2 2 5 6" xfId="20008" xr:uid="{469E89CC-EA6D-4FFC-B8EE-A8F55F4468D8}"/>
    <cellStyle name="Normal 5 2 3 2 2 2 6" xfId="2582" xr:uid="{00000000-0005-0000-0000-000047180000}"/>
    <cellStyle name="Normal 5 2 3 2 2 2 6 2" xfId="6865" xr:uid="{00000000-0005-0000-0000-000048180000}"/>
    <cellStyle name="Normal 5 2 3 2 2 2 6 2 2" xfId="16191" xr:uid="{8672B384-C2E8-461B-A154-227B2C1E48B6}"/>
    <cellStyle name="Normal 5 2 3 2 2 2 6 2 2 2" xfId="52533" xr:uid="{027710B9-7FB8-4F49-8359-CDFF3DF5B685}"/>
    <cellStyle name="Normal 5 2 3 2 2 2 6 2 2 3" xfId="33937" xr:uid="{BB9DB47D-93F6-450F-8B2A-7F4FE4D17CB7}"/>
    <cellStyle name="Normal 5 2 3 2 2 2 6 2 3" xfId="43236" xr:uid="{B64D7F1E-CD6A-4C09-B2F7-26BF99FDB5FC}"/>
    <cellStyle name="Normal 5 2 3 2 2 2 6 2 4" xfId="24638" xr:uid="{79BECCDF-3AE2-459F-AFA3-561003412DE0}"/>
    <cellStyle name="Normal 5 2 3 2 2 2 6 3" xfId="11974" xr:uid="{D92A1301-C5E5-4CF5-890A-9957DC75A4E2}"/>
    <cellStyle name="Normal 5 2 3 2 2 2 6 3 2" xfId="48316" xr:uid="{A62E4EFC-8EAA-4C09-AC3B-6AAF8676ABF1}"/>
    <cellStyle name="Normal 5 2 3 2 2 2 6 3 3" xfId="29720" xr:uid="{4EC8ECA6-E6A8-4282-8157-BB2D63E45ACB}"/>
    <cellStyle name="Normal 5 2 3 2 2 2 6 4" xfId="39019" xr:uid="{56BBEDAD-8138-43C5-993D-CB641DC23CDB}"/>
    <cellStyle name="Normal 5 2 3 2 2 2 6 5" xfId="20421" xr:uid="{A2E735FC-3D0D-48BD-B2DE-F2615F02DBF7}"/>
    <cellStyle name="Normal 5 2 3 2 2 2 7" xfId="4800" xr:uid="{00000000-0005-0000-0000-000049180000}"/>
    <cellStyle name="Normal 5 2 3 2 2 2 7 2" xfId="14126" xr:uid="{4D3DAAAA-13CC-4C2E-95A2-1F97E78885DA}"/>
    <cellStyle name="Normal 5 2 3 2 2 2 7 2 2" xfId="50468" xr:uid="{92689B90-8496-47B9-ACF1-6FA042C913C3}"/>
    <cellStyle name="Normal 5 2 3 2 2 2 7 2 3" xfId="31872" xr:uid="{462FCF7F-DB35-4337-A50E-5654F99D9153}"/>
    <cellStyle name="Normal 5 2 3 2 2 2 7 3" xfId="41171" xr:uid="{84C57868-5D70-4858-A7AB-C7C54B4454E8}"/>
    <cellStyle name="Normal 5 2 3 2 2 2 7 4" xfId="22573" xr:uid="{B5E37638-1EC6-47C7-AB87-83A3DAA0D0CB}"/>
    <cellStyle name="Normal 5 2 3 2 2 2 8" xfId="9140" xr:uid="{175A16DB-BA54-4083-AB68-1FA46DB27A86}"/>
    <cellStyle name="Normal 5 2 3 2 2 2 8 2" xfId="36210" xr:uid="{99C5A9D4-EEBE-4666-A357-2A51CCC49411}"/>
    <cellStyle name="Normal 5 2 3 2 2 2 8 2 2" xfId="54805" xr:uid="{9CCB2D5D-0A19-448C-B6A0-0BD738E0DA03}"/>
    <cellStyle name="Normal 5 2 3 2 2 2 8 3" xfId="45508" xr:uid="{4F83E278-A37C-4417-BDC5-CA401A9C6EC4}"/>
    <cellStyle name="Normal 5 2 3 2 2 2 8 4" xfId="26911" xr:uid="{49FDEED4-76C6-40DC-9528-9CEDC045B843}"/>
    <cellStyle name="Normal 5 2 3 2 2 2 9" xfId="9909" xr:uid="{39D858E2-ED83-4E1F-8699-9AF3D96520A5}"/>
    <cellStyle name="Normal 5 2 3 2 2 2 9 2" xfId="46251" xr:uid="{E5180332-8FA9-4A2E-B3B0-6443F9CC0408}"/>
    <cellStyle name="Normal 5 2 3 2 2 2 9 3" xfId="27655" xr:uid="{7EA126AD-B315-4131-8AB7-9C57E54443F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16683" xr:uid="{95B45C8E-03DF-4420-BAC5-9B768E73827C}"/>
    <cellStyle name="Normal 5 2 3 2 2 3 2 2 2 2" xfId="53025" xr:uid="{6DF7AED6-35EB-4B9D-BD39-35DC3F20A88A}"/>
    <cellStyle name="Normal 5 2 3 2 2 3 2 2 2 3" xfId="34429" xr:uid="{4A789184-75DB-4394-9C8B-0356AC91FEDB}"/>
    <cellStyle name="Normal 5 2 3 2 2 3 2 2 3" xfId="43728" xr:uid="{C4B76051-B810-4DB9-B111-E587D177D31B}"/>
    <cellStyle name="Normal 5 2 3 2 2 3 2 2 4" xfId="25130" xr:uid="{62543060-371A-4C45-9A34-C0396B6A8BEA}"/>
    <cellStyle name="Normal 5 2 3 2 2 3 2 3" xfId="12466" xr:uid="{31393502-F82A-4F2F-8627-82BCBAD66162}"/>
    <cellStyle name="Normal 5 2 3 2 2 3 2 3 2" xfId="48808" xr:uid="{9BD0C4DE-F68C-4E86-B085-EC9815F5081A}"/>
    <cellStyle name="Normal 5 2 3 2 2 3 2 3 3" xfId="30212" xr:uid="{A776E9D8-5F0C-4AB1-A0D1-1BE0AB4686DF}"/>
    <cellStyle name="Normal 5 2 3 2 2 3 2 4" xfId="39511" xr:uid="{4E834EC2-3A0D-4DB7-88C2-E036C10886A0}"/>
    <cellStyle name="Normal 5 2 3 2 2 3 2 5" xfId="20913" xr:uid="{01136467-04D3-4401-BE71-3F68F76769A2}"/>
    <cellStyle name="Normal 5 2 3 2 2 3 3" xfId="5212" xr:uid="{00000000-0005-0000-0000-00004D180000}"/>
    <cellStyle name="Normal 5 2 3 2 2 3 3 2" xfId="14538" xr:uid="{4B2152E5-5B38-4341-BC9E-E5331218FA4D}"/>
    <cellStyle name="Normal 5 2 3 2 2 3 3 2 2" xfId="50880" xr:uid="{03AFDC9B-CC91-4867-BEF6-D434DF62FB75}"/>
    <cellStyle name="Normal 5 2 3 2 2 3 3 2 3" xfId="32284" xr:uid="{BABB5A4A-9DF2-4E7A-A0D2-4583685B4E94}"/>
    <cellStyle name="Normal 5 2 3 2 2 3 3 3" xfId="41583" xr:uid="{5E0D655C-0E5F-43D3-830C-B5CD2B34693D}"/>
    <cellStyle name="Normal 5 2 3 2 2 3 3 4" xfId="22985" xr:uid="{1A726EB4-64D9-40F0-B934-9DBE163093DA}"/>
    <cellStyle name="Normal 5 2 3 2 2 3 4" xfId="9358" xr:uid="{5B196E7D-8DD9-4C59-A83C-7626B0E60040}"/>
    <cellStyle name="Normal 5 2 3 2 2 3 4 2" xfId="36419" xr:uid="{711EFDCE-A019-4453-9ED6-0E90EFB45164}"/>
    <cellStyle name="Normal 5 2 3 2 2 3 4 2 2" xfId="55013" xr:uid="{15FE1932-AC16-4123-9EFF-0043CB4127A3}"/>
    <cellStyle name="Normal 5 2 3 2 2 3 4 3" xfId="45716" xr:uid="{B76DBFB9-F7D6-4333-8346-6A59C90D57BC}"/>
    <cellStyle name="Normal 5 2 3 2 2 3 4 4" xfId="27120" xr:uid="{3FE77BAD-68E9-4AE5-93AC-63EF4779F446}"/>
    <cellStyle name="Normal 5 2 3 2 2 3 5" xfId="10321" xr:uid="{255FD8FE-6D0D-4DC6-AB41-3F33D6ACB75B}"/>
    <cellStyle name="Normal 5 2 3 2 2 3 5 2" xfId="46663" xr:uid="{6C580C55-5E8B-4122-892C-A44854A4628D}"/>
    <cellStyle name="Normal 5 2 3 2 2 3 5 3" xfId="28067" xr:uid="{996C4E3D-8816-40E2-A5CA-49BC5B5CC713}"/>
    <cellStyle name="Normal 5 2 3 2 2 3 6" xfId="37366" xr:uid="{9B6FFE0D-BFE9-4C68-B6AF-5F6CBC2481DE}"/>
    <cellStyle name="Normal 5 2 3 2 2 3 7" xfId="18768" xr:uid="{851E9592-6D2D-478A-8212-B419D1C1D84C}"/>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17096" xr:uid="{315B482D-D47A-472D-BF66-ADFBA089BC96}"/>
    <cellStyle name="Normal 5 2 3 2 2 4 2 2 2 2" xfId="53438" xr:uid="{37D4C3DA-4C4D-4201-8A33-0A726E388213}"/>
    <cellStyle name="Normal 5 2 3 2 2 4 2 2 2 3" xfId="34842" xr:uid="{9BAA3E8B-E535-4B05-8B44-623583173B47}"/>
    <cellStyle name="Normal 5 2 3 2 2 4 2 2 3" xfId="44141" xr:uid="{8737EE9B-78BF-4E83-B2D8-771703A027E4}"/>
    <cellStyle name="Normal 5 2 3 2 2 4 2 2 4" xfId="25543" xr:uid="{2959A773-9875-4919-A5AC-73AE161B332D}"/>
    <cellStyle name="Normal 5 2 3 2 2 4 2 3" xfId="12879" xr:uid="{FC06CA37-E0F8-4D2F-8220-A5736079CD98}"/>
    <cellStyle name="Normal 5 2 3 2 2 4 2 3 2" xfId="49221" xr:uid="{56522B41-F55F-423B-9A5E-34FDA33BEB02}"/>
    <cellStyle name="Normal 5 2 3 2 2 4 2 3 3" xfId="30625" xr:uid="{631983EC-B1A2-45A1-B1D7-23EFBE979CBC}"/>
    <cellStyle name="Normal 5 2 3 2 2 4 2 4" xfId="39924" xr:uid="{349A68BA-FB9F-4DF8-8A61-BA5DC9EC3A66}"/>
    <cellStyle name="Normal 5 2 3 2 2 4 2 5" xfId="21326" xr:uid="{B73412B0-E54D-4119-822D-D77A4199623A}"/>
    <cellStyle name="Normal 5 2 3 2 2 4 3" xfId="5625" xr:uid="{00000000-0005-0000-0000-000051180000}"/>
    <cellStyle name="Normal 5 2 3 2 2 4 3 2" xfId="14951" xr:uid="{6A2716F2-6D28-43B6-B679-0BCBB8C9EE80}"/>
    <cellStyle name="Normal 5 2 3 2 2 4 3 2 2" xfId="51293" xr:uid="{8EC48A7D-FE77-4EAA-B102-68BDC0AAFAB1}"/>
    <cellStyle name="Normal 5 2 3 2 2 4 3 2 3" xfId="32697" xr:uid="{8D922DFF-25D8-4513-9B55-163AD4689D14}"/>
    <cellStyle name="Normal 5 2 3 2 2 4 3 3" xfId="41996" xr:uid="{C2DE3440-ED33-4C82-8218-0F5D009410D2}"/>
    <cellStyle name="Normal 5 2 3 2 2 4 3 4" xfId="23398" xr:uid="{F456D7BC-CE7E-4C3D-9A49-72570781D6B5}"/>
    <cellStyle name="Normal 5 2 3 2 2 4 4" xfId="10734" xr:uid="{35260B9C-AE3C-4245-B9DB-B4D39A67F1CD}"/>
    <cellStyle name="Normal 5 2 3 2 2 4 4 2" xfId="47076" xr:uid="{5FFC044A-A02A-43E0-9F88-829BFDD5F0C2}"/>
    <cellStyle name="Normal 5 2 3 2 2 4 4 3" xfId="28480" xr:uid="{325F2395-246D-4E09-8127-FF7F95990EE2}"/>
    <cellStyle name="Normal 5 2 3 2 2 4 5" xfId="37779" xr:uid="{C2C5D112-7AD2-447E-99F2-0A8D5C45961F}"/>
    <cellStyle name="Normal 5 2 3 2 2 4 6" xfId="19181" xr:uid="{43500531-B783-4EFD-B46D-B93AEBC98C34}"/>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17509" xr:uid="{E659DD48-0640-4EC3-BCD2-07D0D66CCB0C}"/>
    <cellStyle name="Normal 5 2 3 2 2 5 2 2 2 2" xfId="53851" xr:uid="{82B52B99-CB86-453A-A0AA-09FD8AF050F4}"/>
    <cellStyle name="Normal 5 2 3 2 2 5 2 2 2 3" xfId="35255" xr:uid="{E8DE533C-EEDD-461C-A9E7-8D6F4EE8B379}"/>
    <cellStyle name="Normal 5 2 3 2 2 5 2 2 3" xfId="44554" xr:uid="{84CCFF09-371F-47DA-B2D6-8605F1D07E76}"/>
    <cellStyle name="Normal 5 2 3 2 2 5 2 2 4" xfId="25956" xr:uid="{7DACEA8D-6897-4B7F-8F23-6DD204191358}"/>
    <cellStyle name="Normal 5 2 3 2 2 5 2 3" xfId="13292" xr:uid="{583D9CE0-AD78-45C5-9214-A2F38B7492F1}"/>
    <cellStyle name="Normal 5 2 3 2 2 5 2 3 2" xfId="49634" xr:uid="{46149616-68CC-4603-9C2D-9F437A194DDD}"/>
    <cellStyle name="Normal 5 2 3 2 2 5 2 3 3" xfId="31038" xr:uid="{368DD49B-1E46-469E-8B3C-8E542397AECF}"/>
    <cellStyle name="Normal 5 2 3 2 2 5 2 4" xfId="40337" xr:uid="{D8ACEC45-5F86-43BF-9EBB-138538A6400F}"/>
    <cellStyle name="Normal 5 2 3 2 2 5 2 5" xfId="21739" xr:uid="{4A676117-717B-4EEA-9E1E-1495C85D7CFD}"/>
    <cellStyle name="Normal 5 2 3 2 2 5 3" xfId="6038" xr:uid="{00000000-0005-0000-0000-000055180000}"/>
    <cellStyle name="Normal 5 2 3 2 2 5 3 2" xfId="15364" xr:uid="{3426778E-DB7F-4E41-B5B7-E3A83A5336E4}"/>
    <cellStyle name="Normal 5 2 3 2 2 5 3 2 2" xfId="51706" xr:uid="{36960DF8-1E66-40A2-8AED-54C44381A0E7}"/>
    <cellStyle name="Normal 5 2 3 2 2 5 3 2 3" xfId="33110" xr:uid="{5F4C8F29-98EB-4AD1-A3AD-22AB1C367917}"/>
    <cellStyle name="Normal 5 2 3 2 2 5 3 3" xfId="42409" xr:uid="{E505CE45-0574-4B41-B312-A7C2D4D9F5B1}"/>
    <cellStyle name="Normal 5 2 3 2 2 5 3 4" xfId="23811" xr:uid="{F81DD0D1-8C4B-4C64-B87C-B3A4B5E729AF}"/>
    <cellStyle name="Normal 5 2 3 2 2 5 4" xfId="11147" xr:uid="{D96886CB-7AFB-468B-BAC6-9AFEA5838FB5}"/>
    <cellStyle name="Normal 5 2 3 2 2 5 4 2" xfId="47489" xr:uid="{5FEB661F-29CC-4D3F-83CA-F309BF5EC411}"/>
    <cellStyle name="Normal 5 2 3 2 2 5 4 3" xfId="28893" xr:uid="{0B0F4EF0-D6C5-470D-BAF0-E20797C4B815}"/>
    <cellStyle name="Normal 5 2 3 2 2 5 5" xfId="38192" xr:uid="{FC06EFCB-E944-4A79-AB03-D4CAAA1D9DE6}"/>
    <cellStyle name="Normal 5 2 3 2 2 5 6" xfId="19594" xr:uid="{8C300B28-F9F1-4B67-9294-8A5F1F9E9C06}"/>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17922" xr:uid="{9B73C512-E662-4D59-AE31-4DE7FD1C1549}"/>
    <cellStyle name="Normal 5 2 3 2 2 6 2 2 2 2" xfId="54264" xr:uid="{D5189C06-98B7-4F23-999A-CF4E4F6D05BF}"/>
    <cellStyle name="Normal 5 2 3 2 2 6 2 2 2 3" xfId="35668" xr:uid="{C403BC59-C5F6-4FA4-B623-CC0D64B4A7C9}"/>
    <cellStyle name="Normal 5 2 3 2 2 6 2 2 3" xfId="44967" xr:uid="{E8AE7AF8-FAA3-4A32-8364-E2035BFAC8D1}"/>
    <cellStyle name="Normal 5 2 3 2 2 6 2 2 4" xfId="26369" xr:uid="{C1450D5F-4946-4017-87F5-4CB57C41FC30}"/>
    <cellStyle name="Normal 5 2 3 2 2 6 2 3" xfId="13705" xr:uid="{BFC37C6F-55ED-495A-B5DF-6F60535F295C}"/>
    <cellStyle name="Normal 5 2 3 2 2 6 2 3 2" xfId="50047" xr:uid="{5B833A8C-E2EC-44EC-875F-DE0291C088EE}"/>
    <cellStyle name="Normal 5 2 3 2 2 6 2 3 3" xfId="31451" xr:uid="{AAC475BD-63D6-440A-952B-4FCD6942FF3C}"/>
    <cellStyle name="Normal 5 2 3 2 2 6 2 4" xfId="40750" xr:uid="{E1F7A811-8B80-4BFF-A188-D8774496BC9D}"/>
    <cellStyle name="Normal 5 2 3 2 2 6 2 5" xfId="22152" xr:uid="{8CE09626-8DBB-4B84-95CE-5FADC3D1F615}"/>
    <cellStyle name="Normal 5 2 3 2 2 6 3" xfId="6451" xr:uid="{00000000-0005-0000-0000-000059180000}"/>
    <cellStyle name="Normal 5 2 3 2 2 6 3 2" xfId="15777" xr:uid="{E4B9CBC9-4278-4FCA-A0BC-F30ABCFFBE46}"/>
    <cellStyle name="Normal 5 2 3 2 2 6 3 2 2" xfId="52119" xr:uid="{1F28467D-F6AB-4329-9FAD-E8D876084CDA}"/>
    <cellStyle name="Normal 5 2 3 2 2 6 3 2 3" xfId="33523" xr:uid="{CB99749C-E67D-4FE7-8570-E82B33549FF3}"/>
    <cellStyle name="Normal 5 2 3 2 2 6 3 3" xfId="42822" xr:uid="{C80F44A0-D010-41C4-84FF-DCAD21E2E6AC}"/>
    <cellStyle name="Normal 5 2 3 2 2 6 3 4" xfId="24224" xr:uid="{3818B508-A0FC-4D2E-BA0E-6B3503764C13}"/>
    <cellStyle name="Normal 5 2 3 2 2 6 4" xfId="11560" xr:uid="{FB32CA2C-0399-48A3-8A37-B0763A77EEAC}"/>
    <cellStyle name="Normal 5 2 3 2 2 6 4 2" xfId="47902" xr:uid="{54F05E7E-D9E7-4004-99FE-DBAD23BB7F59}"/>
    <cellStyle name="Normal 5 2 3 2 2 6 4 3" xfId="29306" xr:uid="{5676819E-A211-4E46-B0C9-C0638ACC4EDC}"/>
    <cellStyle name="Normal 5 2 3 2 2 6 5" xfId="38605" xr:uid="{009FE1C5-1381-4D67-B305-968DA0109E97}"/>
    <cellStyle name="Normal 5 2 3 2 2 6 6" xfId="20007" xr:uid="{6A626CEC-CEE1-4F71-992B-CD863C03CB22}"/>
    <cellStyle name="Normal 5 2 3 2 2 7" xfId="2581" xr:uid="{00000000-0005-0000-0000-00005A180000}"/>
    <cellStyle name="Normal 5 2 3 2 2 7 2" xfId="6864" xr:uid="{00000000-0005-0000-0000-00005B180000}"/>
    <cellStyle name="Normal 5 2 3 2 2 7 2 2" xfId="16190" xr:uid="{4948A5DC-748F-41FC-A139-2CDA33CDD8FB}"/>
    <cellStyle name="Normal 5 2 3 2 2 7 2 2 2" xfId="52532" xr:uid="{11B3564C-F6FD-4E6C-BB64-BB2F996BDE77}"/>
    <cellStyle name="Normal 5 2 3 2 2 7 2 2 3" xfId="33936" xr:uid="{E1E71658-4F86-4E13-B065-C72161AE826B}"/>
    <cellStyle name="Normal 5 2 3 2 2 7 2 3" xfId="43235" xr:uid="{0DFA6E83-A57C-45C5-8B63-17D2E7E874E0}"/>
    <cellStyle name="Normal 5 2 3 2 2 7 2 4" xfId="24637" xr:uid="{B3AAA7A2-DADB-4CFC-8BD5-28AD3C971503}"/>
    <cellStyle name="Normal 5 2 3 2 2 7 3" xfId="11973" xr:uid="{4BA81A90-D472-4831-A0A8-8864B9DD883A}"/>
    <cellStyle name="Normal 5 2 3 2 2 7 3 2" xfId="48315" xr:uid="{A73E440A-4474-483E-B107-7233A7115CC8}"/>
    <cellStyle name="Normal 5 2 3 2 2 7 3 3" xfId="29719" xr:uid="{A66230C5-7F81-4229-940A-83C11C129AB5}"/>
    <cellStyle name="Normal 5 2 3 2 2 7 4" xfId="39018" xr:uid="{D738AD15-C2AE-48C9-A8F0-20B28C64F216}"/>
    <cellStyle name="Normal 5 2 3 2 2 7 5" xfId="20420" xr:uid="{A1138003-38A7-449F-BE79-E9EFC62171B5}"/>
    <cellStyle name="Normal 5 2 3 2 2 8" xfId="4799" xr:uid="{00000000-0005-0000-0000-00005C180000}"/>
    <cellStyle name="Normal 5 2 3 2 2 8 2" xfId="14125" xr:uid="{8F33A000-AEEC-4A64-8F37-A406F0C1FEF5}"/>
    <cellStyle name="Normal 5 2 3 2 2 8 2 2" xfId="50467" xr:uid="{28BFD431-C8EA-4A45-9CE0-239311EB081C}"/>
    <cellStyle name="Normal 5 2 3 2 2 8 2 3" xfId="31871" xr:uid="{D750B1AC-83C8-41D6-997C-914CD1858B30}"/>
    <cellStyle name="Normal 5 2 3 2 2 8 3" xfId="41170" xr:uid="{C5951E9F-F962-43F5-95EC-C32D2F2E1330}"/>
    <cellStyle name="Normal 5 2 3 2 2 8 4" xfId="22572" xr:uid="{61485D91-D9FE-4AF8-86EA-15E46E195C16}"/>
    <cellStyle name="Normal 5 2 3 2 2 9" xfId="8933" xr:uid="{2228AC18-CB51-4AF4-A227-403A8409C6C2}"/>
    <cellStyle name="Normal 5 2 3 2 2 9 2" xfId="36003" xr:uid="{501CA3D1-C23C-4674-B2C7-4040FFBAF1F8}"/>
    <cellStyle name="Normal 5 2 3 2 2 9 2 2" xfId="54598" xr:uid="{23AF36B8-1FB8-4724-A920-55773824527A}"/>
    <cellStyle name="Normal 5 2 3 2 2 9 3" xfId="45301" xr:uid="{FEADBA3B-DFCD-443A-9874-76122C8F8806}"/>
    <cellStyle name="Normal 5 2 3 2 2 9 4" xfId="26704" xr:uid="{CB0B1A3F-3385-4110-90AE-98D70E75A40D}"/>
    <cellStyle name="Normal 5 2 3 2 3" xfId="428" xr:uid="{00000000-0005-0000-0000-00005D180000}"/>
    <cellStyle name="Normal 5 2 3 2 3 10" xfId="36955" xr:uid="{725BB1C1-E1CB-4B52-9389-6C634C1AC7A2}"/>
    <cellStyle name="Normal 5 2 3 2 3 11" xfId="18357" xr:uid="{F5933E26-D2D9-4725-91D0-BB75D23395DD}"/>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16685" xr:uid="{99FCD9E4-8EBE-457D-ADD7-C7BDBE499AD7}"/>
    <cellStyle name="Normal 5 2 3 2 3 2 2 2 2 2" xfId="53027" xr:uid="{1D251F61-EFEE-463D-B687-84BB4618CCA4}"/>
    <cellStyle name="Normal 5 2 3 2 3 2 2 2 2 3" xfId="34431" xr:uid="{3F00C6DF-9395-4CC6-A49B-4E9150AC1B79}"/>
    <cellStyle name="Normal 5 2 3 2 3 2 2 2 3" xfId="43730" xr:uid="{760E74A1-1C5E-40FC-AD1F-7AE7C9CF3A7A}"/>
    <cellStyle name="Normal 5 2 3 2 3 2 2 2 4" xfId="25132" xr:uid="{F23C0830-CD6E-4B9F-BAC4-542BB8F170D8}"/>
    <cellStyle name="Normal 5 2 3 2 3 2 2 3" xfId="12468" xr:uid="{22CBBD9F-A02C-4D0D-9CB7-8848F7DAC0E5}"/>
    <cellStyle name="Normal 5 2 3 2 3 2 2 3 2" xfId="48810" xr:uid="{91EDBF6F-2A58-4020-9EA8-B4D1AD012969}"/>
    <cellStyle name="Normal 5 2 3 2 3 2 2 3 3" xfId="30214" xr:uid="{F6CF0B8B-0273-4AF1-B87D-52260A6C32F8}"/>
    <cellStyle name="Normal 5 2 3 2 3 2 2 4" xfId="39513" xr:uid="{60A17C79-18ED-4A29-B14E-1B9D6BDA089C}"/>
    <cellStyle name="Normal 5 2 3 2 3 2 2 5" xfId="20915" xr:uid="{D03631BB-C5B7-439A-BCCD-6BFA3D6FA442}"/>
    <cellStyle name="Normal 5 2 3 2 3 2 3" xfId="5214" xr:uid="{00000000-0005-0000-0000-000061180000}"/>
    <cellStyle name="Normal 5 2 3 2 3 2 3 2" xfId="14540" xr:uid="{A629F49C-FB4A-4DE0-96FD-CB4A2087DE0B}"/>
    <cellStyle name="Normal 5 2 3 2 3 2 3 2 2" xfId="50882" xr:uid="{80A27BC3-013E-42F0-95E2-55DEF113253D}"/>
    <cellStyle name="Normal 5 2 3 2 3 2 3 2 3" xfId="32286" xr:uid="{3625A747-9123-4B16-995A-963B3F617758}"/>
    <cellStyle name="Normal 5 2 3 2 3 2 3 3" xfId="41585" xr:uid="{71440003-3E74-4370-999F-55288C5355BC}"/>
    <cellStyle name="Normal 5 2 3 2 3 2 3 4" xfId="22987" xr:uid="{FCA9E1FA-27B9-45D4-B598-D92B6FB9A990}"/>
    <cellStyle name="Normal 5 2 3 2 3 2 4" xfId="9462" xr:uid="{B4C14F1A-A88A-428F-A7F8-BAFD7E5CD045}"/>
    <cellStyle name="Normal 5 2 3 2 3 2 4 2" xfId="36523" xr:uid="{74D558D0-7260-45FF-981A-4BEF9B2342BC}"/>
    <cellStyle name="Normal 5 2 3 2 3 2 4 2 2" xfId="55117" xr:uid="{11A8A818-9ACD-4908-9A7E-C4A32CC75730}"/>
    <cellStyle name="Normal 5 2 3 2 3 2 4 3" xfId="45820" xr:uid="{8F31947D-62D4-44AA-B521-4EFEB571935F}"/>
    <cellStyle name="Normal 5 2 3 2 3 2 4 4" xfId="27224" xr:uid="{9993A3F7-59BE-4D4C-8712-E3EFE22C8D3B}"/>
    <cellStyle name="Normal 5 2 3 2 3 2 5" xfId="10323" xr:uid="{35B36664-FA51-4A98-8316-118B760EE758}"/>
    <cellStyle name="Normal 5 2 3 2 3 2 5 2" xfId="46665" xr:uid="{F09A2E63-F798-48D5-9B17-B9EFCAA1BB83}"/>
    <cellStyle name="Normal 5 2 3 2 3 2 5 3" xfId="28069" xr:uid="{84B39F91-D108-4CD1-8D4D-B202DA8A7025}"/>
    <cellStyle name="Normal 5 2 3 2 3 2 6" xfId="37368" xr:uid="{60DACBAC-F120-4736-ACED-5DE3320E7CE8}"/>
    <cellStyle name="Normal 5 2 3 2 3 2 7" xfId="18770" xr:uid="{0589EDE0-0E41-4BE3-9AD6-2AD88CC2C653}"/>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17098" xr:uid="{E0F66F9B-B026-4398-90A6-CA9868A2C240}"/>
    <cellStyle name="Normal 5 2 3 2 3 3 2 2 2 2" xfId="53440" xr:uid="{70739B64-072F-43E7-937A-A7F084D38137}"/>
    <cellStyle name="Normal 5 2 3 2 3 3 2 2 2 3" xfId="34844" xr:uid="{B6F98115-DE72-4F0B-8B7B-5C340656FB7F}"/>
    <cellStyle name="Normal 5 2 3 2 3 3 2 2 3" xfId="44143" xr:uid="{2CB630DD-CF7C-4D2F-9FF9-34908AC0243F}"/>
    <cellStyle name="Normal 5 2 3 2 3 3 2 2 4" xfId="25545" xr:uid="{6CB568BC-BE36-4E0A-9568-0ECF52EF900D}"/>
    <cellStyle name="Normal 5 2 3 2 3 3 2 3" xfId="12881" xr:uid="{C212F654-790D-49C4-8A25-0F82851B259E}"/>
    <cellStyle name="Normal 5 2 3 2 3 3 2 3 2" xfId="49223" xr:uid="{915CB910-A2F0-4914-A985-A5ABDB368D87}"/>
    <cellStyle name="Normal 5 2 3 2 3 3 2 3 3" xfId="30627" xr:uid="{845E30F8-EF71-43A4-950A-9A2406854869}"/>
    <cellStyle name="Normal 5 2 3 2 3 3 2 4" xfId="39926" xr:uid="{DC80BB2F-75EA-417B-A758-591CA32F24E3}"/>
    <cellStyle name="Normal 5 2 3 2 3 3 2 5" xfId="21328" xr:uid="{9FAA0F30-37D9-4276-83CC-9BBC3CDD4C13}"/>
    <cellStyle name="Normal 5 2 3 2 3 3 3" xfId="5627" xr:uid="{00000000-0005-0000-0000-000065180000}"/>
    <cellStyle name="Normal 5 2 3 2 3 3 3 2" xfId="14953" xr:uid="{28817858-E949-4339-9CD0-C8741592F508}"/>
    <cellStyle name="Normal 5 2 3 2 3 3 3 2 2" xfId="51295" xr:uid="{F62B15AF-840D-4353-81B7-215C5E544709}"/>
    <cellStyle name="Normal 5 2 3 2 3 3 3 2 3" xfId="32699" xr:uid="{D7BA8C8A-E915-466E-BAF2-4FC48AF7996D}"/>
    <cellStyle name="Normal 5 2 3 2 3 3 3 3" xfId="41998" xr:uid="{7A952AB7-5D9C-414A-861D-543F39309F86}"/>
    <cellStyle name="Normal 5 2 3 2 3 3 3 4" xfId="23400" xr:uid="{34979B81-466B-4D9F-9413-F0419920C18B}"/>
    <cellStyle name="Normal 5 2 3 2 3 3 4" xfId="10736" xr:uid="{E2799773-CAE4-443D-A644-FBD1431F9ECA}"/>
    <cellStyle name="Normal 5 2 3 2 3 3 4 2" xfId="47078" xr:uid="{B53DA43C-423B-4039-BD6A-EF3362ABFF81}"/>
    <cellStyle name="Normal 5 2 3 2 3 3 4 3" xfId="28482" xr:uid="{5FAFC531-238E-433C-B537-40DA06694DBC}"/>
    <cellStyle name="Normal 5 2 3 2 3 3 5" xfId="37781" xr:uid="{C390F07E-6A39-46BE-8BE7-6EAA91CCD4CE}"/>
    <cellStyle name="Normal 5 2 3 2 3 3 6" xfId="19183" xr:uid="{2F86758B-DB2A-44CD-B8D7-24A6CAA2E709}"/>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17511" xr:uid="{C60339E2-4AE3-4C16-9B65-C7ADE7CDF43E}"/>
    <cellStyle name="Normal 5 2 3 2 3 4 2 2 2 2" xfId="53853" xr:uid="{F8BA389F-DEAD-4B0F-9B2D-75C8C756985B}"/>
    <cellStyle name="Normal 5 2 3 2 3 4 2 2 2 3" xfId="35257" xr:uid="{3D8767ED-7AC2-45DF-9A51-D4AC5ADE0534}"/>
    <cellStyle name="Normal 5 2 3 2 3 4 2 2 3" xfId="44556" xr:uid="{754746B2-7712-47E7-BC94-22F64A497C4E}"/>
    <cellStyle name="Normal 5 2 3 2 3 4 2 2 4" xfId="25958" xr:uid="{3DBF9486-9F93-42D1-959D-642F4B363594}"/>
    <cellStyle name="Normal 5 2 3 2 3 4 2 3" xfId="13294" xr:uid="{60823071-85E0-4FF1-AAD5-129EDB32ACA9}"/>
    <cellStyle name="Normal 5 2 3 2 3 4 2 3 2" xfId="49636" xr:uid="{249FF354-2710-4805-806B-D1345708451F}"/>
    <cellStyle name="Normal 5 2 3 2 3 4 2 3 3" xfId="31040" xr:uid="{DA3A537B-66CF-40F2-B096-EA918C22EBA9}"/>
    <cellStyle name="Normal 5 2 3 2 3 4 2 4" xfId="40339" xr:uid="{4DC64F1F-8134-443F-A4B7-3F6DFD2F2A9B}"/>
    <cellStyle name="Normal 5 2 3 2 3 4 2 5" xfId="21741" xr:uid="{302E08A2-93CA-4270-8C1F-2EE1FCA0574A}"/>
    <cellStyle name="Normal 5 2 3 2 3 4 3" xfId="6040" xr:uid="{00000000-0005-0000-0000-000069180000}"/>
    <cellStyle name="Normal 5 2 3 2 3 4 3 2" xfId="15366" xr:uid="{C0ADB2C5-BCDA-4334-B95E-409B653A2AB6}"/>
    <cellStyle name="Normal 5 2 3 2 3 4 3 2 2" xfId="51708" xr:uid="{BC7E8A05-4FFC-4DBE-AC31-7911F28C3D2E}"/>
    <cellStyle name="Normal 5 2 3 2 3 4 3 2 3" xfId="33112" xr:uid="{33D9BC29-7C12-45F3-BF19-C1EA16E235B9}"/>
    <cellStyle name="Normal 5 2 3 2 3 4 3 3" xfId="42411" xr:uid="{42CAB108-9F64-4140-A88A-DE6B96E4D771}"/>
    <cellStyle name="Normal 5 2 3 2 3 4 3 4" xfId="23813" xr:uid="{A003FC1A-29C9-4983-8D2B-9508066A3B2D}"/>
    <cellStyle name="Normal 5 2 3 2 3 4 4" xfId="11149" xr:uid="{EAB714B5-19C8-4E5A-9EBE-E2349FB44746}"/>
    <cellStyle name="Normal 5 2 3 2 3 4 4 2" xfId="47491" xr:uid="{63415C39-BD88-4381-BBF8-771F44751F98}"/>
    <cellStyle name="Normal 5 2 3 2 3 4 4 3" xfId="28895" xr:uid="{AA588540-EF70-4587-88C6-6330119338B4}"/>
    <cellStyle name="Normal 5 2 3 2 3 4 5" xfId="38194" xr:uid="{D810219B-9E52-46CA-805A-52274ABAF2E3}"/>
    <cellStyle name="Normal 5 2 3 2 3 4 6" xfId="19596" xr:uid="{B2542471-D682-4208-A87E-104E36535808}"/>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17924" xr:uid="{00B8B84F-CDA8-4399-A142-A16028963910}"/>
    <cellStyle name="Normal 5 2 3 2 3 5 2 2 2 2" xfId="54266" xr:uid="{DF05E17F-75EE-4C17-8641-0D1171239D7F}"/>
    <cellStyle name="Normal 5 2 3 2 3 5 2 2 2 3" xfId="35670" xr:uid="{F6D564B0-EB17-4B7C-AEBC-5AC2953A850D}"/>
    <cellStyle name="Normal 5 2 3 2 3 5 2 2 3" xfId="44969" xr:uid="{16F95E01-6162-4392-A0F7-1DA91C3341A1}"/>
    <cellStyle name="Normal 5 2 3 2 3 5 2 2 4" xfId="26371" xr:uid="{3286C61C-7604-4A45-AC91-22A50C934FFA}"/>
    <cellStyle name="Normal 5 2 3 2 3 5 2 3" xfId="13707" xr:uid="{43D89B97-F265-40B5-BFCE-989FCE683B31}"/>
    <cellStyle name="Normal 5 2 3 2 3 5 2 3 2" xfId="50049" xr:uid="{C1B03EF5-F240-4501-B02B-3783244F14E1}"/>
    <cellStyle name="Normal 5 2 3 2 3 5 2 3 3" xfId="31453" xr:uid="{9D96BBBB-B0C1-4DA3-BFCF-53B30B8A1ED5}"/>
    <cellStyle name="Normal 5 2 3 2 3 5 2 4" xfId="40752" xr:uid="{167A3671-01F1-4BB8-BB72-DC634CF58827}"/>
    <cellStyle name="Normal 5 2 3 2 3 5 2 5" xfId="22154" xr:uid="{63064878-7D68-4420-A0F6-3FD068F351F2}"/>
    <cellStyle name="Normal 5 2 3 2 3 5 3" xfId="6453" xr:uid="{00000000-0005-0000-0000-00006D180000}"/>
    <cellStyle name="Normal 5 2 3 2 3 5 3 2" xfId="15779" xr:uid="{65139EC3-C9E5-4991-BACA-A6380D945E11}"/>
    <cellStyle name="Normal 5 2 3 2 3 5 3 2 2" xfId="52121" xr:uid="{CF05FD1D-88F3-4982-9455-F28CA1F519DB}"/>
    <cellStyle name="Normal 5 2 3 2 3 5 3 2 3" xfId="33525" xr:uid="{0D053224-3DAF-4BFD-8C0C-B57B9B818A65}"/>
    <cellStyle name="Normal 5 2 3 2 3 5 3 3" xfId="42824" xr:uid="{58475150-A938-4254-A5AC-4F9A7708639B}"/>
    <cellStyle name="Normal 5 2 3 2 3 5 3 4" xfId="24226" xr:uid="{5C2529C0-2C22-49CF-B525-C42C83DD09BF}"/>
    <cellStyle name="Normal 5 2 3 2 3 5 4" xfId="11562" xr:uid="{13AA83A2-8371-402A-821B-E6512987C9FF}"/>
    <cellStyle name="Normal 5 2 3 2 3 5 4 2" xfId="47904" xr:uid="{A9035312-4818-4416-A99A-138300113C40}"/>
    <cellStyle name="Normal 5 2 3 2 3 5 4 3" xfId="29308" xr:uid="{038E0BF8-E7D8-440B-A129-692534101AEE}"/>
    <cellStyle name="Normal 5 2 3 2 3 5 5" xfId="38607" xr:uid="{51D37E81-CDC6-47F1-9C08-7D9D0E89615F}"/>
    <cellStyle name="Normal 5 2 3 2 3 5 6" xfId="20009" xr:uid="{AD01D05D-641A-4D88-BCA5-2B47A66D08CB}"/>
    <cellStyle name="Normal 5 2 3 2 3 6" xfId="2583" xr:uid="{00000000-0005-0000-0000-00006E180000}"/>
    <cellStyle name="Normal 5 2 3 2 3 6 2" xfId="6866" xr:uid="{00000000-0005-0000-0000-00006F180000}"/>
    <cellStyle name="Normal 5 2 3 2 3 6 2 2" xfId="16192" xr:uid="{D0FCC80D-9A24-4444-807F-2A752BA4523C}"/>
    <cellStyle name="Normal 5 2 3 2 3 6 2 2 2" xfId="52534" xr:uid="{449338F5-3E06-4ECE-B470-D7DF880F935F}"/>
    <cellStyle name="Normal 5 2 3 2 3 6 2 2 3" xfId="33938" xr:uid="{31CE60A2-F133-4EFE-AC4B-A486B5D10E70}"/>
    <cellStyle name="Normal 5 2 3 2 3 6 2 3" xfId="43237" xr:uid="{B56A8813-91D3-4B7D-A9C4-D3FA32AB533D}"/>
    <cellStyle name="Normal 5 2 3 2 3 6 2 4" xfId="24639" xr:uid="{636F4F2E-D3F1-4185-998E-3DE1F643170D}"/>
    <cellStyle name="Normal 5 2 3 2 3 6 3" xfId="11975" xr:uid="{A947C7E4-B2E4-46DD-A5B7-8D014CB1942B}"/>
    <cellStyle name="Normal 5 2 3 2 3 6 3 2" xfId="48317" xr:uid="{664D79BB-CF03-46F4-9709-7755D0F518D5}"/>
    <cellStyle name="Normal 5 2 3 2 3 6 3 3" xfId="29721" xr:uid="{AF47BBD7-5337-4DE6-ACB6-4E6413840AD4}"/>
    <cellStyle name="Normal 5 2 3 2 3 6 4" xfId="39020" xr:uid="{9A0264B7-1079-4981-BFE7-1F2FC8749D6B}"/>
    <cellStyle name="Normal 5 2 3 2 3 6 5" xfId="20422" xr:uid="{EFF7C636-74CB-4B4E-BF01-FE9BE770C44A}"/>
    <cellStyle name="Normal 5 2 3 2 3 7" xfId="4801" xr:uid="{00000000-0005-0000-0000-000070180000}"/>
    <cellStyle name="Normal 5 2 3 2 3 7 2" xfId="14127" xr:uid="{DCC01091-7185-4E60-9C2A-63A18559DEC4}"/>
    <cellStyle name="Normal 5 2 3 2 3 7 2 2" xfId="50469" xr:uid="{FCBC755A-3DA6-44BE-85C4-5C8B7C02DFBB}"/>
    <cellStyle name="Normal 5 2 3 2 3 7 2 3" xfId="31873" xr:uid="{B6AAF033-B782-4EF4-96AF-17481930EA08}"/>
    <cellStyle name="Normal 5 2 3 2 3 7 3" xfId="41172" xr:uid="{B6BCB420-5B07-4A76-ACF5-1AF1795E9962}"/>
    <cellStyle name="Normal 5 2 3 2 3 7 4" xfId="22574" xr:uid="{FF360FE6-B9D1-4ECA-93CE-2C582958E9ED}"/>
    <cellStyle name="Normal 5 2 3 2 3 8" xfId="9037" xr:uid="{EED46D7F-EFCD-4AC1-931D-AB06B694E7BE}"/>
    <cellStyle name="Normal 5 2 3 2 3 8 2" xfId="36107" xr:uid="{307BCB56-D90D-4F71-88D9-702FA1924168}"/>
    <cellStyle name="Normal 5 2 3 2 3 8 2 2" xfId="54702" xr:uid="{96B4BF39-0B73-4CD6-B985-F3F009132165}"/>
    <cellStyle name="Normal 5 2 3 2 3 8 3" xfId="45405" xr:uid="{1879A9E3-66F7-40CC-8950-21E1B1717871}"/>
    <cellStyle name="Normal 5 2 3 2 3 8 4" xfId="26808" xr:uid="{F8057615-E38D-4F17-825F-4CB06423829F}"/>
    <cellStyle name="Normal 5 2 3 2 3 9" xfId="9910" xr:uid="{CC0FA875-673F-4E96-9CE2-194890BF2DE5}"/>
    <cellStyle name="Normal 5 2 3 2 3 9 2" xfId="46252" xr:uid="{AE50A1EC-58F0-4ADC-B0A5-4AF96A5AD4BD}"/>
    <cellStyle name="Normal 5 2 3 2 3 9 3" xfId="27656" xr:uid="{9266147D-06EE-4F25-8E8C-5CB695F3FABA}"/>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16682" xr:uid="{9D880FE0-8264-4B08-94BC-21852DF179BA}"/>
    <cellStyle name="Normal 5 2 3 2 4 2 2 2 2" xfId="53024" xr:uid="{C5F40AED-7E23-493C-B22C-5516F0E474FB}"/>
    <cellStyle name="Normal 5 2 3 2 4 2 2 2 3" xfId="34428" xr:uid="{904E17F9-1912-4366-AA3E-A5833534DD0D}"/>
    <cellStyle name="Normal 5 2 3 2 4 2 2 3" xfId="43727" xr:uid="{161A7646-C9C1-4BE7-A6EA-D6F7AA317CE5}"/>
    <cellStyle name="Normal 5 2 3 2 4 2 2 4" xfId="25129" xr:uid="{DACCE209-6A78-43BE-BBE5-89CA1F6641E2}"/>
    <cellStyle name="Normal 5 2 3 2 4 2 3" xfId="12465" xr:uid="{6981E4DE-C2FD-4CB8-8DA0-2D0BC70BA404}"/>
    <cellStyle name="Normal 5 2 3 2 4 2 3 2" xfId="48807" xr:uid="{A0308650-B5C8-4BD0-98A0-4D4A7E73366F}"/>
    <cellStyle name="Normal 5 2 3 2 4 2 3 3" xfId="30211" xr:uid="{8BB13C76-0392-4003-A687-9C2958AEF4A5}"/>
    <cellStyle name="Normal 5 2 3 2 4 2 4" xfId="39510" xr:uid="{B038C18E-B2D9-472E-B31E-9459487F7DAB}"/>
    <cellStyle name="Normal 5 2 3 2 4 2 5" xfId="20912" xr:uid="{E7349E63-2E23-4DA2-A495-A998C3DFF4D3}"/>
    <cellStyle name="Normal 5 2 3 2 4 3" xfId="5211" xr:uid="{00000000-0005-0000-0000-000074180000}"/>
    <cellStyle name="Normal 5 2 3 2 4 3 2" xfId="14537" xr:uid="{B7E46FA7-6D8A-4F06-90A7-8B0177B77450}"/>
    <cellStyle name="Normal 5 2 3 2 4 3 2 2" xfId="50879" xr:uid="{935B0511-034B-4E4D-A0C8-239380795266}"/>
    <cellStyle name="Normal 5 2 3 2 4 3 2 3" xfId="32283" xr:uid="{766308F0-1D11-44CA-A703-9E775A8AF228}"/>
    <cellStyle name="Normal 5 2 3 2 4 3 3" xfId="41582" xr:uid="{E5B15F00-1DE7-4C22-B7AF-4C817F52A50A}"/>
    <cellStyle name="Normal 5 2 3 2 4 3 4" xfId="22984" xr:uid="{C8CE430F-AC80-4355-A8B9-6ED8595FE255}"/>
    <cellStyle name="Normal 5 2 3 2 4 4" xfId="9255" xr:uid="{C5A161BB-6C4F-4A9D-BBA7-7500B0B26A70}"/>
    <cellStyle name="Normal 5 2 3 2 4 4 2" xfId="36316" xr:uid="{12211D2E-5F32-4615-A876-62BE13667E5B}"/>
    <cellStyle name="Normal 5 2 3 2 4 4 2 2" xfId="54910" xr:uid="{2516FC5A-CAEB-406B-B68E-2BDA7CAA82AA}"/>
    <cellStyle name="Normal 5 2 3 2 4 4 3" xfId="45613" xr:uid="{FD2339B2-68B4-4AEE-851A-6CEBD9352EFD}"/>
    <cellStyle name="Normal 5 2 3 2 4 4 4" xfId="27017" xr:uid="{1A389D4E-1696-48C8-BA96-9F019F5C2FA3}"/>
    <cellStyle name="Normal 5 2 3 2 4 5" xfId="10320" xr:uid="{AF8662F0-4EA1-42E8-9EC9-133079E3286B}"/>
    <cellStyle name="Normal 5 2 3 2 4 5 2" xfId="46662" xr:uid="{AA7E6EEC-2B65-4158-B72B-B7F82B0FAC00}"/>
    <cellStyle name="Normal 5 2 3 2 4 5 3" xfId="28066" xr:uid="{9B4E1873-7D6A-485E-AEEF-13FBB27C19D7}"/>
    <cellStyle name="Normal 5 2 3 2 4 6" xfId="37365" xr:uid="{8334174C-F9F1-4CE5-8EED-E592025889E1}"/>
    <cellStyle name="Normal 5 2 3 2 4 7" xfId="18767" xr:uid="{BDACEE3C-272B-44B3-821A-9551FF98D809}"/>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17095" xr:uid="{8E222D31-DE43-42CB-974C-36A9162126A1}"/>
    <cellStyle name="Normal 5 2 3 2 5 2 2 2 2" xfId="53437" xr:uid="{125A5A88-0B22-4A52-B8B3-DE4FBED8B6AE}"/>
    <cellStyle name="Normal 5 2 3 2 5 2 2 2 3" xfId="34841" xr:uid="{424402A7-F234-4448-8BCC-A02E34FDD775}"/>
    <cellStyle name="Normal 5 2 3 2 5 2 2 3" xfId="44140" xr:uid="{CCF93F63-01ED-4AD9-9017-A02A4241EE36}"/>
    <cellStyle name="Normal 5 2 3 2 5 2 2 4" xfId="25542" xr:uid="{B8D49783-3826-4927-9155-F019D61DA30F}"/>
    <cellStyle name="Normal 5 2 3 2 5 2 3" xfId="12878" xr:uid="{2D2633E0-B15F-4998-B9E6-8CFCF27FDDEC}"/>
    <cellStyle name="Normal 5 2 3 2 5 2 3 2" xfId="49220" xr:uid="{C370F4C7-811D-477A-994F-A896618E2CA0}"/>
    <cellStyle name="Normal 5 2 3 2 5 2 3 3" xfId="30624" xr:uid="{1F90C953-243E-43AA-B60A-6A806AE38221}"/>
    <cellStyle name="Normal 5 2 3 2 5 2 4" xfId="39923" xr:uid="{5DA075E9-189D-4727-B4D7-2895C3711B9C}"/>
    <cellStyle name="Normal 5 2 3 2 5 2 5" xfId="21325" xr:uid="{CF443DE6-B845-4CDE-AFA0-AB8F1339428D}"/>
    <cellStyle name="Normal 5 2 3 2 5 3" xfId="5624" xr:uid="{00000000-0005-0000-0000-000078180000}"/>
    <cellStyle name="Normal 5 2 3 2 5 3 2" xfId="14950" xr:uid="{FF195233-A33E-4AA7-8E61-D2A5BB5C6F12}"/>
    <cellStyle name="Normal 5 2 3 2 5 3 2 2" xfId="51292" xr:uid="{F4BC9C20-C21A-4C41-9594-32BD16438297}"/>
    <cellStyle name="Normal 5 2 3 2 5 3 2 3" xfId="32696" xr:uid="{A51D30B3-C3AC-4766-84BF-84DD8E8A8D29}"/>
    <cellStyle name="Normal 5 2 3 2 5 3 3" xfId="41995" xr:uid="{A2A91497-6FFA-4B8A-BE45-884720C849F2}"/>
    <cellStyle name="Normal 5 2 3 2 5 3 4" xfId="23397" xr:uid="{DD61184B-E2B7-4C70-979D-E6DB990FC0ED}"/>
    <cellStyle name="Normal 5 2 3 2 5 4" xfId="10733" xr:uid="{CA0ED485-643B-49AF-BDCE-5B5233EDE7D9}"/>
    <cellStyle name="Normal 5 2 3 2 5 4 2" xfId="47075" xr:uid="{4B311619-4C49-4C69-BF3F-23DA4E57B61B}"/>
    <cellStyle name="Normal 5 2 3 2 5 4 3" xfId="28479" xr:uid="{855C3E19-F886-47EE-968E-40BA65BC72D1}"/>
    <cellStyle name="Normal 5 2 3 2 5 5" xfId="37778" xr:uid="{C7E80774-C7E6-46BF-9490-3AAB5030ED80}"/>
    <cellStyle name="Normal 5 2 3 2 5 6" xfId="19180" xr:uid="{E8E58379-25DE-4029-AA4D-75E386A77C11}"/>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17508" xr:uid="{3FA6424B-030B-406E-AC36-01CFCB83B7EE}"/>
    <cellStyle name="Normal 5 2 3 2 6 2 2 2 2" xfId="53850" xr:uid="{35B82814-67B1-4318-B991-58DA132DC365}"/>
    <cellStyle name="Normal 5 2 3 2 6 2 2 2 3" xfId="35254" xr:uid="{477E78D8-A43F-44B6-94DE-9BB3DDB70BA6}"/>
    <cellStyle name="Normal 5 2 3 2 6 2 2 3" xfId="44553" xr:uid="{F5FBB193-384B-4391-9957-F16241213F65}"/>
    <cellStyle name="Normal 5 2 3 2 6 2 2 4" xfId="25955" xr:uid="{270D1035-6639-441A-9299-8C3ECFBC1D0D}"/>
    <cellStyle name="Normal 5 2 3 2 6 2 3" xfId="13291" xr:uid="{CCC45FA5-B1F1-4662-8BAC-1F07B55C0879}"/>
    <cellStyle name="Normal 5 2 3 2 6 2 3 2" xfId="49633" xr:uid="{A3D67EA1-4E6B-4B27-8209-C27A88148B09}"/>
    <cellStyle name="Normal 5 2 3 2 6 2 3 3" xfId="31037" xr:uid="{44303223-4B39-46BC-982D-C904570A11A5}"/>
    <cellStyle name="Normal 5 2 3 2 6 2 4" xfId="40336" xr:uid="{95BCEC39-CF85-4D39-8A5B-851C573DC726}"/>
    <cellStyle name="Normal 5 2 3 2 6 2 5" xfId="21738" xr:uid="{0B51BD5B-BD97-431E-9FC8-C0BE2C060833}"/>
    <cellStyle name="Normal 5 2 3 2 6 3" xfId="6037" xr:uid="{00000000-0005-0000-0000-00007C180000}"/>
    <cellStyle name="Normal 5 2 3 2 6 3 2" xfId="15363" xr:uid="{3F750D79-6565-4C12-8312-12698BBBEE22}"/>
    <cellStyle name="Normal 5 2 3 2 6 3 2 2" xfId="51705" xr:uid="{D27CEB6B-B949-4DA3-BEFA-A7F1B5A96EE7}"/>
    <cellStyle name="Normal 5 2 3 2 6 3 2 3" xfId="33109" xr:uid="{AE57F111-D42F-45B5-B8D3-937EDF09D1FD}"/>
    <cellStyle name="Normal 5 2 3 2 6 3 3" xfId="42408" xr:uid="{753F7B61-C641-416B-B185-DE9A9C0F581C}"/>
    <cellStyle name="Normal 5 2 3 2 6 3 4" xfId="23810" xr:uid="{F3652649-120C-4A50-833E-9DF1CE5CD6A9}"/>
    <cellStyle name="Normal 5 2 3 2 6 4" xfId="11146" xr:uid="{E8F3E331-77A7-495B-99AA-D953540AF823}"/>
    <cellStyle name="Normal 5 2 3 2 6 4 2" xfId="47488" xr:uid="{D91BCBB9-8958-49C9-AAE6-F3FEFF9A24C3}"/>
    <cellStyle name="Normal 5 2 3 2 6 4 3" xfId="28892" xr:uid="{866D4044-0A63-4457-82EB-6D5527A58A5A}"/>
    <cellStyle name="Normal 5 2 3 2 6 5" xfId="38191" xr:uid="{567C8578-4A7D-49F6-87A6-CA5F6E2436A1}"/>
    <cellStyle name="Normal 5 2 3 2 6 6" xfId="19593" xr:uid="{95F0599F-D8EE-42C0-B231-347DDE823746}"/>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17921" xr:uid="{46096E3D-B7F8-4171-8B42-7FF0EA8F2879}"/>
    <cellStyle name="Normal 5 2 3 2 7 2 2 2 2" xfId="54263" xr:uid="{4C782A7A-F724-46D2-95F5-C195E28DA93D}"/>
    <cellStyle name="Normal 5 2 3 2 7 2 2 2 3" xfId="35667" xr:uid="{18C0FED6-A94C-4B12-98D1-1796179493FC}"/>
    <cellStyle name="Normal 5 2 3 2 7 2 2 3" xfId="44966" xr:uid="{A8A3CC0C-D482-4F6B-8650-745CD2225BA8}"/>
    <cellStyle name="Normal 5 2 3 2 7 2 2 4" xfId="26368" xr:uid="{2B8668E4-FC43-4B7D-AB0E-BFA69E0724EF}"/>
    <cellStyle name="Normal 5 2 3 2 7 2 3" xfId="13704" xr:uid="{346F56B8-1F06-4AAD-ABA1-7064C63E7C36}"/>
    <cellStyle name="Normal 5 2 3 2 7 2 3 2" xfId="50046" xr:uid="{57490F67-C950-4272-9425-14036EF08A82}"/>
    <cellStyle name="Normal 5 2 3 2 7 2 3 3" xfId="31450" xr:uid="{58D3C36A-E9AE-4C3F-924F-CE3395A20E1B}"/>
    <cellStyle name="Normal 5 2 3 2 7 2 4" xfId="40749" xr:uid="{710E0025-EC71-4719-934E-962099EB110E}"/>
    <cellStyle name="Normal 5 2 3 2 7 2 5" xfId="22151" xr:uid="{2897D266-9B33-4969-8891-D258BA86C213}"/>
    <cellStyle name="Normal 5 2 3 2 7 3" xfId="6450" xr:uid="{00000000-0005-0000-0000-000080180000}"/>
    <cellStyle name="Normal 5 2 3 2 7 3 2" xfId="15776" xr:uid="{621DE096-8A61-43AE-9CCD-78654A3BCA1F}"/>
    <cellStyle name="Normal 5 2 3 2 7 3 2 2" xfId="52118" xr:uid="{AF718696-8207-41EF-95EB-812BFD3336A4}"/>
    <cellStyle name="Normal 5 2 3 2 7 3 2 3" xfId="33522" xr:uid="{C170ACB4-4708-4BFB-8EC4-F1A3817168CC}"/>
    <cellStyle name="Normal 5 2 3 2 7 3 3" xfId="42821" xr:uid="{FB327FC6-3506-444F-BECB-3D7FBA1F142C}"/>
    <cellStyle name="Normal 5 2 3 2 7 3 4" xfId="24223" xr:uid="{9BCA1232-71E7-44D1-97C0-019869455C52}"/>
    <cellStyle name="Normal 5 2 3 2 7 4" xfId="11559" xr:uid="{7F44F7E8-DEE6-4832-8442-EDDF556C7D47}"/>
    <cellStyle name="Normal 5 2 3 2 7 4 2" xfId="47901" xr:uid="{C6B9D9BC-2BF0-4D45-845F-F68910B483D9}"/>
    <cellStyle name="Normal 5 2 3 2 7 4 3" xfId="29305" xr:uid="{3D922513-4901-41DE-894D-31D84D502E1B}"/>
    <cellStyle name="Normal 5 2 3 2 7 5" xfId="38604" xr:uid="{80AC2390-9882-4F8A-97B7-B48E04E3EAF9}"/>
    <cellStyle name="Normal 5 2 3 2 7 6" xfId="20006" xr:uid="{82CAED96-968F-48AF-9449-BD98761245FF}"/>
    <cellStyle name="Normal 5 2 3 2 8" xfId="2580" xr:uid="{00000000-0005-0000-0000-000081180000}"/>
    <cellStyle name="Normal 5 2 3 2 8 2" xfId="6863" xr:uid="{00000000-0005-0000-0000-000082180000}"/>
    <cellStyle name="Normal 5 2 3 2 8 2 2" xfId="16189" xr:uid="{7640D009-1D71-40A4-8E4A-8BD71D718D20}"/>
    <cellStyle name="Normal 5 2 3 2 8 2 2 2" xfId="52531" xr:uid="{BD053818-CC49-46B5-BCF1-70E09F4CD259}"/>
    <cellStyle name="Normal 5 2 3 2 8 2 2 3" xfId="33935" xr:uid="{B70EBD6A-BA87-4A1C-B44B-6F4D6A4CBE96}"/>
    <cellStyle name="Normal 5 2 3 2 8 2 3" xfId="43234" xr:uid="{569F0F5C-8CAA-4C8B-B307-0B7F9D260E5F}"/>
    <cellStyle name="Normal 5 2 3 2 8 2 4" xfId="24636" xr:uid="{086BDFB2-1864-4F46-87F7-4A7A2307819D}"/>
    <cellStyle name="Normal 5 2 3 2 8 3" xfId="11972" xr:uid="{4C7502CC-72FD-4DFD-AD66-23D2EA2948C8}"/>
    <cellStyle name="Normal 5 2 3 2 8 3 2" xfId="48314" xr:uid="{8879EE0C-1AAD-415D-AE91-19532685A2D1}"/>
    <cellStyle name="Normal 5 2 3 2 8 3 3" xfId="29718" xr:uid="{62BB25B3-9492-4750-AA7D-2F5102BE7B47}"/>
    <cellStyle name="Normal 5 2 3 2 8 4" xfId="39017" xr:uid="{E4A085B9-2FED-46C3-BABA-D08A22EE6B31}"/>
    <cellStyle name="Normal 5 2 3 2 8 5" xfId="20419" xr:uid="{0408FEB4-24E0-49B7-8A22-5C7AEF35A1B0}"/>
    <cellStyle name="Normal 5 2 3 2 9" xfId="4798" xr:uid="{00000000-0005-0000-0000-000083180000}"/>
    <cellStyle name="Normal 5 2 3 2 9 2" xfId="14124" xr:uid="{4C82F7D9-B779-4C99-9A6E-E864CD445269}"/>
    <cellStyle name="Normal 5 2 3 2 9 2 2" xfId="50466" xr:uid="{DC534030-5979-48A5-A76F-BDB1534C2AC8}"/>
    <cellStyle name="Normal 5 2 3 2 9 2 3" xfId="31870" xr:uid="{0EDEA393-39B8-4964-B159-6AC20A8AE80C}"/>
    <cellStyle name="Normal 5 2 3 2 9 3" xfId="41169" xr:uid="{0ECE0667-4380-4959-BD9C-285528B73DFE}"/>
    <cellStyle name="Normal 5 2 3 2 9 4" xfId="22571" xr:uid="{CE8AECEF-8B5C-48D6-AE7E-4E75384FFC50}"/>
    <cellStyle name="Normal 5 2 3 3" xfId="429" xr:uid="{00000000-0005-0000-0000-000084180000}"/>
    <cellStyle name="Normal 5 2 3 3 10" xfId="9911" xr:uid="{4814BE25-6A47-469C-9777-63FBE5B3E5E4}"/>
    <cellStyle name="Normal 5 2 3 3 10 2" xfId="46253" xr:uid="{6EABA2DC-CB1A-47FA-8494-2BC3C806A089}"/>
    <cellStyle name="Normal 5 2 3 3 10 3" xfId="27657" xr:uid="{3D031F2D-E066-4AA8-BE67-B1CF0344ADDD}"/>
    <cellStyle name="Normal 5 2 3 3 11" xfId="36956" xr:uid="{F1F87780-519A-4DD0-AE1E-7EADDB611766}"/>
    <cellStyle name="Normal 5 2 3 3 12" xfId="18358" xr:uid="{3DA669B6-EF9F-4899-97C4-0126697508B2}"/>
    <cellStyle name="Normal 5 2 3 3 2" xfId="430" xr:uid="{00000000-0005-0000-0000-000085180000}"/>
    <cellStyle name="Normal 5 2 3 3 2 10" xfId="36957" xr:uid="{F9FE5DD7-D0DA-46E1-B71E-72B107054FA5}"/>
    <cellStyle name="Normal 5 2 3 3 2 11" xfId="18359" xr:uid="{13C8D575-BEF9-4A3F-99C4-0130E2304CE3}"/>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16687" xr:uid="{68F1F1D1-DF64-4A9B-AFCA-D5617AA979F7}"/>
    <cellStyle name="Normal 5 2 3 3 2 2 2 2 2 2" xfId="53029" xr:uid="{13C55D1C-515D-4E0E-BD19-B67442B6EC53}"/>
    <cellStyle name="Normal 5 2 3 3 2 2 2 2 2 3" xfId="34433" xr:uid="{25BA72D6-ECE9-4A87-BC4C-41628F324353}"/>
    <cellStyle name="Normal 5 2 3 3 2 2 2 2 3" xfId="43732" xr:uid="{59C200D3-DA75-47A7-8526-3B50E2071777}"/>
    <cellStyle name="Normal 5 2 3 3 2 2 2 2 4" xfId="25134" xr:uid="{4E0AF3C5-268E-4F9B-85CD-51BDB37F1257}"/>
    <cellStyle name="Normal 5 2 3 3 2 2 2 3" xfId="12470" xr:uid="{F652EC81-41E0-4323-95C3-6404103C961A}"/>
    <cellStyle name="Normal 5 2 3 3 2 2 2 3 2" xfId="48812" xr:uid="{B36367B8-02B8-48AA-86CB-A7F2512E09AD}"/>
    <cellStyle name="Normal 5 2 3 3 2 2 2 3 3" xfId="30216" xr:uid="{3A79A0FA-28A3-4DAA-9A08-00336C89EE75}"/>
    <cellStyle name="Normal 5 2 3 3 2 2 2 4" xfId="39515" xr:uid="{AE729F7C-DE8D-42FE-BD25-2B41C02F70D8}"/>
    <cellStyle name="Normal 5 2 3 3 2 2 2 5" xfId="20917" xr:uid="{EB59CAA8-1803-4141-A203-B22F980056C1}"/>
    <cellStyle name="Normal 5 2 3 3 2 2 3" xfId="5216" xr:uid="{00000000-0005-0000-0000-000089180000}"/>
    <cellStyle name="Normal 5 2 3 3 2 2 3 2" xfId="14542" xr:uid="{040D51E1-9E4A-4440-962A-830B143FC977}"/>
    <cellStyle name="Normal 5 2 3 3 2 2 3 2 2" xfId="50884" xr:uid="{65ADD5A7-55DF-4FEB-9F81-7414D1869973}"/>
    <cellStyle name="Normal 5 2 3 3 2 2 3 2 3" xfId="32288" xr:uid="{CDD7D9E2-76B1-49B5-A808-3A1900BB33FA}"/>
    <cellStyle name="Normal 5 2 3 3 2 2 3 3" xfId="41587" xr:uid="{26054501-0FD8-4C84-BA95-BFF1C26F3A74}"/>
    <cellStyle name="Normal 5 2 3 3 2 2 3 4" xfId="22989" xr:uid="{835558C2-3E49-422A-842B-C98C2A376DB1}"/>
    <cellStyle name="Normal 5 2 3 3 2 2 4" xfId="9511" xr:uid="{75EF02F8-0397-4B30-A858-343ADCA7C08D}"/>
    <cellStyle name="Normal 5 2 3 3 2 2 4 2" xfId="36572" xr:uid="{B5306EAF-3EB4-4793-83C5-E084866FB6ED}"/>
    <cellStyle name="Normal 5 2 3 3 2 2 4 2 2" xfId="55166" xr:uid="{233D3EB1-5CA7-4EE9-BF0C-ECCF635BFC11}"/>
    <cellStyle name="Normal 5 2 3 3 2 2 4 3" xfId="45869" xr:uid="{9A397609-8FE7-47F1-B197-DF88F8A2E0C9}"/>
    <cellStyle name="Normal 5 2 3 3 2 2 4 4" xfId="27273" xr:uid="{55F667C2-3FFF-4AC3-8E97-BED7FA8B307E}"/>
    <cellStyle name="Normal 5 2 3 3 2 2 5" xfId="10325" xr:uid="{747DCE1D-0AA0-4750-A1F1-D9805BE0BE6E}"/>
    <cellStyle name="Normal 5 2 3 3 2 2 5 2" xfId="46667" xr:uid="{923668DC-984C-439E-9516-377C3D74F8F8}"/>
    <cellStyle name="Normal 5 2 3 3 2 2 5 3" xfId="28071" xr:uid="{8A025128-7063-41D5-8654-857469AC92D5}"/>
    <cellStyle name="Normal 5 2 3 3 2 2 6" xfId="37370" xr:uid="{5F922A76-35C2-4582-928C-5D2DF25FE2CD}"/>
    <cellStyle name="Normal 5 2 3 3 2 2 7" xfId="18772" xr:uid="{F24AC8AF-9750-43B7-8F2B-63F7EB477773}"/>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17100" xr:uid="{22F4DBC6-019D-422D-9389-E7780CADCE44}"/>
    <cellStyle name="Normal 5 2 3 3 2 3 2 2 2 2" xfId="53442" xr:uid="{95AFD591-2889-450C-BB0E-78FC95EF5131}"/>
    <cellStyle name="Normal 5 2 3 3 2 3 2 2 2 3" xfId="34846" xr:uid="{7F39BF78-0822-45C9-A539-6356574B90A9}"/>
    <cellStyle name="Normal 5 2 3 3 2 3 2 2 3" xfId="44145" xr:uid="{7915CAAF-050B-402F-BA01-856DEC5FEC61}"/>
    <cellStyle name="Normal 5 2 3 3 2 3 2 2 4" xfId="25547" xr:uid="{52494019-3F34-42E2-B2A4-E621FA18E576}"/>
    <cellStyle name="Normal 5 2 3 3 2 3 2 3" xfId="12883" xr:uid="{A6A5867E-C935-45F3-A481-B809C6CC7585}"/>
    <cellStyle name="Normal 5 2 3 3 2 3 2 3 2" xfId="49225" xr:uid="{4C54DF18-0425-41A4-8620-68C9B5D6DB79}"/>
    <cellStyle name="Normal 5 2 3 3 2 3 2 3 3" xfId="30629" xr:uid="{E0BE0407-74C1-4EF7-84F5-FFACB6236B82}"/>
    <cellStyle name="Normal 5 2 3 3 2 3 2 4" xfId="39928" xr:uid="{9EF749D2-ABC6-4DA4-A860-B0A7F5D0C284}"/>
    <cellStyle name="Normal 5 2 3 3 2 3 2 5" xfId="21330" xr:uid="{BB792F11-84EB-4F64-905E-8AA61CA5BC5B}"/>
    <cellStyle name="Normal 5 2 3 3 2 3 3" xfId="5629" xr:uid="{00000000-0005-0000-0000-00008D180000}"/>
    <cellStyle name="Normal 5 2 3 3 2 3 3 2" xfId="14955" xr:uid="{82D587E6-FF00-4A47-B973-EBF18728F216}"/>
    <cellStyle name="Normal 5 2 3 3 2 3 3 2 2" xfId="51297" xr:uid="{B8C35E3D-63DA-4263-861E-415A5C220145}"/>
    <cellStyle name="Normal 5 2 3 3 2 3 3 2 3" xfId="32701" xr:uid="{E7D93E97-2CF2-47C4-8F79-BBBBFD869319}"/>
    <cellStyle name="Normal 5 2 3 3 2 3 3 3" xfId="42000" xr:uid="{2BE4E703-0A03-4B05-A413-008FCDC00606}"/>
    <cellStyle name="Normal 5 2 3 3 2 3 3 4" xfId="23402" xr:uid="{4638A419-D1F1-4CA7-870D-79780382D27B}"/>
    <cellStyle name="Normal 5 2 3 3 2 3 4" xfId="10738" xr:uid="{B135DC3A-A3AC-4526-AD9D-70E650806FBF}"/>
    <cellStyle name="Normal 5 2 3 3 2 3 4 2" xfId="47080" xr:uid="{2B9C5EA1-48D9-4891-8A98-A2D37580A0EF}"/>
    <cellStyle name="Normal 5 2 3 3 2 3 4 3" xfId="28484" xr:uid="{A95D9941-5257-43FC-99D1-A5DD1F237BAB}"/>
    <cellStyle name="Normal 5 2 3 3 2 3 5" xfId="37783" xr:uid="{301FF51B-9425-45BD-B37B-5331A459EA0A}"/>
    <cellStyle name="Normal 5 2 3 3 2 3 6" xfId="19185" xr:uid="{70D97BAC-295E-4978-BEF4-7256441E7762}"/>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17513" xr:uid="{92911545-05D0-481E-BC35-49C6E626EB39}"/>
    <cellStyle name="Normal 5 2 3 3 2 4 2 2 2 2" xfId="53855" xr:uid="{A3E911E2-932F-4B52-B431-915121DB35BB}"/>
    <cellStyle name="Normal 5 2 3 3 2 4 2 2 2 3" xfId="35259" xr:uid="{1FB75D57-D63A-4553-A5F8-43D925809369}"/>
    <cellStyle name="Normal 5 2 3 3 2 4 2 2 3" xfId="44558" xr:uid="{C3F14470-8366-4A0C-9FCE-F53AB206573E}"/>
    <cellStyle name="Normal 5 2 3 3 2 4 2 2 4" xfId="25960" xr:uid="{5DFBAE81-8F2C-4B59-A9B4-1D153E9A7F36}"/>
    <cellStyle name="Normal 5 2 3 3 2 4 2 3" xfId="13296" xr:uid="{7BCB3C3D-7544-4233-BEE1-DBF0FA169AD9}"/>
    <cellStyle name="Normal 5 2 3 3 2 4 2 3 2" xfId="49638" xr:uid="{078445D9-8AA7-42EA-9C51-70AAAA9F6E5D}"/>
    <cellStyle name="Normal 5 2 3 3 2 4 2 3 3" xfId="31042" xr:uid="{B4847528-635C-4391-90D3-48428B7D2204}"/>
    <cellStyle name="Normal 5 2 3 3 2 4 2 4" xfId="40341" xr:uid="{5C41CD8C-DEFD-4398-9FC4-3AFC5658D398}"/>
    <cellStyle name="Normal 5 2 3 3 2 4 2 5" xfId="21743" xr:uid="{451766BF-8B28-4512-853F-E46E13C7AD67}"/>
    <cellStyle name="Normal 5 2 3 3 2 4 3" xfId="6042" xr:uid="{00000000-0005-0000-0000-000091180000}"/>
    <cellStyle name="Normal 5 2 3 3 2 4 3 2" xfId="15368" xr:uid="{0369E996-2085-40AE-9645-B0046395C433}"/>
    <cellStyle name="Normal 5 2 3 3 2 4 3 2 2" xfId="51710" xr:uid="{D3C00BA5-731F-440D-96F2-682DB565FF11}"/>
    <cellStyle name="Normal 5 2 3 3 2 4 3 2 3" xfId="33114" xr:uid="{FB67C555-5617-4147-AB48-E944CD27EC0D}"/>
    <cellStyle name="Normal 5 2 3 3 2 4 3 3" xfId="42413" xr:uid="{84CEBB06-FA52-46EE-A2F6-609CACC98749}"/>
    <cellStyle name="Normal 5 2 3 3 2 4 3 4" xfId="23815" xr:uid="{D29F1326-49C4-4B2B-A293-E1256BE9DE05}"/>
    <cellStyle name="Normal 5 2 3 3 2 4 4" xfId="11151" xr:uid="{579C83EB-A974-4914-94E9-1FCE7912ADED}"/>
    <cellStyle name="Normal 5 2 3 3 2 4 4 2" xfId="47493" xr:uid="{77181A99-AB7C-4123-81E9-68E96917E592}"/>
    <cellStyle name="Normal 5 2 3 3 2 4 4 3" xfId="28897" xr:uid="{0E73024F-CDC9-4D9D-A95E-B011B089A579}"/>
    <cellStyle name="Normal 5 2 3 3 2 4 5" xfId="38196" xr:uid="{EA31CCC9-EF62-44F7-8674-131696DF8DA5}"/>
    <cellStyle name="Normal 5 2 3 3 2 4 6" xfId="19598" xr:uid="{94A202CC-A959-451A-9621-AF9518633434}"/>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17926" xr:uid="{CB66BE09-9156-4862-B51A-6D6F8AF2471A}"/>
    <cellStyle name="Normal 5 2 3 3 2 5 2 2 2 2" xfId="54268" xr:uid="{722BA3F4-E161-4C82-A338-C97FF1CA22A5}"/>
    <cellStyle name="Normal 5 2 3 3 2 5 2 2 2 3" xfId="35672" xr:uid="{6475DDA8-C90D-4C92-9BDF-0BC841DBF471}"/>
    <cellStyle name="Normal 5 2 3 3 2 5 2 2 3" xfId="44971" xr:uid="{C2D3F3FA-F844-4466-A252-18662EEA67A0}"/>
    <cellStyle name="Normal 5 2 3 3 2 5 2 2 4" xfId="26373" xr:uid="{2961812B-979B-4422-B870-EE1B109FA80F}"/>
    <cellStyle name="Normal 5 2 3 3 2 5 2 3" xfId="13709" xr:uid="{2CE0A194-F358-4B3E-B5AD-F68ACF39D7BE}"/>
    <cellStyle name="Normal 5 2 3 3 2 5 2 3 2" xfId="50051" xr:uid="{5EC9C896-9BC8-4155-B612-FEE6BD01AE3E}"/>
    <cellStyle name="Normal 5 2 3 3 2 5 2 3 3" xfId="31455" xr:uid="{76A54332-2F7B-4FB8-9979-BC8301AA4F85}"/>
    <cellStyle name="Normal 5 2 3 3 2 5 2 4" xfId="40754" xr:uid="{2A97A030-4383-4FA6-BD70-9182D9071B4F}"/>
    <cellStyle name="Normal 5 2 3 3 2 5 2 5" xfId="22156" xr:uid="{AF3900B9-694A-4B0E-87E8-E67614E3A3CD}"/>
    <cellStyle name="Normal 5 2 3 3 2 5 3" xfId="6455" xr:uid="{00000000-0005-0000-0000-000095180000}"/>
    <cellStyle name="Normal 5 2 3 3 2 5 3 2" xfId="15781" xr:uid="{F46E37F5-154D-4208-8060-2C5C769AF055}"/>
    <cellStyle name="Normal 5 2 3 3 2 5 3 2 2" xfId="52123" xr:uid="{8A654A90-DE8B-4AB8-ABEB-B64A568A3AF6}"/>
    <cellStyle name="Normal 5 2 3 3 2 5 3 2 3" xfId="33527" xr:uid="{D2A049D2-3A8F-48F9-B04E-FD2FD86FB7A8}"/>
    <cellStyle name="Normal 5 2 3 3 2 5 3 3" xfId="42826" xr:uid="{A5CA5864-5CA0-4E6D-B37A-637AD382D8FB}"/>
    <cellStyle name="Normal 5 2 3 3 2 5 3 4" xfId="24228" xr:uid="{19B083F1-6B3F-473E-8F45-A22E1D30B969}"/>
    <cellStyle name="Normal 5 2 3 3 2 5 4" xfId="11564" xr:uid="{33399298-855C-4C60-B175-11B7E1358C38}"/>
    <cellStyle name="Normal 5 2 3 3 2 5 4 2" xfId="47906" xr:uid="{3BCA8FC3-1760-41A1-A367-6352CDC1C5C4}"/>
    <cellStyle name="Normal 5 2 3 3 2 5 4 3" xfId="29310" xr:uid="{C1F51119-2349-4034-92FF-22D50316DFA0}"/>
    <cellStyle name="Normal 5 2 3 3 2 5 5" xfId="38609" xr:uid="{AA44CFD3-C554-48EC-BC26-8EE935D29696}"/>
    <cellStyle name="Normal 5 2 3 3 2 5 6" xfId="20011" xr:uid="{D24BE4E6-3B8A-4AD6-9C65-D34624BD3431}"/>
    <cellStyle name="Normal 5 2 3 3 2 6" xfId="2585" xr:uid="{00000000-0005-0000-0000-000096180000}"/>
    <cellStyle name="Normal 5 2 3 3 2 6 2" xfId="6868" xr:uid="{00000000-0005-0000-0000-000097180000}"/>
    <cellStyle name="Normal 5 2 3 3 2 6 2 2" xfId="16194" xr:uid="{91B3CE64-1CE8-4E17-AEDC-87AE99653F18}"/>
    <cellStyle name="Normal 5 2 3 3 2 6 2 2 2" xfId="52536" xr:uid="{40163FE3-D5D8-4183-9807-DB6A194DD937}"/>
    <cellStyle name="Normal 5 2 3 3 2 6 2 2 3" xfId="33940" xr:uid="{2C389127-688D-46BD-8877-F928DC5AAC74}"/>
    <cellStyle name="Normal 5 2 3 3 2 6 2 3" xfId="43239" xr:uid="{C40169D9-6110-4306-9BDE-37E1D17FAAED}"/>
    <cellStyle name="Normal 5 2 3 3 2 6 2 4" xfId="24641" xr:uid="{4595DAD9-BF7B-42B4-9CFE-5ECD32DC123E}"/>
    <cellStyle name="Normal 5 2 3 3 2 6 3" xfId="11977" xr:uid="{FEC3FC03-AE6C-44C7-8406-A522C84E5C71}"/>
    <cellStyle name="Normal 5 2 3 3 2 6 3 2" xfId="48319" xr:uid="{2CB7098D-CF4A-4DE7-9CE8-03A0E2D6B70A}"/>
    <cellStyle name="Normal 5 2 3 3 2 6 3 3" xfId="29723" xr:uid="{AE46DBDD-8854-47C4-9B55-9B20265429FD}"/>
    <cellStyle name="Normal 5 2 3 3 2 6 4" xfId="39022" xr:uid="{638A5E90-0152-4F7E-B4DE-3A7151058941}"/>
    <cellStyle name="Normal 5 2 3 3 2 6 5" xfId="20424" xr:uid="{3DCFF388-4F8C-4CF7-8F3C-1D696585A01D}"/>
    <cellStyle name="Normal 5 2 3 3 2 7" xfId="4803" xr:uid="{00000000-0005-0000-0000-000098180000}"/>
    <cellStyle name="Normal 5 2 3 3 2 7 2" xfId="14129" xr:uid="{19666ED1-5682-4D0B-BEFE-9CC738D60882}"/>
    <cellStyle name="Normal 5 2 3 3 2 7 2 2" xfId="50471" xr:uid="{8C3CAE37-0EDC-4E5F-B442-583FFBD89A74}"/>
    <cellStyle name="Normal 5 2 3 3 2 7 2 3" xfId="31875" xr:uid="{433BF0E8-0D5A-4063-A9E4-2147F35A009F}"/>
    <cellStyle name="Normal 5 2 3 3 2 7 3" xfId="41174" xr:uid="{564AF8FF-51A0-4CFA-BA68-6C4E28B4B39F}"/>
    <cellStyle name="Normal 5 2 3 3 2 7 4" xfId="22576" xr:uid="{6361E648-1A00-4719-8F6F-1BF88641B667}"/>
    <cellStyle name="Normal 5 2 3 3 2 8" xfId="9086" xr:uid="{442E5F61-F00C-4774-822F-4985AB3E1CB7}"/>
    <cellStyle name="Normal 5 2 3 3 2 8 2" xfId="36156" xr:uid="{31853E49-8784-4800-8CE1-90DDF1EDCE7D}"/>
    <cellStyle name="Normal 5 2 3 3 2 8 2 2" xfId="54751" xr:uid="{2195AEA2-F789-4175-AB18-F75A47CED077}"/>
    <cellStyle name="Normal 5 2 3 3 2 8 3" xfId="45454" xr:uid="{AE5CDBAB-1B50-4AC3-93A9-ABF5B59219A7}"/>
    <cellStyle name="Normal 5 2 3 3 2 8 4" xfId="26857" xr:uid="{874140BD-7673-45FB-94B4-641AEF7A4574}"/>
    <cellStyle name="Normal 5 2 3 3 2 9" xfId="9912" xr:uid="{43F0D780-0E84-4BA5-83F4-E6C96F6D65BA}"/>
    <cellStyle name="Normal 5 2 3 3 2 9 2" xfId="46254" xr:uid="{C82B1842-5A7D-4EE1-8CD8-5140242D7AE6}"/>
    <cellStyle name="Normal 5 2 3 3 2 9 3" xfId="27658" xr:uid="{59E4B6B2-A860-4421-915D-D66F1D9237F3}"/>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16686" xr:uid="{375554BB-E38E-4E4B-9D3A-3443BDA349D8}"/>
    <cellStyle name="Normal 5 2 3 3 3 2 2 2 2" xfId="53028" xr:uid="{5EDCDCFF-425C-4E92-809F-288C66497B38}"/>
    <cellStyle name="Normal 5 2 3 3 3 2 2 2 3" xfId="34432" xr:uid="{F2548B7E-51B2-4D6F-A8B4-B1A55AF74DA4}"/>
    <cellStyle name="Normal 5 2 3 3 3 2 2 3" xfId="43731" xr:uid="{7E41065C-7507-4D14-9470-CF34EA6F6EBE}"/>
    <cellStyle name="Normal 5 2 3 3 3 2 2 4" xfId="25133" xr:uid="{FF311909-B693-438F-970A-4482362D0232}"/>
    <cellStyle name="Normal 5 2 3 3 3 2 3" xfId="12469" xr:uid="{241A38F0-364E-4643-B0EE-3A80ABAD1EE0}"/>
    <cellStyle name="Normal 5 2 3 3 3 2 3 2" xfId="48811" xr:uid="{3ABCCC91-EB80-4DEB-8B21-D16F43490CAD}"/>
    <cellStyle name="Normal 5 2 3 3 3 2 3 3" xfId="30215" xr:uid="{C5B78209-C884-4D97-911F-EB131FDF66E0}"/>
    <cellStyle name="Normal 5 2 3 3 3 2 4" xfId="39514" xr:uid="{C1B444CD-DCF8-4305-BEDD-FA41F5F8435E}"/>
    <cellStyle name="Normal 5 2 3 3 3 2 5" xfId="20916" xr:uid="{0203C7CC-0AB9-48A7-9DC2-FAE84C8B6E7C}"/>
    <cellStyle name="Normal 5 2 3 3 3 3" xfId="5215" xr:uid="{00000000-0005-0000-0000-00009C180000}"/>
    <cellStyle name="Normal 5 2 3 3 3 3 2" xfId="14541" xr:uid="{3ACBABC6-647B-447F-87BB-AAB7D334CFF0}"/>
    <cellStyle name="Normal 5 2 3 3 3 3 2 2" xfId="50883" xr:uid="{7B364E1B-3A31-449D-9119-4BE25581C320}"/>
    <cellStyle name="Normal 5 2 3 3 3 3 2 3" xfId="32287" xr:uid="{7E1D8E99-8E0F-4D60-A75A-DA3B5ECD342E}"/>
    <cellStyle name="Normal 5 2 3 3 3 3 3" xfId="41586" xr:uid="{363A97ED-3FE4-42D6-9A88-DEB9A9A24DFC}"/>
    <cellStyle name="Normal 5 2 3 3 3 3 4" xfId="22988" xr:uid="{48A571E1-D17A-4213-856A-960E4E59273A}"/>
    <cellStyle name="Normal 5 2 3 3 3 4" xfId="9304" xr:uid="{2C783A77-F32A-4E64-807E-062B95DB0310}"/>
    <cellStyle name="Normal 5 2 3 3 3 4 2" xfId="36365" xr:uid="{0EDB1F86-54D9-4931-8F1F-D2ABC6B6CD66}"/>
    <cellStyle name="Normal 5 2 3 3 3 4 2 2" xfId="54959" xr:uid="{94943363-6AC8-4D16-9F99-41AE17FB63D1}"/>
    <cellStyle name="Normal 5 2 3 3 3 4 3" xfId="45662" xr:uid="{C5A6B549-F177-4BC5-B3E2-1078E3EB2956}"/>
    <cellStyle name="Normal 5 2 3 3 3 4 4" xfId="27066" xr:uid="{53E4F844-F3ED-4931-8819-65D8381BB95D}"/>
    <cellStyle name="Normal 5 2 3 3 3 5" xfId="10324" xr:uid="{59FA41EF-F6D0-48B7-B7EE-CF80F327B546}"/>
    <cellStyle name="Normal 5 2 3 3 3 5 2" xfId="46666" xr:uid="{1E64B3B1-571B-4194-8476-43A05D6A5D9D}"/>
    <cellStyle name="Normal 5 2 3 3 3 5 3" xfId="28070" xr:uid="{B4F5BFD7-0198-4C99-8522-82B74DBB2E51}"/>
    <cellStyle name="Normal 5 2 3 3 3 6" xfId="37369" xr:uid="{D6B434DB-6521-4D1D-940F-C61536AC8AC3}"/>
    <cellStyle name="Normal 5 2 3 3 3 7" xfId="18771" xr:uid="{72BC583E-4AD7-4D5D-B533-9AF71ACD31A5}"/>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17099" xr:uid="{73700F00-5D30-42D0-B684-AE32C7EF5D6C}"/>
    <cellStyle name="Normal 5 2 3 3 4 2 2 2 2" xfId="53441" xr:uid="{222917C7-546D-4422-A8A3-8D478332CE4B}"/>
    <cellStyle name="Normal 5 2 3 3 4 2 2 2 3" xfId="34845" xr:uid="{3C21F1CC-7786-4B85-AC0B-F793984C6DF9}"/>
    <cellStyle name="Normal 5 2 3 3 4 2 2 3" xfId="44144" xr:uid="{9AA282F4-D47F-4C02-8869-D20E9799565E}"/>
    <cellStyle name="Normal 5 2 3 3 4 2 2 4" xfId="25546" xr:uid="{945D7E3A-FE07-4EF0-9E96-108213182E4B}"/>
    <cellStyle name="Normal 5 2 3 3 4 2 3" xfId="12882" xr:uid="{A9F56EBD-2781-4ECE-92FB-9B9C3A4544D2}"/>
    <cellStyle name="Normal 5 2 3 3 4 2 3 2" xfId="49224" xr:uid="{77874AF6-8746-4A6C-8F21-CCE0A0752A90}"/>
    <cellStyle name="Normal 5 2 3 3 4 2 3 3" xfId="30628" xr:uid="{C7AF7BF9-AB77-4268-8FA8-46B34072D538}"/>
    <cellStyle name="Normal 5 2 3 3 4 2 4" xfId="39927" xr:uid="{F43B53A1-5CCE-4CDC-BB5F-F99B482ABF46}"/>
    <cellStyle name="Normal 5 2 3 3 4 2 5" xfId="21329" xr:uid="{D60DE992-0B48-4753-9F25-3F56D8389030}"/>
    <cellStyle name="Normal 5 2 3 3 4 3" xfId="5628" xr:uid="{00000000-0005-0000-0000-0000A0180000}"/>
    <cellStyle name="Normal 5 2 3 3 4 3 2" xfId="14954" xr:uid="{0190061A-D975-4F9B-8DE8-E7DDAFC91691}"/>
    <cellStyle name="Normal 5 2 3 3 4 3 2 2" xfId="51296" xr:uid="{0D2144E8-97CD-454D-A59B-9354E7FF131B}"/>
    <cellStyle name="Normal 5 2 3 3 4 3 2 3" xfId="32700" xr:uid="{94DE98C8-1038-444C-AB0C-5F40C743CAA6}"/>
    <cellStyle name="Normal 5 2 3 3 4 3 3" xfId="41999" xr:uid="{30BCAE70-AC33-4813-B63E-A48F593C0FBD}"/>
    <cellStyle name="Normal 5 2 3 3 4 3 4" xfId="23401" xr:uid="{B38A70E9-A595-4431-A9C2-3D05D1182D8B}"/>
    <cellStyle name="Normal 5 2 3 3 4 4" xfId="10737" xr:uid="{E2F3ABA1-AC1F-4A97-8960-1FB9F782DBB3}"/>
    <cellStyle name="Normal 5 2 3 3 4 4 2" xfId="47079" xr:uid="{FA3B4B1D-E4FF-4011-82CD-8551B05B5AF0}"/>
    <cellStyle name="Normal 5 2 3 3 4 4 3" xfId="28483" xr:uid="{2EEE0B4B-5441-4646-BA8B-45B18DDDE275}"/>
    <cellStyle name="Normal 5 2 3 3 4 5" xfId="37782" xr:uid="{69BECF77-3E84-4272-9F53-71CEF2AB2DA0}"/>
    <cellStyle name="Normal 5 2 3 3 4 6" xfId="19184" xr:uid="{2C37871D-5110-47E4-A066-2E5C097CC4EF}"/>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17512" xr:uid="{385A0993-E8D1-4442-B0E9-9D84B79C3BA1}"/>
    <cellStyle name="Normal 5 2 3 3 5 2 2 2 2" xfId="53854" xr:uid="{ED6D1B4B-3E92-45C1-939C-AB75AA5C4A9D}"/>
    <cellStyle name="Normal 5 2 3 3 5 2 2 2 3" xfId="35258" xr:uid="{F61EC89B-644D-4EBC-86BB-151884C06B84}"/>
    <cellStyle name="Normal 5 2 3 3 5 2 2 3" xfId="44557" xr:uid="{BB7399C1-1E8A-48AB-AAFC-BEE77AE48904}"/>
    <cellStyle name="Normal 5 2 3 3 5 2 2 4" xfId="25959" xr:uid="{6F9154A2-8626-403D-A67D-4B2ACDA7BAF1}"/>
    <cellStyle name="Normal 5 2 3 3 5 2 3" xfId="13295" xr:uid="{BFBF80EE-AF37-478D-9C32-98F3D8C04562}"/>
    <cellStyle name="Normal 5 2 3 3 5 2 3 2" xfId="49637" xr:uid="{F8D55C0B-6075-4782-962A-ECD0609C3E26}"/>
    <cellStyle name="Normal 5 2 3 3 5 2 3 3" xfId="31041" xr:uid="{35D526D2-7144-4E4E-8E53-527017636317}"/>
    <cellStyle name="Normal 5 2 3 3 5 2 4" xfId="40340" xr:uid="{B0F69A0F-EF1A-4766-BF8A-ECC232171827}"/>
    <cellStyle name="Normal 5 2 3 3 5 2 5" xfId="21742" xr:uid="{107D4BAD-3BA8-4EEC-80C7-8F0209803A46}"/>
    <cellStyle name="Normal 5 2 3 3 5 3" xfId="6041" xr:uid="{00000000-0005-0000-0000-0000A4180000}"/>
    <cellStyle name="Normal 5 2 3 3 5 3 2" xfId="15367" xr:uid="{0D8919F0-BA31-4CE3-A937-347AEAB2B943}"/>
    <cellStyle name="Normal 5 2 3 3 5 3 2 2" xfId="51709" xr:uid="{837980B8-5ECA-4D71-80EA-41F4EACBBC2B}"/>
    <cellStyle name="Normal 5 2 3 3 5 3 2 3" xfId="33113" xr:uid="{63D9C3C2-1581-427C-B53E-CD43C3326E79}"/>
    <cellStyle name="Normal 5 2 3 3 5 3 3" xfId="42412" xr:uid="{060D6AC6-DAD0-4F7E-AAAD-3106158C7C9F}"/>
    <cellStyle name="Normal 5 2 3 3 5 3 4" xfId="23814" xr:uid="{19851BB8-4563-4AC4-A563-FFA80B84C6D7}"/>
    <cellStyle name="Normal 5 2 3 3 5 4" xfId="11150" xr:uid="{CD608B70-5E75-4DB5-9817-AD1824E06F6E}"/>
    <cellStyle name="Normal 5 2 3 3 5 4 2" xfId="47492" xr:uid="{E522A887-D796-45BD-9324-D6BE0E574661}"/>
    <cellStyle name="Normal 5 2 3 3 5 4 3" xfId="28896" xr:uid="{D0793A4D-2462-4B59-9376-C8270DEF0C9E}"/>
    <cellStyle name="Normal 5 2 3 3 5 5" xfId="38195" xr:uid="{A876ECBB-07BC-4A12-B869-2C278394B758}"/>
    <cellStyle name="Normal 5 2 3 3 5 6" xfId="19597" xr:uid="{FCFC4B72-C09E-45E6-9B61-BF2F91D671B3}"/>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17925" xr:uid="{30896F23-B660-4A87-AC5B-A663701C04B0}"/>
    <cellStyle name="Normal 5 2 3 3 6 2 2 2 2" xfId="54267" xr:uid="{39401226-E490-4CF1-8872-9ED2FA266C48}"/>
    <cellStyle name="Normal 5 2 3 3 6 2 2 2 3" xfId="35671" xr:uid="{442783DF-436D-49C5-B4AA-7A7E32551C96}"/>
    <cellStyle name="Normal 5 2 3 3 6 2 2 3" xfId="44970" xr:uid="{7A71A652-E732-4E7B-9CDE-9EA564006D3B}"/>
    <cellStyle name="Normal 5 2 3 3 6 2 2 4" xfId="26372" xr:uid="{97337AA1-AEC0-4586-9CA6-C0D733FBE258}"/>
    <cellStyle name="Normal 5 2 3 3 6 2 3" xfId="13708" xr:uid="{F7B62CC2-505E-434A-B17F-0443A261BD0E}"/>
    <cellStyle name="Normal 5 2 3 3 6 2 3 2" xfId="50050" xr:uid="{6A8FE4C0-CF12-4786-93DE-CA468D647620}"/>
    <cellStyle name="Normal 5 2 3 3 6 2 3 3" xfId="31454" xr:uid="{A5274675-FBD9-47FD-B4D0-44465AFC2782}"/>
    <cellStyle name="Normal 5 2 3 3 6 2 4" xfId="40753" xr:uid="{55191CBC-02E1-46D7-9C2D-A6DD68B7CEC5}"/>
    <cellStyle name="Normal 5 2 3 3 6 2 5" xfId="22155" xr:uid="{540D442F-3F77-4243-A27A-D501B80FAE6E}"/>
    <cellStyle name="Normal 5 2 3 3 6 3" xfId="6454" xr:uid="{00000000-0005-0000-0000-0000A8180000}"/>
    <cellStyle name="Normal 5 2 3 3 6 3 2" xfId="15780" xr:uid="{30A4BB78-9489-4ABB-B630-252950EB2821}"/>
    <cellStyle name="Normal 5 2 3 3 6 3 2 2" xfId="52122" xr:uid="{BA9CEBD3-6DA2-4A9A-B1C0-F04A25538C88}"/>
    <cellStyle name="Normal 5 2 3 3 6 3 2 3" xfId="33526" xr:uid="{7F72BE51-E093-4D62-8831-FD550DA09F7E}"/>
    <cellStyle name="Normal 5 2 3 3 6 3 3" xfId="42825" xr:uid="{81A9A61C-96C3-47BE-B933-F793AC5DF26A}"/>
    <cellStyle name="Normal 5 2 3 3 6 3 4" xfId="24227" xr:uid="{705B3608-14CC-493D-890A-345854ACEC04}"/>
    <cellStyle name="Normal 5 2 3 3 6 4" xfId="11563" xr:uid="{01F12E82-9133-4B91-8DF5-4A285D66D53D}"/>
    <cellStyle name="Normal 5 2 3 3 6 4 2" xfId="47905" xr:uid="{BA45F4B8-F6E5-4569-9254-5B137FEA7BB6}"/>
    <cellStyle name="Normal 5 2 3 3 6 4 3" xfId="29309" xr:uid="{D5C58AB4-FEBC-4A4A-8C81-FF7F19E80211}"/>
    <cellStyle name="Normal 5 2 3 3 6 5" xfId="38608" xr:uid="{9B8EC4ED-00F8-4409-8A53-88AC1440B8C7}"/>
    <cellStyle name="Normal 5 2 3 3 6 6" xfId="20010" xr:uid="{C5817D66-B534-4F7E-98B1-0A42940943A7}"/>
    <cellStyle name="Normal 5 2 3 3 7" xfId="2584" xr:uid="{00000000-0005-0000-0000-0000A9180000}"/>
    <cellStyle name="Normal 5 2 3 3 7 2" xfId="6867" xr:uid="{00000000-0005-0000-0000-0000AA180000}"/>
    <cellStyle name="Normal 5 2 3 3 7 2 2" xfId="16193" xr:uid="{67F57A77-98D4-49D5-AC5B-7E5D9BFC394F}"/>
    <cellStyle name="Normal 5 2 3 3 7 2 2 2" xfId="52535" xr:uid="{B8E11403-B8A7-4211-9C39-14956A98F71D}"/>
    <cellStyle name="Normal 5 2 3 3 7 2 2 3" xfId="33939" xr:uid="{47115E68-8FB1-4AAF-9B09-5BDEAAFFBEF1}"/>
    <cellStyle name="Normal 5 2 3 3 7 2 3" xfId="43238" xr:uid="{C9D8B666-591B-44B1-82A6-9CF32DAB0C3F}"/>
    <cellStyle name="Normal 5 2 3 3 7 2 4" xfId="24640" xr:uid="{F2D15D6F-8E30-41E9-9537-7C179BB2F4D0}"/>
    <cellStyle name="Normal 5 2 3 3 7 3" xfId="11976" xr:uid="{937B68F7-2762-4CD8-A589-305A088EA695}"/>
    <cellStyle name="Normal 5 2 3 3 7 3 2" xfId="48318" xr:uid="{DA54450B-2C9C-4F3F-8003-37189A1EFD95}"/>
    <cellStyle name="Normal 5 2 3 3 7 3 3" xfId="29722" xr:uid="{85BC100D-BA5A-4C51-87F3-11B3E8416D5D}"/>
    <cellStyle name="Normal 5 2 3 3 7 4" xfId="39021" xr:uid="{0167E7E4-06FA-4E04-AC7D-690B10BB8061}"/>
    <cellStyle name="Normal 5 2 3 3 7 5" xfId="20423" xr:uid="{2BC8A9B6-CC19-4074-8C68-D0D4BA3B1BAF}"/>
    <cellStyle name="Normal 5 2 3 3 8" xfId="4802" xr:uid="{00000000-0005-0000-0000-0000AB180000}"/>
    <cellStyle name="Normal 5 2 3 3 8 2" xfId="14128" xr:uid="{3907BED9-72D2-4914-9160-4C77DB03F738}"/>
    <cellStyle name="Normal 5 2 3 3 8 2 2" xfId="50470" xr:uid="{98B2D5B6-DCBB-46F6-927E-15D06D1BB5AE}"/>
    <cellStyle name="Normal 5 2 3 3 8 2 3" xfId="31874" xr:uid="{A47F01F9-87B5-4656-BFF6-7245757894D5}"/>
    <cellStyle name="Normal 5 2 3 3 8 3" xfId="41173" xr:uid="{FEB6D980-AF98-4259-95AE-66F72205BE52}"/>
    <cellStyle name="Normal 5 2 3 3 8 4" xfId="22575" xr:uid="{133B42C8-D917-4E53-BC39-E9D9F292802B}"/>
    <cellStyle name="Normal 5 2 3 3 9" xfId="8879" xr:uid="{F521005C-E3E0-4B64-9C0A-0C510FB9AAB2}"/>
    <cellStyle name="Normal 5 2 3 3 9 2" xfId="35949" xr:uid="{EAB3BDEF-48F0-414E-9385-CECC66BED330}"/>
    <cellStyle name="Normal 5 2 3 3 9 2 2" xfId="54544" xr:uid="{E5CE8C47-3E5A-4B72-8EEA-C73D5F5CFE75}"/>
    <cellStyle name="Normal 5 2 3 3 9 3" xfId="45247" xr:uid="{FFE1EEA3-A22D-4102-8094-88D8198EBBE9}"/>
    <cellStyle name="Normal 5 2 3 3 9 4" xfId="26650" xr:uid="{F5CAE073-5540-44FA-A7B8-DDA86A79B88B}"/>
    <cellStyle name="Normal 5 2 3 4" xfId="431" xr:uid="{00000000-0005-0000-0000-0000AC180000}"/>
    <cellStyle name="Normal 5 2 3 4 10" xfId="36958" xr:uid="{55A8D777-F6B9-4661-AE74-91A96BAB8735}"/>
    <cellStyle name="Normal 5 2 3 4 11" xfId="18360" xr:uid="{A3A9CCA7-FCB2-4506-A3E4-2233ECD0255C}"/>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16688" xr:uid="{9643D4ED-B1C5-4701-8EF1-8AF12BC1B884}"/>
    <cellStyle name="Normal 5 2 3 4 2 2 2 2 2" xfId="53030" xr:uid="{8D650F27-ED66-4F8B-A75C-E759ED56529A}"/>
    <cellStyle name="Normal 5 2 3 4 2 2 2 2 3" xfId="34434" xr:uid="{25158BA7-988A-449F-ACEF-4E9F5C33CD75}"/>
    <cellStyle name="Normal 5 2 3 4 2 2 2 3" xfId="43733" xr:uid="{5F895AA5-0ED9-42AA-AEB2-DF41586723FE}"/>
    <cellStyle name="Normal 5 2 3 4 2 2 2 4" xfId="25135" xr:uid="{838A0C50-7154-41EB-8041-3FFEA008569C}"/>
    <cellStyle name="Normal 5 2 3 4 2 2 3" xfId="12471" xr:uid="{32898B53-180D-47A3-93C7-B1D5F025B38A}"/>
    <cellStyle name="Normal 5 2 3 4 2 2 3 2" xfId="48813" xr:uid="{ABB6255E-407C-4833-959A-2B6BE1438313}"/>
    <cellStyle name="Normal 5 2 3 4 2 2 3 3" xfId="30217" xr:uid="{60FC6662-2639-462A-948F-2B752400EB9F}"/>
    <cellStyle name="Normal 5 2 3 4 2 2 4" xfId="39516" xr:uid="{9EB5C7EF-DE74-446F-85AF-9B4DC452BBA0}"/>
    <cellStyle name="Normal 5 2 3 4 2 2 5" xfId="20918" xr:uid="{173587B5-49E0-45B1-B413-548BA1C9E98A}"/>
    <cellStyle name="Normal 5 2 3 4 2 3" xfId="5217" xr:uid="{00000000-0005-0000-0000-0000B0180000}"/>
    <cellStyle name="Normal 5 2 3 4 2 3 2" xfId="14543" xr:uid="{36D11948-22DB-4A6D-8788-4E7829D97828}"/>
    <cellStyle name="Normal 5 2 3 4 2 3 2 2" xfId="50885" xr:uid="{18C10426-9192-4623-BB70-0010B6E5BCEC}"/>
    <cellStyle name="Normal 5 2 3 4 2 3 2 3" xfId="32289" xr:uid="{B7DE4B36-D6B5-454F-AA9D-79618AC82EE5}"/>
    <cellStyle name="Normal 5 2 3 4 2 3 3" xfId="41588" xr:uid="{1EACEDE7-960C-47DA-A912-907CF3A45DDE}"/>
    <cellStyle name="Normal 5 2 3 4 2 3 4" xfId="22990" xr:uid="{1DF341FB-C79A-4834-9CC4-6C897AC285F1}"/>
    <cellStyle name="Normal 5 2 3 4 2 4" xfId="9408" xr:uid="{3B6F9C6F-3D7C-45F8-99FE-451C0F8CED36}"/>
    <cellStyle name="Normal 5 2 3 4 2 4 2" xfId="36469" xr:uid="{2E860117-92AC-4F7A-825C-2A1CE6EA78BE}"/>
    <cellStyle name="Normal 5 2 3 4 2 4 2 2" xfId="55063" xr:uid="{1049A885-4E4A-4112-A963-B0B47507BF54}"/>
    <cellStyle name="Normal 5 2 3 4 2 4 3" xfId="45766" xr:uid="{ABD65B8A-B0EC-4BA9-AEAC-71CC0E2E2576}"/>
    <cellStyle name="Normal 5 2 3 4 2 4 4" xfId="27170" xr:uid="{8D0D811C-6D0D-40D7-912D-E3B6A6BF1536}"/>
    <cellStyle name="Normal 5 2 3 4 2 5" xfId="10326" xr:uid="{CE98D6AD-3279-4369-93FD-C824FC5F6A1F}"/>
    <cellStyle name="Normal 5 2 3 4 2 5 2" xfId="46668" xr:uid="{FA9BC6E0-5093-4352-85BC-94C06EE93CD0}"/>
    <cellStyle name="Normal 5 2 3 4 2 5 3" xfId="28072" xr:uid="{216021A4-DF07-47E0-A799-577902464686}"/>
    <cellStyle name="Normal 5 2 3 4 2 6" xfId="37371" xr:uid="{71F4F551-48F1-41CF-9CBE-CE21C72D91A0}"/>
    <cellStyle name="Normal 5 2 3 4 2 7" xfId="18773" xr:uid="{9F5E1B47-9EAE-486D-B25B-E8C9FA4D68B1}"/>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17101" xr:uid="{D71C0CA0-1B80-472D-A30F-7D1DC746C96B}"/>
    <cellStyle name="Normal 5 2 3 4 3 2 2 2 2" xfId="53443" xr:uid="{61A49EF3-737E-4270-8EE2-15B3C25FEC99}"/>
    <cellStyle name="Normal 5 2 3 4 3 2 2 2 3" xfId="34847" xr:uid="{119CF588-F3B6-4BF5-9B1E-6CB6520A90A5}"/>
    <cellStyle name="Normal 5 2 3 4 3 2 2 3" xfId="44146" xr:uid="{98D946C8-8D04-472E-84F9-8A83E65B752E}"/>
    <cellStyle name="Normal 5 2 3 4 3 2 2 4" xfId="25548" xr:uid="{BBC65DFA-6FB0-4E3C-B62A-5D571BDFF801}"/>
    <cellStyle name="Normal 5 2 3 4 3 2 3" xfId="12884" xr:uid="{99637910-631D-48E2-8600-8ED92FA8E2E4}"/>
    <cellStyle name="Normal 5 2 3 4 3 2 3 2" xfId="49226" xr:uid="{FE2069B4-EE1F-4FF2-AAF0-3CD9FDD94D15}"/>
    <cellStyle name="Normal 5 2 3 4 3 2 3 3" xfId="30630" xr:uid="{10872858-5F06-49C9-AD96-7699A9F5ED87}"/>
    <cellStyle name="Normal 5 2 3 4 3 2 4" xfId="39929" xr:uid="{9C086EC9-9461-4FE0-874B-7EF886E42EA0}"/>
    <cellStyle name="Normal 5 2 3 4 3 2 5" xfId="21331" xr:uid="{3B2AEC97-816D-499A-A23C-2F1AB74413A9}"/>
    <cellStyle name="Normal 5 2 3 4 3 3" xfId="5630" xr:uid="{00000000-0005-0000-0000-0000B4180000}"/>
    <cellStyle name="Normal 5 2 3 4 3 3 2" xfId="14956" xr:uid="{2DBF5CF1-1FE0-4277-8A03-8CE1AE784584}"/>
    <cellStyle name="Normal 5 2 3 4 3 3 2 2" xfId="51298" xr:uid="{462486B6-42D0-4BFA-8773-6FD1DD7E9903}"/>
    <cellStyle name="Normal 5 2 3 4 3 3 2 3" xfId="32702" xr:uid="{630D58D3-234A-4A8D-B9F1-AAEC8E392D29}"/>
    <cellStyle name="Normal 5 2 3 4 3 3 3" xfId="42001" xr:uid="{C3261585-6284-4E7B-9359-BBC5544E0BC9}"/>
    <cellStyle name="Normal 5 2 3 4 3 3 4" xfId="23403" xr:uid="{D9F6AD3B-745A-426A-8356-336DE42F5376}"/>
    <cellStyle name="Normal 5 2 3 4 3 4" xfId="10739" xr:uid="{0F86875C-D210-49C0-9B51-DF24E36F3843}"/>
    <cellStyle name="Normal 5 2 3 4 3 4 2" xfId="47081" xr:uid="{617E9213-CEC3-42E1-A708-182A434964A4}"/>
    <cellStyle name="Normal 5 2 3 4 3 4 3" xfId="28485" xr:uid="{C092CB22-BC69-429E-AF91-166036A3CDB1}"/>
    <cellStyle name="Normal 5 2 3 4 3 5" xfId="37784" xr:uid="{77AC9C77-9EE2-4A71-838E-0A1B3573219C}"/>
    <cellStyle name="Normal 5 2 3 4 3 6" xfId="19186" xr:uid="{2F939AF8-1AF8-4B45-AAEE-57AA14693096}"/>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17514" xr:uid="{666A7EFE-99AD-45C7-A35F-6D8885E06E90}"/>
    <cellStyle name="Normal 5 2 3 4 4 2 2 2 2" xfId="53856" xr:uid="{B93C2891-0909-4E39-B6AE-2201C4C28059}"/>
    <cellStyle name="Normal 5 2 3 4 4 2 2 2 3" xfId="35260" xr:uid="{0A16BC0F-C252-46BE-A26B-66A30BEC6E00}"/>
    <cellStyle name="Normal 5 2 3 4 4 2 2 3" xfId="44559" xr:uid="{2AF71F03-8651-4B3E-BF8A-9116E4B3331B}"/>
    <cellStyle name="Normal 5 2 3 4 4 2 2 4" xfId="25961" xr:uid="{D293A345-1E98-47FE-A588-15FEB20938ED}"/>
    <cellStyle name="Normal 5 2 3 4 4 2 3" xfId="13297" xr:uid="{02F6CA95-2D22-4ECA-A497-E3E3520FF255}"/>
    <cellStyle name="Normal 5 2 3 4 4 2 3 2" xfId="49639" xr:uid="{D60D52E9-7363-4E9F-93BA-B2C339EB70D4}"/>
    <cellStyle name="Normal 5 2 3 4 4 2 3 3" xfId="31043" xr:uid="{0100B5F6-B2FC-4240-8393-E25B6BDA431C}"/>
    <cellStyle name="Normal 5 2 3 4 4 2 4" xfId="40342" xr:uid="{397CC658-C0DF-47AA-A640-BC1569255798}"/>
    <cellStyle name="Normal 5 2 3 4 4 2 5" xfId="21744" xr:uid="{45D31138-ABDE-4AA3-9B54-E79ED18B549C}"/>
    <cellStyle name="Normal 5 2 3 4 4 3" xfId="6043" xr:uid="{00000000-0005-0000-0000-0000B8180000}"/>
    <cellStyle name="Normal 5 2 3 4 4 3 2" xfId="15369" xr:uid="{CAFD09C6-2E2C-4380-A888-843694627072}"/>
    <cellStyle name="Normal 5 2 3 4 4 3 2 2" xfId="51711" xr:uid="{68CFB9B5-E6BC-4763-AA7B-83653A98938C}"/>
    <cellStyle name="Normal 5 2 3 4 4 3 2 3" xfId="33115" xr:uid="{AFB481F3-8890-4DC6-98E3-C21A6BE57D27}"/>
    <cellStyle name="Normal 5 2 3 4 4 3 3" xfId="42414" xr:uid="{6062B546-13D3-4B27-98E9-18BB8A39CBE1}"/>
    <cellStyle name="Normal 5 2 3 4 4 3 4" xfId="23816" xr:uid="{EF75D0B0-CA78-4052-BF67-878FE0CB3027}"/>
    <cellStyle name="Normal 5 2 3 4 4 4" xfId="11152" xr:uid="{19EE2331-3976-40DF-89A0-7E1CC91A432F}"/>
    <cellStyle name="Normal 5 2 3 4 4 4 2" xfId="47494" xr:uid="{B80AC276-E81C-44B5-A4AF-DF069207F199}"/>
    <cellStyle name="Normal 5 2 3 4 4 4 3" xfId="28898" xr:uid="{A3FDD322-5D7E-47F0-B4DD-D1944045D14D}"/>
    <cellStyle name="Normal 5 2 3 4 4 5" xfId="38197" xr:uid="{2849F5BF-EA52-4E6A-8B3E-1EEA3CA21A75}"/>
    <cellStyle name="Normal 5 2 3 4 4 6" xfId="19599" xr:uid="{9E2624E4-9A21-40B9-8833-5FA5A36917E6}"/>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17927" xr:uid="{1CCBF2B3-92A9-4F49-8D86-42F78A613F0D}"/>
    <cellStyle name="Normal 5 2 3 4 5 2 2 2 2" xfId="54269" xr:uid="{BD726CFE-8D6B-4BA2-8381-49EF1A859A2A}"/>
    <cellStyle name="Normal 5 2 3 4 5 2 2 2 3" xfId="35673" xr:uid="{AB6A6EEC-3AC6-4DA1-881F-A207E0E1E26F}"/>
    <cellStyle name="Normal 5 2 3 4 5 2 2 3" xfId="44972" xr:uid="{3FC6D7AA-94FA-477C-A4F8-630BB2455346}"/>
    <cellStyle name="Normal 5 2 3 4 5 2 2 4" xfId="26374" xr:uid="{A1E161D5-73F2-4280-8EF4-456ED3624454}"/>
    <cellStyle name="Normal 5 2 3 4 5 2 3" xfId="13710" xr:uid="{31E222FE-35AC-417A-A1A1-5A7CA452B687}"/>
    <cellStyle name="Normal 5 2 3 4 5 2 3 2" xfId="50052" xr:uid="{66C21419-4B79-4BC7-805B-263ADEAEEA97}"/>
    <cellStyle name="Normal 5 2 3 4 5 2 3 3" xfId="31456" xr:uid="{EFEA09A0-DF56-43E5-A90E-BAD0D6C25E4B}"/>
    <cellStyle name="Normal 5 2 3 4 5 2 4" xfId="40755" xr:uid="{9F06C7E3-77B1-44C1-A133-6AE97BEB4208}"/>
    <cellStyle name="Normal 5 2 3 4 5 2 5" xfId="22157" xr:uid="{00E0237F-656F-4CB5-88F8-6739D651970B}"/>
    <cellStyle name="Normal 5 2 3 4 5 3" xfId="6456" xr:uid="{00000000-0005-0000-0000-0000BC180000}"/>
    <cellStyle name="Normal 5 2 3 4 5 3 2" xfId="15782" xr:uid="{56C6EE3E-40A7-405B-B8A6-82A06F1FBD1E}"/>
    <cellStyle name="Normal 5 2 3 4 5 3 2 2" xfId="52124" xr:uid="{A9EBEED2-7A6E-477C-8993-430D5EDE5138}"/>
    <cellStyle name="Normal 5 2 3 4 5 3 2 3" xfId="33528" xr:uid="{CFDB35E5-CFF6-4917-BEF0-36059AE88F1E}"/>
    <cellStyle name="Normal 5 2 3 4 5 3 3" xfId="42827" xr:uid="{A96D7189-F805-45A0-AC36-2A46D28CC0FF}"/>
    <cellStyle name="Normal 5 2 3 4 5 3 4" xfId="24229" xr:uid="{23F5D7BB-11D7-4A42-B867-8359D3925933}"/>
    <cellStyle name="Normal 5 2 3 4 5 4" xfId="11565" xr:uid="{56F950A3-6DD8-4F7B-8C4B-1EA1F48E6C45}"/>
    <cellStyle name="Normal 5 2 3 4 5 4 2" xfId="47907" xr:uid="{3C4D0C64-7B7B-4F8B-98F5-CBD866B213C7}"/>
    <cellStyle name="Normal 5 2 3 4 5 4 3" xfId="29311" xr:uid="{9608D5C8-A243-44BF-8B13-6831E2230B83}"/>
    <cellStyle name="Normal 5 2 3 4 5 5" xfId="38610" xr:uid="{03C8B4E5-74E9-49B9-B008-78AC7B39DF82}"/>
    <cellStyle name="Normal 5 2 3 4 5 6" xfId="20012" xr:uid="{213D1D37-C0DD-41AE-A783-7035F0EB4C5E}"/>
    <cellStyle name="Normal 5 2 3 4 6" xfId="2586" xr:uid="{00000000-0005-0000-0000-0000BD180000}"/>
    <cellStyle name="Normal 5 2 3 4 6 2" xfId="6869" xr:uid="{00000000-0005-0000-0000-0000BE180000}"/>
    <cellStyle name="Normal 5 2 3 4 6 2 2" xfId="16195" xr:uid="{EC157DB8-7377-4E50-9AF4-439718309FB4}"/>
    <cellStyle name="Normal 5 2 3 4 6 2 2 2" xfId="52537" xr:uid="{B58ADE81-543F-417B-901E-DA378E15DC77}"/>
    <cellStyle name="Normal 5 2 3 4 6 2 2 3" xfId="33941" xr:uid="{1EE17141-DAD5-4BBD-A662-4C7DDA476412}"/>
    <cellStyle name="Normal 5 2 3 4 6 2 3" xfId="43240" xr:uid="{15A9A87C-08F9-4C9F-A743-3FCF5E3A33F5}"/>
    <cellStyle name="Normal 5 2 3 4 6 2 4" xfId="24642" xr:uid="{07AD800C-EA2D-42CA-8DE4-5BDBDFE27381}"/>
    <cellStyle name="Normal 5 2 3 4 6 3" xfId="11978" xr:uid="{6D9B2EE8-1F45-43DE-91D2-3CD802B169E6}"/>
    <cellStyle name="Normal 5 2 3 4 6 3 2" xfId="48320" xr:uid="{F2665161-E986-4805-94FC-5290D929B2BD}"/>
    <cellStyle name="Normal 5 2 3 4 6 3 3" xfId="29724" xr:uid="{910E15B0-049D-4DD3-8BF1-241B65035A41}"/>
    <cellStyle name="Normal 5 2 3 4 6 4" xfId="39023" xr:uid="{37230193-314D-45ED-AC25-BF9702F84564}"/>
    <cellStyle name="Normal 5 2 3 4 6 5" xfId="20425" xr:uid="{191A341D-55EA-47B0-A4B3-F8F2946D3486}"/>
    <cellStyle name="Normal 5 2 3 4 7" xfId="4804" xr:uid="{00000000-0005-0000-0000-0000BF180000}"/>
    <cellStyle name="Normal 5 2 3 4 7 2" xfId="14130" xr:uid="{02BAFA4A-07C6-4DA5-B34B-7C888B1F143C}"/>
    <cellStyle name="Normal 5 2 3 4 7 2 2" xfId="50472" xr:uid="{250085AA-C0A4-4561-815B-5EEC6BFBE444}"/>
    <cellStyle name="Normal 5 2 3 4 7 2 3" xfId="31876" xr:uid="{C0051AD8-8675-441E-B516-D4C2FCDD42BA}"/>
    <cellStyle name="Normal 5 2 3 4 7 3" xfId="41175" xr:uid="{B3E95A1E-C3A1-40C7-B121-35153134FA96}"/>
    <cellStyle name="Normal 5 2 3 4 7 4" xfId="22577" xr:uid="{EC0A6E35-2B46-4A3D-B227-1AB9765203D8}"/>
    <cellStyle name="Normal 5 2 3 4 8" xfId="8983" xr:uid="{07388FCC-03DE-4CE8-89CB-9C92F8174E24}"/>
    <cellStyle name="Normal 5 2 3 4 8 2" xfId="36053" xr:uid="{2E6A16C9-FAEF-490D-8599-5D6E0FE00C19}"/>
    <cellStyle name="Normal 5 2 3 4 8 2 2" xfId="54648" xr:uid="{ACD8BC62-7699-44DE-A73F-4DBE33AE8F48}"/>
    <cellStyle name="Normal 5 2 3 4 8 3" xfId="45351" xr:uid="{BCBC79CB-8586-4BAC-A0D4-EC2834161211}"/>
    <cellStyle name="Normal 5 2 3 4 8 4" xfId="26754" xr:uid="{8B1A6580-298E-4CE1-8320-13F0DCCD76AA}"/>
    <cellStyle name="Normal 5 2 3 4 9" xfId="9913" xr:uid="{B3814060-14CF-4181-A431-AABEB4D7F903}"/>
    <cellStyle name="Normal 5 2 3 4 9 2" xfId="46255" xr:uid="{BA65F113-7377-411B-B8AD-6E00EADC8764}"/>
    <cellStyle name="Normal 5 2 3 4 9 3" xfId="27659" xr:uid="{03BD8299-DF65-4C44-BDD0-5B010AFA4193}"/>
    <cellStyle name="Normal 5 2 3 5" xfId="898" xr:uid="{00000000-0005-0000-0000-0000C0180000}"/>
    <cellStyle name="Normal 5 2 3 5 2" xfId="3133" xr:uid="{00000000-0005-0000-0000-0000C1180000}"/>
    <cellStyle name="Normal 5 2 3 5 2 2" xfId="7355" xr:uid="{00000000-0005-0000-0000-0000C2180000}"/>
    <cellStyle name="Normal 5 2 3 5 2 2 2" xfId="16681" xr:uid="{26A5E7CE-5F9A-4712-AE8A-B453DC1A1435}"/>
    <cellStyle name="Normal 5 2 3 5 2 2 2 2" xfId="53023" xr:uid="{E59DA37F-990F-4873-BD0C-1B17BE7CA031}"/>
    <cellStyle name="Normal 5 2 3 5 2 2 2 3" xfId="34427" xr:uid="{85BE6E2F-3500-4FFB-A8B3-55A5937EAB86}"/>
    <cellStyle name="Normal 5 2 3 5 2 2 3" xfId="43726" xr:uid="{FB5BB0B7-6CD4-467C-B9F6-483C49AF38BC}"/>
    <cellStyle name="Normal 5 2 3 5 2 2 4" xfId="25128" xr:uid="{6302880A-1463-4E91-B123-89A625DACD3D}"/>
    <cellStyle name="Normal 5 2 3 5 2 3" xfId="12464" xr:uid="{9AC432B2-B3D2-488B-9924-B05B4BE5E44D}"/>
    <cellStyle name="Normal 5 2 3 5 2 3 2" xfId="48806" xr:uid="{FFFDA533-A174-462E-98C5-38D5855B8736}"/>
    <cellStyle name="Normal 5 2 3 5 2 3 3" xfId="30210" xr:uid="{5BBA587E-5670-408C-BF42-7AE4A0EB569F}"/>
    <cellStyle name="Normal 5 2 3 5 2 4" xfId="39509" xr:uid="{4C83C978-6566-4BC4-9BFF-513EE6DA248A}"/>
    <cellStyle name="Normal 5 2 3 5 2 5" xfId="20911" xr:uid="{177E30C7-F291-4B28-8FAC-F572E19F0C6C}"/>
    <cellStyle name="Normal 5 2 3 5 3" xfId="5210" xr:uid="{00000000-0005-0000-0000-0000C3180000}"/>
    <cellStyle name="Normal 5 2 3 5 3 2" xfId="14536" xr:uid="{CF6C081E-8E44-4D09-85B9-35FAEBFFFF41}"/>
    <cellStyle name="Normal 5 2 3 5 3 2 2" xfId="50878" xr:uid="{3AE104BD-16BB-483B-822A-BDF0FD509816}"/>
    <cellStyle name="Normal 5 2 3 5 3 2 3" xfId="32282" xr:uid="{3AB75919-AEEA-4653-B669-EA5BD2434BC9}"/>
    <cellStyle name="Normal 5 2 3 5 3 3" xfId="41581" xr:uid="{0CEDFEA0-00BF-4431-9278-CCC56E65A1E9}"/>
    <cellStyle name="Normal 5 2 3 5 3 4" xfId="22983" xr:uid="{B4F46C25-A2C5-45B4-83AD-082C419F669E}"/>
    <cellStyle name="Normal 5 2 3 5 4" xfId="9200" xr:uid="{13DE827A-4007-427A-9869-ADBBE6B70993}"/>
    <cellStyle name="Normal 5 2 3 5 4 2" xfId="36262" xr:uid="{7B3E9444-8F8E-4222-AAE2-7D1CB7D46022}"/>
    <cellStyle name="Normal 5 2 3 5 4 2 2" xfId="54856" xr:uid="{C641BE5A-1B9C-484F-B5AB-CC31F5D39946}"/>
    <cellStyle name="Normal 5 2 3 5 4 3" xfId="45559" xr:uid="{11FB5DD6-E6D3-4CA5-BED3-35FDFB5B1873}"/>
    <cellStyle name="Normal 5 2 3 5 4 4" xfId="26963" xr:uid="{D002D2DA-DB59-4B20-97FC-1B004749F9E1}"/>
    <cellStyle name="Normal 5 2 3 5 5" xfId="10319" xr:uid="{6B4F763B-77C2-42FB-9E1D-FC691386C85F}"/>
    <cellStyle name="Normal 5 2 3 5 5 2" xfId="46661" xr:uid="{6DD76FD6-5463-4C60-A78E-A5A2FE339754}"/>
    <cellStyle name="Normal 5 2 3 5 5 3" xfId="28065" xr:uid="{ADF6B0CC-3751-4293-8E9E-A1316C806D3C}"/>
    <cellStyle name="Normal 5 2 3 5 6" xfId="37364" xr:uid="{CD072F4A-6592-4CCD-948A-29FBA5EF1D24}"/>
    <cellStyle name="Normal 5 2 3 5 7" xfId="18766" xr:uid="{1C0D13D1-A0E0-4D0E-A783-12B294D81403}"/>
    <cellStyle name="Normal 5 2 3 6" xfId="1316" xr:uid="{00000000-0005-0000-0000-0000C4180000}"/>
    <cellStyle name="Normal 5 2 3 6 2" xfId="3546" xr:uid="{00000000-0005-0000-0000-0000C5180000}"/>
    <cellStyle name="Normal 5 2 3 6 2 2" xfId="7768" xr:uid="{00000000-0005-0000-0000-0000C6180000}"/>
    <cellStyle name="Normal 5 2 3 6 2 2 2" xfId="17094" xr:uid="{F96AC0EB-9278-46CB-94A4-CB3FC3F5227C}"/>
    <cellStyle name="Normal 5 2 3 6 2 2 2 2" xfId="53436" xr:uid="{44FC3D15-FFB7-4DD0-A5BD-A44B1DC7EE74}"/>
    <cellStyle name="Normal 5 2 3 6 2 2 2 3" xfId="34840" xr:uid="{AC558A79-A450-4B6D-8FCE-E5A239877519}"/>
    <cellStyle name="Normal 5 2 3 6 2 2 3" xfId="44139" xr:uid="{5D4AB536-7433-4F4D-A2D9-C9D8960E69F8}"/>
    <cellStyle name="Normal 5 2 3 6 2 2 4" xfId="25541" xr:uid="{F1A083AA-9E00-4036-992B-CFBE08D1E7B1}"/>
    <cellStyle name="Normal 5 2 3 6 2 3" xfId="12877" xr:uid="{92A59FDA-E16E-4041-84AB-B44104F4E555}"/>
    <cellStyle name="Normal 5 2 3 6 2 3 2" xfId="49219" xr:uid="{D68C0E95-0097-4A58-AEFC-AC0E392AE5CD}"/>
    <cellStyle name="Normal 5 2 3 6 2 3 3" xfId="30623" xr:uid="{33F313F0-25A3-4929-877C-3B68C16ACA36}"/>
    <cellStyle name="Normal 5 2 3 6 2 4" xfId="39922" xr:uid="{34A0B320-3DBB-499C-A022-6305FAEE0BEB}"/>
    <cellStyle name="Normal 5 2 3 6 2 5" xfId="21324" xr:uid="{F6277BF4-78D0-4F36-8F2C-1619883DC996}"/>
    <cellStyle name="Normal 5 2 3 6 3" xfId="5623" xr:uid="{00000000-0005-0000-0000-0000C7180000}"/>
    <cellStyle name="Normal 5 2 3 6 3 2" xfId="14949" xr:uid="{AFDBDCAB-ED18-4138-BF6C-F1C2FA02DB3F}"/>
    <cellStyle name="Normal 5 2 3 6 3 2 2" xfId="51291" xr:uid="{5906CFCA-23B7-40A0-8E04-ECB25A432788}"/>
    <cellStyle name="Normal 5 2 3 6 3 2 3" xfId="32695" xr:uid="{3268E837-F62F-4E74-9D55-CA0098A98166}"/>
    <cellStyle name="Normal 5 2 3 6 3 3" xfId="41994" xr:uid="{B005D84F-79F5-4F2F-B902-3D23545CB0B8}"/>
    <cellStyle name="Normal 5 2 3 6 3 4" xfId="23396" xr:uid="{DCA93C6E-F6C3-409E-B50A-383C7C724913}"/>
    <cellStyle name="Normal 5 2 3 6 4" xfId="10732" xr:uid="{BCC54A38-DB88-4D0A-9F47-4557F4D79B09}"/>
    <cellStyle name="Normal 5 2 3 6 4 2" xfId="47074" xr:uid="{26EF4CE1-8951-4C32-AA4A-9A4D4FEC0562}"/>
    <cellStyle name="Normal 5 2 3 6 4 3" xfId="28478" xr:uid="{A516DF8D-9DB5-495F-8A28-310835DEE15B}"/>
    <cellStyle name="Normal 5 2 3 6 5" xfId="37777" xr:uid="{165DA42C-7E79-4E30-8426-B42C89228B4D}"/>
    <cellStyle name="Normal 5 2 3 6 6" xfId="19179" xr:uid="{1EF88007-9421-4651-9A8C-093567DB6767}"/>
    <cellStyle name="Normal 5 2 3 7" xfId="1729" xr:uid="{00000000-0005-0000-0000-0000C8180000}"/>
    <cellStyle name="Normal 5 2 3 7 2" xfId="3959" xr:uid="{00000000-0005-0000-0000-0000C9180000}"/>
    <cellStyle name="Normal 5 2 3 7 2 2" xfId="8181" xr:uid="{00000000-0005-0000-0000-0000CA180000}"/>
    <cellStyle name="Normal 5 2 3 7 2 2 2" xfId="17507" xr:uid="{73F641DE-8843-4EA6-BCFF-053380D771BA}"/>
    <cellStyle name="Normal 5 2 3 7 2 2 2 2" xfId="53849" xr:uid="{A9D72588-EC22-4FFA-8560-115F3C4C4D9D}"/>
    <cellStyle name="Normal 5 2 3 7 2 2 2 3" xfId="35253" xr:uid="{FB8782D9-5F74-49F6-91D0-C04AEE61A6B7}"/>
    <cellStyle name="Normal 5 2 3 7 2 2 3" xfId="44552" xr:uid="{A643F03E-EC9E-4687-A1AF-39F89B8590EF}"/>
    <cellStyle name="Normal 5 2 3 7 2 2 4" xfId="25954" xr:uid="{63FF9079-13C6-42C6-8357-C2FC73C4E023}"/>
    <cellStyle name="Normal 5 2 3 7 2 3" xfId="13290" xr:uid="{C9D46828-1CA4-4759-AB3A-977C0D7E06BE}"/>
    <cellStyle name="Normal 5 2 3 7 2 3 2" xfId="49632" xr:uid="{5F124AA7-DA91-49BA-B278-43917875F41D}"/>
    <cellStyle name="Normal 5 2 3 7 2 3 3" xfId="31036" xr:uid="{9AC10FBC-AD49-4A37-A650-025015820DAD}"/>
    <cellStyle name="Normal 5 2 3 7 2 4" xfId="40335" xr:uid="{BC3143FB-B3A5-4991-8BFE-822FEEDBE9B1}"/>
    <cellStyle name="Normal 5 2 3 7 2 5" xfId="21737" xr:uid="{7DD62FBB-F622-4918-A293-D6424EC9D3B6}"/>
    <cellStyle name="Normal 5 2 3 7 3" xfId="6036" xr:uid="{00000000-0005-0000-0000-0000CB180000}"/>
    <cellStyle name="Normal 5 2 3 7 3 2" xfId="15362" xr:uid="{53D62610-4757-42D3-81BB-39CEA18E0F9A}"/>
    <cellStyle name="Normal 5 2 3 7 3 2 2" xfId="51704" xr:uid="{98C531BF-F2AA-4737-9FA7-F185AB93EF98}"/>
    <cellStyle name="Normal 5 2 3 7 3 2 3" xfId="33108" xr:uid="{38003524-2456-479F-9BE5-3FC7720E54B1}"/>
    <cellStyle name="Normal 5 2 3 7 3 3" xfId="42407" xr:uid="{A958FB6E-1710-42B8-8E54-1E2C2FD47861}"/>
    <cellStyle name="Normal 5 2 3 7 3 4" xfId="23809" xr:uid="{248B4C84-747B-4A51-85EF-FF44E9B3574B}"/>
    <cellStyle name="Normal 5 2 3 7 4" xfId="11145" xr:uid="{8A3E9762-3AA1-4877-8450-1854A198F051}"/>
    <cellStyle name="Normal 5 2 3 7 4 2" xfId="47487" xr:uid="{5762712C-A5F4-4ACE-94B9-0917AF1A25A5}"/>
    <cellStyle name="Normal 5 2 3 7 4 3" xfId="28891" xr:uid="{378D1C4D-E2C2-488A-847C-A717E1F0F5E8}"/>
    <cellStyle name="Normal 5 2 3 7 5" xfId="38190" xr:uid="{C51C1F32-D6BB-4DE1-8E17-824E33D00033}"/>
    <cellStyle name="Normal 5 2 3 7 6" xfId="19592" xr:uid="{97E7CAAF-6595-4FA1-BEB8-D59EDE94EC43}"/>
    <cellStyle name="Normal 5 2 3 8" xfId="2143" xr:uid="{00000000-0005-0000-0000-0000CC180000}"/>
    <cellStyle name="Normal 5 2 3 8 2" xfId="4372" xr:uid="{00000000-0005-0000-0000-0000CD180000}"/>
    <cellStyle name="Normal 5 2 3 8 2 2" xfId="8594" xr:uid="{00000000-0005-0000-0000-0000CE180000}"/>
    <cellStyle name="Normal 5 2 3 8 2 2 2" xfId="17920" xr:uid="{C620DDC9-2272-40C3-82B5-8129BCC8B49A}"/>
    <cellStyle name="Normal 5 2 3 8 2 2 2 2" xfId="54262" xr:uid="{8C5CA316-07BF-4E99-910C-8FB6E9E7E7A4}"/>
    <cellStyle name="Normal 5 2 3 8 2 2 2 3" xfId="35666" xr:uid="{2B9FDE03-726A-4DC5-A6EF-84196F71437F}"/>
    <cellStyle name="Normal 5 2 3 8 2 2 3" xfId="44965" xr:uid="{D4D4BC7E-3E83-4FC1-B511-1B58F915319B}"/>
    <cellStyle name="Normal 5 2 3 8 2 2 4" xfId="26367" xr:uid="{51FB225E-EB7B-4443-BC24-2F02D52BAFBE}"/>
    <cellStyle name="Normal 5 2 3 8 2 3" xfId="13703" xr:uid="{26786514-35E5-4E56-95D2-5D1404B9358C}"/>
    <cellStyle name="Normal 5 2 3 8 2 3 2" xfId="50045" xr:uid="{E6121635-7B33-424E-9000-6346D2E9DBD0}"/>
    <cellStyle name="Normal 5 2 3 8 2 3 3" xfId="31449" xr:uid="{8727335A-6AC1-486E-98E6-0292D638CE37}"/>
    <cellStyle name="Normal 5 2 3 8 2 4" xfId="40748" xr:uid="{05D78BDC-B2E1-42CA-A3AE-E8C2D97E6B0E}"/>
    <cellStyle name="Normal 5 2 3 8 2 5" xfId="22150" xr:uid="{2FA584B7-F5F9-4F65-8E25-04408871BEDC}"/>
    <cellStyle name="Normal 5 2 3 8 3" xfId="6449" xr:uid="{00000000-0005-0000-0000-0000CF180000}"/>
    <cellStyle name="Normal 5 2 3 8 3 2" xfId="15775" xr:uid="{43D2738F-0EDF-40D5-AC66-14FE88ABEA43}"/>
    <cellStyle name="Normal 5 2 3 8 3 2 2" xfId="52117" xr:uid="{BC003930-2E29-45D3-A596-7D2A6A1D6DED}"/>
    <cellStyle name="Normal 5 2 3 8 3 2 3" xfId="33521" xr:uid="{886925B9-7ADF-4E04-9783-446B26C8AB23}"/>
    <cellStyle name="Normal 5 2 3 8 3 3" xfId="42820" xr:uid="{10277B0C-4C8C-47EB-96A2-7EEF1D2B154F}"/>
    <cellStyle name="Normal 5 2 3 8 3 4" xfId="24222" xr:uid="{EFAEFC07-8EEE-4EBD-A336-FE844D43FC6D}"/>
    <cellStyle name="Normal 5 2 3 8 4" xfId="11558" xr:uid="{DE53BA10-6267-4703-A32B-1B8B942442A3}"/>
    <cellStyle name="Normal 5 2 3 8 4 2" xfId="47900" xr:uid="{4F2EDBB2-795A-4A0C-9199-BD0F49B5D0DF}"/>
    <cellStyle name="Normal 5 2 3 8 4 3" xfId="29304" xr:uid="{714A8181-99DF-4A22-AAB3-62F9D2A10AD0}"/>
    <cellStyle name="Normal 5 2 3 8 5" xfId="38603" xr:uid="{5939C262-D418-412F-8524-28929BF2737C}"/>
    <cellStyle name="Normal 5 2 3 8 6" xfId="20005" xr:uid="{891017B6-B398-4536-A70F-FE2315AAAB91}"/>
    <cellStyle name="Normal 5 2 3 9" xfId="2579" xr:uid="{00000000-0005-0000-0000-0000D0180000}"/>
    <cellStyle name="Normal 5 2 3 9 2" xfId="6862" xr:uid="{00000000-0005-0000-0000-0000D1180000}"/>
    <cellStyle name="Normal 5 2 3 9 2 2" xfId="16188" xr:uid="{72C2D4B0-915E-462E-A14D-4B8C81664AED}"/>
    <cellStyle name="Normal 5 2 3 9 2 2 2" xfId="52530" xr:uid="{BB51D2C6-60C8-4763-BDC6-C65F8CC8EE66}"/>
    <cellStyle name="Normal 5 2 3 9 2 2 3" xfId="33934" xr:uid="{FC9DC530-AC6E-45AF-ADAC-ABBC0C5DE1B3}"/>
    <cellStyle name="Normal 5 2 3 9 2 3" xfId="43233" xr:uid="{2F1356A0-7DA0-4AE0-A544-60094783DF72}"/>
    <cellStyle name="Normal 5 2 3 9 2 4" xfId="24635" xr:uid="{FCA46586-8965-4BC4-A476-FA9389D7AEFD}"/>
    <cellStyle name="Normal 5 2 3 9 3" xfId="11971" xr:uid="{D34B85B6-BEC2-45C7-9BA2-2FBEE5039423}"/>
    <cellStyle name="Normal 5 2 3 9 3 2" xfId="48313" xr:uid="{54E209BF-1E1B-4C7A-8ECA-32AEA5A6A0A1}"/>
    <cellStyle name="Normal 5 2 3 9 3 3" xfId="29717" xr:uid="{A8965A75-4E5B-49EB-9AC8-85E2BAEF231B}"/>
    <cellStyle name="Normal 5 2 3 9 4" xfId="39016" xr:uid="{5062EAA9-07E4-4E23-8328-2CFB37AA700F}"/>
    <cellStyle name="Normal 5 2 3 9 5" xfId="20418" xr:uid="{A0C83A7E-38A4-4B46-8A4E-892025C6B41D}"/>
    <cellStyle name="Normal 5 2 4" xfId="432" xr:uid="{00000000-0005-0000-0000-0000D2180000}"/>
    <cellStyle name="Normal 5 2 4 10" xfId="8827" xr:uid="{1EC4F605-F0BA-487E-A3C0-2CBAE7C22D8A}"/>
    <cellStyle name="Normal 5 2 4 10 2" xfId="35897" xr:uid="{2F1AA9F3-841C-4EE6-8429-59B1146927F2}"/>
    <cellStyle name="Normal 5 2 4 10 2 2" xfId="54492" xr:uid="{97566163-4D91-4E11-A274-68028F5F327F}"/>
    <cellStyle name="Normal 5 2 4 10 3" xfId="45195" xr:uid="{F829CB3A-AB77-4350-A5D0-259FF73C76CF}"/>
    <cellStyle name="Normal 5 2 4 10 4" xfId="26598" xr:uid="{5AC38D01-A04B-44E5-AF3B-F105EBCC9D7D}"/>
    <cellStyle name="Normal 5 2 4 11" xfId="9914" xr:uid="{E7F709C4-EF12-43A1-84C0-DB912FB77233}"/>
    <cellStyle name="Normal 5 2 4 11 2" xfId="46256" xr:uid="{0DDF96F8-7B85-407E-A300-40BE771D84B5}"/>
    <cellStyle name="Normal 5 2 4 11 3" xfId="27660" xr:uid="{D79C4634-E0DE-464D-B2BD-B5CA790637CE}"/>
    <cellStyle name="Normal 5 2 4 12" xfId="36959" xr:uid="{603D6096-2DB3-467B-98E0-361586D0A7F0}"/>
    <cellStyle name="Normal 5 2 4 13" xfId="18361" xr:uid="{986046CC-4404-4B58-894A-715EAC74C8E3}"/>
    <cellStyle name="Normal 5 2 4 2" xfId="433" xr:uid="{00000000-0005-0000-0000-0000D3180000}"/>
    <cellStyle name="Normal 5 2 4 2 10" xfId="9915" xr:uid="{46C9C3B2-D937-4573-8538-3CB39DB56E10}"/>
    <cellStyle name="Normal 5 2 4 2 10 2" xfId="46257" xr:uid="{0F86C594-5D25-4616-B32F-221E74288AB4}"/>
    <cellStyle name="Normal 5 2 4 2 10 3" xfId="27661" xr:uid="{0B4EA14D-C759-407A-B189-DE719ECFA13C}"/>
    <cellStyle name="Normal 5 2 4 2 11" xfId="36960" xr:uid="{D90CE2CE-4AC1-4AD1-AD7F-73D929D40F2D}"/>
    <cellStyle name="Normal 5 2 4 2 12" xfId="18362" xr:uid="{E5FEFD0A-B656-4844-9969-B95BA68F99BD}"/>
    <cellStyle name="Normal 5 2 4 2 2" xfId="434" xr:uid="{00000000-0005-0000-0000-0000D4180000}"/>
    <cellStyle name="Normal 5 2 4 2 2 10" xfId="36961" xr:uid="{9019D8D9-B972-4BEC-A6BD-13AD757BCC26}"/>
    <cellStyle name="Normal 5 2 4 2 2 11" xfId="18363" xr:uid="{5433E1A8-106E-4A24-839B-A8E7B267B976}"/>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16691" xr:uid="{057E4E5B-ACAD-43CF-AFBE-CB57189306B2}"/>
    <cellStyle name="Normal 5 2 4 2 2 2 2 2 2 2" xfId="53033" xr:uid="{61D2CB08-4512-46AD-A0F5-83209FD2C1E9}"/>
    <cellStyle name="Normal 5 2 4 2 2 2 2 2 2 3" xfId="34437" xr:uid="{5E0813E9-81C9-4A48-A740-093C2CD1FC37}"/>
    <cellStyle name="Normal 5 2 4 2 2 2 2 2 3" xfId="43736" xr:uid="{5E98ABDE-A804-4BA8-AD35-30CDFE43DB6B}"/>
    <cellStyle name="Normal 5 2 4 2 2 2 2 2 4" xfId="25138" xr:uid="{B96F1340-F885-49A0-B2D9-ED4C5E58FBF6}"/>
    <cellStyle name="Normal 5 2 4 2 2 2 2 3" xfId="12474" xr:uid="{B3F2FC7D-8698-4954-B779-565288A88F5E}"/>
    <cellStyle name="Normal 5 2 4 2 2 2 2 3 2" xfId="48816" xr:uid="{EE0FB982-EA56-45E6-9804-7D42E40A7B11}"/>
    <cellStyle name="Normal 5 2 4 2 2 2 2 3 3" xfId="30220" xr:uid="{F3E289EB-DB14-41D3-A540-B0BE9382E084}"/>
    <cellStyle name="Normal 5 2 4 2 2 2 2 4" xfId="39519" xr:uid="{147CD942-61A2-488E-A65B-AAF990639892}"/>
    <cellStyle name="Normal 5 2 4 2 2 2 2 5" xfId="20921" xr:uid="{AE2B9CE2-3CB8-42C9-ACE3-24D9ED01064E}"/>
    <cellStyle name="Normal 5 2 4 2 2 2 3" xfId="5220" xr:uid="{00000000-0005-0000-0000-0000D8180000}"/>
    <cellStyle name="Normal 5 2 4 2 2 2 3 2" xfId="14546" xr:uid="{412AE732-8C75-4129-B404-9044928317C6}"/>
    <cellStyle name="Normal 5 2 4 2 2 2 3 2 2" xfId="50888" xr:uid="{93E4AEEF-CC78-4925-98DA-1C6A014F1A34}"/>
    <cellStyle name="Normal 5 2 4 2 2 2 3 2 3" xfId="32292" xr:uid="{B40BA769-3AAA-4A45-B85A-B982C0152205}"/>
    <cellStyle name="Normal 5 2 4 2 2 2 3 3" xfId="41591" xr:uid="{63A4101C-342A-4EF0-9515-8064BA3C753E}"/>
    <cellStyle name="Normal 5 2 4 2 2 2 3 4" xfId="22993" xr:uid="{D06C87E8-E495-4962-9FB1-8F847564D12B}"/>
    <cellStyle name="Normal 5 2 4 2 2 2 4" xfId="9562" xr:uid="{5E243FB4-F3B1-4B34-B377-1444454AD19E}"/>
    <cellStyle name="Normal 5 2 4 2 2 2 4 2" xfId="36623" xr:uid="{605376BA-3D62-4B1D-B02B-71A1468AD12D}"/>
    <cellStyle name="Normal 5 2 4 2 2 2 4 2 2" xfId="55217" xr:uid="{16D1A3D0-511A-4213-AB91-F3159AA8168B}"/>
    <cellStyle name="Normal 5 2 4 2 2 2 4 3" xfId="45920" xr:uid="{C1F821AD-F5B6-46FE-ACF2-BC50BA76117D}"/>
    <cellStyle name="Normal 5 2 4 2 2 2 4 4" xfId="27324" xr:uid="{82F2B94D-5D5A-4AD7-9104-25C28F4D32E0}"/>
    <cellStyle name="Normal 5 2 4 2 2 2 5" xfId="10329" xr:uid="{031905B2-39E6-4627-9DC8-400B8CBFBD7A}"/>
    <cellStyle name="Normal 5 2 4 2 2 2 5 2" xfId="46671" xr:uid="{2DCA248D-51B8-4ED7-B50D-F8F945CA7F54}"/>
    <cellStyle name="Normal 5 2 4 2 2 2 5 3" xfId="28075" xr:uid="{34E9F47E-E221-48A6-BB6C-D09E55BAAB22}"/>
    <cellStyle name="Normal 5 2 4 2 2 2 6" xfId="37374" xr:uid="{3D346D11-F3E2-48E1-8A2B-5BC3C74D0732}"/>
    <cellStyle name="Normal 5 2 4 2 2 2 7" xfId="18776" xr:uid="{4A61D95D-E0E9-4B35-8266-91DD97A40AA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17104" xr:uid="{11564BA4-9479-450E-9777-B4130FF5A8E2}"/>
    <cellStyle name="Normal 5 2 4 2 2 3 2 2 2 2" xfId="53446" xr:uid="{325EA0B3-E20E-4569-AD61-CF219481699E}"/>
    <cellStyle name="Normal 5 2 4 2 2 3 2 2 2 3" xfId="34850" xr:uid="{A14F8282-5796-4BAC-BB41-176E02A8ECE8}"/>
    <cellStyle name="Normal 5 2 4 2 2 3 2 2 3" xfId="44149" xr:uid="{A65840AD-C2FB-462E-9811-B5F906E0D407}"/>
    <cellStyle name="Normal 5 2 4 2 2 3 2 2 4" xfId="25551" xr:uid="{E419374D-C8C9-4387-BBD6-D9C5026CCC8F}"/>
    <cellStyle name="Normal 5 2 4 2 2 3 2 3" xfId="12887" xr:uid="{2C978C0D-933D-4746-9FDE-27A9AB105F21}"/>
    <cellStyle name="Normal 5 2 4 2 2 3 2 3 2" xfId="49229" xr:uid="{4448600E-8BF9-434F-8CEB-A300CB5575B2}"/>
    <cellStyle name="Normal 5 2 4 2 2 3 2 3 3" xfId="30633" xr:uid="{BA04DA95-C3C9-4167-917E-D518314DBD7A}"/>
    <cellStyle name="Normal 5 2 4 2 2 3 2 4" xfId="39932" xr:uid="{16DF52FC-1CF2-4315-A4E9-A857E6F424E9}"/>
    <cellStyle name="Normal 5 2 4 2 2 3 2 5" xfId="21334" xr:uid="{AC7E54F6-143A-41E2-B6DA-51CF5F289C2B}"/>
    <cellStyle name="Normal 5 2 4 2 2 3 3" xfId="5633" xr:uid="{00000000-0005-0000-0000-0000DC180000}"/>
    <cellStyle name="Normal 5 2 4 2 2 3 3 2" xfId="14959" xr:uid="{5295BA4F-01C3-4ADB-9A32-4500C28F51C1}"/>
    <cellStyle name="Normal 5 2 4 2 2 3 3 2 2" xfId="51301" xr:uid="{66534516-B3CF-49A0-BA5A-E4973C5FD4A3}"/>
    <cellStyle name="Normal 5 2 4 2 2 3 3 2 3" xfId="32705" xr:uid="{01F77544-0204-4C1B-A5BF-8E6101DD0D07}"/>
    <cellStyle name="Normal 5 2 4 2 2 3 3 3" xfId="42004" xr:uid="{A1A3F593-3D96-40DB-B5CA-7A94D5CE3B30}"/>
    <cellStyle name="Normal 5 2 4 2 2 3 3 4" xfId="23406" xr:uid="{4EFE2E9A-5B76-4C5D-BD3A-FFC771576FE1}"/>
    <cellStyle name="Normal 5 2 4 2 2 3 4" xfId="10742" xr:uid="{13B4CCB0-8FFC-40DF-8070-B038F480C621}"/>
    <cellStyle name="Normal 5 2 4 2 2 3 4 2" xfId="47084" xr:uid="{E6BB5EA3-5701-4451-9B42-1A626E5353E8}"/>
    <cellStyle name="Normal 5 2 4 2 2 3 4 3" xfId="28488" xr:uid="{70AC5E3C-4E9C-469A-BEEB-8919136BDCF3}"/>
    <cellStyle name="Normal 5 2 4 2 2 3 5" xfId="37787" xr:uid="{6BA7D160-59DC-4494-BBB0-72D89B5C6FFD}"/>
    <cellStyle name="Normal 5 2 4 2 2 3 6" xfId="19189" xr:uid="{B687C730-744E-468C-B078-BF28B8DE6C41}"/>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17517" xr:uid="{BCDFC04D-3B86-4AA3-9BB4-CB7F7A1B399D}"/>
    <cellStyle name="Normal 5 2 4 2 2 4 2 2 2 2" xfId="53859" xr:uid="{72D6FA07-796B-4D83-AB5F-AA80D05BCDC3}"/>
    <cellStyle name="Normal 5 2 4 2 2 4 2 2 2 3" xfId="35263" xr:uid="{B513A407-8C49-4C7F-B02E-A568C02B714B}"/>
    <cellStyle name="Normal 5 2 4 2 2 4 2 2 3" xfId="44562" xr:uid="{C05DC384-6F6E-4D97-840A-0B85020B58C1}"/>
    <cellStyle name="Normal 5 2 4 2 2 4 2 2 4" xfId="25964" xr:uid="{91E1CC02-4A67-4E23-8F90-FE4C4E4AFA9B}"/>
    <cellStyle name="Normal 5 2 4 2 2 4 2 3" xfId="13300" xr:uid="{1A58323A-C003-4425-AE55-40AB7E230713}"/>
    <cellStyle name="Normal 5 2 4 2 2 4 2 3 2" xfId="49642" xr:uid="{459E54DE-384A-4768-8AAE-AC6FE89C76EF}"/>
    <cellStyle name="Normal 5 2 4 2 2 4 2 3 3" xfId="31046" xr:uid="{05D34304-6516-4773-93BB-FCED29A63514}"/>
    <cellStyle name="Normal 5 2 4 2 2 4 2 4" xfId="40345" xr:uid="{473C9DD5-D30E-44CF-835C-EDDFE704CA57}"/>
    <cellStyle name="Normal 5 2 4 2 2 4 2 5" xfId="21747" xr:uid="{537017EE-43EA-4AB7-BC40-E26D3A514578}"/>
    <cellStyle name="Normal 5 2 4 2 2 4 3" xfId="6046" xr:uid="{00000000-0005-0000-0000-0000E0180000}"/>
    <cellStyle name="Normal 5 2 4 2 2 4 3 2" xfId="15372" xr:uid="{36D9D83D-9BA3-4A7A-9946-C67F0CD68387}"/>
    <cellStyle name="Normal 5 2 4 2 2 4 3 2 2" xfId="51714" xr:uid="{D313046A-D719-4A6A-997D-054621D3CE28}"/>
    <cellStyle name="Normal 5 2 4 2 2 4 3 2 3" xfId="33118" xr:uid="{92D56167-67AA-4032-ACB9-6B3B8E83EB78}"/>
    <cellStyle name="Normal 5 2 4 2 2 4 3 3" xfId="42417" xr:uid="{97F211A4-FC40-4DE6-922F-8E77FD7FD842}"/>
    <cellStyle name="Normal 5 2 4 2 2 4 3 4" xfId="23819" xr:uid="{F70AFCC2-DF73-4BB4-A072-C00D5CBA114B}"/>
    <cellStyle name="Normal 5 2 4 2 2 4 4" xfId="11155" xr:uid="{DF8D85E1-70AB-4326-B446-89FA98A22773}"/>
    <cellStyle name="Normal 5 2 4 2 2 4 4 2" xfId="47497" xr:uid="{1E22F9F3-E440-471C-AD12-18010D28F90B}"/>
    <cellStyle name="Normal 5 2 4 2 2 4 4 3" xfId="28901" xr:uid="{F6D0673B-AE58-4C11-9A43-37C85BD3ABF6}"/>
    <cellStyle name="Normal 5 2 4 2 2 4 5" xfId="38200" xr:uid="{3DD81D27-CE91-4E42-9587-687E6B7A3338}"/>
    <cellStyle name="Normal 5 2 4 2 2 4 6" xfId="19602" xr:uid="{C14093D8-D254-480F-BB6A-DEFB8F14ED33}"/>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17930" xr:uid="{1AA374B7-4914-4E7D-A6B1-50809C40864A}"/>
    <cellStyle name="Normal 5 2 4 2 2 5 2 2 2 2" xfId="54272" xr:uid="{848D51C6-C801-4102-8C83-B7B89B70BDE4}"/>
    <cellStyle name="Normal 5 2 4 2 2 5 2 2 2 3" xfId="35676" xr:uid="{E7578488-FB2F-4057-A9E8-E6A684E6FA63}"/>
    <cellStyle name="Normal 5 2 4 2 2 5 2 2 3" xfId="44975" xr:uid="{44BB5AEC-2503-4543-85D8-F82EFAF100BE}"/>
    <cellStyle name="Normal 5 2 4 2 2 5 2 2 4" xfId="26377" xr:uid="{EE6D7B0D-067F-409D-AF51-B43210A7FC90}"/>
    <cellStyle name="Normal 5 2 4 2 2 5 2 3" xfId="13713" xr:uid="{898116E0-5259-41D2-AA80-14BCFC93B82E}"/>
    <cellStyle name="Normal 5 2 4 2 2 5 2 3 2" xfId="50055" xr:uid="{A4BD9FF0-22DF-4108-A8AD-52ACFA78FA58}"/>
    <cellStyle name="Normal 5 2 4 2 2 5 2 3 3" xfId="31459" xr:uid="{B216FC25-C512-49A0-AED2-F69D29A4BD8D}"/>
    <cellStyle name="Normal 5 2 4 2 2 5 2 4" xfId="40758" xr:uid="{AC167060-86FE-4077-9225-7FDA3FF1FD23}"/>
    <cellStyle name="Normal 5 2 4 2 2 5 2 5" xfId="22160" xr:uid="{3CCBA8CB-7CD6-4948-82B2-0E1DB838768F}"/>
    <cellStyle name="Normal 5 2 4 2 2 5 3" xfId="6459" xr:uid="{00000000-0005-0000-0000-0000E4180000}"/>
    <cellStyle name="Normal 5 2 4 2 2 5 3 2" xfId="15785" xr:uid="{32203DEB-8921-4E26-8ECB-A94B6BE9B300}"/>
    <cellStyle name="Normal 5 2 4 2 2 5 3 2 2" xfId="52127" xr:uid="{DFAB4D7E-67F4-4BCA-9C3C-916F7417B9CD}"/>
    <cellStyle name="Normal 5 2 4 2 2 5 3 2 3" xfId="33531" xr:uid="{42D5FF90-D50D-45D6-AF7B-F75A7C95B9D1}"/>
    <cellStyle name="Normal 5 2 4 2 2 5 3 3" xfId="42830" xr:uid="{0C2D0219-8A18-4924-BAA9-1EA7949E1F94}"/>
    <cellStyle name="Normal 5 2 4 2 2 5 3 4" xfId="24232" xr:uid="{2EFCECB8-632E-4BAF-A115-2FADD6A6F7F0}"/>
    <cellStyle name="Normal 5 2 4 2 2 5 4" xfId="11568" xr:uid="{60BEC0FA-682F-4185-A7A0-759EC06CFA89}"/>
    <cellStyle name="Normal 5 2 4 2 2 5 4 2" xfId="47910" xr:uid="{6263666D-BEA3-4023-B092-0B4074B83365}"/>
    <cellStyle name="Normal 5 2 4 2 2 5 4 3" xfId="29314" xr:uid="{3717608C-37E7-45DA-8310-9F70548D0A92}"/>
    <cellStyle name="Normal 5 2 4 2 2 5 5" xfId="38613" xr:uid="{BF28752A-80BC-4601-8837-83D35D09A399}"/>
    <cellStyle name="Normal 5 2 4 2 2 5 6" xfId="20015" xr:uid="{6D04DB00-DA13-403C-B034-1FDC13B2D9AD}"/>
    <cellStyle name="Normal 5 2 4 2 2 6" xfId="2589" xr:uid="{00000000-0005-0000-0000-0000E5180000}"/>
    <cellStyle name="Normal 5 2 4 2 2 6 2" xfId="6872" xr:uid="{00000000-0005-0000-0000-0000E6180000}"/>
    <cellStyle name="Normal 5 2 4 2 2 6 2 2" xfId="16198" xr:uid="{58CD6969-0A18-4741-900E-FCA7409EA77A}"/>
    <cellStyle name="Normal 5 2 4 2 2 6 2 2 2" xfId="52540" xr:uid="{E2F9D824-9D6F-4A00-901B-BA0C50ABD45D}"/>
    <cellStyle name="Normal 5 2 4 2 2 6 2 2 3" xfId="33944" xr:uid="{7AB1AB46-D9DE-499B-A526-B9D7BD4B31C8}"/>
    <cellStyle name="Normal 5 2 4 2 2 6 2 3" xfId="43243" xr:uid="{FB8A1DBA-1D95-422F-B24F-17D6AAE66D3D}"/>
    <cellStyle name="Normal 5 2 4 2 2 6 2 4" xfId="24645" xr:uid="{42F97336-3AE1-4B7C-9C2A-E048C112BF56}"/>
    <cellStyle name="Normal 5 2 4 2 2 6 3" xfId="11981" xr:uid="{ED388A35-AE1E-4972-90A5-4FC60AFBE9DB}"/>
    <cellStyle name="Normal 5 2 4 2 2 6 3 2" xfId="48323" xr:uid="{FEF56EF8-CC6B-432D-AFB7-D64ED5B65458}"/>
    <cellStyle name="Normal 5 2 4 2 2 6 3 3" xfId="29727" xr:uid="{F9827882-A3DC-4298-A521-8F145312F940}"/>
    <cellStyle name="Normal 5 2 4 2 2 6 4" xfId="39026" xr:uid="{660F02EF-C779-4679-ADE8-76264B81EFFA}"/>
    <cellStyle name="Normal 5 2 4 2 2 6 5" xfId="20428" xr:uid="{5BC912E8-9E92-4CEA-9270-08512F74ABD9}"/>
    <cellStyle name="Normal 5 2 4 2 2 7" xfId="4807" xr:uid="{00000000-0005-0000-0000-0000E7180000}"/>
    <cellStyle name="Normal 5 2 4 2 2 7 2" xfId="14133" xr:uid="{AA784B62-72F9-4B0F-A099-7609423D6130}"/>
    <cellStyle name="Normal 5 2 4 2 2 7 2 2" xfId="50475" xr:uid="{05CD3C37-CB0E-46C1-BD67-FA8692A46919}"/>
    <cellStyle name="Normal 5 2 4 2 2 7 2 3" xfId="31879" xr:uid="{30957B9E-77CF-43B3-A26D-85F08B140596}"/>
    <cellStyle name="Normal 5 2 4 2 2 7 3" xfId="41178" xr:uid="{340EFE20-7DC4-4532-8EC0-071CE35FAAC1}"/>
    <cellStyle name="Normal 5 2 4 2 2 7 4" xfId="22580" xr:uid="{0DAEA5FB-C975-48F9-A92E-3C77CBAA22BB}"/>
    <cellStyle name="Normal 5 2 4 2 2 8" xfId="9137" xr:uid="{C80E4B27-40CA-4953-ABB8-99E2C575F775}"/>
    <cellStyle name="Normal 5 2 4 2 2 8 2" xfId="36207" xr:uid="{30B0C2BA-D6B8-43F6-A057-F488EA97CA93}"/>
    <cellStyle name="Normal 5 2 4 2 2 8 2 2" xfId="54802" xr:uid="{3CC70E73-F286-4579-975D-C713E4BA0D72}"/>
    <cellStyle name="Normal 5 2 4 2 2 8 3" xfId="45505" xr:uid="{05E594F0-009F-4597-887D-371076AB0106}"/>
    <cellStyle name="Normal 5 2 4 2 2 8 4" xfId="26908" xr:uid="{1AD5F0A0-EC51-4606-A7BB-3D77EDC0943F}"/>
    <cellStyle name="Normal 5 2 4 2 2 9" xfId="9916" xr:uid="{F08D6E23-C2A3-4598-B840-AB0600B8D0B7}"/>
    <cellStyle name="Normal 5 2 4 2 2 9 2" xfId="46258" xr:uid="{BC1E5251-7A1B-469E-8BCC-45EB6B9E563D}"/>
    <cellStyle name="Normal 5 2 4 2 2 9 3" xfId="27662" xr:uid="{F9ABBB51-F033-4EF2-8E01-2A95A73A94DF}"/>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16690" xr:uid="{A75281FD-3815-40C4-9DDB-3975E13EA38D}"/>
    <cellStyle name="Normal 5 2 4 2 3 2 2 2 2" xfId="53032" xr:uid="{FBFEA798-8946-4EFD-BFA9-7395B9BCFDCD}"/>
    <cellStyle name="Normal 5 2 4 2 3 2 2 2 3" xfId="34436" xr:uid="{591E7850-1721-4E19-91CF-193900DFEF49}"/>
    <cellStyle name="Normal 5 2 4 2 3 2 2 3" xfId="43735" xr:uid="{89799496-D1CE-4800-A3D7-193A2D5B0C4C}"/>
    <cellStyle name="Normal 5 2 4 2 3 2 2 4" xfId="25137" xr:uid="{EFBFBD2C-AFD0-4B8A-A21A-8BD087BB3339}"/>
    <cellStyle name="Normal 5 2 4 2 3 2 3" xfId="12473" xr:uid="{EDDCEF72-0ED3-4DF9-82F6-C033A9249335}"/>
    <cellStyle name="Normal 5 2 4 2 3 2 3 2" xfId="48815" xr:uid="{5599344A-1EC2-46FF-9A4E-CF5E860FFFB9}"/>
    <cellStyle name="Normal 5 2 4 2 3 2 3 3" xfId="30219" xr:uid="{458C99E4-4F27-478D-A82D-BEAA8229CD13}"/>
    <cellStyle name="Normal 5 2 4 2 3 2 4" xfId="39518" xr:uid="{71463CEE-0682-4487-8B79-7C7E31C1F70F}"/>
    <cellStyle name="Normal 5 2 4 2 3 2 5" xfId="20920" xr:uid="{3E510954-C627-4F47-9B51-2521AB44BA5A}"/>
    <cellStyle name="Normal 5 2 4 2 3 3" xfId="5219" xr:uid="{00000000-0005-0000-0000-0000EB180000}"/>
    <cellStyle name="Normal 5 2 4 2 3 3 2" xfId="14545" xr:uid="{17CE8EDC-4900-4BDE-8AF1-87EF582AEEDB}"/>
    <cellStyle name="Normal 5 2 4 2 3 3 2 2" xfId="50887" xr:uid="{C5DEDFF3-9C2F-47D1-9C0D-8AED1E74FDB0}"/>
    <cellStyle name="Normal 5 2 4 2 3 3 2 3" xfId="32291" xr:uid="{11B16511-DEAC-4BF5-A947-0CAF1F74478D}"/>
    <cellStyle name="Normal 5 2 4 2 3 3 3" xfId="41590" xr:uid="{84EB6B22-FA18-46C5-9551-53FC590CCE9D}"/>
    <cellStyle name="Normal 5 2 4 2 3 3 4" xfId="22992" xr:uid="{2A891706-6288-4F54-B7BF-FB2306036D4E}"/>
    <cellStyle name="Normal 5 2 4 2 3 4" xfId="9355" xr:uid="{9D38A6AA-2F63-4275-9FB8-F86A15F6A4D3}"/>
    <cellStyle name="Normal 5 2 4 2 3 4 2" xfId="36416" xr:uid="{01296CD7-0524-4BDA-98FC-1E093CD8A78C}"/>
    <cellStyle name="Normal 5 2 4 2 3 4 2 2" xfId="55010" xr:uid="{96BDEB88-6948-4470-8BFA-86A35C4FBDF0}"/>
    <cellStyle name="Normal 5 2 4 2 3 4 3" xfId="45713" xr:uid="{6568B736-DAEE-4CDF-A5D3-AA8000D7F046}"/>
    <cellStyle name="Normal 5 2 4 2 3 4 4" xfId="27117" xr:uid="{49820477-60FC-47C1-8F34-6B1F46A44423}"/>
    <cellStyle name="Normal 5 2 4 2 3 5" xfId="10328" xr:uid="{3EE60E78-1FDA-4FAD-9ECE-6EC6762EDA47}"/>
    <cellStyle name="Normal 5 2 4 2 3 5 2" xfId="46670" xr:uid="{01C6CB51-8509-4BF6-BAFA-CCBA2B6418BA}"/>
    <cellStyle name="Normal 5 2 4 2 3 5 3" xfId="28074" xr:uid="{E3868B2E-E55B-46FB-A118-F27AB8A11623}"/>
    <cellStyle name="Normal 5 2 4 2 3 6" xfId="37373" xr:uid="{24194C51-B02D-45FE-B6AA-58E37621A81C}"/>
    <cellStyle name="Normal 5 2 4 2 3 7" xfId="18775" xr:uid="{7CD2B20B-EBDE-41D1-B972-69B200FFC664}"/>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17103" xr:uid="{08E61D8F-6D4F-45B4-8833-35484E6D1529}"/>
    <cellStyle name="Normal 5 2 4 2 4 2 2 2 2" xfId="53445" xr:uid="{4AB91573-085F-4BA9-B9C1-84292C500469}"/>
    <cellStyle name="Normal 5 2 4 2 4 2 2 2 3" xfId="34849" xr:uid="{5482F78F-96A6-488A-A87A-64AF0C3B43DF}"/>
    <cellStyle name="Normal 5 2 4 2 4 2 2 3" xfId="44148" xr:uid="{AD4717F0-19D5-469A-BBA4-40D3D86A5848}"/>
    <cellStyle name="Normal 5 2 4 2 4 2 2 4" xfId="25550" xr:uid="{FE99455A-1DBF-4CC7-89AF-E4648B68EB73}"/>
    <cellStyle name="Normal 5 2 4 2 4 2 3" xfId="12886" xr:uid="{D1324018-3325-46E3-9273-3E38B55BC14C}"/>
    <cellStyle name="Normal 5 2 4 2 4 2 3 2" xfId="49228" xr:uid="{CEB35EDB-44A6-407C-8C02-F1612D6C4C53}"/>
    <cellStyle name="Normal 5 2 4 2 4 2 3 3" xfId="30632" xr:uid="{86D0169E-367C-43D5-B6C1-47038D3CDE4B}"/>
    <cellStyle name="Normal 5 2 4 2 4 2 4" xfId="39931" xr:uid="{6A7C03C5-827A-4BB4-811F-D23554A6AB3A}"/>
    <cellStyle name="Normal 5 2 4 2 4 2 5" xfId="21333" xr:uid="{22EEAB9D-375E-4BFD-8FED-077CEA1CAEF5}"/>
    <cellStyle name="Normal 5 2 4 2 4 3" xfId="5632" xr:uid="{00000000-0005-0000-0000-0000EF180000}"/>
    <cellStyle name="Normal 5 2 4 2 4 3 2" xfId="14958" xr:uid="{1CEA82FE-A845-40B0-B463-2502319794EC}"/>
    <cellStyle name="Normal 5 2 4 2 4 3 2 2" xfId="51300" xr:uid="{BC6BED54-A8AA-4EE5-A5D9-BD43B93FF767}"/>
    <cellStyle name="Normal 5 2 4 2 4 3 2 3" xfId="32704" xr:uid="{3C6EAAF9-BDD7-4B06-833C-409BBEAF5571}"/>
    <cellStyle name="Normal 5 2 4 2 4 3 3" xfId="42003" xr:uid="{DFDBA516-76C6-4582-A86F-9C40331870E8}"/>
    <cellStyle name="Normal 5 2 4 2 4 3 4" xfId="23405" xr:uid="{BAB8CD44-674C-47A2-A895-ACDB7726A23E}"/>
    <cellStyle name="Normal 5 2 4 2 4 4" xfId="10741" xr:uid="{D86C62BC-6D64-41F9-AA14-D3457506DDE4}"/>
    <cellStyle name="Normal 5 2 4 2 4 4 2" xfId="47083" xr:uid="{048205A0-4722-47D5-8E0C-39CA00DACADC}"/>
    <cellStyle name="Normal 5 2 4 2 4 4 3" xfId="28487" xr:uid="{D6C3B0FF-FDAF-4939-AD18-C58C8DA74798}"/>
    <cellStyle name="Normal 5 2 4 2 4 5" xfId="37786" xr:uid="{D985C21B-B039-4988-BB1B-700A51E2A738}"/>
    <cellStyle name="Normal 5 2 4 2 4 6" xfId="19188" xr:uid="{67EA798F-C216-4A05-93B4-F7D27E66AEE0}"/>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17516" xr:uid="{7CF557ED-D962-44AE-ACCE-7A2DDF250BED}"/>
    <cellStyle name="Normal 5 2 4 2 5 2 2 2 2" xfId="53858" xr:uid="{0BDB61B1-B70A-4DFB-9DED-E905CA8B854E}"/>
    <cellStyle name="Normal 5 2 4 2 5 2 2 2 3" xfId="35262" xr:uid="{5265282D-AB01-4A03-870F-41C81E168CE9}"/>
    <cellStyle name="Normal 5 2 4 2 5 2 2 3" xfId="44561" xr:uid="{CCC3F830-C045-439B-8673-A22F1F3D70A3}"/>
    <cellStyle name="Normal 5 2 4 2 5 2 2 4" xfId="25963" xr:uid="{A97729E4-C5D9-4BAA-A634-43156994D9A4}"/>
    <cellStyle name="Normal 5 2 4 2 5 2 3" xfId="13299" xr:uid="{1725030C-04CB-42D2-9F52-17905120B052}"/>
    <cellStyle name="Normal 5 2 4 2 5 2 3 2" xfId="49641" xr:uid="{909FFD0D-A73C-4C63-91D3-DD66960FDD59}"/>
    <cellStyle name="Normal 5 2 4 2 5 2 3 3" xfId="31045" xr:uid="{79A5675A-0F09-48A6-98D3-16A2F856E66D}"/>
    <cellStyle name="Normal 5 2 4 2 5 2 4" xfId="40344" xr:uid="{1C7AF8AD-C446-4A35-8964-84AC899454A8}"/>
    <cellStyle name="Normal 5 2 4 2 5 2 5" xfId="21746" xr:uid="{AA443AF5-7F23-4200-B1C8-7FD002E60048}"/>
    <cellStyle name="Normal 5 2 4 2 5 3" xfId="6045" xr:uid="{00000000-0005-0000-0000-0000F3180000}"/>
    <cellStyle name="Normal 5 2 4 2 5 3 2" xfId="15371" xr:uid="{D07EA86B-8485-4F44-A2A8-892EF47ECF51}"/>
    <cellStyle name="Normal 5 2 4 2 5 3 2 2" xfId="51713" xr:uid="{D5AB409D-17A2-4A2B-92C4-4B8E7DFA99FC}"/>
    <cellStyle name="Normal 5 2 4 2 5 3 2 3" xfId="33117" xr:uid="{EFEAE489-48F3-44D7-B14A-2A8F84C8975D}"/>
    <cellStyle name="Normal 5 2 4 2 5 3 3" xfId="42416" xr:uid="{1F5614CF-58BF-4B7C-B2CE-5E6539D801E0}"/>
    <cellStyle name="Normal 5 2 4 2 5 3 4" xfId="23818" xr:uid="{BE023977-E867-4C25-9543-06A3F6946340}"/>
    <cellStyle name="Normal 5 2 4 2 5 4" xfId="11154" xr:uid="{96646DCF-5D32-413C-A7C9-1F407037C872}"/>
    <cellStyle name="Normal 5 2 4 2 5 4 2" xfId="47496" xr:uid="{4DCB83F1-C09D-4100-A4E8-BE81FD1472BD}"/>
    <cellStyle name="Normal 5 2 4 2 5 4 3" xfId="28900" xr:uid="{04D87948-555F-418B-9DF2-382DFB498497}"/>
    <cellStyle name="Normal 5 2 4 2 5 5" xfId="38199" xr:uid="{F84432FE-41C2-4886-A59A-1049A5E8F466}"/>
    <cellStyle name="Normal 5 2 4 2 5 6" xfId="19601" xr:uid="{4181AE7C-B222-4224-820B-08BCC44DBA09}"/>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17929" xr:uid="{DEBC0259-C2DE-47E2-86B4-3F1F2CC102CA}"/>
    <cellStyle name="Normal 5 2 4 2 6 2 2 2 2" xfId="54271" xr:uid="{86A427E8-E9C9-4BE1-B697-1B8794A8E332}"/>
    <cellStyle name="Normal 5 2 4 2 6 2 2 2 3" xfId="35675" xr:uid="{57338D59-5AC8-418F-8457-4170C9A8559F}"/>
    <cellStyle name="Normal 5 2 4 2 6 2 2 3" xfId="44974" xr:uid="{79204082-BEF9-4208-9F3C-11DACA15F722}"/>
    <cellStyle name="Normal 5 2 4 2 6 2 2 4" xfId="26376" xr:uid="{3AF2D7C2-BDF9-4541-B3A5-F44F04F8F230}"/>
    <cellStyle name="Normal 5 2 4 2 6 2 3" xfId="13712" xr:uid="{5413DC3E-55D0-46C7-99CD-AA649B7278F5}"/>
    <cellStyle name="Normal 5 2 4 2 6 2 3 2" xfId="50054" xr:uid="{5A988CB5-DAD9-44F1-8421-A49B5A581543}"/>
    <cellStyle name="Normal 5 2 4 2 6 2 3 3" xfId="31458" xr:uid="{03B78452-47B3-4081-859E-EB6B44D379A4}"/>
    <cellStyle name="Normal 5 2 4 2 6 2 4" xfId="40757" xr:uid="{84665F84-9880-4E6F-93B3-350EAC7A855C}"/>
    <cellStyle name="Normal 5 2 4 2 6 2 5" xfId="22159" xr:uid="{F0F6E93C-C2D2-4B77-A60B-7BC73341F8E1}"/>
    <cellStyle name="Normal 5 2 4 2 6 3" xfId="6458" xr:uid="{00000000-0005-0000-0000-0000F7180000}"/>
    <cellStyle name="Normal 5 2 4 2 6 3 2" xfId="15784" xr:uid="{F7A98E70-A19A-4C67-8D64-F9122A3C5712}"/>
    <cellStyle name="Normal 5 2 4 2 6 3 2 2" xfId="52126" xr:uid="{7B1C237C-D319-4431-8376-8A4758B00BDA}"/>
    <cellStyle name="Normal 5 2 4 2 6 3 2 3" xfId="33530" xr:uid="{3CE11293-83BD-4F1D-A6F5-AFAC218A6BA4}"/>
    <cellStyle name="Normal 5 2 4 2 6 3 3" xfId="42829" xr:uid="{AEFCFC6E-474C-4100-A9DE-238AEF05C406}"/>
    <cellStyle name="Normal 5 2 4 2 6 3 4" xfId="24231" xr:uid="{48C7AB7F-8CCE-43FE-AA93-60149D92C328}"/>
    <cellStyle name="Normal 5 2 4 2 6 4" xfId="11567" xr:uid="{3559DAEF-5E45-41AD-93A5-56E9AD3F8EF8}"/>
    <cellStyle name="Normal 5 2 4 2 6 4 2" xfId="47909" xr:uid="{6A8291B1-1F9A-4986-9DF7-17B7FECF7313}"/>
    <cellStyle name="Normal 5 2 4 2 6 4 3" xfId="29313" xr:uid="{58B71E9E-F7C5-474D-AA95-E4B624C24602}"/>
    <cellStyle name="Normal 5 2 4 2 6 5" xfId="38612" xr:uid="{0CC40E90-5CAB-4D91-A6C1-8A74C360D6F8}"/>
    <cellStyle name="Normal 5 2 4 2 6 6" xfId="20014" xr:uid="{E192EB8F-299C-4D5B-B1C3-370B293FD117}"/>
    <cellStyle name="Normal 5 2 4 2 7" xfId="2588" xr:uid="{00000000-0005-0000-0000-0000F8180000}"/>
    <cellStyle name="Normal 5 2 4 2 7 2" xfId="6871" xr:uid="{00000000-0005-0000-0000-0000F9180000}"/>
    <cellStyle name="Normal 5 2 4 2 7 2 2" xfId="16197" xr:uid="{C2AA8620-2D5B-43F4-A7D5-FB122B783FE1}"/>
    <cellStyle name="Normal 5 2 4 2 7 2 2 2" xfId="52539" xr:uid="{4FEA65E8-9DA2-477A-82B6-72AED1A92ED2}"/>
    <cellStyle name="Normal 5 2 4 2 7 2 2 3" xfId="33943" xr:uid="{B9523055-D70E-4278-B8C1-99DD0E00FF02}"/>
    <cellStyle name="Normal 5 2 4 2 7 2 3" xfId="43242" xr:uid="{E3E0712C-EACC-4157-9275-216375B2046B}"/>
    <cellStyle name="Normal 5 2 4 2 7 2 4" xfId="24644" xr:uid="{B73EEDBE-C01C-4075-B5E3-D1849EE7F9C2}"/>
    <cellStyle name="Normal 5 2 4 2 7 3" xfId="11980" xr:uid="{431E2EF4-3B6B-4E43-B74B-929C343EA227}"/>
    <cellStyle name="Normal 5 2 4 2 7 3 2" xfId="48322" xr:uid="{561FB5D6-3260-4A28-A29D-31E1FEDD9223}"/>
    <cellStyle name="Normal 5 2 4 2 7 3 3" xfId="29726" xr:uid="{A93D8EEE-0BCA-4E8B-AD0B-A554AB5BBF87}"/>
    <cellStyle name="Normal 5 2 4 2 7 4" xfId="39025" xr:uid="{15F306AE-0EE9-4504-B18E-43331EABD568}"/>
    <cellStyle name="Normal 5 2 4 2 7 5" xfId="20427" xr:uid="{D913A86F-B29F-445A-BBA6-1F045DB4F5FB}"/>
    <cellStyle name="Normal 5 2 4 2 8" xfId="4806" xr:uid="{00000000-0005-0000-0000-0000FA180000}"/>
    <cellStyle name="Normal 5 2 4 2 8 2" xfId="14132" xr:uid="{BADE4588-8F18-42C6-9FD4-337684FB8293}"/>
    <cellStyle name="Normal 5 2 4 2 8 2 2" xfId="50474" xr:uid="{361E9960-FD37-49BC-A217-642E34893CC2}"/>
    <cellStyle name="Normal 5 2 4 2 8 2 3" xfId="31878" xr:uid="{348672BF-404B-42B1-A2FC-E5AA4881ED3A}"/>
    <cellStyle name="Normal 5 2 4 2 8 3" xfId="41177" xr:uid="{9B2C68B2-BB7A-42D7-8451-1412DAE258FA}"/>
    <cellStyle name="Normal 5 2 4 2 8 4" xfId="22579" xr:uid="{DA1870B4-F718-4859-B8EE-56838FC0A8EE}"/>
    <cellStyle name="Normal 5 2 4 2 9" xfId="8930" xr:uid="{66B84ABA-CAF3-4BBE-9026-E7A47CB6006F}"/>
    <cellStyle name="Normal 5 2 4 2 9 2" xfId="36000" xr:uid="{7479A99F-C0FE-48DD-81E5-EF42566C8C22}"/>
    <cellStyle name="Normal 5 2 4 2 9 2 2" xfId="54595" xr:uid="{9C064E09-F976-40A0-A198-3DB044797DE6}"/>
    <cellStyle name="Normal 5 2 4 2 9 3" xfId="45298" xr:uid="{69C375D2-4535-44F3-88DF-24DFCD346192}"/>
    <cellStyle name="Normal 5 2 4 2 9 4" xfId="26701" xr:uid="{3DA1CEDE-8B63-416D-BB6B-0DB42039E3A5}"/>
    <cellStyle name="Normal 5 2 4 3" xfId="435" xr:uid="{00000000-0005-0000-0000-0000FB180000}"/>
    <cellStyle name="Normal 5 2 4 3 10" xfId="36962" xr:uid="{BFFB13FA-4CFF-4130-87FD-158E51B9F2FC}"/>
    <cellStyle name="Normal 5 2 4 3 11" xfId="18364" xr:uid="{76A898C9-CCDF-45A5-BD99-1DEDDE05BE7D}"/>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16692" xr:uid="{B8F8F454-0CE6-439B-86A8-473F37E076E8}"/>
    <cellStyle name="Normal 5 2 4 3 2 2 2 2 2" xfId="53034" xr:uid="{54CB778B-4995-4774-947C-17893BD23055}"/>
    <cellStyle name="Normal 5 2 4 3 2 2 2 2 3" xfId="34438" xr:uid="{3C248464-B16B-4F04-8697-853B61E742F6}"/>
    <cellStyle name="Normal 5 2 4 3 2 2 2 3" xfId="43737" xr:uid="{0269319C-0953-4206-92B4-A64DFED2904E}"/>
    <cellStyle name="Normal 5 2 4 3 2 2 2 4" xfId="25139" xr:uid="{DAB4F1E0-612B-41D3-98EC-52AA52BF9306}"/>
    <cellStyle name="Normal 5 2 4 3 2 2 3" xfId="12475" xr:uid="{9BBB1481-89CA-4D81-A70B-E9E09C168E83}"/>
    <cellStyle name="Normal 5 2 4 3 2 2 3 2" xfId="48817" xr:uid="{28F06079-2A4A-497A-89BE-810CEAE8EAF6}"/>
    <cellStyle name="Normal 5 2 4 3 2 2 3 3" xfId="30221" xr:uid="{008C358D-8C15-4EE5-83F6-D1625BB406B0}"/>
    <cellStyle name="Normal 5 2 4 3 2 2 4" xfId="39520" xr:uid="{25912A8B-FBD9-4510-BA17-BC9C5082FD49}"/>
    <cellStyle name="Normal 5 2 4 3 2 2 5" xfId="20922" xr:uid="{33F8D70B-FDA0-4D30-A64D-8A79C956DC0B}"/>
    <cellStyle name="Normal 5 2 4 3 2 3" xfId="5221" xr:uid="{00000000-0005-0000-0000-0000FF180000}"/>
    <cellStyle name="Normal 5 2 4 3 2 3 2" xfId="14547" xr:uid="{8FE2B161-CBFE-49F0-9487-9C46F7561C55}"/>
    <cellStyle name="Normal 5 2 4 3 2 3 2 2" xfId="50889" xr:uid="{90C3AD69-345E-470B-A2C8-35615C465651}"/>
    <cellStyle name="Normal 5 2 4 3 2 3 2 3" xfId="32293" xr:uid="{BBA6DC5A-4CFA-4D59-A376-73454C6C1D0D}"/>
    <cellStyle name="Normal 5 2 4 3 2 3 3" xfId="41592" xr:uid="{2A5D4FA9-984F-4B6F-84B8-64C44A81060E}"/>
    <cellStyle name="Normal 5 2 4 3 2 3 4" xfId="22994" xr:uid="{9BF180F7-1B46-473B-9A36-A1B5093940E7}"/>
    <cellStyle name="Normal 5 2 4 3 2 4" xfId="9459" xr:uid="{ED2A936E-5624-4B26-A175-3FCE68E1BF5A}"/>
    <cellStyle name="Normal 5 2 4 3 2 4 2" xfId="36520" xr:uid="{C6E1E070-AD93-4CCB-B3E5-15199920811E}"/>
    <cellStyle name="Normal 5 2 4 3 2 4 2 2" xfId="55114" xr:uid="{E4ED95E2-37AE-4DCA-9D6D-0E24B7D1FBAB}"/>
    <cellStyle name="Normal 5 2 4 3 2 4 3" xfId="45817" xr:uid="{C7DD6EC8-535B-45E8-A95E-2D37D39E07BA}"/>
    <cellStyle name="Normal 5 2 4 3 2 4 4" xfId="27221" xr:uid="{47F36211-9027-40A8-BE70-318AB8B232E2}"/>
    <cellStyle name="Normal 5 2 4 3 2 5" xfId="10330" xr:uid="{013F83E8-6D5A-4149-87B2-7D0F4D8E2950}"/>
    <cellStyle name="Normal 5 2 4 3 2 5 2" xfId="46672" xr:uid="{2D73CA9B-0A9C-4A89-9E33-99CD07841B44}"/>
    <cellStyle name="Normal 5 2 4 3 2 5 3" xfId="28076" xr:uid="{BF263FC3-BB74-4024-83C7-67658C82C66D}"/>
    <cellStyle name="Normal 5 2 4 3 2 6" xfId="37375" xr:uid="{F18213DD-F95A-435D-97EA-928016B44239}"/>
    <cellStyle name="Normal 5 2 4 3 2 7" xfId="18777" xr:uid="{AD13432E-6289-4154-A508-A5AAC98F4B62}"/>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17105" xr:uid="{5969F4BE-48CA-4D31-ADEF-ADADE6909CC6}"/>
    <cellStyle name="Normal 5 2 4 3 3 2 2 2 2" xfId="53447" xr:uid="{4ECE0504-6163-40D0-9109-669CFA46B9EB}"/>
    <cellStyle name="Normal 5 2 4 3 3 2 2 2 3" xfId="34851" xr:uid="{2817ED52-2B18-4807-AB41-787C54772257}"/>
    <cellStyle name="Normal 5 2 4 3 3 2 2 3" xfId="44150" xr:uid="{46E58399-C794-46F4-A034-6097E70EB7B7}"/>
    <cellStyle name="Normal 5 2 4 3 3 2 2 4" xfId="25552" xr:uid="{71873949-ADA7-47D1-81EC-9581DBDC474F}"/>
    <cellStyle name="Normal 5 2 4 3 3 2 3" xfId="12888" xr:uid="{672308DF-899D-4326-8773-D8BECE75488A}"/>
    <cellStyle name="Normal 5 2 4 3 3 2 3 2" xfId="49230" xr:uid="{18831826-E8A5-407E-B717-9D65ADA4F3B7}"/>
    <cellStyle name="Normal 5 2 4 3 3 2 3 3" xfId="30634" xr:uid="{4A6530A2-E3C0-41F4-A78D-D316180E53B7}"/>
    <cellStyle name="Normal 5 2 4 3 3 2 4" xfId="39933" xr:uid="{40829763-5E67-41C9-BC64-17526BD357E3}"/>
    <cellStyle name="Normal 5 2 4 3 3 2 5" xfId="21335" xr:uid="{8CEA79E3-F26A-4A0C-B00D-87E0B10A64E9}"/>
    <cellStyle name="Normal 5 2 4 3 3 3" xfId="5634" xr:uid="{00000000-0005-0000-0000-000003190000}"/>
    <cellStyle name="Normal 5 2 4 3 3 3 2" xfId="14960" xr:uid="{6E69DFB1-F1B3-4B5B-B294-8F6BC9BE6978}"/>
    <cellStyle name="Normal 5 2 4 3 3 3 2 2" xfId="51302" xr:uid="{B4E1D0C3-284D-4B55-B194-8F8F757192B0}"/>
    <cellStyle name="Normal 5 2 4 3 3 3 2 3" xfId="32706" xr:uid="{5C4E057D-4BAF-4FF4-BBE2-107369AA3876}"/>
    <cellStyle name="Normal 5 2 4 3 3 3 3" xfId="42005" xr:uid="{BBACF063-22DD-440B-ACBB-9791BA70A0DF}"/>
    <cellStyle name="Normal 5 2 4 3 3 3 4" xfId="23407" xr:uid="{908883D9-9870-48B9-B356-9CFD1FE18269}"/>
    <cellStyle name="Normal 5 2 4 3 3 4" xfId="10743" xr:uid="{A10F8B9A-576D-4518-80F7-3FC37BB1AB82}"/>
    <cellStyle name="Normal 5 2 4 3 3 4 2" xfId="47085" xr:uid="{A52AE01E-4F63-4B05-8E5C-5F9A082F0E47}"/>
    <cellStyle name="Normal 5 2 4 3 3 4 3" xfId="28489" xr:uid="{E386FBF1-3548-477A-86E2-12908648D979}"/>
    <cellStyle name="Normal 5 2 4 3 3 5" xfId="37788" xr:uid="{D46B5C8D-89AE-4B6A-9E7D-6737F5BE85B4}"/>
    <cellStyle name="Normal 5 2 4 3 3 6" xfId="19190" xr:uid="{759F1716-FEC8-46A8-8264-0824A03E22FD}"/>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17518" xr:uid="{9E0E41DD-CB98-4EE5-9B13-9CDE55C7DF6C}"/>
    <cellStyle name="Normal 5 2 4 3 4 2 2 2 2" xfId="53860" xr:uid="{3650C1BA-19D6-4151-9F6F-EF446B7CA7C4}"/>
    <cellStyle name="Normal 5 2 4 3 4 2 2 2 3" xfId="35264" xr:uid="{8ABE2D52-A120-4E77-ABEA-E96648753AD6}"/>
    <cellStyle name="Normal 5 2 4 3 4 2 2 3" xfId="44563" xr:uid="{447DB838-672E-44FB-A7FD-A9A4E086B838}"/>
    <cellStyle name="Normal 5 2 4 3 4 2 2 4" xfId="25965" xr:uid="{91488816-B19D-47F5-8072-3B3A9EFF94BA}"/>
    <cellStyle name="Normal 5 2 4 3 4 2 3" xfId="13301" xr:uid="{66D86F6C-9DC9-4692-86D4-1C7984283595}"/>
    <cellStyle name="Normal 5 2 4 3 4 2 3 2" xfId="49643" xr:uid="{8F9FE6A8-0173-4C3B-A554-63C95E12557E}"/>
    <cellStyle name="Normal 5 2 4 3 4 2 3 3" xfId="31047" xr:uid="{8372A759-5424-40B2-B18C-5FA4E513374B}"/>
    <cellStyle name="Normal 5 2 4 3 4 2 4" xfId="40346" xr:uid="{28CC0C83-324C-4862-9EAD-449692C66CA8}"/>
    <cellStyle name="Normal 5 2 4 3 4 2 5" xfId="21748" xr:uid="{6BFDFF41-0238-474B-9A7E-CE22E6849F2B}"/>
    <cellStyle name="Normal 5 2 4 3 4 3" xfId="6047" xr:uid="{00000000-0005-0000-0000-000007190000}"/>
    <cellStyle name="Normal 5 2 4 3 4 3 2" xfId="15373" xr:uid="{5DA5E07E-662A-4399-BEB7-12ADB0517395}"/>
    <cellStyle name="Normal 5 2 4 3 4 3 2 2" xfId="51715" xr:uid="{19A6923A-466D-4505-A726-C925F929B3FF}"/>
    <cellStyle name="Normal 5 2 4 3 4 3 2 3" xfId="33119" xr:uid="{E177A9E9-0430-4387-A977-51C38E4C512E}"/>
    <cellStyle name="Normal 5 2 4 3 4 3 3" xfId="42418" xr:uid="{CDF19026-EAE7-4C57-A866-0B2A81BBCFB0}"/>
    <cellStyle name="Normal 5 2 4 3 4 3 4" xfId="23820" xr:uid="{C09D23ED-3F01-4426-8006-857CB87941E9}"/>
    <cellStyle name="Normal 5 2 4 3 4 4" xfId="11156" xr:uid="{2EF6BB6B-BD7B-4293-A25D-31BDDA32AB6B}"/>
    <cellStyle name="Normal 5 2 4 3 4 4 2" xfId="47498" xr:uid="{396B6E07-62CC-4607-9D6A-2B2A08AC772A}"/>
    <cellStyle name="Normal 5 2 4 3 4 4 3" xfId="28902" xr:uid="{941A2E2C-76CD-43E5-A9BD-A41B775C0AFC}"/>
    <cellStyle name="Normal 5 2 4 3 4 5" xfId="38201" xr:uid="{B82EC2DB-F799-4912-B660-1888558A40BE}"/>
    <cellStyle name="Normal 5 2 4 3 4 6" xfId="19603" xr:uid="{64B58239-B3A9-4073-A6CC-47AF39A21A62}"/>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17931" xr:uid="{2C432E70-FA5E-4477-AA45-8852D9975954}"/>
    <cellStyle name="Normal 5 2 4 3 5 2 2 2 2" xfId="54273" xr:uid="{18579A5B-ABC6-4B6D-9B54-0F0742F02E4B}"/>
    <cellStyle name="Normal 5 2 4 3 5 2 2 2 3" xfId="35677" xr:uid="{E5AAEDD7-E6C3-413B-93A4-3479C704FF1A}"/>
    <cellStyle name="Normal 5 2 4 3 5 2 2 3" xfId="44976" xr:uid="{EA8266B1-A64E-40D9-A4EA-AE2D4A963ADC}"/>
    <cellStyle name="Normal 5 2 4 3 5 2 2 4" xfId="26378" xr:uid="{AEE49BEF-DC03-45BC-8ED5-E60C4E1AD7E1}"/>
    <cellStyle name="Normal 5 2 4 3 5 2 3" xfId="13714" xr:uid="{E2C0C5DA-F7BA-4434-9762-CB46EEAD824D}"/>
    <cellStyle name="Normal 5 2 4 3 5 2 3 2" xfId="50056" xr:uid="{702EAED6-F36F-4199-8052-32653EC55B03}"/>
    <cellStyle name="Normal 5 2 4 3 5 2 3 3" xfId="31460" xr:uid="{EBB2CE07-E663-455C-93AB-DA4CD3E5DAC0}"/>
    <cellStyle name="Normal 5 2 4 3 5 2 4" xfId="40759" xr:uid="{C36BB3EF-A15E-48E0-B676-498CB14948E2}"/>
    <cellStyle name="Normal 5 2 4 3 5 2 5" xfId="22161" xr:uid="{E5821AFE-9FEA-440E-9025-2530A8114C2C}"/>
    <cellStyle name="Normal 5 2 4 3 5 3" xfId="6460" xr:uid="{00000000-0005-0000-0000-00000B190000}"/>
    <cellStyle name="Normal 5 2 4 3 5 3 2" xfId="15786" xr:uid="{E86A6C78-CBDC-4B4B-AAB5-371CA2EEB9F7}"/>
    <cellStyle name="Normal 5 2 4 3 5 3 2 2" xfId="52128" xr:uid="{977B4A3E-3AD3-4E28-8725-74BD410C58DC}"/>
    <cellStyle name="Normal 5 2 4 3 5 3 2 3" xfId="33532" xr:uid="{42A36611-6418-4B8B-9335-8D2B88BDAEF9}"/>
    <cellStyle name="Normal 5 2 4 3 5 3 3" xfId="42831" xr:uid="{4893DEFE-0AD8-403E-AE6C-97683997F343}"/>
    <cellStyle name="Normal 5 2 4 3 5 3 4" xfId="24233" xr:uid="{6F146A00-B532-4F4B-950F-AD82B4B4668E}"/>
    <cellStyle name="Normal 5 2 4 3 5 4" xfId="11569" xr:uid="{7A9F6DBC-CE10-49FB-B23E-F62A6C0D139A}"/>
    <cellStyle name="Normal 5 2 4 3 5 4 2" xfId="47911" xr:uid="{64031A56-F288-4C84-8247-892661F12EB2}"/>
    <cellStyle name="Normal 5 2 4 3 5 4 3" xfId="29315" xr:uid="{6F9D0B53-572D-4084-AA10-1F28EDF92FD2}"/>
    <cellStyle name="Normal 5 2 4 3 5 5" xfId="38614" xr:uid="{F0243EFD-A179-4910-887C-11557E16DA76}"/>
    <cellStyle name="Normal 5 2 4 3 5 6" xfId="20016" xr:uid="{B0F436F5-47D8-4CA4-BC2C-5C9F23BD288F}"/>
    <cellStyle name="Normal 5 2 4 3 6" xfId="2590" xr:uid="{00000000-0005-0000-0000-00000C190000}"/>
    <cellStyle name="Normal 5 2 4 3 6 2" xfId="6873" xr:uid="{00000000-0005-0000-0000-00000D190000}"/>
    <cellStyle name="Normal 5 2 4 3 6 2 2" xfId="16199" xr:uid="{44A2308D-048A-4C1C-B9FC-FDDDC33CBDCF}"/>
    <cellStyle name="Normal 5 2 4 3 6 2 2 2" xfId="52541" xr:uid="{3DDD29BE-C9B1-450D-AAAE-D58CDB478624}"/>
    <cellStyle name="Normal 5 2 4 3 6 2 2 3" xfId="33945" xr:uid="{1594AD37-3D27-4A94-90B3-578ECF52707B}"/>
    <cellStyle name="Normal 5 2 4 3 6 2 3" xfId="43244" xr:uid="{65E42B09-FDE5-4942-9791-73B66D4D5F7A}"/>
    <cellStyle name="Normal 5 2 4 3 6 2 4" xfId="24646" xr:uid="{A94B52EE-9177-4ADE-A47F-5CA2D9D6F4F5}"/>
    <cellStyle name="Normal 5 2 4 3 6 3" xfId="11982" xr:uid="{0CCE0448-EF8B-4C43-8E46-46A9E36FAFF3}"/>
    <cellStyle name="Normal 5 2 4 3 6 3 2" xfId="48324" xr:uid="{6C2E27D2-DEA6-4AE7-8354-0C8E0803D0A1}"/>
    <cellStyle name="Normal 5 2 4 3 6 3 3" xfId="29728" xr:uid="{12154029-3887-4EDD-8226-D5FCDF74D881}"/>
    <cellStyle name="Normal 5 2 4 3 6 4" xfId="39027" xr:uid="{A7E69F00-99CC-411A-B3AE-9F7287E164E9}"/>
    <cellStyle name="Normal 5 2 4 3 6 5" xfId="20429" xr:uid="{C7314503-0742-49BA-BD51-B40C75CB831F}"/>
    <cellStyle name="Normal 5 2 4 3 7" xfId="4808" xr:uid="{00000000-0005-0000-0000-00000E190000}"/>
    <cellStyle name="Normal 5 2 4 3 7 2" xfId="14134" xr:uid="{F0BA2675-FF6C-4E6F-A81F-6031E1B5CE80}"/>
    <cellStyle name="Normal 5 2 4 3 7 2 2" xfId="50476" xr:uid="{CBF0A428-EE41-4753-9F59-DE926EB53850}"/>
    <cellStyle name="Normal 5 2 4 3 7 2 3" xfId="31880" xr:uid="{B20BAE41-5D7F-4A63-8798-A5FEE16E75B7}"/>
    <cellStyle name="Normal 5 2 4 3 7 3" xfId="41179" xr:uid="{2D2BA012-A984-4D86-8B3A-059985A7962A}"/>
    <cellStyle name="Normal 5 2 4 3 7 4" xfId="22581" xr:uid="{40C58A37-462A-47D3-9557-3F363679DF50}"/>
    <cellStyle name="Normal 5 2 4 3 8" xfId="9034" xr:uid="{82D3DE5B-E868-4CF9-BA07-6E197DA4FAA5}"/>
    <cellStyle name="Normal 5 2 4 3 8 2" xfId="36104" xr:uid="{7AA3E6DC-2B7E-445D-A099-0D61076CF593}"/>
    <cellStyle name="Normal 5 2 4 3 8 2 2" xfId="54699" xr:uid="{1311B945-8A32-46BD-9313-C380625F5587}"/>
    <cellStyle name="Normal 5 2 4 3 8 3" xfId="45402" xr:uid="{189466A1-0265-4FEF-B0BD-FC522BB0CB87}"/>
    <cellStyle name="Normal 5 2 4 3 8 4" xfId="26805" xr:uid="{23DFDB91-00EE-4A4D-B46A-74E302E5C951}"/>
    <cellStyle name="Normal 5 2 4 3 9" xfId="9917" xr:uid="{7E1FBF40-AB83-4F06-8C38-8A7D5ABA7569}"/>
    <cellStyle name="Normal 5 2 4 3 9 2" xfId="46259" xr:uid="{43CB7F10-FD3C-4DB3-9751-BB7E7DD50E9F}"/>
    <cellStyle name="Normal 5 2 4 3 9 3" xfId="27663" xr:uid="{511A7EE2-8BD6-46BF-A8D1-E3916CF59B63}"/>
    <cellStyle name="Normal 5 2 4 4" xfId="906" xr:uid="{00000000-0005-0000-0000-00000F190000}"/>
    <cellStyle name="Normal 5 2 4 4 2" xfId="3141" xr:uid="{00000000-0005-0000-0000-000010190000}"/>
    <cellStyle name="Normal 5 2 4 4 2 2" xfId="7363" xr:uid="{00000000-0005-0000-0000-000011190000}"/>
    <cellStyle name="Normal 5 2 4 4 2 2 2" xfId="16689" xr:uid="{66A3DDA6-CBC5-4A9B-A034-89A7F5B6FBDA}"/>
    <cellStyle name="Normal 5 2 4 4 2 2 2 2" xfId="53031" xr:uid="{3E96823E-772A-4889-BC83-8B645CE5E517}"/>
    <cellStyle name="Normal 5 2 4 4 2 2 2 3" xfId="34435" xr:uid="{16A1A8C4-C1DA-44AC-8D93-98E2BA05A2FE}"/>
    <cellStyle name="Normal 5 2 4 4 2 2 3" xfId="43734" xr:uid="{A554BDD5-7E58-48BF-A8E6-B159DC16C58D}"/>
    <cellStyle name="Normal 5 2 4 4 2 2 4" xfId="25136" xr:uid="{CA6D3870-DCE7-409D-95E2-6A4BE2E95B55}"/>
    <cellStyle name="Normal 5 2 4 4 2 3" xfId="12472" xr:uid="{1272A4DD-0182-4F54-8BC1-8211AEC1364C}"/>
    <cellStyle name="Normal 5 2 4 4 2 3 2" xfId="48814" xr:uid="{04D32EA8-A666-441B-A6CE-F8F7FD646995}"/>
    <cellStyle name="Normal 5 2 4 4 2 3 3" xfId="30218" xr:uid="{6F6539A8-7696-4392-8B8A-84AB5C0C48DA}"/>
    <cellStyle name="Normal 5 2 4 4 2 4" xfId="39517" xr:uid="{3B076BCE-BF48-40C3-BB2D-72425F520B43}"/>
    <cellStyle name="Normal 5 2 4 4 2 5" xfId="20919" xr:uid="{06D49724-C5C3-47B2-8BD6-DC9F209D69A7}"/>
    <cellStyle name="Normal 5 2 4 4 3" xfId="5218" xr:uid="{00000000-0005-0000-0000-000012190000}"/>
    <cellStyle name="Normal 5 2 4 4 3 2" xfId="14544" xr:uid="{8CD37BE1-F6AD-4375-97E5-A21083D1D7F7}"/>
    <cellStyle name="Normal 5 2 4 4 3 2 2" xfId="50886" xr:uid="{437B4CBC-8140-45BE-8CAB-929B327D97D7}"/>
    <cellStyle name="Normal 5 2 4 4 3 2 3" xfId="32290" xr:uid="{5CED757A-8069-47ED-ABC1-266FC24A9968}"/>
    <cellStyle name="Normal 5 2 4 4 3 3" xfId="41589" xr:uid="{FC63F584-5D85-4EBB-8BA5-D7BC8B38A4A7}"/>
    <cellStyle name="Normal 5 2 4 4 3 4" xfId="22991" xr:uid="{0735B355-A4C9-45DE-9853-2A42BC1431EA}"/>
    <cellStyle name="Normal 5 2 4 4 4" xfId="9252" xr:uid="{1D1A8EC4-7286-46A1-B40C-E987F273E760}"/>
    <cellStyle name="Normal 5 2 4 4 4 2" xfId="36313" xr:uid="{28FE90FB-E755-402D-A34C-3E1AD373786A}"/>
    <cellStyle name="Normal 5 2 4 4 4 2 2" xfId="54907" xr:uid="{1F25F042-9C45-4750-ADA4-97AE2EB739C6}"/>
    <cellStyle name="Normal 5 2 4 4 4 3" xfId="45610" xr:uid="{7FAC21E9-D520-4AFC-9733-0C7AFE3479D4}"/>
    <cellStyle name="Normal 5 2 4 4 4 4" xfId="27014" xr:uid="{5553D68F-17DC-4101-9007-A90F7348477B}"/>
    <cellStyle name="Normal 5 2 4 4 5" xfId="10327" xr:uid="{B3EB5975-0A0F-471A-B086-5F29A7B8A910}"/>
    <cellStyle name="Normal 5 2 4 4 5 2" xfId="46669" xr:uid="{909AAFBB-6788-4CFF-BA27-2D1A95C3F8B3}"/>
    <cellStyle name="Normal 5 2 4 4 5 3" xfId="28073" xr:uid="{DEAF20BA-670B-49D6-BBE0-D45E0FEBEDA4}"/>
    <cellStyle name="Normal 5 2 4 4 6" xfId="37372" xr:uid="{72502A41-8C07-4C51-84C1-2FF106C998A6}"/>
    <cellStyle name="Normal 5 2 4 4 7" xfId="18774" xr:uid="{E2B74714-A946-47C2-B8CB-78B7F53ED8C8}"/>
    <cellStyle name="Normal 5 2 4 5" xfId="1324" xr:uid="{00000000-0005-0000-0000-000013190000}"/>
    <cellStyle name="Normal 5 2 4 5 2" xfId="3554" xr:uid="{00000000-0005-0000-0000-000014190000}"/>
    <cellStyle name="Normal 5 2 4 5 2 2" xfId="7776" xr:uid="{00000000-0005-0000-0000-000015190000}"/>
    <cellStyle name="Normal 5 2 4 5 2 2 2" xfId="17102" xr:uid="{9B240B4C-6993-4653-B631-BB32B3B7D011}"/>
    <cellStyle name="Normal 5 2 4 5 2 2 2 2" xfId="53444" xr:uid="{97D08A7B-9979-4E96-9F4D-BB4D4146E20A}"/>
    <cellStyle name="Normal 5 2 4 5 2 2 2 3" xfId="34848" xr:uid="{26E9EA4C-7257-485F-919F-D4BF01EA843E}"/>
    <cellStyle name="Normal 5 2 4 5 2 2 3" xfId="44147" xr:uid="{35666156-4FCC-4496-A003-AC1ACA53BAB5}"/>
    <cellStyle name="Normal 5 2 4 5 2 2 4" xfId="25549" xr:uid="{18D402D8-7849-42F1-ACC8-B469A912A404}"/>
    <cellStyle name="Normal 5 2 4 5 2 3" xfId="12885" xr:uid="{692E5BA2-F162-4CCB-AAFA-2BF4F16DF4C3}"/>
    <cellStyle name="Normal 5 2 4 5 2 3 2" xfId="49227" xr:uid="{942D084B-2DC1-421E-9C46-D1F484EE91D6}"/>
    <cellStyle name="Normal 5 2 4 5 2 3 3" xfId="30631" xr:uid="{B802735A-7344-444C-9A52-CBBB6C6D84BB}"/>
    <cellStyle name="Normal 5 2 4 5 2 4" xfId="39930" xr:uid="{E2D4B37F-D06E-419C-81AE-0B1302C88B5A}"/>
    <cellStyle name="Normal 5 2 4 5 2 5" xfId="21332" xr:uid="{81E92AD0-CDB9-442E-BD38-566E2CFB1048}"/>
    <cellStyle name="Normal 5 2 4 5 3" xfId="5631" xr:uid="{00000000-0005-0000-0000-000016190000}"/>
    <cellStyle name="Normal 5 2 4 5 3 2" xfId="14957" xr:uid="{022AF5BB-D2E4-4A53-8F02-92193210C8A6}"/>
    <cellStyle name="Normal 5 2 4 5 3 2 2" xfId="51299" xr:uid="{240E8364-86C9-4862-973C-C302B89E2819}"/>
    <cellStyle name="Normal 5 2 4 5 3 2 3" xfId="32703" xr:uid="{C65E2B0B-0A47-4367-BF6B-BEDCD0D6BEAE}"/>
    <cellStyle name="Normal 5 2 4 5 3 3" xfId="42002" xr:uid="{726F067D-1BEC-42B0-9EA0-4DC558B6B1D6}"/>
    <cellStyle name="Normal 5 2 4 5 3 4" xfId="23404" xr:uid="{19F181D2-F5A7-4394-AEFA-287ADD9F4734}"/>
    <cellStyle name="Normal 5 2 4 5 4" xfId="10740" xr:uid="{FD118736-EE56-40F7-979E-0E5361C4D2EE}"/>
    <cellStyle name="Normal 5 2 4 5 4 2" xfId="47082" xr:uid="{05001031-8FB4-4BD8-B8E4-E1F81F5A78F9}"/>
    <cellStyle name="Normal 5 2 4 5 4 3" xfId="28486" xr:uid="{4D13430E-01DD-449D-A419-D984149C4D30}"/>
    <cellStyle name="Normal 5 2 4 5 5" xfId="37785" xr:uid="{06A2C9FB-BF2C-4831-B83A-86F8DA0356B1}"/>
    <cellStyle name="Normal 5 2 4 5 6" xfId="19187" xr:uid="{CCD62522-2FDD-4657-A990-B86CEE7183F9}"/>
    <cellStyle name="Normal 5 2 4 6" xfId="1737" xr:uid="{00000000-0005-0000-0000-000017190000}"/>
    <cellStyle name="Normal 5 2 4 6 2" xfId="3967" xr:uid="{00000000-0005-0000-0000-000018190000}"/>
    <cellStyle name="Normal 5 2 4 6 2 2" xfId="8189" xr:uid="{00000000-0005-0000-0000-000019190000}"/>
    <cellStyle name="Normal 5 2 4 6 2 2 2" xfId="17515" xr:uid="{9F62B970-3217-4EAE-A1D3-9158E670D6E6}"/>
    <cellStyle name="Normal 5 2 4 6 2 2 2 2" xfId="53857" xr:uid="{B6C745DB-0840-4FB0-BD1E-FE611620CBB3}"/>
    <cellStyle name="Normal 5 2 4 6 2 2 2 3" xfId="35261" xr:uid="{3171A364-6470-465F-A6DE-7BB9951154D9}"/>
    <cellStyle name="Normal 5 2 4 6 2 2 3" xfId="44560" xr:uid="{4469A551-F70A-4C66-9495-D85EA89D1D28}"/>
    <cellStyle name="Normal 5 2 4 6 2 2 4" xfId="25962" xr:uid="{7A5566C7-C219-45A3-854C-1C13BC0F2D6F}"/>
    <cellStyle name="Normal 5 2 4 6 2 3" xfId="13298" xr:uid="{F17E512F-4575-4C3B-A87E-B95A652754E4}"/>
    <cellStyle name="Normal 5 2 4 6 2 3 2" xfId="49640" xr:uid="{F6C156DE-F44F-4120-AE24-C66E5C635DA8}"/>
    <cellStyle name="Normal 5 2 4 6 2 3 3" xfId="31044" xr:uid="{1832CD4D-3F3F-4C12-A33E-E2F0C4C6220E}"/>
    <cellStyle name="Normal 5 2 4 6 2 4" xfId="40343" xr:uid="{764D8D07-9C3A-4827-B094-E1FCBAEA6EE0}"/>
    <cellStyle name="Normal 5 2 4 6 2 5" xfId="21745" xr:uid="{4294A742-BBBA-49E2-9253-35CFD8B721B4}"/>
    <cellStyle name="Normal 5 2 4 6 3" xfId="6044" xr:uid="{00000000-0005-0000-0000-00001A190000}"/>
    <cellStyle name="Normal 5 2 4 6 3 2" xfId="15370" xr:uid="{54CCD726-C53D-4CD6-AE0A-EEA82BE0E74F}"/>
    <cellStyle name="Normal 5 2 4 6 3 2 2" xfId="51712" xr:uid="{E13A0F5F-1E9F-4A75-ACF9-E9FAEBD4BE0E}"/>
    <cellStyle name="Normal 5 2 4 6 3 2 3" xfId="33116" xr:uid="{1C015A97-6700-4571-9FE7-6179EC5077C4}"/>
    <cellStyle name="Normal 5 2 4 6 3 3" xfId="42415" xr:uid="{FD1A10DC-7E41-4D0F-B4CE-F042CA428BB3}"/>
    <cellStyle name="Normal 5 2 4 6 3 4" xfId="23817" xr:uid="{0325A272-F355-44B3-B6E1-DDAD47CBA553}"/>
    <cellStyle name="Normal 5 2 4 6 4" xfId="11153" xr:uid="{63358B08-E912-488D-97BA-F8A592E756DD}"/>
    <cellStyle name="Normal 5 2 4 6 4 2" xfId="47495" xr:uid="{8E6738D0-5E4D-4C4F-B71B-458888EE9031}"/>
    <cellStyle name="Normal 5 2 4 6 4 3" xfId="28899" xr:uid="{2F488E12-EB50-4C8E-9BE3-3DEE5190775D}"/>
    <cellStyle name="Normal 5 2 4 6 5" xfId="38198" xr:uid="{DB617336-130E-49CF-9DDA-FBDDD684519B}"/>
    <cellStyle name="Normal 5 2 4 6 6" xfId="19600" xr:uid="{DB514145-1764-4EA0-B662-4A035DC7456B}"/>
    <cellStyle name="Normal 5 2 4 7" xfId="2151" xr:uid="{00000000-0005-0000-0000-00001B190000}"/>
    <cellStyle name="Normal 5 2 4 7 2" xfId="4380" xr:uid="{00000000-0005-0000-0000-00001C190000}"/>
    <cellStyle name="Normal 5 2 4 7 2 2" xfId="8602" xr:uid="{00000000-0005-0000-0000-00001D190000}"/>
    <cellStyle name="Normal 5 2 4 7 2 2 2" xfId="17928" xr:uid="{1664492C-FA07-428D-B7AA-CDFD14CD584A}"/>
    <cellStyle name="Normal 5 2 4 7 2 2 2 2" xfId="54270" xr:uid="{AD536F04-5CF0-4BE2-97BC-D9561017829C}"/>
    <cellStyle name="Normal 5 2 4 7 2 2 2 3" xfId="35674" xr:uid="{9F9C9808-B7DB-4D94-8E03-3825A6832378}"/>
    <cellStyle name="Normal 5 2 4 7 2 2 3" xfId="44973" xr:uid="{DBFCC039-2D40-4CB0-BB9C-13A4EA361D7F}"/>
    <cellStyle name="Normal 5 2 4 7 2 2 4" xfId="26375" xr:uid="{AEBA7F95-2822-4C09-B7BC-D858911ADE38}"/>
    <cellStyle name="Normal 5 2 4 7 2 3" xfId="13711" xr:uid="{D825AC85-986B-4A53-8F3A-A6A8C08C3A8D}"/>
    <cellStyle name="Normal 5 2 4 7 2 3 2" xfId="50053" xr:uid="{D54FB0AD-84A8-4B91-BAA9-C45D2F0E479A}"/>
    <cellStyle name="Normal 5 2 4 7 2 3 3" xfId="31457" xr:uid="{F98A5053-2390-409F-B84D-16DB96921BB0}"/>
    <cellStyle name="Normal 5 2 4 7 2 4" xfId="40756" xr:uid="{AD19DD60-8099-4C4A-BB86-1B01E87BCFB6}"/>
    <cellStyle name="Normal 5 2 4 7 2 5" xfId="22158" xr:uid="{194FC6D2-F5CA-4263-85CE-AB6516EB7D36}"/>
    <cellStyle name="Normal 5 2 4 7 3" xfId="6457" xr:uid="{00000000-0005-0000-0000-00001E190000}"/>
    <cellStyle name="Normal 5 2 4 7 3 2" xfId="15783" xr:uid="{5065F875-D6AE-40AD-BE6F-AEA789280CBE}"/>
    <cellStyle name="Normal 5 2 4 7 3 2 2" xfId="52125" xr:uid="{E22A8D66-C894-4659-82D5-A1224C94C4C2}"/>
    <cellStyle name="Normal 5 2 4 7 3 2 3" xfId="33529" xr:uid="{74C571AD-0E11-4E97-9B6D-A75B42A36F19}"/>
    <cellStyle name="Normal 5 2 4 7 3 3" xfId="42828" xr:uid="{6A46EC46-76A9-407C-B6DC-19F7AD12DDB1}"/>
    <cellStyle name="Normal 5 2 4 7 3 4" xfId="24230" xr:uid="{B31B1F64-C15C-4DA2-9196-5B7C3B27CC6F}"/>
    <cellStyle name="Normal 5 2 4 7 4" xfId="11566" xr:uid="{F9B30EEB-C050-4172-95BC-ABB3024F7005}"/>
    <cellStyle name="Normal 5 2 4 7 4 2" xfId="47908" xr:uid="{F4DA3629-0CE7-4A10-9CA0-F2B6EDA5CAC2}"/>
    <cellStyle name="Normal 5 2 4 7 4 3" xfId="29312" xr:uid="{73098796-6CDB-4DE5-9CBC-2B0436F80E37}"/>
    <cellStyle name="Normal 5 2 4 7 5" xfId="38611" xr:uid="{498D67D0-C423-407E-A809-CA02D0642584}"/>
    <cellStyle name="Normal 5 2 4 7 6" xfId="20013" xr:uid="{1551EA1E-D3F1-418C-897B-7E59AD988343}"/>
    <cellStyle name="Normal 5 2 4 8" xfId="2587" xr:uid="{00000000-0005-0000-0000-00001F190000}"/>
    <cellStyle name="Normal 5 2 4 8 2" xfId="6870" xr:uid="{00000000-0005-0000-0000-000020190000}"/>
    <cellStyle name="Normal 5 2 4 8 2 2" xfId="16196" xr:uid="{C1B4A7D1-B1B2-4B30-9943-9D937F8AB7A7}"/>
    <cellStyle name="Normal 5 2 4 8 2 2 2" xfId="52538" xr:uid="{D662361E-25EF-4895-B607-ED65A79135B8}"/>
    <cellStyle name="Normal 5 2 4 8 2 2 3" xfId="33942" xr:uid="{779B51E3-332C-486F-B126-03D3E23FA2EF}"/>
    <cellStyle name="Normal 5 2 4 8 2 3" xfId="43241" xr:uid="{E0668CAF-3A50-424B-8CDD-08EC61142C9C}"/>
    <cellStyle name="Normal 5 2 4 8 2 4" xfId="24643" xr:uid="{31BD2E29-87D8-4662-8932-8AEDD828E2C1}"/>
    <cellStyle name="Normal 5 2 4 8 3" xfId="11979" xr:uid="{DC550BFE-D6A8-41C7-8A84-0EC4993EC863}"/>
    <cellStyle name="Normal 5 2 4 8 3 2" xfId="48321" xr:uid="{3903AC01-9484-4C36-89B7-9EA20486933F}"/>
    <cellStyle name="Normal 5 2 4 8 3 3" xfId="29725" xr:uid="{34BFA429-D235-44A7-8BB0-E04E366BE5AE}"/>
    <cellStyle name="Normal 5 2 4 8 4" xfId="39024" xr:uid="{77C37522-4B3A-45D0-B7DA-A0A7FE177092}"/>
    <cellStyle name="Normal 5 2 4 8 5" xfId="20426" xr:uid="{601C21B4-CE69-49AD-B116-FE5C5828298B}"/>
    <cellStyle name="Normal 5 2 4 9" xfId="4805" xr:uid="{00000000-0005-0000-0000-000021190000}"/>
    <cellStyle name="Normal 5 2 4 9 2" xfId="14131" xr:uid="{A7FC74D1-AD04-4956-88E9-B4038339B212}"/>
    <cellStyle name="Normal 5 2 4 9 2 2" xfId="50473" xr:uid="{6D39E603-28F5-4C0C-A894-CA9D8A6A2E34}"/>
    <cellStyle name="Normal 5 2 4 9 2 3" xfId="31877" xr:uid="{DC7FD6CB-B9F0-4923-863A-3C0B72EE81CA}"/>
    <cellStyle name="Normal 5 2 4 9 3" xfId="41176" xr:uid="{C4688C63-89A0-4CC9-8A26-77F20485B87E}"/>
    <cellStyle name="Normal 5 2 4 9 4" xfId="22578" xr:uid="{3BFA301B-AB21-4078-BD0E-4ABF15DDC6B4}"/>
    <cellStyle name="Normal 5 2 5" xfId="436" xr:uid="{00000000-0005-0000-0000-000022190000}"/>
    <cellStyle name="Normal 5 2 5 10" xfId="9918" xr:uid="{9E865A7E-23BF-49B6-8DB1-5B9FCEB92A5B}"/>
    <cellStyle name="Normal 5 2 5 10 2" xfId="46260" xr:uid="{5DF8934C-C9E9-4E1B-B85A-3DBE11A20823}"/>
    <cellStyle name="Normal 5 2 5 10 3" xfId="27664" xr:uid="{9C6263EA-1D64-4BA0-AAE9-5E058D64A7CF}"/>
    <cellStyle name="Normal 5 2 5 11" xfId="36963" xr:uid="{4AA3F5E4-B30F-4871-93CC-ED525E51ADDD}"/>
    <cellStyle name="Normal 5 2 5 12" xfId="18365" xr:uid="{8D31CBE7-129C-41C7-B20E-CBABD1D2B097}"/>
    <cellStyle name="Normal 5 2 5 2" xfId="437" xr:uid="{00000000-0005-0000-0000-000023190000}"/>
    <cellStyle name="Normal 5 2 5 2 10" xfId="36964" xr:uid="{21DC82BE-0EB0-4A68-9296-6E76DF753B4B}"/>
    <cellStyle name="Normal 5 2 5 2 11" xfId="18366" xr:uid="{C030CF35-6229-4E45-9197-BD3919B2379E}"/>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16694" xr:uid="{03E9ECC0-F025-4FF5-B12D-373C56106341}"/>
    <cellStyle name="Normal 5 2 5 2 2 2 2 2 2" xfId="53036" xr:uid="{13025DC9-A4D0-4073-82C5-7CF2486A436D}"/>
    <cellStyle name="Normal 5 2 5 2 2 2 2 2 3" xfId="34440" xr:uid="{D276DF54-0320-432A-A222-ED7B883637B5}"/>
    <cellStyle name="Normal 5 2 5 2 2 2 2 3" xfId="43739" xr:uid="{920D0B25-A05D-4F1C-9D7B-3C85F18D8277}"/>
    <cellStyle name="Normal 5 2 5 2 2 2 2 4" xfId="25141" xr:uid="{71B18DCA-7219-4777-9D02-24A79426AB1A}"/>
    <cellStyle name="Normal 5 2 5 2 2 2 3" xfId="12477" xr:uid="{1ADEA3C2-2394-4E46-B677-5C4C186A7BF3}"/>
    <cellStyle name="Normal 5 2 5 2 2 2 3 2" xfId="48819" xr:uid="{C5FF247C-EC0A-4AAF-A92B-B59D3698CA4D}"/>
    <cellStyle name="Normal 5 2 5 2 2 2 3 3" xfId="30223" xr:uid="{DD585F71-68F9-4CA5-8935-38D949006E67}"/>
    <cellStyle name="Normal 5 2 5 2 2 2 4" xfId="39522" xr:uid="{998CB65C-B7C0-466B-8461-F16459104E80}"/>
    <cellStyle name="Normal 5 2 5 2 2 2 5" xfId="20924" xr:uid="{016AD2E3-616B-407C-A63E-C9B0947421AC}"/>
    <cellStyle name="Normal 5 2 5 2 2 3" xfId="5223" xr:uid="{00000000-0005-0000-0000-000027190000}"/>
    <cellStyle name="Normal 5 2 5 2 2 3 2" xfId="14549" xr:uid="{025EA1DB-32CF-4672-A567-EC4EDC32B780}"/>
    <cellStyle name="Normal 5 2 5 2 2 3 2 2" xfId="50891" xr:uid="{9696B8F4-E6D7-44B4-8DF8-F80E8447C40C}"/>
    <cellStyle name="Normal 5 2 5 2 2 3 2 3" xfId="32295" xr:uid="{D6A4A9D6-DBCE-4A72-8A91-B4CB07FEF600}"/>
    <cellStyle name="Normal 5 2 5 2 2 3 3" xfId="41594" xr:uid="{B147E953-63FF-4E44-B682-813AE251BB6E}"/>
    <cellStyle name="Normal 5 2 5 2 2 3 4" xfId="22996" xr:uid="{F2273B1F-F2B1-4667-A05D-4D862527F9EC}"/>
    <cellStyle name="Normal 5 2 5 2 2 4" xfId="9479" xr:uid="{0DDFFFD4-5D62-4038-B6D4-9E9BD7CBA380}"/>
    <cellStyle name="Normal 5 2 5 2 2 4 2" xfId="36540" xr:uid="{0CACC14C-3CD3-452A-B3A5-50022B7FF3C4}"/>
    <cellStyle name="Normal 5 2 5 2 2 4 2 2" xfId="55134" xr:uid="{27249E90-FD45-451F-A66C-35B3FCBF6519}"/>
    <cellStyle name="Normal 5 2 5 2 2 4 3" xfId="45837" xr:uid="{437E901A-8F4F-41DA-9051-8D3C400F3C74}"/>
    <cellStyle name="Normal 5 2 5 2 2 4 4" xfId="27241" xr:uid="{F1097516-6327-4849-B1E5-3B8879E139DC}"/>
    <cellStyle name="Normal 5 2 5 2 2 5" xfId="10332" xr:uid="{011E099A-F1C1-4AAC-9485-8D53E6FC60FD}"/>
    <cellStyle name="Normal 5 2 5 2 2 5 2" xfId="46674" xr:uid="{14868E9B-EF00-47A9-8592-A7E8319329F8}"/>
    <cellStyle name="Normal 5 2 5 2 2 5 3" xfId="28078" xr:uid="{D2A0C1CD-7FB6-4F29-A753-B9A92D95E7D7}"/>
    <cellStyle name="Normal 5 2 5 2 2 6" xfId="37377" xr:uid="{576439F8-9164-46FC-A734-0ADDD8341E5D}"/>
    <cellStyle name="Normal 5 2 5 2 2 7" xfId="18779" xr:uid="{8251EEE3-EDD3-41E9-80D8-8507E37B6087}"/>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17107" xr:uid="{D4247C60-AAB5-420D-8B14-EA8069C38600}"/>
    <cellStyle name="Normal 5 2 5 2 3 2 2 2 2" xfId="53449" xr:uid="{F4F41409-F168-4D9C-8449-546AB42E2760}"/>
    <cellStyle name="Normal 5 2 5 2 3 2 2 2 3" xfId="34853" xr:uid="{F7FCF6E4-8539-4214-807D-D96C85336CC8}"/>
    <cellStyle name="Normal 5 2 5 2 3 2 2 3" xfId="44152" xr:uid="{43837D8F-B760-4884-9D9D-6E0C8D071F69}"/>
    <cellStyle name="Normal 5 2 5 2 3 2 2 4" xfId="25554" xr:uid="{1BFF2AE9-525F-425F-B862-CB048CF516E9}"/>
    <cellStyle name="Normal 5 2 5 2 3 2 3" xfId="12890" xr:uid="{3F87A174-E9C0-497D-BCFC-C4375E9331D6}"/>
    <cellStyle name="Normal 5 2 5 2 3 2 3 2" xfId="49232" xr:uid="{4C54F9AD-FB51-4491-9091-05C4A5089497}"/>
    <cellStyle name="Normal 5 2 5 2 3 2 3 3" xfId="30636" xr:uid="{74C174D2-9BF7-45E6-A8AD-CF0166AB1F5D}"/>
    <cellStyle name="Normal 5 2 5 2 3 2 4" xfId="39935" xr:uid="{41641BD9-32F7-4850-BC54-F00D0F5C66AC}"/>
    <cellStyle name="Normal 5 2 5 2 3 2 5" xfId="21337" xr:uid="{C25332D3-A490-4747-B700-1C657663FDD1}"/>
    <cellStyle name="Normal 5 2 5 2 3 3" xfId="5636" xr:uid="{00000000-0005-0000-0000-00002B190000}"/>
    <cellStyle name="Normal 5 2 5 2 3 3 2" xfId="14962" xr:uid="{7CCE541A-22C8-44FA-8033-28CB640E921A}"/>
    <cellStyle name="Normal 5 2 5 2 3 3 2 2" xfId="51304" xr:uid="{A1C40670-9ECC-41BF-86DF-E30350BAD851}"/>
    <cellStyle name="Normal 5 2 5 2 3 3 2 3" xfId="32708" xr:uid="{FE8222B0-4807-4EBC-A256-7E602D9F9F91}"/>
    <cellStyle name="Normal 5 2 5 2 3 3 3" xfId="42007" xr:uid="{7AD49929-ABF2-4AE7-8E91-0097F4DD1BC4}"/>
    <cellStyle name="Normal 5 2 5 2 3 3 4" xfId="23409" xr:uid="{AC97409F-86E1-4E59-920C-AFF6522FFA3D}"/>
    <cellStyle name="Normal 5 2 5 2 3 4" xfId="10745" xr:uid="{D7A1E98E-CCBD-4032-ABD9-662FEB50C420}"/>
    <cellStyle name="Normal 5 2 5 2 3 4 2" xfId="47087" xr:uid="{AE436245-8E66-44F1-B9A1-B5A2E40EF302}"/>
    <cellStyle name="Normal 5 2 5 2 3 4 3" xfId="28491" xr:uid="{C29F95B5-810C-4EA6-986B-A21068AD3732}"/>
    <cellStyle name="Normal 5 2 5 2 3 5" xfId="37790" xr:uid="{D93F0A80-092B-45E5-8263-DAA3E35CA442}"/>
    <cellStyle name="Normal 5 2 5 2 3 6" xfId="19192" xr:uid="{E67C0024-D386-4B1C-8BEE-C44DFD946883}"/>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17520" xr:uid="{928885A6-B27D-4410-8DFB-49A4C84BA4AA}"/>
    <cellStyle name="Normal 5 2 5 2 4 2 2 2 2" xfId="53862" xr:uid="{D345922E-C908-4346-95C1-0F9608B18044}"/>
    <cellStyle name="Normal 5 2 5 2 4 2 2 2 3" xfId="35266" xr:uid="{4E947510-4264-4719-B4AB-09E518EA0144}"/>
    <cellStyle name="Normal 5 2 5 2 4 2 2 3" xfId="44565" xr:uid="{9DC5A616-5D88-4E8A-AA82-29493486F08F}"/>
    <cellStyle name="Normal 5 2 5 2 4 2 2 4" xfId="25967" xr:uid="{CC368512-A3CA-4BE3-B3FB-36D77C938B1C}"/>
    <cellStyle name="Normal 5 2 5 2 4 2 3" xfId="13303" xr:uid="{3CB7109A-5FE2-424E-8327-AE338858F39D}"/>
    <cellStyle name="Normal 5 2 5 2 4 2 3 2" xfId="49645" xr:uid="{C134BD1E-E1B8-401B-A530-BF59AF2C2D39}"/>
    <cellStyle name="Normal 5 2 5 2 4 2 3 3" xfId="31049" xr:uid="{4B771AAC-6065-4D5D-95B8-3846B5001A49}"/>
    <cellStyle name="Normal 5 2 5 2 4 2 4" xfId="40348" xr:uid="{2199FF5F-D556-48E6-BC06-34DF4F104E96}"/>
    <cellStyle name="Normal 5 2 5 2 4 2 5" xfId="21750" xr:uid="{89958CEC-7F05-4049-B524-FE83E5535314}"/>
    <cellStyle name="Normal 5 2 5 2 4 3" xfId="6049" xr:uid="{00000000-0005-0000-0000-00002F190000}"/>
    <cellStyle name="Normal 5 2 5 2 4 3 2" xfId="15375" xr:uid="{A4B584FE-2CA0-47EC-B50D-E3F7B541BFA5}"/>
    <cellStyle name="Normal 5 2 5 2 4 3 2 2" xfId="51717" xr:uid="{384B86EF-A78B-40E6-AADA-951C510418C1}"/>
    <cellStyle name="Normal 5 2 5 2 4 3 2 3" xfId="33121" xr:uid="{8160F064-07F0-4E3F-966D-007440B0E382}"/>
    <cellStyle name="Normal 5 2 5 2 4 3 3" xfId="42420" xr:uid="{1EC1B51A-1D5C-420A-AAC3-83C01ADA2F4B}"/>
    <cellStyle name="Normal 5 2 5 2 4 3 4" xfId="23822" xr:uid="{1E376D1C-0A3F-4BB4-95D4-E934ECEE42D4}"/>
    <cellStyle name="Normal 5 2 5 2 4 4" xfId="11158" xr:uid="{18C0F55D-343A-4B93-9336-AB21792EA686}"/>
    <cellStyle name="Normal 5 2 5 2 4 4 2" xfId="47500" xr:uid="{29E18EE9-40EC-4190-BEA7-C437CB1E2D61}"/>
    <cellStyle name="Normal 5 2 5 2 4 4 3" xfId="28904" xr:uid="{3CC9CD58-03A5-4471-B00A-53D6D3D372AD}"/>
    <cellStyle name="Normal 5 2 5 2 4 5" xfId="38203" xr:uid="{D3D679D9-4302-4F08-8BB2-2AAA4BDDA408}"/>
    <cellStyle name="Normal 5 2 5 2 4 6" xfId="19605" xr:uid="{ED1E8B18-511E-461A-A45E-391E0E23F636}"/>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17933" xr:uid="{094D1AF7-16A1-48BD-A907-3C0720FC97D5}"/>
    <cellStyle name="Normal 5 2 5 2 5 2 2 2 2" xfId="54275" xr:uid="{8EDA8515-6003-40D8-B79C-D18B2719068D}"/>
    <cellStyle name="Normal 5 2 5 2 5 2 2 2 3" xfId="35679" xr:uid="{37E25C95-FD3A-4CC7-B59C-D9AEAE46F7F5}"/>
    <cellStyle name="Normal 5 2 5 2 5 2 2 3" xfId="44978" xr:uid="{52D51869-4A78-42E0-AB2A-BFB6670641E1}"/>
    <cellStyle name="Normal 5 2 5 2 5 2 2 4" xfId="26380" xr:uid="{57761B89-057E-4E5C-91C2-10DBAA89E56D}"/>
    <cellStyle name="Normal 5 2 5 2 5 2 3" xfId="13716" xr:uid="{69F7B690-7844-48D6-8EE6-16A6BFD21DEF}"/>
    <cellStyle name="Normal 5 2 5 2 5 2 3 2" xfId="50058" xr:uid="{7FD9E714-34D7-43D6-95F2-6B3349AD8CFE}"/>
    <cellStyle name="Normal 5 2 5 2 5 2 3 3" xfId="31462" xr:uid="{F7C52645-297E-42A9-8453-102C9AFFFC6F}"/>
    <cellStyle name="Normal 5 2 5 2 5 2 4" xfId="40761" xr:uid="{13A17AD5-143E-4BFA-B6EE-881548AB0C64}"/>
    <cellStyle name="Normal 5 2 5 2 5 2 5" xfId="22163" xr:uid="{5880227F-28D5-4659-B4D7-CAC0E806A427}"/>
    <cellStyle name="Normal 5 2 5 2 5 3" xfId="6462" xr:uid="{00000000-0005-0000-0000-000033190000}"/>
    <cellStyle name="Normal 5 2 5 2 5 3 2" xfId="15788" xr:uid="{34BDC952-900F-4471-BA1E-DAD90FC80BBF}"/>
    <cellStyle name="Normal 5 2 5 2 5 3 2 2" xfId="52130" xr:uid="{58B73B01-F9AE-427B-A926-84DF99D1675D}"/>
    <cellStyle name="Normal 5 2 5 2 5 3 2 3" xfId="33534" xr:uid="{840C1194-80E2-4271-B12E-EF6170093AF9}"/>
    <cellStyle name="Normal 5 2 5 2 5 3 3" xfId="42833" xr:uid="{F65BD74D-96F2-4D74-A3C6-77CB9A605DFF}"/>
    <cellStyle name="Normal 5 2 5 2 5 3 4" xfId="24235" xr:uid="{C11DE664-24CD-4DDE-8ED1-C2CB71D58DE8}"/>
    <cellStyle name="Normal 5 2 5 2 5 4" xfId="11571" xr:uid="{C647E664-8A34-4433-A81B-E8200B49AED4}"/>
    <cellStyle name="Normal 5 2 5 2 5 4 2" xfId="47913" xr:uid="{3DDF4428-1372-498A-8A9C-235BAC8BA083}"/>
    <cellStyle name="Normal 5 2 5 2 5 4 3" xfId="29317" xr:uid="{8F88AC03-F559-4075-A3C0-5A4D99E64215}"/>
    <cellStyle name="Normal 5 2 5 2 5 5" xfId="38616" xr:uid="{9DC1FC18-DEBA-45A6-902D-FBDEE2C783C6}"/>
    <cellStyle name="Normal 5 2 5 2 5 6" xfId="20018" xr:uid="{520D954C-2F05-4EA7-B75D-E229B836C93E}"/>
    <cellStyle name="Normal 5 2 5 2 6" xfId="2592" xr:uid="{00000000-0005-0000-0000-000034190000}"/>
    <cellStyle name="Normal 5 2 5 2 6 2" xfId="6875" xr:uid="{00000000-0005-0000-0000-000035190000}"/>
    <cellStyle name="Normal 5 2 5 2 6 2 2" xfId="16201" xr:uid="{F19A8C58-05A9-4EB0-A2E7-FFCB902A0216}"/>
    <cellStyle name="Normal 5 2 5 2 6 2 2 2" xfId="52543" xr:uid="{16756136-7276-4339-98FC-FBB55D48A8EB}"/>
    <cellStyle name="Normal 5 2 5 2 6 2 2 3" xfId="33947" xr:uid="{B3751EC8-E114-43E9-AFE6-82A5F2EF2DDC}"/>
    <cellStyle name="Normal 5 2 5 2 6 2 3" xfId="43246" xr:uid="{5951B95E-61CA-4034-83E1-7C339A94826E}"/>
    <cellStyle name="Normal 5 2 5 2 6 2 4" xfId="24648" xr:uid="{779D4474-D941-48D9-BA8B-751E5CAF38BF}"/>
    <cellStyle name="Normal 5 2 5 2 6 3" xfId="11984" xr:uid="{944528C4-AAD9-4ADF-8226-1A2F81587415}"/>
    <cellStyle name="Normal 5 2 5 2 6 3 2" xfId="48326" xr:uid="{3792FF4A-708B-4426-A315-83853CB79A82}"/>
    <cellStyle name="Normal 5 2 5 2 6 3 3" xfId="29730" xr:uid="{FFCB3D25-1F3F-4736-A21E-CF51A002FF73}"/>
    <cellStyle name="Normal 5 2 5 2 6 4" xfId="39029" xr:uid="{8F94D043-3362-4219-B6FC-9477A120022D}"/>
    <cellStyle name="Normal 5 2 5 2 6 5" xfId="20431" xr:uid="{3E6B89B8-AA8A-459D-9E60-6D0AA3ACF005}"/>
    <cellStyle name="Normal 5 2 5 2 7" xfId="4810" xr:uid="{00000000-0005-0000-0000-000036190000}"/>
    <cellStyle name="Normal 5 2 5 2 7 2" xfId="14136" xr:uid="{D1A3CAA3-5416-475D-980A-D903CA31E1A1}"/>
    <cellStyle name="Normal 5 2 5 2 7 2 2" xfId="50478" xr:uid="{0DE14959-0864-4073-8415-88B165DFAE23}"/>
    <cellStyle name="Normal 5 2 5 2 7 2 3" xfId="31882" xr:uid="{504647B1-E734-45A0-9843-C64439814BF0}"/>
    <cellStyle name="Normal 5 2 5 2 7 3" xfId="41181" xr:uid="{CAE57896-7E96-4781-82A1-345CE05E8A7C}"/>
    <cellStyle name="Normal 5 2 5 2 7 4" xfId="22583" xr:uid="{8C8C89B1-5DDA-40DC-A137-ECA0118C9E2A}"/>
    <cellStyle name="Normal 5 2 5 2 8" xfId="9054" xr:uid="{844F6476-DDB9-4C38-A2B2-83AB0DCF1773}"/>
    <cellStyle name="Normal 5 2 5 2 8 2" xfId="36124" xr:uid="{11573A03-2805-46AB-975F-3B61A43E46E4}"/>
    <cellStyle name="Normal 5 2 5 2 8 2 2" xfId="54719" xr:uid="{60602056-02A5-4BCA-A1DB-65F4522E8903}"/>
    <cellStyle name="Normal 5 2 5 2 8 3" xfId="45422" xr:uid="{A8B839DD-D173-493D-AD93-E00419329B1C}"/>
    <cellStyle name="Normal 5 2 5 2 8 4" xfId="26825" xr:uid="{5D236A50-F1B1-43F2-A92F-F86EF4BE7282}"/>
    <cellStyle name="Normal 5 2 5 2 9" xfId="9919" xr:uid="{BBC1AF3E-29F0-4C08-8D0C-B43114E672E5}"/>
    <cellStyle name="Normal 5 2 5 2 9 2" xfId="46261" xr:uid="{22E2576D-5068-4123-97B9-2EB39FDCA2A3}"/>
    <cellStyle name="Normal 5 2 5 2 9 3" xfId="27665" xr:uid="{235EAA5D-74FD-439E-B4AD-899344F878E9}"/>
    <cellStyle name="Normal 5 2 5 3" xfId="910" xr:uid="{00000000-0005-0000-0000-000037190000}"/>
    <cellStyle name="Normal 5 2 5 3 2" xfId="3145" xr:uid="{00000000-0005-0000-0000-000038190000}"/>
    <cellStyle name="Normal 5 2 5 3 2 2" xfId="7367" xr:uid="{00000000-0005-0000-0000-000039190000}"/>
    <cellStyle name="Normal 5 2 5 3 2 2 2" xfId="16693" xr:uid="{58A68C90-6005-4F13-AE38-4105EF704CE3}"/>
    <cellStyle name="Normal 5 2 5 3 2 2 2 2" xfId="53035" xr:uid="{81A4E881-C820-4DD4-AD02-E37DFB4A2FFE}"/>
    <cellStyle name="Normal 5 2 5 3 2 2 2 3" xfId="34439" xr:uid="{2B5E278C-2426-4D12-9DC8-13B798935516}"/>
    <cellStyle name="Normal 5 2 5 3 2 2 3" xfId="43738" xr:uid="{7DED51AB-A5DC-4C90-8985-F39A2A615D90}"/>
    <cellStyle name="Normal 5 2 5 3 2 2 4" xfId="25140" xr:uid="{2790CC51-9B82-44BA-B09F-602CA920A83C}"/>
    <cellStyle name="Normal 5 2 5 3 2 3" xfId="12476" xr:uid="{26DD1842-A022-400D-91E0-BA45451800DD}"/>
    <cellStyle name="Normal 5 2 5 3 2 3 2" xfId="48818" xr:uid="{756F7841-FB45-46A9-82D4-67FED3B89790}"/>
    <cellStyle name="Normal 5 2 5 3 2 3 3" xfId="30222" xr:uid="{379902D6-6B73-4E74-9A31-05E60182D5AA}"/>
    <cellStyle name="Normal 5 2 5 3 2 4" xfId="39521" xr:uid="{733DE521-A4EB-44B7-A86C-9E4F099D8F55}"/>
    <cellStyle name="Normal 5 2 5 3 2 5" xfId="20923" xr:uid="{2BA68B12-D8E8-4D3C-ADC8-DE003F34A1F9}"/>
    <cellStyle name="Normal 5 2 5 3 3" xfId="5222" xr:uid="{00000000-0005-0000-0000-00003A190000}"/>
    <cellStyle name="Normal 5 2 5 3 3 2" xfId="14548" xr:uid="{A15F4D26-FD80-4F56-9949-C4DD08A4BA56}"/>
    <cellStyle name="Normal 5 2 5 3 3 2 2" xfId="50890" xr:uid="{0A9BF475-4479-4C71-966D-6E3E35239C03}"/>
    <cellStyle name="Normal 5 2 5 3 3 2 3" xfId="32294" xr:uid="{44F31949-A773-4831-BC41-50AC4A72A45F}"/>
    <cellStyle name="Normal 5 2 5 3 3 3" xfId="41593" xr:uid="{6D9C41ED-B6D0-4F30-8152-1E544DEBEE8F}"/>
    <cellStyle name="Normal 5 2 5 3 3 4" xfId="22995" xr:uid="{17ABF819-F88B-4E04-BA14-B47DF99FA753}"/>
    <cellStyle name="Normal 5 2 5 3 4" xfId="9272" xr:uid="{8865498C-CC61-4C5F-A1F4-57A1D301E1CE}"/>
    <cellStyle name="Normal 5 2 5 3 4 2" xfId="36333" xr:uid="{F6174B19-D46D-4123-A2AC-170E1D1D51DF}"/>
    <cellStyle name="Normal 5 2 5 3 4 2 2" xfId="54927" xr:uid="{66E06885-DA29-4504-AB79-A5D0E978A913}"/>
    <cellStyle name="Normal 5 2 5 3 4 3" xfId="45630" xr:uid="{9306C7D7-0669-4D87-9FE4-CB81B896929D}"/>
    <cellStyle name="Normal 5 2 5 3 4 4" xfId="27034" xr:uid="{3E3E9D81-CE66-4BEE-80D7-A608A1CFF59C}"/>
    <cellStyle name="Normal 5 2 5 3 5" xfId="10331" xr:uid="{3FD871F8-938E-4F80-9580-140525B007E8}"/>
    <cellStyle name="Normal 5 2 5 3 5 2" xfId="46673" xr:uid="{304EB82A-34A6-4327-A3A8-D127ECC7F802}"/>
    <cellStyle name="Normal 5 2 5 3 5 3" xfId="28077" xr:uid="{158FDBD1-BBA6-4C3E-83D9-062D63A98EAF}"/>
    <cellStyle name="Normal 5 2 5 3 6" xfId="37376" xr:uid="{80293E5A-A487-4A24-A559-824B18447409}"/>
    <cellStyle name="Normal 5 2 5 3 7" xfId="18778" xr:uid="{08926858-88E2-4F5A-8204-CABC853159F0}"/>
    <cellStyle name="Normal 5 2 5 4" xfId="1328" xr:uid="{00000000-0005-0000-0000-00003B190000}"/>
    <cellStyle name="Normal 5 2 5 4 2" xfId="3558" xr:uid="{00000000-0005-0000-0000-00003C190000}"/>
    <cellStyle name="Normal 5 2 5 4 2 2" xfId="7780" xr:uid="{00000000-0005-0000-0000-00003D190000}"/>
    <cellStyle name="Normal 5 2 5 4 2 2 2" xfId="17106" xr:uid="{75C8A858-DAD7-4C8C-AAE0-899DE49EA07F}"/>
    <cellStyle name="Normal 5 2 5 4 2 2 2 2" xfId="53448" xr:uid="{DE5CE081-2F75-4E70-BDC9-D26A74000E34}"/>
    <cellStyle name="Normal 5 2 5 4 2 2 2 3" xfId="34852" xr:uid="{DDAC9FA7-ABB5-4E74-A0A1-66E54A7E4A52}"/>
    <cellStyle name="Normal 5 2 5 4 2 2 3" xfId="44151" xr:uid="{321C3ECE-209C-4FF5-8FB3-0A0776941353}"/>
    <cellStyle name="Normal 5 2 5 4 2 2 4" xfId="25553" xr:uid="{D14AEC18-FBD8-4C50-ACC7-7F15DA6F9377}"/>
    <cellStyle name="Normal 5 2 5 4 2 3" xfId="12889" xr:uid="{42763A1B-2B88-4556-82DB-285BDC7E1A98}"/>
    <cellStyle name="Normal 5 2 5 4 2 3 2" xfId="49231" xr:uid="{65C9B198-10BA-4E41-B34E-CD6E1EF5A0B5}"/>
    <cellStyle name="Normal 5 2 5 4 2 3 3" xfId="30635" xr:uid="{F69B7ABF-DD3E-4492-80C0-6BDB87843C87}"/>
    <cellStyle name="Normal 5 2 5 4 2 4" xfId="39934" xr:uid="{3307EF28-4173-488A-A35E-D7212B25D310}"/>
    <cellStyle name="Normal 5 2 5 4 2 5" xfId="21336" xr:uid="{4AC4ADE8-1524-4339-BCA2-7B12183BC099}"/>
    <cellStyle name="Normal 5 2 5 4 3" xfId="5635" xr:uid="{00000000-0005-0000-0000-00003E190000}"/>
    <cellStyle name="Normal 5 2 5 4 3 2" xfId="14961" xr:uid="{4377034D-9F90-4154-B5C5-FA75C93F5BAB}"/>
    <cellStyle name="Normal 5 2 5 4 3 2 2" xfId="51303" xr:uid="{7FE07D0D-0F2F-4728-A155-A498AC1CD4AE}"/>
    <cellStyle name="Normal 5 2 5 4 3 2 3" xfId="32707" xr:uid="{D6589107-3D05-4566-9B40-261EFCEDA21C}"/>
    <cellStyle name="Normal 5 2 5 4 3 3" xfId="42006" xr:uid="{50222AA8-97A9-45A4-A5A7-BB94703AE8A1}"/>
    <cellStyle name="Normal 5 2 5 4 3 4" xfId="23408" xr:uid="{65D12AE2-D365-484E-868F-5FE3451CD9E9}"/>
    <cellStyle name="Normal 5 2 5 4 4" xfId="10744" xr:uid="{1A0B7A9C-3AC4-477E-991C-129900C4D535}"/>
    <cellStyle name="Normal 5 2 5 4 4 2" xfId="47086" xr:uid="{6A83F753-BB1F-4030-9825-B36C4AC80552}"/>
    <cellStyle name="Normal 5 2 5 4 4 3" xfId="28490" xr:uid="{C9FC3B0A-9FCB-4F7A-9C9E-64666A8099E8}"/>
    <cellStyle name="Normal 5 2 5 4 5" xfId="37789" xr:uid="{5B7ECBD0-99D3-44E0-BA5F-CE1D3A7479C6}"/>
    <cellStyle name="Normal 5 2 5 4 6" xfId="19191" xr:uid="{3E8A67C8-A770-487C-8B2B-66D29152D245}"/>
    <cellStyle name="Normal 5 2 5 5" xfId="1741" xr:uid="{00000000-0005-0000-0000-00003F190000}"/>
    <cellStyle name="Normal 5 2 5 5 2" xfId="3971" xr:uid="{00000000-0005-0000-0000-000040190000}"/>
    <cellStyle name="Normal 5 2 5 5 2 2" xfId="8193" xr:uid="{00000000-0005-0000-0000-000041190000}"/>
    <cellStyle name="Normal 5 2 5 5 2 2 2" xfId="17519" xr:uid="{E1E15513-8570-4B51-9DC8-D919759EDA70}"/>
    <cellStyle name="Normal 5 2 5 5 2 2 2 2" xfId="53861" xr:uid="{493D5B91-4C02-43BB-876E-280B200F7261}"/>
    <cellStyle name="Normal 5 2 5 5 2 2 2 3" xfId="35265" xr:uid="{14279CBF-3856-4AB7-B8B8-3712F6C8B23C}"/>
    <cellStyle name="Normal 5 2 5 5 2 2 3" xfId="44564" xr:uid="{8803BDA7-8C0A-48B8-9944-1448F142B643}"/>
    <cellStyle name="Normal 5 2 5 5 2 2 4" xfId="25966" xr:uid="{A1374B45-B0B8-4877-A100-172609DA8FBF}"/>
    <cellStyle name="Normal 5 2 5 5 2 3" xfId="13302" xr:uid="{427E2027-392A-4092-9F3B-9626AC2D4731}"/>
    <cellStyle name="Normal 5 2 5 5 2 3 2" xfId="49644" xr:uid="{8ACD1C20-28FA-40AA-AD1F-10BDA9C29AAE}"/>
    <cellStyle name="Normal 5 2 5 5 2 3 3" xfId="31048" xr:uid="{2DC164BD-118E-4CFD-8FB4-1EE3EB1FA718}"/>
    <cellStyle name="Normal 5 2 5 5 2 4" xfId="40347" xr:uid="{8BDC179B-B69A-4225-A958-B420C317EE90}"/>
    <cellStyle name="Normal 5 2 5 5 2 5" xfId="21749" xr:uid="{BDF475BF-6A2E-449B-9E2F-EA263A04EBFF}"/>
    <cellStyle name="Normal 5 2 5 5 3" xfId="6048" xr:uid="{00000000-0005-0000-0000-000042190000}"/>
    <cellStyle name="Normal 5 2 5 5 3 2" xfId="15374" xr:uid="{D802AC5F-031A-4E57-9184-159032C46062}"/>
    <cellStyle name="Normal 5 2 5 5 3 2 2" xfId="51716" xr:uid="{81FB039A-F58A-4736-BFD5-358B31FFB9D8}"/>
    <cellStyle name="Normal 5 2 5 5 3 2 3" xfId="33120" xr:uid="{10522E8D-0233-4FFF-A09B-C8A9D1EB5B0B}"/>
    <cellStyle name="Normal 5 2 5 5 3 3" xfId="42419" xr:uid="{17E106D4-8E1B-4153-B90E-D6F04A8F168A}"/>
    <cellStyle name="Normal 5 2 5 5 3 4" xfId="23821" xr:uid="{A8A1B6A4-B81D-44D6-89D4-F764974153B5}"/>
    <cellStyle name="Normal 5 2 5 5 4" xfId="11157" xr:uid="{6FA48433-3AA6-4CA2-9D0A-8A22E08C2987}"/>
    <cellStyle name="Normal 5 2 5 5 4 2" xfId="47499" xr:uid="{A7BA2232-1261-4C79-BA10-95EF97935404}"/>
    <cellStyle name="Normal 5 2 5 5 4 3" xfId="28903" xr:uid="{FE89C11A-A7A4-4878-B8F7-DB38DC8EDCC5}"/>
    <cellStyle name="Normal 5 2 5 5 5" xfId="38202" xr:uid="{65018B42-0832-4583-973E-5FF35B45387E}"/>
    <cellStyle name="Normal 5 2 5 5 6" xfId="19604" xr:uid="{B78B7362-0035-4B02-898D-085588E9B96B}"/>
    <cellStyle name="Normal 5 2 5 6" xfId="2155" xr:uid="{00000000-0005-0000-0000-000043190000}"/>
    <cellStyle name="Normal 5 2 5 6 2" xfId="4384" xr:uid="{00000000-0005-0000-0000-000044190000}"/>
    <cellStyle name="Normal 5 2 5 6 2 2" xfId="8606" xr:uid="{00000000-0005-0000-0000-000045190000}"/>
    <cellStyle name="Normal 5 2 5 6 2 2 2" xfId="17932" xr:uid="{37927489-C212-4513-B3E8-2B789D41A3B3}"/>
    <cellStyle name="Normal 5 2 5 6 2 2 2 2" xfId="54274" xr:uid="{F1A42950-F199-48FE-AC5C-DEF33C8834CF}"/>
    <cellStyle name="Normal 5 2 5 6 2 2 2 3" xfId="35678" xr:uid="{27ABE73C-A676-4E63-AB37-DFD7249DD7E0}"/>
    <cellStyle name="Normal 5 2 5 6 2 2 3" xfId="44977" xr:uid="{91E9CEB6-BA98-464F-B3B2-171423A7332E}"/>
    <cellStyle name="Normal 5 2 5 6 2 2 4" xfId="26379" xr:uid="{A25B6883-7A5B-4FBC-82E8-6702F3A561D0}"/>
    <cellStyle name="Normal 5 2 5 6 2 3" xfId="13715" xr:uid="{A882B75B-825E-4B0D-8CEF-6D3B5E86BA10}"/>
    <cellStyle name="Normal 5 2 5 6 2 3 2" xfId="50057" xr:uid="{15F66917-8CBA-4F5D-994D-9DFFAB189546}"/>
    <cellStyle name="Normal 5 2 5 6 2 3 3" xfId="31461" xr:uid="{893338AC-3D62-411E-824A-D684230FBC0B}"/>
    <cellStyle name="Normal 5 2 5 6 2 4" xfId="40760" xr:uid="{C704E906-399F-4521-A878-746DAFBE72B9}"/>
    <cellStyle name="Normal 5 2 5 6 2 5" xfId="22162" xr:uid="{CA36BDC0-D1D9-440C-A385-357DDBF59671}"/>
    <cellStyle name="Normal 5 2 5 6 3" xfId="6461" xr:uid="{00000000-0005-0000-0000-000046190000}"/>
    <cellStyle name="Normal 5 2 5 6 3 2" xfId="15787" xr:uid="{22DE7437-4FC0-498B-BC5B-674D9D07F679}"/>
    <cellStyle name="Normal 5 2 5 6 3 2 2" xfId="52129" xr:uid="{AAD3B6CD-4BB1-4F14-B1F8-A782147ADFA5}"/>
    <cellStyle name="Normal 5 2 5 6 3 2 3" xfId="33533" xr:uid="{E9B90F0E-B6F6-42A9-912A-3BD165727752}"/>
    <cellStyle name="Normal 5 2 5 6 3 3" xfId="42832" xr:uid="{82DC4CF1-1D5E-48D8-AD43-006D2F059CE3}"/>
    <cellStyle name="Normal 5 2 5 6 3 4" xfId="24234" xr:uid="{854E6D0D-389F-449B-B444-D8BDA576EC19}"/>
    <cellStyle name="Normal 5 2 5 6 4" xfId="11570" xr:uid="{3902B0B3-95BC-4AC3-A220-69AA0E899CC1}"/>
    <cellStyle name="Normal 5 2 5 6 4 2" xfId="47912" xr:uid="{2DBA0D4F-8AF6-4015-9B56-0E1BD3B827B3}"/>
    <cellStyle name="Normal 5 2 5 6 4 3" xfId="29316" xr:uid="{11D6A9F3-7945-4C77-B418-13722174D3EE}"/>
    <cellStyle name="Normal 5 2 5 6 5" xfId="38615" xr:uid="{D1DCA13F-3D69-408F-BAFE-B69B3CF8DB19}"/>
    <cellStyle name="Normal 5 2 5 6 6" xfId="20017" xr:uid="{58FF84E2-6174-4300-95BB-90E704065755}"/>
    <cellStyle name="Normal 5 2 5 7" xfId="2591" xr:uid="{00000000-0005-0000-0000-000047190000}"/>
    <cellStyle name="Normal 5 2 5 7 2" xfId="6874" xr:uid="{00000000-0005-0000-0000-000048190000}"/>
    <cellStyle name="Normal 5 2 5 7 2 2" xfId="16200" xr:uid="{1AE3C8A4-E6F1-4478-A3C3-56BBB8FB681D}"/>
    <cellStyle name="Normal 5 2 5 7 2 2 2" xfId="52542" xr:uid="{E7068906-9B53-4364-8F4F-C4DC8BDB07DD}"/>
    <cellStyle name="Normal 5 2 5 7 2 2 3" xfId="33946" xr:uid="{6EA5EB1B-628D-4B65-B060-A2D308A3F48C}"/>
    <cellStyle name="Normal 5 2 5 7 2 3" xfId="43245" xr:uid="{20DEA894-5138-4B1A-8EFB-8C827C56D42A}"/>
    <cellStyle name="Normal 5 2 5 7 2 4" xfId="24647" xr:uid="{AFA273A3-FD18-4D82-BFB8-1C0C547DD2D9}"/>
    <cellStyle name="Normal 5 2 5 7 3" xfId="11983" xr:uid="{32798F06-4CAA-4E59-B5B1-0DCAE072DF8F}"/>
    <cellStyle name="Normal 5 2 5 7 3 2" xfId="48325" xr:uid="{048DF1FD-A9AE-4803-BC11-0323DEA81554}"/>
    <cellStyle name="Normal 5 2 5 7 3 3" xfId="29729" xr:uid="{33F45821-1A50-4E70-B460-3490874C4E90}"/>
    <cellStyle name="Normal 5 2 5 7 4" xfId="39028" xr:uid="{99689831-8242-43CB-AA4F-3B1DE5D619BD}"/>
    <cellStyle name="Normal 5 2 5 7 5" xfId="20430" xr:uid="{C79A5DDD-1A8F-41C6-AC09-70CC3B1EF15A}"/>
    <cellStyle name="Normal 5 2 5 8" xfId="4809" xr:uid="{00000000-0005-0000-0000-000049190000}"/>
    <cellStyle name="Normal 5 2 5 8 2" xfId="14135" xr:uid="{62456098-E083-4F73-A233-41F2D8E2E2B7}"/>
    <cellStyle name="Normal 5 2 5 8 2 2" xfId="50477" xr:uid="{1557576E-0DF0-4FDE-9987-60C4F3DC1D30}"/>
    <cellStyle name="Normal 5 2 5 8 2 3" xfId="31881" xr:uid="{368EF847-FF2E-4475-92C6-1BCB8B209B4D}"/>
    <cellStyle name="Normal 5 2 5 8 3" xfId="41180" xr:uid="{3241E3BD-2280-479E-9251-9E795243C56B}"/>
    <cellStyle name="Normal 5 2 5 8 4" xfId="22582" xr:uid="{C8FB3CFD-0A3B-4669-AFD9-2B241A85EB36}"/>
    <cellStyle name="Normal 5 2 5 9" xfId="8847" xr:uid="{504334B5-BB84-4906-81A5-68746D711AC3}"/>
    <cellStyle name="Normal 5 2 5 9 2" xfId="35917" xr:uid="{4A151A4A-38BC-41A9-BADA-AF0898A93B77}"/>
    <cellStyle name="Normal 5 2 5 9 2 2" xfId="54512" xr:uid="{2B1F123C-0F2B-42C6-811D-D9EC8D23ADCC}"/>
    <cellStyle name="Normal 5 2 5 9 3" xfId="45215" xr:uid="{896A39EE-CF75-4AF5-81B5-D1CB7B53CC2E}"/>
    <cellStyle name="Normal 5 2 5 9 4" xfId="26618" xr:uid="{C66EC817-ACF9-426A-98AB-9B43C06825FD}"/>
    <cellStyle name="Normal 5 2 6" xfId="438" xr:uid="{00000000-0005-0000-0000-00004A190000}"/>
    <cellStyle name="Normal 5 2 6 10" xfId="36965" xr:uid="{E0519C46-125F-4982-8D8D-4D35A26CEB95}"/>
    <cellStyle name="Normal 5 2 6 11" xfId="18367" xr:uid="{AA4176AD-D832-4E54-A138-A452DF26A31F}"/>
    <cellStyle name="Normal 5 2 6 2" xfId="912" xr:uid="{00000000-0005-0000-0000-00004B190000}"/>
    <cellStyle name="Normal 5 2 6 2 2" xfId="3147" xr:uid="{00000000-0005-0000-0000-00004C190000}"/>
    <cellStyle name="Normal 5 2 6 2 2 2" xfId="7369" xr:uid="{00000000-0005-0000-0000-00004D190000}"/>
    <cellStyle name="Normal 5 2 6 2 2 2 2" xfId="16695" xr:uid="{DC5BD9A1-071A-488C-A5F9-61C2D02A24F1}"/>
    <cellStyle name="Normal 5 2 6 2 2 2 2 2" xfId="53037" xr:uid="{2E1E9877-00D6-4DF3-8F25-1AA9CB233404}"/>
    <cellStyle name="Normal 5 2 6 2 2 2 2 3" xfId="34441" xr:uid="{2F3DBC0C-4867-47CE-BED0-B371C251BBAF}"/>
    <cellStyle name="Normal 5 2 6 2 2 2 3" xfId="43740" xr:uid="{06A0BBAA-2BCD-4825-9CAE-999BA877E08F}"/>
    <cellStyle name="Normal 5 2 6 2 2 2 4" xfId="25142" xr:uid="{3D170FC0-D270-45EF-8F2C-79CF1C830D6E}"/>
    <cellStyle name="Normal 5 2 6 2 2 3" xfId="12478" xr:uid="{61439766-271B-4465-B531-F1E1810A7BDF}"/>
    <cellStyle name="Normal 5 2 6 2 2 3 2" xfId="48820" xr:uid="{90B6F7BC-6E72-4236-BBA7-D3D86A563571}"/>
    <cellStyle name="Normal 5 2 6 2 2 3 3" xfId="30224" xr:uid="{7B02A56B-557C-4AD9-A4D1-F9704411E6EC}"/>
    <cellStyle name="Normal 5 2 6 2 2 4" xfId="39523" xr:uid="{4658F3B4-E68A-455A-8A3F-37880B63E147}"/>
    <cellStyle name="Normal 5 2 6 2 2 5" xfId="20925" xr:uid="{FD79F5BB-9E91-41FF-9675-28E5285BD56F}"/>
    <cellStyle name="Normal 5 2 6 2 3" xfId="5224" xr:uid="{00000000-0005-0000-0000-00004E190000}"/>
    <cellStyle name="Normal 5 2 6 2 3 2" xfId="14550" xr:uid="{54604FA2-54C9-4137-AF65-2D1B3D388126}"/>
    <cellStyle name="Normal 5 2 6 2 3 2 2" xfId="50892" xr:uid="{A389909E-3B09-42CA-9450-F8F3EDF5D574}"/>
    <cellStyle name="Normal 5 2 6 2 3 2 3" xfId="32296" xr:uid="{6351A837-66D1-4D7E-BB3F-05DFA3F145DE}"/>
    <cellStyle name="Normal 5 2 6 2 3 3" xfId="41595" xr:uid="{09C8B6FB-BD14-4A82-A605-A717C2E56836}"/>
    <cellStyle name="Normal 5 2 6 2 3 4" xfId="22997" xr:uid="{BA8CE4F5-2140-40D2-9ED4-495E1007BE7F}"/>
    <cellStyle name="Normal 5 2 6 2 4" xfId="9388" xr:uid="{38BE55A5-085B-499D-8766-DF826B77D03C}"/>
    <cellStyle name="Normal 5 2 6 2 4 2" xfId="36449" xr:uid="{B3F01212-430C-4232-9641-9A590F6908EF}"/>
    <cellStyle name="Normal 5 2 6 2 4 2 2" xfId="55043" xr:uid="{BA4C8025-E0E9-4DB0-9EA6-C896D1840EEB}"/>
    <cellStyle name="Normal 5 2 6 2 4 3" xfId="45746" xr:uid="{8A984286-D8A8-4E31-8FE9-502AC32E9CD0}"/>
    <cellStyle name="Normal 5 2 6 2 4 4" xfId="27150" xr:uid="{C00BE271-7C7B-4472-9C15-FD36C229F959}"/>
    <cellStyle name="Normal 5 2 6 2 5" xfId="10333" xr:uid="{9920D8EF-1356-4372-9E0A-A4E8A94DC9D8}"/>
    <cellStyle name="Normal 5 2 6 2 5 2" xfId="46675" xr:uid="{DA385F70-3C63-4753-A78A-DB7B11B23A1E}"/>
    <cellStyle name="Normal 5 2 6 2 5 3" xfId="28079" xr:uid="{8D0A3AAE-E7F5-4CB1-9096-86C4C504818F}"/>
    <cellStyle name="Normal 5 2 6 2 6" xfId="37378" xr:uid="{83B23182-7005-46E7-B7E5-135DD8936441}"/>
    <cellStyle name="Normal 5 2 6 2 7" xfId="18780" xr:uid="{602914E9-B198-434D-840F-28CA56E914DD}"/>
    <cellStyle name="Normal 5 2 6 3" xfId="1330" xr:uid="{00000000-0005-0000-0000-00004F190000}"/>
    <cellStyle name="Normal 5 2 6 3 2" xfId="3560" xr:uid="{00000000-0005-0000-0000-000050190000}"/>
    <cellStyle name="Normal 5 2 6 3 2 2" xfId="7782" xr:uid="{00000000-0005-0000-0000-000051190000}"/>
    <cellStyle name="Normal 5 2 6 3 2 2 2" xfId="17108" xr:uid="{FE80C0DB-FDD5-4344-8575-C068C4AB8F7F}"/>
    <cellStyle name="Normal 5 2 6 3 2 2 2 2" xfId="53450" xr:uid="{ED3A685B-C280-4577-99F0-4948120A208A}"/>
    <cellStyle name="Normal 5 2 6 3 2 2 2 3" xfId="34854" xr:uid="{0FA47B1E-CDEE-4A44-A775-6BD77C1F76B4}"/>
    <cellStyle name="Normal 5 2 6 3 2 2 3" xfId="44153" xr:uid="{F90229C2-3585-4952-A52C-ACD3F74044D3}"/>
    <cellStyle name="Normal 5 2 6 3 2 2 4" xfId="25555" xr:uid="{8327767D-5250-4B4C-8408-7C576CA779A0}"/>
    <cellStyle name="Normal 5 2 6 3 2 3" xfId="12891" xr:uid="{12D18292-516F-48AB-ACBA-0CF6AAFEBB68}"/>
    <cellStyle name="Normal 5 2 6 3 2 3 2" xfId="49233" xr:uid="{BC4417A5-0A30-4BB8-BC76-B03D8BCCA50E}"/>
    <cellStyle name="Normal 5 2 6 3 2 3 3" xfId="30637" xr:uid="{994BE69A-1A38-4506-BFB1-BF8908F454B7}"/>
    <cellStyle name="Normal 5 2 6 3 2 4" xfId="39936" xr:uid="{0C3EB521-FDF1-4FAE-B20E-B400F2E773EF}"/>
    <cellStyle name="Normal 5 2 6 3 2 5" xfId="21338" xr:uid="{BC6CC1E2-E1E7-43CD-BEAB-3341349CBED5}"/>
    <cellStyle name="Normal 5 2 6 3 3" xfId="5637" xr:uid="{00000000-0005-0000-0000-000052190000}"/>
    <cellStyle name="Normal 5 2 6 3 3 2" xfId="14963" xr:uid="{86A6B7CA-B2A8-4875-862C-972AB8A0D8FA}"/>
    <cellStyle name="Normal 5 2 6 3 3 2 2" xfId="51305" xr:uid="{749D3148-882A-4811-BCA5-0A5CBCAA83C1}"/>
    <cellStyle name="Normal 5 2 6 3 3 2 3" xfId="32709" xr:uid="{8235BA7D-0AAB-4988-8FC3-95C2354E8D1D}"/>
    <cellStyle name="Normal 5 2 6 3 3 3" xfId="42008" xr:uid="{32656D89-0733-4DC7-81F2-374F729E44A1}"/>
    <cellStyle name="Normal 5 2 6 3 3 4" xfId="23410" xr:uid="{8C8C1A4C-3D9D-4A0E-9628-6A98E06B25A8}"/>
    <cellStyle name="Normal 5 2 6 3 4" xfId="10746" xr:uid="{73E7EB8B-6B71-4CF5-AD57-ACB48106AD3E}"/>
    <cellStyle name="Normal 5 2 6 3 4 2" xfId="47088" xr:uid="{2C6E82C2-F9CD-4DD7-A507-7EDBDFC8A7A3}"/>
    <cellStyle name="Normal 5 2 6 3 4 3" xfId="28492" xr:uid="{A1C894C5-883F-4C6D-9104-30CC8CEC2F34}"/>
    <cellStyle name="Normal 5 2 6 3 5" xfId="37791" xr:uid="{6B837C3C-1906-4FBB-B068-D9CE43A3691E}"/>
    <cellStyle name="Normal 5 2 6 3 6" xfId="19193" xr:uid="{F776293E-9714-4FB8-8BA4-61E09189FB7D}"/>
    <cellStyle name="Normal 5 2 6 4" xfId="1743" xr:uid="{00000000-0005-0000-0000-000053190000}"/>
    <cellStyle name="Normal 5 2 6 4 2" xfId="3973" xr:uid="{00000000-0005-0000-0000-000054190000}"/>
    <cellStyle name="Normal 5 2 6 4 2 2" xfId="8195" xr:uid="{00000000-0005-0000-0000-000055190000}"/>
    <cellStyle name="Normal 5 2 6 4 2 2 2" xfId="17521" xr:uid="{8377B6D0-2276-4433-84A9-6D2023A91F93}"/>
    <cellStyle name="Normal 5 2 6 4 2 2 2 2" xfId="53863" xr:uid="{D1182FB8-827D-4E10-841E-EDB2FEF9347A}"/>
    <cellStyle name="Normal 5 2 6 4 2 2 2 3" xfId="35267" xr:uid="{E5847D70-8BF5-4DE4-A6B0-D1114466DC06}"/>
    <cellStyle name="Normal 5 2 6 4 2 2 3" xfId="44566" xr:uid="{8BE36A8F-7036-429C-A506-B8AE4F587C66}"/>
    <cellStyle name="Normal 5 2 6 4 2 2 4" xfId="25968" xr:uid="{6541EAFC-1674-4245-B90C-4A624DE8CEB8}"/>
    <cellStyle name="Normal 5 2 6 4 2 3" xfId="13304" xr:uid="{519DC905-2D0B-471D-833E-7F622CA986A5}"/>
    <cellStyle name="Normal 5 2 6 4 2 3 2" xfId="49646" xr:uid="{BAA6231B-CEDF-4521-80BE-4566586BAAE3}"/>
    <cellStyle name="Normal 5 2 6 4 2 3 3" xfId="31050" xr:uid="{F0C9B9D6-F583-425A-85CE-345E6F1EA090}"/>
    <cellStyle name="Normal 5 2 6 4 2 4" xfId="40349" xr:uid="{008F7AC2-DB77-4289-A9A6-BE0F0475462B}"/>
    <cellStyle name="Normal 5 2 6 4 2 5" xfId="21751" xr:uid="{8F40F249-A1CE-465D-BA0A-2C62F9022F28}"/>
    <cellStyle name="Normal 5 2 6 4 3" xfId="6050" xr:uid="{00000000-0005-0000-0000-000056190000}"/>
    <cellStyle name="Normal 5 2 6 4 3 2" xfId="15376" xr:uid="{7B171559-C6E6-4BA7-9362-7676EC2ADD6A}"/>
    <cellStyle name="Normal 5 2 6 4 3 2 2" xfId="51718" xr:uid="{621D5ADE-3E2C-42E9-82D5-D1B843BD0F64}"/>
    <cellStyle name="Normal 5 2 6 4 3 2 3" xfId="33122" xr:uid="{95FF6A50-5A58-455B-8565-753284DAA39E}"/>
    <cellStyle name="Normal 5 2 6 4 3 3" xfId="42421" xr:uid="{10AC0DF3-A306-4FCC-857D-75E4EB3CF6C7}"/>
    <cellStyle name="Normal 5 2 6 4 3 4" xfId="23823" xr:uid="{85574F25-9C99-4F2E-8660-73B7A1FB5F50}"/>
    <cellStyle name="Normal 5 2 6 4 4" xfId="11159" xr:uid="{31E2743B-7FCD-48B7-A721-32D18AD8D2A3}"/>
    <cellStyle name="Normal 5 2 6 4 4 2" xfId="47501" xr:uid="{04E8B65E-900D-4F99-B7CF-D39D386FB28C}"/>
    <cellStyle name="Normal 5 2 6 4 4 3" xfId="28905" xr:uid="{74C7321C-E0CA-4AB1-B4F2-DF809941CE80}"/>
    <cellStyle name="Normal 5 2 6 4 5" xfId="38204" xr:uid="{54138904-49B5-4F7D-9FBA-71D84636C22A}"/>
    <cellStyle name="Normal 5 2 6 4 6" xfId="19606" xr:uid="{3772713D-CADD-4CE2-A715-2975A2426A76}"/>
    <cellStyle name="Normal 5 2 6 5" xfId="2157" xr:uid="{00000000-0005-0000-0000-000057190000}"/>
    <cellStyle name="Normal 5 2 6 5 2" xfId="4386" xr:uid="{00000000-0005-0000-0000-000058190000}"/>
    <cellStyle name="Normal 5 2 6 5 2 2" xfId="8608" xr:uid="{00000000-0005-0000-0000-000059190000}"/>
    <cellStyle name="Normal 5 2 6 5 2 2 2" xfId="17934" xr:uid="{F14D8061-9F8C-4847-9981-B6267F631F50}"/>
    <cellStyle name="Normal 5 2 6 5 2 2 2 2" xfId="54276" xr:uid="{B191E83F-D86D-45A9-BD2F-3B2DC24E2977}"/>
    <cellStyle name="Normal 5 2 6 5 2 2 2 3" xfId="35680" xr:uid="{0AB643D5-E261-4B6D-B074-C5A0E8856182}"/>
    <cellStyle name="Normal 5 2 6 5 2 2 3" xfId="44979" xr:uid="{B85D205F-55CA-41DE-B739-0EBA94E1FB97}"/>
    <cellStyle name="Normal 5 2 6 5 2 2 4" xfId="26381" xr:uid="{FB3D5846-5385-461F-B32C-42C6451D4ED3}"/>
    <cellStyle name="Normal 5 2 6 5 2 3" xfId="13717" xr:uid="{53118DBC-375D-4CFF-BD33-C453E56F05C9}"/>
    <cellStyle name="Normal 5 2 6 5 2 3 2" xfId="50059" xr:uid="{ACD62D10-E74B-4CCD-A897-774E043F855B}"/>
    <cellStyle name="Normal 5 2 6 5 2 3 3" xfId="31463" xr:uid="{C3B49615-760C-45F6-9292-C4B72F64BCF1}"/>
    <cellStyle name="Normal 5 2 6 5 2 4" xfId="40762" xr:uid="{603BCAF8-7E25-449F-BB1F-5963A8995EE5}"/>
    <cellStyle name="Normal 5 2 6 5 2 5" xfId="22164" xr:uid="{D7F69DF0-C5F8-478D-AAD7-7E9437C92EF0}"/>
    <cellStyle name="Normal 5 2 6 5 3" xfId="6463" xr:uid="{00000000-0005-0000-0000-00005A190000}"/>
    <cellStyle name="Normal 5 2 6 5 3 2" xfId="15789" xr:uid="{F899F727-B04C-424C-9369-A1218C9281EE}"/>
    <cellStyle name="Normal 5 2 6 5 3 2 2" xfId="52131" xr:uid="{F97B9A33-F6B8-480B-B44F-C8D3C82FDC25}"/>
    <cellStyle name="Normal 5 2 6 5 3 2 3" xfId="33535" xr:uid="{D237C631-BF83-4CF0-BFDB-109332CA087E}"/>
    <cellStyle name="Normal 5 2 6 5 3 3" xfId="42834" xr:uid="{3F327C68-9C5F-44D5-8FAE-7D5F826B23E6}"/>
    <cellStyle name="Normal 5 2 6 5 3 4" xfId="24236" xr:uid="{FCD4833F-1982-44A7-8131-07D67F5CF4C3}"/>
    <cellStyle name="Normal 5 2 6 5 4" xfId="11572" xr:uid="{1B91224B-C30F-4F11-B70E-8DE6024AE127}"/>
    <cellStyle name="Normal 5 2 6 5 4 2" xfId="47914" xr:uid="{9A6128FC-8A74-4B9A-94B0-CB05A85C6FE6}"/>
    <cellStyle name="Normal 5 2 6 5 4 3" xfId="29318" xr:uid="{D1E28B39-1A90-4AA2-A6F6-57C11966DD02}"/>
    <cellStyle name="Normal 5 2 6 5 5" xfId="38617" xr:uid="{193DC5FB-C24E-4FDF-9633-837616ACC3DF}"/>
    <cellStyle name="Normal 5 2 6 5 6" xfId="20019" xr:uid="{9AAC9C08-47CC-402C-9A3A-A81A444BC6D0}"/>
    <cellStyle name="Normal 5 2 6 6" xfId="2593" xr:uid="{00000000-0005-0000-0000-00005B190000}"/>
    <cellStyle name="Normal 5 2 6 6 2" xfId="6876" xr:uid="{00000000-0005-0000-0000-00005C190000}"/>
    <cellStyle name="Normal 5 2 6 6 2 2" xfId="16202" xr:uid="{3FDB6884-B1F2-4B1B-B7EE-A867FADB33D7}"/>
    <cellStyle name="Normal 5 2 6 6 2 2 2" xfId="52544" xr:uid="{BD81FCC4-893D-4EB9-AC67-32CA548F3E63}"/>
    <cellStyle name="Normal 5 2 6 6 2 2 3" xfId="33948" xr:uid="{B00540BF-11A0-405C-9F37-1068DF7B8F8A}"/>
    <cellStyle name="Normal 5 2 6 6 2 3" xfId="43247" xr:uid="{4A33054C-5F15-40F0-8064-4E5C9B799851}"/>
    <cellStyle name="Normal 5 2 6 6 2 4" xfId="24649" xr:uid="{60EBAA3C-D7C9-4995-B0EE-58745C61A6C2}"/>
    <cellStyle name="Normal 5 2 6 6 3" xfId="11985" xr:uid="{7A56FCED-0119-4AA5-AFA3-B5220DDAEEFC}"/>
    <cellStyle name="Normal 5 2 6 6 3 2" xfId="48327" xr:uid="{9C5B2F31-E873-40F9-A281-0DD6573EF57D}"/>
    <cellStyle name="Normal 5 2 6 6 3 3" xfId="29731" xr:uid="{1747434F-A1BF-4450-8EAD-D03DEAD61858}"/>
    <cellStyle name="Normal 5 2 6 6 4" xfId="39030" xr:uid="{2C5E84B8-AD6F-4774-8FFA-04FBC5FA6B49}"/>
    <cellStyle name="Normal 5 2 6 6 5" xfId="20432" xr:uid="{46799A22-BC89-45B6-94FC-F0B6C7177073}"/>
    <cellStyle name="Normal 5 2 6 7" xfId="4811" xr:uid="{00000000-0005-0000-0000-00005D190000}"/>
    <cellStyle name="Normal 5 2 6 7 2" xfId="14137" xr:uid="{7A400F51-CBD7-4CF7-AC39-F1EE52F1DBA7}"/>
    <cellStyle name="Normal 5 2 6 7 2 2" xfId="50479" xr:uid="{4585D552-0844-414F-BF97-06D26C724329}"/>
    <cellStyle name="Normal 5 2 6 7 2 3" xfId="31883" xr:uid="{A85F6D0A-7376-43FE-9A94-27027ED21052}"/>
    <cellStyle name="Normal 5 2 6 7 3" xfId="41182" xr:uid="{63E6C942-F2F1-44EA-A72D-1601E166DA60}"/>
    <cellStyle name="Normal 5 2 6 7 4" xfId="22584" xr:uid="{85862CC1-6E69-4BAE-B8F6-998C269605D4}"/>
    <cellStyle name="Normal 5 2 6 8" xfId="8963" xr:uid="{01BDB756-0B70-4C0D-AC32-9959EE0C8F11}"/>
    <cellStyle name="Normal 5 2 6 8 2" xfId="36033" xr:uid="{A7763738-3C4C-4A3A-9CCE-8E3962025D04}"/>
    <cellStyle name="Normal 5 2 6 8 2 2" xfId="54628" xr:uid="{B27FE648-7F57-412C-BDE3-409BAC59C2FE}"/>
    <cellStyle name="Normal 5 2 6 8 3" xfId="45331" xr:uid="{715C8BE4-60E3-48DF-A113-777A05AFE9C8}"/>
    <cellStyle name="Normal 5 2 6 8 4" xfId="26734" xr:uid="{F2342552-9857-4247-B58D-7E99504BBE1A}"/>
    <cellStyle name="Normal 5 2 6 9" xfId="9920" xr:uid="{CBA12E16-3D5A-4ABF-93E5-79ADD7BCA7EC}"/>
    <cellStyle name="Normal 5 2 6 9 2" xfId="46262" xr:uid="{5EDB5939-7BD0-477B-A7F0-B9BC4D84F370}"/>
    <cellStyle name="Normal 5 2 6 9 3" xfId="27666" xr:uid="{2947F942-1E0A-4E53-AB42-AAAE750D03A9}"/>
    <cellStyle name="Normal 5 2 7" xfId="881" xr:uid="{00000000-0005-0000-0000-00005E190000}"/>
    <cellStyle name="Normal 5 2 7 2" xfId="3116" xr:uid="{00000000-0005-0000-0000-00005F190000}"/>
    <cellStyle name="Normal 5 2 7 2 2" xfId="7338" xr:uid="{00000000-0005-0000-0000-000060190000}"/>
    <cellStyle name="Normal 5 2 7 2 2 2" xfId="16664" xr:uid="{53C17D60-4CCC-469A-ADAB-06530089334C}"/>
    <cellStyle name="Normal 5 2 7 2 2 2 2" xfId="53006" xr:uid="{B9400CBB-DB1F-4DD0-A893-98CAAFD65C17}"/>
    <cellStyle name="Normal 5 2 7 2 2 2 3" xfId="34410" xr:uid="{FE61E9E5-EB1C-46FF-BF76-0F2591D4D490}"/>
    <cellStyle name="Normal 5 2 7 2 2 3" xfId="43709" xr:uid="{006CE4BA-93A8-4187-8866-0D013D9099E8}"/>
    <cellStyle name="Normal 5 2 7 2 2 4" xfId="25111" xr:uid="{B7D40194-A528-4C37-ACBF-A49168F58DEF}"/>
    <cellStyle name="Normal 5 2 7 2 3" xfId="12447" xr:uid="{CF299AFB-752C-47F4-875B-7ECC152A8401}"/>
    <cellStyle name="Normal 5 2 7 2 3 2" xfId="48789" xr:uid="{E3C37B6C-82DE-41F4-BABB-F6F0816F9154}"/>
    <cellStyle name="Normal 5 2 7 2 3 3" xfId="30193" xr:uid="{27B99510-3438-4FA1-8482-F834E0DCD40D}"/>
    <cellStyle name="Normal 5 2 7 2 4" xfId="39492" xr:uid="{BDF061C2-9A26-48D0-9D51-2BCB57D3E0DD}"/>
    <cellStyle name="Normal 5 2 7 2 5" xfId="20894" xr:uid="{C37AA67E-6980-4FF1-AADE-F99C1EE74284}"/>
    <cellStyle name="Normal 5 2 7 3" xfId="5193" xr:uid="{00000000-0005-0000-0000-000061190000}"/>
    <cellStyle name="Normal 5 2 7 3 2" xfId="14519" xr:uid="{D47DCFBB-8BB4-4E43-9562-6E89EFD0D5C8}"/>
    <cellStyle name="Normal 5 2 7 3 2 2" xfId="50861" xr:uid="{8DF46A01-F0A3-44ED-9BFA-37C336D2A8CD}"/>
    <cellStyle name="Normal 5 2 7 3 2 3" xfId="32265" xr:uid="{F64D7E1F-75F8-4979-9BA5-6493FCCD65A7}"/>
    <cellStyle name="Normal 5 2 7 3 3" xfId="41564" xr:uid="{95820046-B42F-4788-B3FF-C86145AE97AE}"/>
    <cellStyle name="Normal 5 2 7 3 4" xfId="22966" xr:uid="{D012A25D-39C8-499F-8049-6E4F438572E3}"/>
    <cellStyle name="Normal 5 2 7 4" xfId="9166" xr:uid="{903BB692-5043-4803-B109-F7C532EB2A09}"/>
    <cellStyle name="Normal 5 2 7 4 2" xfId="36230" xr:uid="{3872976E-7DF2-4B63-A265-62EBE0FA8E93}"/>
    <cellStyle name="Normal 5 2 7 4 2 2" xfId="54824" xr:uid="{982E698E-623B-4523-9DBA-0EE36B4051DC}"/>
    <cellStyle name="Normal 5 2 7 4 3" xfId="45527" xr:uid="{0798ED22-EBCE-4165-938F-5D034392AA96}"/>
    <cellStyle name="Normal 5 2 7 4 4" xfId="26931" xr:uid="{A56E3313-706F-4300-AE6B-E3CC7494B0FD}"/>
    <cellStyle name="Normal 5 2 7 5" xfId="10302" xr:uid="{1D7D00AD-4E5B-479D-9A93-4437461052B5}"/>
    <cellStyle name="Normal 5 2 7 5 2" xfId="46644" xr:uid="{5BF1E609-3FCA-4624-AF01-642FB476D180}"/>
    <cellStyle name="Normal 5 2 7 5 3" xfId="28048" xr:uid="{780F8AC7-B735-442F-8476-F8555A07E642}"/>
    <cellStyle name="Normal 5 2 7 6" xfId="37347" xr:uid="{71271089-3B9A-49E6-9AFC-E6D880570D23}"/>
    <cellStyle name="Normal 5 2 7 7" xfId="18749" xr:uid="{4E3AD82E-166A-4D01-9DB8-08C9D1E5250A}"/>
    <cellStyle name="Normal 5 2 8" xfId="1299" xr:uid="{00000000-0005-0000-0000-000062190000}"/>
    <cellStyle name="Normal 5 2 8 2" xfId="3529" xr:uid="{00000000-0005-0000-0000-000063190000}"/>
    <cellStyle name="Normal 5 2 8 2 2" xfId="7751" xr:uid="{00000000-0005-0000-0000-000064190000}"/>
    <cellStyle name="Normal 5 2 8 2 2 2" xfId="17077" xr:uid="{8B2306AA-3A8F-4861-A256-AE4BE31D6FB5}"/>
    <cellStyle name="Normal 5 2 8 2 2 2 2" xfId="53419" xr:uid="{11451289-9308-4DA3-BD47-92CC6E7A356E}"/>
    <cellStyle name="Normal 5 2 8 2 2 2 3" xfId="34823" xr:uid="{AD0BF54D-FF2B-4D70-8E8C-0FD59046ED48}"/>
    <cellStyle name="Normal 5 2 8 2 2 3" xfId="44122" xr:uid="{0F170556-C32D-45C4-9CEB-FACA14219A66}"/>
    <cellStyle name="Normal 5 2 8 2 2 4" xfId="25524" xr:uid="{04024CDE-17ED-422E-85FB-04AEFD3361D6}"/>
    <cellStyle name="Normal 5 2 8 2 3" xfId="12860" xr:uid="{B8006E29-6842-4083-806C-11CA2ACF6430}"/>
    <cellStyle name="Normal 5 2 8 2 3 2" xfId="49202" xr:uid="{E3D60A4F-CD46-4C1F-B629-34B2A5F6FBDD}"/>
    <cellStyle name="Normal 5 2 8 2 3 3" xfId="30606" xr:uid="{712D32F2-393E-4757-A1FF-54265A5EEB49}"/>
    <cellStyle name="Normal 5 2 8 2 4" xfId="39905" xr:uid="{D2435CD9-1B08-4987-B2C8-94D1F7ECDAD6}"/>
    <cellStyle name="Normal 5 2 8 2 5" xfId="21307" xr:uid="{13EE1E0B-0AF7-4AFD-B26F-5B8890A53CA6}"/>
    <cellStyle name="Normal 5 2 8 3" xfId="5606" xr:uid="{00000000-0005-0000-0000-000065190000}"/>
    <cellStyle name="Normal 5 2 8 3 2" xfId="14932" xr:uid="{0A24C723-FA75-4B7F-87BC-A8E39DFED6CA}"/>
    <cellStyle name="Normal 5 2 8 3 2 2" xfId="51274" xr:uid="{2EB9BF76-557E-484B-B4A4-D80D0C841F07}"/>
    <cellStyle name="Normal 5 2 8 3 2 3" xfId="32678" xr:uid="{05D856DB-545F-43FA-A6B9-363752987C10}"/>
    <cellStyle name="Normal 5 2 8 3 3" xfId="41977" xr:uid="{D8FAD3F5-CB5B-422D-A3C9-B92D513C729F}"/>
    <cellStyle name="Normal 5 2 8 3 4" xfId="23379" xr:uid="{BB592312-1B61-4C43-9B33-2B1062A499DA}"/>
    <cellStyle name="Normal 5 2 8 4" xfId="10715" xr:uid="{77C6C7A1-9EA6-4B5F-9C41-21994F00EAA4}"/>
    <cellStyle name="Normal 5 2 8 4 2" xfId="47057" xr:uid="{AFAAE03C-414D-4F51-B3AF-9C599D6861AB}"/>
    <cellStyle name="Normal 5 2 8 4 3" xfId="28461" xr:uid="{09A561A4-CC7D-4144-848A-BD9857A7C9A2}"/>
    <cellStyle name="Normal 5 2 8 5" xfId="37760" xr:uid="{C8840BE6-8251-4724-BC2F-C025EDDD22EF}"/>
    <cellStyle name="Normal 5 2 8 6" xfId="19162" xr:uid="{0EBC1605-E3E1-49FD-AD51-7D4360D98EB1}"/>
    <cellStyle name="Normal 5 2 9" xfId="1712" xr:uid="{00000000-0005-0000-0000-000066190000}"/>
    <cellStyle name="Normal 5 2 9 2" xfId="3942" xr:uid="{00000000-0005-0000-0000-000067190000}"/>
    <cellStyle name="Normal 5 2 9 2 2" xfId="8164" xr:uid="{00000000-0005-0000-0000-000068190000}"/>
    <cellStyle name="Normal 5 2 9 2 2 2" xfId="17490" xr:uid="{349E6E8F-F4A8-4FD6-AB83-0C7356634292}"/>
    <cellStyle name="Normal 5 2 9 2 2 2 2" xfId="53832" xr:uid="{508975BB-07D3-462B-8EB4-E0DE86261918}"/>
    <cellStyle name="Normal 5 2 9 2 2 2 3" xfId="35236" xr:uid="{DAB56138-8451-497F-934A-45557F753F3B}"/>
    <cellStyle name="Normal 5 2 9 2 2 3" xfId="44535" xr:uid="{2F406A50-4A54-459B-9844-129F324E6EEE}"/>
    <cellStyle name="Normal 5 2 9 2 2 4" xfId="25937" xr:uid="{AED42CEE-9C06-4892-A572-DDE8799C77A4}"/>
    <cellStyle name="Normal 5 2 9 2 3" xfId="13273" xr:uid="{A9041571-F433-4A13-8739-84FB02F0E876}"/>
    <cellStyle name="Normal 5 2 9 2 3 2" xfId="49615" xr:uid="{986BD74D-FAF5-4C66-94AA-1810896CBBBB}"/>
    <cellStyle name="Normal 5 2 9 2 3 3" xfId="31019" xr:uid="{6BD35527-76BE-4CA9-8856-D757E166C645}"/>
    <cellStyle name="Normal 5 2 9 2 4" xfId="40318" xr:uid="{A7E66D15-DA22-46F8-9F85-65D743678652}"/>
    <cellStyle name="Normal 5 2 9 2 5" xfId="21720" xr:uid="{57A7D0CA-2021-458B-B500-8943DF31F948}"/>
    <cellStyle name="Normal 5 2 9 3" xfId="6019" xr:uid="{00000000-0005-0000-0000-000069190000}"/>
    <cellStyle name="Normal 5 2 9 3 2" xfId="15345" xr:uid="{48AE442E-62F5-4E36-BFAC-17550E713B22}"/>
    <cellStyle name="Normal 5 2 9 3 2 2" xfId="51687" xr:uid="{485B9961-DA62-41DF-937B-EC0390BA8B5C}"/>
    <cellStyle name="Normal 5 2 9 3 2 3" xfId="33091" xr:uid="{61EC6107-1E46-4A76-A857-7259993608EA}"/>
    <cellStyle name="Normal 5 2 9 3 3" xfId="42390" xr:uid="{4A102EEA-CF66-4E12-82DD-C4B46F672B9E}"/>
    <cellStyle name="Normal 5 2 9 3 4" xfId="23792" xr:uid="{4FFBDE72-6A70-4B8C-98F3-5B0A5F13F876}"/>
    <cellStyle name="Normal 5 2 9 4" xfId="11128" xr:uid="{37E5F3B0-272D-45C6-AF32-3D802B78EE74}"/>
    <cellStyle name="Normal 5 2 9 4 2" xfId="47470" xr:uid="{C72D786C-23D4-480A-ACAC-A8CE49089DDC}"/>
    <cellStyle name="Normal 5 2 9 4 3" xfId="28874" xr:uid="{B0243D00-6F72-45DB-8D72-4F85D5EDED30}"/>
    <cellStyle name="Normal 5 2 9 5" xfId="38173" xr:uid="{E92A7C00-8D56-4EAE-BB48-8E767B584618}"/>
    <cellStyle name="Normal 5 2 9 6" xfId="19575" xr:uid="{DC7F84D3-7C9E-4B61-8A5F-2E713484EC4C}"/>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17935" xr:uid="{F84E8E18-573D-4EAE-B38C-1EC7DDEAFD3D}"/>
    <cellStyle name="Normal 5 3 10 2 2 2 2" xfId="54277" xr:uid="{978692C5-11DB-4143-BBE5-98ED0E46A542}"/>
    <cellStyle name="Normal 5 3 10 2 2 2 3" xfId="35681" xr:uid="{3971AC0A-EE30-4819-9974-2DE5A8AD0E0D}"/>
    <cellStyle name="Normal 5 3 10 2 2 3" xfId="44980" xr:uid="{1DECFB1F-65AB-4C7A-B6E9-80700A845D48}"/>
    <cellStyle name="Normal 5 3 10 2 2 4" xfId="26382" xr:uid="{D6918751-56CB-4AB7-AFE3-183F6005296C}"/>
    <cellStyle name="Normal 5 3 10 2 3" xfId="13718" xr:uid="{A7C624AD-7797-4921-BB5C-77DC3F1C173A}"/>
    <cellStyle name="Normal 5 3 10 2 3 2" xfId="50060" xr:uid="{7C42B1B3-46A7-47DC-86C4-5404A6D79778}"/>
    <cellStyle name="Normal 5 3 10 2 3 3" xfId="31464" xr:uid="{58B97769-C648-4C06-B395-A3999AAFC220}"/>
    <cellStyle name="Normal 5 3 10 2 4" xfId="40763" xr:uid="{F1CE082F-75AB-4BF6-A736-6DDBEF265C13}"/>
    <cellStyle name="Normal 5 3 10 2 5" xfId="22165" xr:uid="{47AB6933-DC24-4A55-917C-0D1B0BFCFCC9}"/>
    <cellStyle name="Normal 5 3 10 3" xfId="6464" xr:uid="{00000000-0005-0000-0000-00006E190000}"/>
    <cellStyle name="Normal 5 3 10 3 2" xfId="15790" xr:uid="{7EAA6BAA-D0F6-4F2D-A087-B31455015592}"/>
    <cellStyle name="Normal 5 3 10 3 2 2" xfId="52132" xr:uid="{405B9683-E1E7-4866-B89D-3B1F608F8569}"/>
    <cellStyle name="Normal 5 3 10 3 2 3" xfId="33536" xr:uid="{1B0197E9-BE33-4B19-AA20-A8B627CBFA8F}"/>
    <cellStyle name="Normal 5 3 10 3 3" xfId="42835" xr:uid="{DD11561C-8A7E-4C78-8BE8-CDFAFCDD1CE2}"/>
    <cellStyle name="Normal 5 3 10 3 4" xfId="24237" xr:uid="{B8890322-49BF-45FA-82BB-EE70B0F5DB68}"/>
    <cellStyle name="Normal 5 3 10 4" xfId="11573" xr:uid="{DF8F20E6-5DA1-4067-82B4-01FDD1DF80C7}"/>
    <cellStyle name="Normal 5 3 10 4 2" xfId="47915" xr:uid="{25C83ED3-7621-4F28-945A-08307EF1976F}"/>
    <cellStyle name="Normal 5 3 10 4 3" xfId="29319" xr:uid="{6BAD1999-57DC-433F-AF8B-59D0BFB338C9}"/>
    <cellStyle name="Normal 5 3 10 5" xfId="38618" xr:uid="{258C3DBA-2CE2-4C3E-9F76-CBC17402765C}"/>
    <cellStyle name="Normal 5 3 10 6" xfId="20020" xr:uid="{BEF9441A-28C1-4DAB-8C43-CED0E3B6116B}"/>
    <cellStyle name="Normal 5 3 11" xfId="2594" xr:uid="{00000000-0005-0000-0000-00006F190000}"/>
    <cellStyle name="Normal 5 3 11 2" xfId="6877" xr:uid="{00000000-0005-0000-0000-000070190000}"/>
    <cellStyle name="Normal 5 3 11 2 2" xfId="16203" xr:uid="{C13E43D5-9294-4F42-B60D-B2B9ACF15594}"/>
    <cellStyle name="Normal 5 3 11 2 2 2" xfId="52545" xr:uid="{6E50A1A6-262C-4781-BE6B-4453B2401541}"/>
    <cellStyle name="Normal 5 3 11 2 2 3" xfId="33949" xr:uid="{09B7CE96-D464-478E-819C-1E77BC598FA2}"/>
    <cellStyle name="Normal 5 3 11 2 3" xfId="43248" xr:uid="{FE662C25-9BD0-4A7A-979E-83D517881937}"/>
    <cellStyle name="Normal 5 3 11 2 4" xfId="24650" xr:uid="{F2B0E9E6-EA59-448B-A974-AC2822874D27}"/>
    <cellStyle name="Normal 5 3 11 3" xfId="11986" xr:uid="{DC90EEBA-69E4-40CA-9B4D-ED780C4DF3CF}"/>
    <cellStyle name="Normal 5 3 11 3 2" xfId="48328" xr:uid="{DA9E98E1-3627-4180-9CB7-F3DF8635A3BE}"/>
    <cellStyle name="Normal 5 3 11 3 3" xfId="29732" xr:uid="{0119993F-2565-4325-B5D0-BC88E2E087E7}"/>
    <cellStyle name="Normal 5 3 11 4" xfId="39031" xr:uid="{A8E9C783-AD73-4A60-8334-E0DB664C2EFA}"/>
    <cellStyle name="Normal 5 3 11 5" xfId="20433" xr:uid="{D647F9B1-C423-4D73-9673-5DD1856221E9}"/>
    <cellStyle name="Normal 5 3 12" xfId="4812" xr:uid="{00000000-0005-0000-0000-000071190000}"/>
    <cellStyle name="Normal 5 3 12 2" xfId="14138" xr:uid="{6D537B21-1B86-41B7-A4EC-F578AD4FD243}"/>
    <cellStyle name="Normal 5 3 12 2 2" xfId="50480" xr:uid="{65776DF9-EA97-4409-A0A7-0059229877BC}"/>
    <cellStyle name="Normal 5 3 12 2 3" xfId="31884" xr:uid="{BF9ABEB8-3E5D-4B6B-975D-DCC36AEAD145}"/>
    <cellStyle name="Normal 5 3 12 3" xfId="41183" xr:uid="{73B8F053-B2CD-413F-86A9-19FD314C8A81}"/>
    <cellStyle name="Normal 5 3 12 4" xfId="22585" xr:uid="{77529F40-AE33-46AC-B66A-193512C86A22}"/>
    <cellStyle name="Normal 5 3 13" xfId="8750" xr:uid="{36957AEF-D081-4A23-AEE3-073A5901863C}"/>
    <cellStyle name="Normal 5 3 13 2" xfId="35820" xr:uid="{E88592BD-17E3-43CC-9D2A-67E7AB111466}"/>
    <cellStyle name="Normal 5 3 13 2 2" xfId="54415" xr:uid="{7DD767F9-F4C0-455E-BCEE-74B67942327A}"/>
    <cellStyle name="Normal 5 3 13 3" xfId="45118" xr:uid="{AF7C8ED6-3A6B-4B18-A4C2-D6A4F192801B}"/>
    <cellStyle name="Normal 5 3 13 4" xfId="26521" xr:uid="{88645CAE-4A73-43F6-82C0-4AA94E04B48C}"/>
    <cellStyle name="Normal 5 3 14" xfId="9921" xr:uid="{DF2D5845-05DE-4BBF-9D84-E83D75EB274D}"/>
    <cellStyle name="Normal 5 3 14 2" xfId="46263" xr:uid="{07A443CA-7770-4718-B798-BAB78C3C867C}"/>
    <cellStyle name="Normal 5 3 14 3" xfId="27667" xr:uid="{E0ABA0DA-9932-45CE-82E3-2B7A71F891A2}"/>
    <cellStyle name="Normal 5 3 15" xfId="36966" xr:uid="{3C406910-82EF-48AD-8D3C-919501ACBAB2}"/>
    <cellStyle name="Normal 5 3 16" xfId="18368" xr:uid="{006B4368-5BD0-4665-8D78-70891E3D3BF1}"/>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14139" xr:uid="{E774F1C4-F34E-4785-9C75-92D09A54DB86}"/>
    <cellStyle name="Normal 5 3 3 10 2 2" xfId="50481" xr:uid="{2B2DC3CC-9C4C-4615-84C0-C773378473BA}"/>
    <cellStyle name="Normal 5 3 3 10 2 3" xfId="31885" xr:uid="{98FDA940-F2BA-44F0-8B40-D21DBF4F0B5B}"/>
    <cellStyle name="Normal 5 3 3 10 3" xfId="41184" xr:uid="{35B5E1BD-EE23-48CE-ABDA-827D5DD4B681}"/>
    <cellStyle name="Normal 5 3 3 10 4" xfId="22586" xr:uid="{F43EBC26-A94A-489A-AA74-6C01494738E9}"/>
    <cellStyle name="Normal 5 3 3 11" xfId="8782" xr:uid="{4219AD28-469A-4693-BD0B-B0536AC433E5}"/>
    <cellStyle name="Normal 5 3 3 11 2" xfId="35852" xr:uid="{1F3A37C9-EEF6-45CA-9E90-2663220FDCC8}"/>
    <cellStyle name="Normal 5 3 3 11 2 2" xfId="54447" xr:uid="{F2A482DC-DFB9-44A9-855C-0645B29118B8}"/>
    <cellStyle name="Normal 5 3 3 11 3" xfId="45150" xr:uid="{E6FE5762-0B3D-407F-91C6-4355076AC544}"/>
    <cellStyle name="Normal 5 3 3 11 4" xfId="26553" xr:uid="{EF49F6F6-7596-48C5-BA72-AC45A4FA44E3}"/>
    <cellStyle name="Normal 5 3 3 12" xfId="9922" xr:uid="{4C1D829C-BD8E-47A8-B34D-445C33F8EF60}"/>
    <cellStyle name="Normal 5 3 3 12 2" xfId="46264" xr:uid="{185D583E-A6D5-45DA-ADFD-E38392120C84}"/>
    <cellStyle name="Normal 5 3 3 12 3" xfId="27668" xr:uid="{4617162C-4DAD-45A5-B805-469569396203}"/>
    <cellStyle name="Normal 5 3 3 13" xfId="36967" xr:uid="{DA049D9F-DBA9-4088-979E-190BA8163E93}"/>
    <cellStyle name="Normal 5 3 3 14" xfId="18369" xr:uid="{B6020E2F-5052-44E3-9095-70378CC6A96E}"/>
    <cellStyle name="Normal 5 3 3 2" xfId="442" xr:uid="{00000000-0005-0000-0000-000076190000}"/>
    <cellStyle name="Normal 5 3 3 2 10" xfId="8832" xr:uid="{03323DDB-E4E1-4078-8BBE-EA3DD4471E1B}"/>
    <cellStyle name="Normal 5 3 3 2 10 2" xfId="35902" xr:uid="{4535033F-D1A9-47BD-8A42-7C51B1CF81A6}"/>
    <cellStyle name="Normal 5 3 3 2 10 2 2" xfId="54497" xr:uid="{FE1E0540-8107-461B-92B3-62107404109C}"/>
    <cellStyle name="Normal 5 3 3 2 10 3" xfId="45200" xr:uid="{947C062A-1544-433E-A7BC-FBAE44D91F42}"/>
    <cellStyle name="Normal 5 3 3 2 10 4" xfId="26603" xr:uid="{B6D74EB2-7A12-4234-A721-C314EEAC93FE}"/>
    <cellStyle name="Normal 5 3 3 2 11" xfId="9923" xr:uid="{A542749A-E7B4-4F80-AF1F-E0EEC26320AB}"/>
    <cellStyle name="Normal 5 3 3 2 11 2" xfId="46265" xr:uid="{E66104F9-6BC8-480C-B9BB-DEE705D21DAA}"/>
    <cellStyle name="Normal 5 3 3 2 11 3" xfId="27669" xr:uid="{B1046328-344A-43B3-9791-92238CB0B098}"/>
    <cellStyle name="Normal 5 3 3 2 12" xfId="36968" xr:uid="{47BCA42E-F5BF-49AD-9B8D-60208CDF8A03}"/>
    <cellStyle name="Normal 5 3 3 2 13" xfId="18370" xr:uid="{2EAFB330-8AC7-4199-A54C-8ACA4EC0DC06}"/>
    <cellStyle name="Normal 5 3 3 2 2" xfId="443" xr:uid="{00000000-0005-0000-0000-000077190000}"/>
    <cellStyle name="Normal 5 3 3 2 2 10" xfId="9924" xr:uid="{27830C26-B05F-4AE6-A29F-16E35C0DDA71}"/>
    <cellStyle name="Normal 5 3 3 2 2 10 2" xfId="46266" xr:uid="{12F18A61-DE9C-442E-A91C-9790855097EB}"/>
    <cellStyle name="Normal 5 3 3 2 2 10 3" xfId="27670" xr:uid="{78E94F70-5BD5-42DD-A6DF-CCB0035A35BE}"/>
    <cellStyle name="Normal 5 3 3 2 2 11" xfId="36969" xr:uid="{260A794A-539E-47C0-8D60-B924385738AB}"/>
    <cellStyle name="Normal 5 3 3 2 2 12" xfId="18371" xr:uid="{527C2163-04E4-443D-84FC-90AE2F296D41}"/>
    <cellStyle name="Normal 5 3 3 2 2 2" xfId="444" xr:uid="{00000000-0005-0000-0000-000078190000}"/>
    <cellStyle name="Normal 5 3 3 2 2 2 10" xfId="36970" xr:uid="{BD169622-C9C2-47E4-8DFE-4350B95B40A6}"/>
    <cellStyle name="Normal 5 3 3 2 2 2 11" xfId="18372" xr:uid="{6F5D3F2E-F8BF-4BC4-B7B2-E28080D1C526}"/>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16700" xr:uid="{E27B14A8-4D29-4155-8F7B-3385518BCD02}"/>
    <cellStyle name="Normal 5 3 3 2 2 2 2 2 2 2 2" xfId="53042" xr:uid="{5F019CB3-DC70-4054-8D06-DCA32BF2709E}"/>
    <cellStyle name="Normal 5 3 3 2 2 2 2 2 2 2 3" xfId="34446" xr:uid="{66465F64-99AE-4963-B688-043DE7E107EF}"/>
    <cellStyle name="Normal 5 3 3 2 2 2 2 2 2 3" xfId="43745" xr:uid="{95A849A5-3F05-4067-BA77-B20AC4F126E3}"/>
    <cellStyle name="Normal 5 3 3 2 2 2 2 2 2 4" xfId="25147" xr:uid="{4BDD808C-5619-4519-A989-7DA6A8B0BCD5}"/>
    <cellStyle name="Normal 5 3 3 2 2 2 2 2 3" xfId="12483" xr:uid="{9FF845DA-00C0-4C57-B7A5-85A4F589830E}"/>
    <cellStyle name="Normal 5 3 3 2 2 2 2 2 3 2" xfId="48825" xr:uid="{A565FAF4-0404-4D02-8F14-06DE9344DCDA}"/>
    <cellStyle name="Normal 5 3 3 2 2 2 2 2 3 3" xfId="30229" xr:uid="{72AE226E-DB98-43D3-AB0C-308D8C97B87F}"/>
    <cellStyle name="Normal 5 3 3 2 2 2 2 2 4" xfId="39528" xr:uid="{67410C11-EDBC-4514-811E-DCFFB2A36415}"/>
    <cellStyle name="Normal 5 3 3 2 2 2 2 2 5" xfId="20930" xr:uid="{B122F679-660F-4B2A-B259-971CE51D6CFF}"/>
    <cellStyle name="Normal 5 3 3 2 2 2 2 3" xfId="5229" xr:uid="{00000000-0005-0000-0000-00007C190000}"/>
    <cellStyle name="Normal 5 3 3 2 2 2 2 3 2" xfId="14555" xr:uid="{247825BD-903F-4D07-A03D-DF9D75A30651}"/>
    <cellStyle name="Normal 5 3 3 2 2 2 2 3 2 2" xfId="50897" xr:uid="{A89FD653-D888-423F-882C-2A0622AA0818}"/>
    <cellStyle name="Normal 5 3 3 2 2 2 2 3 2 3" xfId="32301" xr:uid="{47BDAC42-FEF3-4F82-A308-265454482B3E}"/>
    <cellStyle name="Normal 5 3 3 2 2 2 2 3 3" xfId="41600" xr:uid="{E45B96A2-FB9C-41FA-AA16-83CD22B012FB}"/>
    <cellStyle name="Normal 5 3 3 2 2 2 2 3 4" xfId="23002" xr:uid="{D0A375F8-10F9-4C7D-985A-4C1D177F31A0}"/>
    <cellStyle name="Normal 5 3 3 2 2 2 2 4" xfId="9567" xr:uid="{C2519486-6BC5-47D1-879F-EC6040BC9E9D}"/>
    <cellStyle name="Normal 5 3 3 2 2 2 2 4 2" xfId="36628" xr:uid="{D6DFD2F3-2051-4C50-B018-560434CE6584}"/>
    <cellStyle name="Normal 5 3 3 2 2 2 2 4 2 2" xfId="55222" xr:uid="{75DF7681-E018-4081-82F0-D6AB84B54126}"/>
    <cellStyle name="Normal 5 3 3 2 2 2 2 4 3" xfId="45925" xr:uid="{25EC6317-0CE1-409F-A9F4-5DE7D53C6DE6}"/>
    <cellStyle name="Normal 5 3 3 2 2 2 2 4 4" xfId="27329" xr:uid="{506AF1E3-3D0D-40B5-8F83-6D67BB053710}"/>
    <cellStyle name="Normal 5 3 3 2 2 2 2 5" xfId="10338" xr:uid="{1AC94E0C-AE14-4BE3-9C74-6ED4E82F16AF}"/>
    <cellStyle name="Normal 5 3 3 2 2 2 2 5 2" xfId="46680" xr:uid="{329A0A40-F8EA-40E3-BB4A-FE6B4F496EF4}"/>
    <cellStyle name="Normal 5 3 3 2 2 2 2 5 3" xfId="28084" xr:uid="{DD57C6FD-7790-415E-B38F-05BB20141FA8}"/>
    <cellStyle name="Normal 5 3 3 2 2 2 2 6" xfId="37383" xr:uid="{F7C7D580-3D31-4D3B-ACD5-FD2C9092FCD6}"/>
    <cellStyle name="Normal 5 3 3 2 2 2 2 7" xfId="18785" xr:uid="{625D7623-3A36-4BC7-A728-5E5C45DF93D1}"/>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17113" xr:uid="{6A8ED567-9519-44FA-B00F-4C72FD53DB38}"/>
    <cellStyle name="Normal 5 3 3 2 2 2 3 2 2 2 2" xfId="53455" xr:uid="{F35BF24F-4336-4FEF-888A-AD8F7B4FA06C}"/>
    <cellStyle name="Normal 5 3 3 2 2 2 3 2 2 2 3" xfId="34859" xr:uid="{74D055E9-8480-49A0-B6F4-7C3275C33266}"/>
    <cellStyle name="Normal 5 3 3 2 2 2 3 2 2 3" xfId="44158" xr:uid="{DCCB51CA-905C-44A9-9DA3-C71EC1E7D7F2}"/>
    <cellStyle name="Normal 5 3 3 2 2 2 3 2 2 4" xfId="25560" xr:uid="{C85F7958-293F-4481-991E-0383E5E60B95}"/>
    <cellStyle name="Normal 5 3 3 2 2 2 3 2 3" xfId="12896" xr:uid="{C47B60CE-123E-4EB6-B1E0-4C557AD198D8}"/>
    <cellStyle name="Normal 5 3 3 2 2 2 3 2 3 2" xfId="49238" xr:uid="{68DA127B-8794-418D-B35A-F4D777E13FE5}"/>
    <cellStyle name="Normal 5 3 3 2 2 2 3 2 3 3" xfId="30642" xr:uid="{55A9BC41-9519-4DDB-B779-2624D77C4BD7}"/>
    <cellStyle name="Normal 5 3 3 2 2 2 3 2 4" xfId="39941" xr:uid="{BB663833-109D-4B89-B5A9-9703C51ED5CB}"/>
    <cellStyle name="Normal 5 3 3 2 2 2 3 2 5" xfId="21343" xr:uid="{B87ECC86-6D2C-4438-A056-EE282FF4595B}"/>
    <cellStyle name="Normal 5 3 3 2 2 2 3 3" xfId="5642" xr:uid="{00000000-0005-0000-0000-000080190000}"/>
    <cellStyle name="Normal 5 3 3 2 2 2 3 3 2" xfId="14968" xr:uid="{C9C5F676-BC77-4545-BC3C-43E2C36269EC}"/>
    <cellStyle name="Normal 5 3 3 2 2 2 3 3 2 2" xfId="51310" xr:uid="{3B37A3A0-04A8-4695-93E5-9C45540CEB84}"/>
    <cellStyle name="Normal 5 3 3 2 2 2 3 3 2 3" xfId="32714" xr:uid="{063038F8-3A27-4837-AFEC-4D6F4967A91F}"/>
    <cellStyle name="Normal 5 3 3 2 2 2 3 3 3" xfId="42013" xr:uid="{4ABC4620-6AC4-43D4-B995-2E5125CBBCEC}"/>
    <cellStyle name="Normal 5 3 3 2 2 2 3 3 4" xfId="23415" xr:uid="{0BC00031-9629-4C25-A3FD-49C38D06693C}"/>
    <cellStyle name="Normal 5 3 3 2 2 2 3 4" xfId="10751" xr:uid="{711EC1B9-11A7-4F75-9060-333B6B14B853}"/>
    <cellStyle name="Normal 5 3 3 2 2 2 3 4 2" xfId="47093" xr:uid="{BB0087ED-813D-4E42-A9FB-C99C4C7139C0}"/>
    <cellStyle name="Normal 5 3 3 2 2 2 3 4 3" xfId="28497" xr:uid="{D5733D1F-6311-4968-BD3F-03D2C499F891}"/>
    <cellStyle name="Normal 5 3 3 2 2 2 3 5" xfId="37796" xr:uid="{596ED9E0-C504-4DF5-9986-36C95517B8E4}"/>
    <cellStyle name="Normal 5 3 3 2 2 2 3 6" xfId="19198" xr:uid="{9F01BE7B-C68B-485A-B7ED-96C2508CC812}"/>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17526" xr:uid="{919B8A13-A388-4139-A866-BFF2CD973D07}"/>
    <cellStyle name="Normal 5 3 3 2 2 2 4 2 2 2 2" xfId="53868" xr:uid="{22F16416-5620-45C9-BF9F-6D43F635197B}"/>
    <cellStyle name="Normal 5 3 3 2 2 2 4 2 2 2 3" xfId="35272" xr:uid="{17AF3187-2E77-4DF8-B3CE-8CE446B32637}"/>
    <cellStyle name="Normal 5 3 3 2 2 2 4 2 2 3" xfId="44571" xr:uid="{B98E1163-5191-4522-8DC4-E55B12555F25}"/>
    <cellStyle name="Normal 5 3 3 2 2 2 4 2 2 4" xfId="25973" xr:uid="{BAD57D03-86AA-42AC-8710-EB788B71D287}"/>
    <cellStyle name="Normal 5 3 3 2 2 2 4 2 3" xfId="13309" xr:uid="{F85E38E7-0E52-4D3F-8DA3-95B6E6D84AA0}"/>
    <cellStyle name="Normal 5 3 3 2 2 2 4 2 3 2" xfId="49651" xr:uid="{FF4F97FB-43DE-40E9-8F8F-805219B6A80D}"/>
    <cellStyle name="Normal 5 3 3 2 2 2 4 2 3 3" xfId="31055" xr:uid="{F238D3AF-0071-4285-9330-78E04E6A1DC6}"/>
    <cellStyle name="Normal 5 3 3 2 2 2 4 2 4" xfId="40354" xr:uid="{8D68DB8B-9670-4E14-9A28-2B8DD4A2541C}"/>
    <cellStyle name="Normal 5 3 3 2 2 2 4 2 5" xfId="21756" xr:uid="{2DE8684A-A27A-467E-B9BE-93188E92FB3A}"/>
    <cellStyle name="Normal 5 3 3 2 2 2 4 3" xfId="6055" xr:uid="{00000000-0005-0000-0000-000084190000}"/>
    <cellStyle name="Normal 5 3 3 2 2 2 4 3 2" xfId="15381" xr:uid="{BBEFB775-2659-471C-9071-DEFE0DEA1976}"/>
    <cellStyle name="Normal 5 3 3 2 2 2 4 3 2 2" xfId="51723" xr:uid="{0B0D86BC-BB99-4D13-ADDF-D7DB0FEA154A}"/>
    <cellStyle name="Normal 5 3 3 2 2 2 4 3 2 3" xfId="33127" xr:uid="{386C283C-F8F4-43A6-8EB8-6CC3D40D3940}"/>
    <cellStyle name="Normal 5 3 3 2 2 2 4 3 3" xfId="42426" xr:uid="{24B19964-B199-422F-8B3A-BCFBE010429D}"/>
    <cellStyle name="Normal 5 3 3 2 2 2 4 3 4" xfId="23828" xr:uid="{1D516A66-B138-40B8-A673-F896324E5239}"/>
    <cellStyle name="Normal 5 3 3 2 2 2 4 4" xfId="11164" xr:uid="{D57138AE-B4FE-4FF9-90F3-E8CDF8D059E8}"/>
    <cellStyle name="Normal 5 3 3 2 2 2 4 4 2" xfId="47506" xr:uid="{3F13A876-81FC-4A8B-8349-C3EC34C85966}"/>
    <cellStyle name="Normal 5 3 3 2 2 2 4 4 3" xfId="28910" xr:uid="{675FB2E5-BDCF-4F39-9ABE-8D96482FBD04}"/>
    <cellStyle name="Normal 5 3 3 2 2 2 4 5" xfId="38209" xr:uid="{5A29852F-A58F-4CD4-B6B0-2C2303EA5D15}"/>
    <cellStyle name="Normal 5 3 3 2 2 2 4 6" xfId="19611" xr:uid="{F8F18299-1DA7-4EC6-A375-F813EB1993A2}"/>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17939" xr:uid="{F89FD6C4-1B13-4212-A1E1-9063C9046D0F}"/>
    <cellStyle name="Normal 5 3 3 2 2 2 5 2 2 2 2" xfId="54281" xr:uid="{4A090873-169A-46F6-B0B6-1C7BA0CA7EB2}"/>
    <cellStyle name="Normal 5 3 3 2 2 2 5 2 2 2 3" xfId="35685" xr:uid="{CE152391-E625-4B87-9F30-E5E5FBE41355}"/>
    <cellStyle name="Normal 5 3 3 2 2 2 5 2 2 3" xfId="44984" xr:uid="{51B589A0-4491-49BE-81AC-3061D15FD987}"/>
    <cellStyle name="Normal 5 3 3 2 2 2 5 2 2 4" xfId="26386" xr:uid="{BB93666A-C34D-44F9-A03A-61C6A6DF3257}"/>
    <cellStyle name="Normal 5 3 3 2 2 2 5 2 3" xfId="13722" xr:uid="{A1C06C74-0221-4696-B63F-8648B52CD92A}"/>
    <cellStyle name="Normal 5 3 3 2 2 2 5 2 3 2" xfId="50064" xr:uid="{8215FA84-2BB2-4A54-B9F4-11B93985B8C9}"/>
    <cellStyle name="Normal 5 3 3 2 2 2 5 2 3 3" xfId="31468" xr:uid="{001990E3-4577-43AD-BAA3-85800CF96E7B}"/>
    <cellStyle name="Normal 5 3 3 2 2 2 5 2 4" xfId="40767" xr:uid="{427693A8-9D08-48B1-B2C9-4BEAC9F470D6}"/>
    <cellStyle name="Normal 5 3 3 2 2 2 5 2 5" xfId="22169" xr:uid="{D42F0884-3E8F-4DE0-B0FB-8D1A174C1325}"/>
    <cellStyle name="Normal 5 3 3 2 2 2 5 3" xfId="6468" xr:uid="{00000000-0005-0000-0000-000088190000}"/>
    <cellStyle name="Normal 5 3 3 2 2 2 5 3 2" xfId="15794" xr:uid="{32524018-CA8F-4396-9DC1-6B1E4E387831}"/>
    <cellStyle name="Normal 5 3 3 2 2 2 5 3 2 2" xfId="52136" xr:uid="{76A9DB78-A31A-465E-98A2-E462668C4DF2}"/>
    <cellStyle name="Normal 5 3 3 2 2 2 5 3 2 3" xfId="33540" xr:uid="{22FFA7B3-23F6-4BBA-93BF-EE2D7CBF7EC3}"/>
    <cellStyle name="Normal 5 3 3 2 2 2 5 3 3" xfId="42839" xr:uid="{B1C97E05-A15A-47DF-A7F5-F1A69995E3A8}"/>
    <cellStyle name="Normal 5 3 3 2 2 2 5 3 4" xfId="24241" xr:uid="{EB2180B7-5231-4B81-845A-A0308B4BDA61}"/>
    <cellStyle name="Normal 5 3 3 2 2 2 5 4" xfId="11577" xr:uid="{425DB290-D6AB-4A37-AF09-A9C23CD525E0}"/>
    <cellStyle name="Normal 5 3 3 2 2 2 5 4 2" xfId="47919" xr:uid="{44622449-2E6E-492D-91BA-C3928445A078}"/>
    <cellStyle name="Normal 5 3 3 2 2 2 5 4 3" xfId="29323" xr:uid="{4765A481-5FED-4DA1-B0FE-55589B23F33D}"/>
    <cellStyle name="Normal 5 3 3 2 2 2 5 5" xfId="38622" xr:uid="{1BC1DF6C-16EF-40A4-9F27-32B567B6114F}"/>
    <cellStyle name="Normal 5 3 3 2 2 2 5 6" xfId="20024" xr:uid="{77BADFE7-4C7B-4F66-BED5-697211AC933A}"/>
    <cellStyle name="Normal 5 3 3 2 2 2 6" xfId="2598" xr:uid="{00000000-0005-0000-0000-000089190000}"/>
    <cellStyle name="Normal 5 3 3 2 2 2 6 2" xfId="6881" xr:uid="{00000000-0005-0000-0000-00008A190000}"/>
    <cellStyle name="Normal 5 3 3 2 2 2 6 2 2" xfId="16207" xr:uid="{54A3EEFC-F107-406B-A3E5-FE88AD3DD1DE}"/>
    <cellStyle name="Normal 5 3 3 2 2 2 6 2 2 2" xfId="52549" xr:uid="{076BB07E-00F2-49BD-9036-5769ED5669E6}"/>
    <cellStyle name="Normal 5 3 3 2 2 2 6 2 2 3" xfId="33953" xr:uid="{EF076F5A-D69B-4FAA-AFD5-49F665FEFD8B}"/>
    <cellStyle name="Normal 5 3 3 2 2 2 6 2 3" xfId="43252" xr:uid="{2707744B-E9CF-451B-914F-1EDAABFBF6AF}"/>
    <cellStyle name="Normal 5 3 3 2 2 2 6 2 4" xfId="24654" xr:uid="{640083BD-8327-4C7A-B29C-FDFEFCD29E17}"/>
    <cellStyle name="Normal 5 3 3 2 2 2 6 3" xfId="11990" xr:uid="{3F9653D7-E98A-44A1-93E6-52250AFECF4B}"/>
    <cellStyle name="Normal 5 3 3 2 2 2 6 3 2" xfId="48332" xr:uid="{DD0819FC-E65D-4B65-AF1D-975542D88587}"/>
    <cellStyle name="Normal 5 3 3 2 2 2 6 3 3" xfId="29736" xr:uid="{E15F2D70-8E81-40EA-9680-D36212978D03}"/>
    <cellStyle name="Normal 5 3 3 2 2 2 6 4" xfId="39035" xr:uid="{C5A31A14-4BAD-45C4-8CB2-72C7613AAC99}"/>
    <cellStyle name="Normal 5 3 3 2 2 2 6 5" xfId="20437" xr:uid="{43908770-681B-4E56-89B3-5547661ACB97}"/>
    <cellStyle name="Normal 5 3 3 2 2 2 7" xfId="4816" xr:uid="{00000000-0005-0000-0000-00008B190000}"/>
    <cellStyle name="Normal 5 3 3 2 2 2 7 2" xfId="14142" xr:uid="{28B0BCC1-350D-4902-B9D8-D0C59CF47AC6}"/>
    <cellStyle name="Normal 5 3 3 2 2 2 7 2 2" xfId="50484" xr:uid="{F54CE9E2-2F81-45E0-8BD8-022C158B52D0}"/>
    <cellStyle name="Normal 5 3 3 2 2 2 7 2 3" xfId="31888" xr:uid="{ED5BC1E4-4C9E-4AF7-8BF0-EE13246F4D11}"/>
    <cellStyle name="Normal 5 3 3 2 2 2 7 3" xfId="41187" xr:uid="{8C973252-2FCC-42C4-89A1-4E50FB77771F}"/>
    <cellStyle name="Normal 5 3 3 2 2 2 7 4" xfId="22589" xr:uid="{B314855D-B585-4BD6-84A0-84F78D36A05F}"/>
    <cellStyle name="Normal 5 3 3 2 2 2 8" xfId="9142" xr:uid="{81CF9711-3A0B-4712-8E8F-033C974AA9E3}"/>
    <cellStyle name="Normal 5 3 3 2 2 2 8 2" xfId="36212" xr:uid="{DA64C18D-7223-43D5-AD85-B459E6C7E100}"/>
    <cellStyle name="Normal 5 3 3 2 2 2 8 2 2" xfId="54807" xr:uid="{D5BF9D61-2356-425D-B93F-FB05E2CA5866}"/>
    <cellStyle name="Normal 5 3 3 2 2 2 8 3" xfId="45510" xr:uid="{7D25B59C-E826-4E25-968B-6D50208650B1}"/>
    <cellStyle name="Normal 5 3 3 2 2 2 8 4" xfId="26913" xr:uid="{5BDB4075-1884-4DEF-AEB8-2D1C90744516}"/>
    <cellStyle name="Normal 5 3 3 2 2 2 9" xfId="9925" xr:uid="{14FC0F28-7B2A-4A62-94A6-3C2B38A80AFB}"/>
    <cellStyle name="Normal 5 3 3 2 2 2 9 2" xfId="46267" xr:uid="{13354C20-60AD-477F-AF9B-C62410E4DAB9}"/>
    <cellStyle name="Normal 5 3 3 2 2 2 9 3" xfId="27671" xr:uid="{E1405C99-9A6A-49FE-9424-1D8CD9567C5E}"/>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16699" xr:uid="{4D503CC3-4550-49A4-95A9-930E405C1EDC}"/>
    <cellStyle name="Normal 5 3 3 2 2 3 2 2 2 2" xfId="53041" xr:uid="{7C03A245-0002-4097-A307-ECDE739EA505}"/>
    <cellStyle name="Normal 5 3 3 2 2 3 2 2 2 3" xfId="34445" xr:uid="{0B91157B-0747-42C0-B608-B35FEE138389}"/>
    <cellStyle name="Normal 5 3 3 2 2 3 2 2 3" xfId="43744" xr:uid="{AF6F3EBB-3006-459F-887A-23869D5042A2}"/>
    <cellStyle name="Normal 5 3 3 2 2 3 2 2 4" xfId="25146" xr:uid="{2002F24D-7332-48A1-B44E-3D8D521347B3}"/>
    <cellStyle name="Normal 5 3 3 2 2 3 2 3" xfId="12482" xr:uid="{5B9534A8-F9C2-4C01-8DFE-AFC1052F4508}"/>
    <cellStyle name="Normal 5 3 3 2 2 3 2 3 2" xfId="48824" xr:uid="{CF677A9C-6D23-4F68-92C6-55517F146E43}"/>
    <cellStyle name="Normal 5 3 3 2 2 3 2 3 3" xfId="30228" xr:uid="{2B276B00-10D5-4A0B-A39E-23F6DC794E43}"/>
    <cellStyle name="Normal 5 3 3 2 2 3 2 4" xfId="39527" xr:uid="{DE47DFDE-4436-4EAA-84B9-DDEEC51115B0}"/>
    <cellStyle name="Normal 5 3 3 2 2 3 2 5" xfId="20929" xr:uid="{06C29D0E-2835-4A5F-A1D0-7AAC09187BD3}"/>
    <cellStyle name="Normal 5 3 3 2 2 3 3" xfId="5228" xr:uid="{00000000-0005-0000-0000-00008F190000}"/>
    <cellStyle name="Normal 5 3 3 2 2 3 3 2" xfId="14554" xr:uid="{C06EA03B-0B09-4DCA-A3B6-8D5A8874D48E}"/>
    <cellStyle name="Normal 5 3 3 2 2 3 3 2 2" xfId="50896" xr:uid="{B4288D5A-1F09-414B-A623-259049D3ED9A}"/>
    <cellStyle name="Normal 5 3 3 2 2 3 3 2 3" xfId="32300" xr:uid="{D1C65E7B-39D6-49FF-BA26-4E191DF5BFD1}"/>
    <cellStyle name="Normal 5 3 3 2 2 3 3 3" xfId="41599" xr:uid="{35A4C424-C864-4F6D-A46E-6CCF7842E3B8}"/>
    <cellStyle name="Normal 5 3 3 2 2 3 3 4" xfId="23001" xr:uid="{584B0C46-9E56-490F-BB6A-D57BAEE52F8F}"/>
    <cellStyle name="Normal 5 3 3 2 2 3 4" xfId="9360" xr:uid="{07447062-3C9B-4A41-BE9D-50DE495FF588}"/>
    <cellStyle name="Normal 5 3 3 2 2 3 4 2" xfId="36421" xr:uid="{006B4D01-3149-4282-9322-2FDC4F8C0DBF}"/>
    <cellStyle name="Normal 5 3 3 2 2 3 4 2 2" xfId="55015" xr:uid="{FBCF899E-1BC8-4259-9C2C-328732C6EFE1}"/>
    <cellStyle name="Normal 5 3 3 2 2 3 4 3" xfId="45718" xr:uid="{87B90396-390D-4C1A-9ECD-2842D989CFC8}"/>
    <cellStyle name="Normal 5 3 3 2 2 3 4 4" xfId="27122" xr:uid="{1D38A91D-B2E4-430F-8F3C-5694F0926B81}"/>
    <cellStyle name="Normal 5 3 3 2 2 3 5" xfId="10337" xr:uid="{85EE072A-4138-4B06-8BDF-A1C4A4F55649}"/>
    <cellStyle name="Normal 5 3 3 2 2 3 5 2" xfId="46679" xr:uid="{04320B57-B4D9-4981-A673-C2C9BA434D37}"/>
    <cellStyle name="Normal 5 3 3 2 2 3 5 3" xfId="28083" xr:uid="{47CCBE19-ADB4-466D-97B5-393665FD0998}"/>
    <cellStyle name="Normal 5 3 3 2 2 3 6" xfId="37382" xr:uid="{356CF9D3-46BC-4D9F-B022-D5F71EFD5279}"/>
    <cellStyle name="Normal 5 3 3 2 2 3 7" xfId="18784" xr:uid="{63849BD1-6E8C-4F02-BA05-C9135987B5C6}"/>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17112" xr:uid="{3A085B7E-802E-43A8-82EC-E19B69B201E7}"/>
    <cellStyle name="Normal 5 3 3 2 2 4 2 2 2 2" xfId="53454" xr:uid="{77C19729-A2A5-44C8-957A-AC1E2091A374}"/>
    <cellStyle name="Normal 5 3 3 2 2 4 2 2 2 3" xfId="34858" xr:uid="{F1629404-CFDA-48D0-BBAF-E262B182F94D}"/>
    <cellStyle name="Normal 5 3 3 2 2 4 2 2 3" xfId="44157" xr:uid="{086DD1FE-4C98-41C4-A4EA-36792B5027F9}"/>
    <cellStyle name="Normal 5 3 3 2 2 4 2 2 4" xfId="25559" xr:uid="{B2C038DE-9C0A-493D-BBC3-D7033DA7B287}"/>
    <cellStyle name="Normal 5 3 3 2 2 4 2 3" xfId="12895" xr:uid="{6C44EDBF-620C-4899-A9ED-5EFFA46F3A41}"/>
    <cellStyle name="Normal 5 3 3 2 2 4 2 3 2" xfId="49237" xr:uid="{ACCAAA55-188E-4AC7-BACA-7340F32E361C}"/>
    <cellStyle name="Normal 5 3 3 2 2 4 2 3 3" xfId="30641" xr:uid="{37C7EBF0-5639-4622-9851-43D0C19202CB}"/>
    <cellStyle name="Normal 5 3 3 2 2 4 2 4" xfId="39940" xr:uid="{82C0BED8-5451-4E78-84D4-45900F02685C}"/>
    <cellStyle name="Normal 5 3 3 2 2 4 2 5" xfId="21342" xr:uid="{860C8EF5-08F3-4762-AE17-38742CC73144}"/>
    <cellStyle name="Normal 5 3 3 2 2 4 3" xfId="5641" xr:uid="{00000000-0005-0000-0000-000093190000}"/>
    <cellStyle name="Normal 5 3 3 2 2 4 3 2" xfId="14967" xr:uid="{AA637325-E8B7-4CA3-873B-39EE68D6E5E1}"/>
    <cellStyle name="Normal 5 3 3 2 2 4 3 2 2" xfId="51309" xr:uid="{004005C6-2122-45AE-9E01-B3D78149EC2D}"/>
    <cellStyle name="Normal 5 3 3 2 2 4 3 2 3" xfId="32713" xr:uid="{72D9F65D-CBB0-4DE4-B460-463CB52E5BDA}"/>
    <cellStyle name="Normal 5 3 3 2 2 4 3 3" xfId="42012" xr:uid="{DD3545A8-9B1B-4005-9424-DCD0AD92D6A7}"/>
    <cellStyle name="Normal 5 3 3 2 2 4 3 4" xfId="23414" xr:uid="{0F74F52F-DE24-4B01-A686-689815B73EE8}"/>
    <cellStyle name="Normal 5 3 3 2 2 4 4" xfId="10750" xr:uid="{FB540543-2C2C-404D-B41F-325D74AAE935}"/>
    <cellStyle name="Normal 5 3 3 2 2 4 4 2" xfId="47092" xr:uid="{39EB4BF2-A5A1-4B6F-A159-A6FF67378CC6}"/>
    <cellStyle name="Normal 5 3 3 2 2 4 4 3" xfId="28496" xr:uid="{18601FE9-55D5-4873-B821-9B49191155DF}"/>
    <cellStyle name="Normal 5 3 3 2 2 4 5" xfId="37795" xr:uid="{7A360049-3562-4D54-BA8D-C0CA3E385225}"/>
    <cellStyle name="Normal 5 3 3 2 2 4 6" xfId="19197" xr:uid="{654102C4-2FA3-4397-AB8B-BEFCF29902BA}"/>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17525" xr:uid="{9C96DECF-C9DD-4DF8-83AD-6535D0A12137}"/>
    <cellStyle name="Normal 5 3 3 2 2 5 2 2 2 2" xfId="53867" xr:uid="{0D3915E1-69A3-4BC2-836A-5956B9B3CA58}"/>
    <cellStyle name="Normal 5 3 3 2 2 5 2 2 2 3" xfId="35271" xr:uid="{7EDFACC3-271D-4895-9885-5C7ADDA51823}"/>
    <cellStyle name="Normal 5 3 3 2 2 5 2 2 3" xfId="44570" xr:uid="{A6B9EE05-5755-4877-BFF2-C6F20C8B32E3}"/>
    <cellStyle name="Normal 5 3 3 2 2 5 2 2 4" xfId="25972" xr:uid="{BAC98390-A3D5-45CC-B7B5-10ED5ABB8D01}"/>
    <cellStyle name="Normal 5 3 3 2 2 5 2 3" xfId="13308" xr:uid="{ECA281EA-9FFE-4D8F-B835-9CE540722022}"/>
    <cellStyle name="Normal 5 3 3 2 2 5 2 3 2" xfId="49650" xr:uid="{20888090-9143-495A-B817-BBD385A6439D}"/>
    <cellStyle name="Normal 5 3 3 2 2 5 2 3 3" xfId="31054" xr:uid="{076329A1-B412-410E-91C1-2F88A4CF2B45}"/>
    <cellStyle name="Normal 5 3 3 2 2 5 2 4" xfId="40353" xr:uid="{856DFCD9-1B37-4157-8FAE-AB8E71F163BA}"/>
    <cellStyle name="Normal 5 3 3 2 2 5 2 5" xfId="21755" xr:uid="{895689BB-10F0-4331-8231-94ADE216939A}"/>
    <cellStyle name="Normal 5 3 3 2 2 5 3" xfId="6054" xr:uid="{00000000-0005-0000-0000-000097190000}"/>
    <cellStyle name="Normal 5 3 3 2 2 5 3 2" xfId="15380" xr:uid="{508268AF-9CD9-41B6-91DC-FEB45B017EE4}"/>
    <cellStyle name="Normal 5 3 3 2 2 5 3 2 2" xfId="51722" xr:uid="{C966407C-70E0-4931-9FDA-F6532C514D62}"/>
    <cellStyle name="Normal 5 3 3 2 2 5 3 2 3" xfId="33126" xr:uid="{26F63F9B-2081-473F-9456-31A751DCAFA6}"/>
    <cellStyle name="Normal 5 3 3 2 2 5 3 3" xfId="42425" xr:uid="{E14F4C8F-B391-494E-B754-B831A4AB8756}"/>
    <cellStyle name="Normal 5 3 3 2 2 5 3 4" xfId="23827" xr:uid="{8F06E255-7748-4174-A102-E3D37AF7E81E}"/>
    <cellStyle name="Normal 5 3 3 2 2 5 4" xfId="11163" xr:uid="{A35B2714-5ADF-437A-81DF-9148A75D9AB4}"/>
    <cellStyle name="Normal 5 3 3 2 2 5 4 2" xfId="47505" xr:uid="{A371F940-8D4C-4E1B-843C-22C1BC1EAD35}"/>
    <cellStyle name="Normal 5 3 3 2 2 5 4 3" xfId="28909" xr:uid="{47FFE818-82F5-4BAB-9371-C0E27C8BB45D}"/>
    <cellStyle name="Normal 5 3 3 2 2 5 5" xfId="38208" xr:uid="{7E179BD1-F4EB-4AF4-984A-977C213CEEB0}"/>
    <cellStyle name="Normal 5 3 3 2 2 5 6" xfId="19610" xr:uid="{36458105-30CB-4A88-B557-A956A41E8E29}"/>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17938" xr:uid="{DFE14F46-C122-4C19-8749-3F1F4CD8053F}"/>
    <cellStyle name="Normal 5 3 3 2 2 6 2 2 2 2" xfId="54280" xr:uid="{8D071BF9-6950-44ED-B880-ECB8B972FDCA}"/>
    <cellStyle name="Normal 5 3 3 2 2 6 2 2 2 3" xfId="35684" xr:uid="{023BB373-02EB-44D3-8DC3-C83ADB7C7C05}"/>
    <cellStyle name="Normal 5 3 3 2 2 6 2 2 3" xfId="44983" xr:uid="{9A679D3D-E612-4E08-9F47-C77756D6F6A5}"/>
    <cellStyle name="Normal 5 3 3 2 2 6 2 2 4" xfId="26385" xr:uid="{7D003F77-6961-4A30-9B00-353E76585B37}"/>
    <cellStyle name="Normal 5 3 3 2 2 6 2 3" xfId="13721" xr:uid="{8148A16F-8B29-4E53-B4CD-B0AA2083B80C}"/>
    <cellStyle name="Normal 5 3 3 2 2 6 2 3 2" xfId="50063" xr:uid="{743C82AE-1D2B-4F3B-83F6-16B1C798F0E8}"/>
    <cellStyle name="Normal 5 3 3 2 2 6 2 3 3" xfId="31467" xr:uid="{29B18A82-4B60-4EC6-82D2-8B066CBD9394}"/>
    <cellStyle name="Normal 5 3 3 2 2 6 2 4" xfId="40766" xr:uid="{C247E4E7-7EDF-4168-A4A9-8B8FA7FDD990}"/>
    <cellStyle name="Normal 5 3 3 2 2 6 2 5" xfId="22168" xr:uid="{81A95751-F98B-451E-BE17-8F1341171E44}"/>
    <cellStyle name="Normal 5 3 3 2 2 6 3" xfId="6467" xr:uid="{00000000-0005-0000-0000-00009B190000}"/>
    <cellStyle name="Normal 5 3 3 2 2 6 3 2" xfId="15793" xr:uid="{C21600AD-8E1B-42F9-9BA9-533F5AAF2569}"/>
    <cellStyle name="Normal 5 3 3 2 2 6 3 2 2" xfId="52135" xr:uid="{01493D3E-C7AB-42B7-B969-9F496610A169}"/>
    <cellStyle name="Normal 5 3 3 2 2 6 3 2 3" xfId="33539" xr:uid="{95985280-CA19-4381-8892-01A9615C6C22}"/>
    <cellStyle name="Normal 5 3 3 2 2 6 3 3" xfId="42838" xr:uid="{92DF2CC5-A529-44C9-87A6-84E9B0A4141E}"/>
    <cellStyle name="Normal 5 3 3 2 2 6 3 4" xfId="24240" xr:uid="{370A396F-6DB6-494F-B9DA-E7A642586014}"/>
    <cellStyle name="Normal 5 3 3 2 2 6 4" xfId="11576" xr:uid="{36335210-90AB-48F7-8BD2-944C15407E57}"/>
    <cellStyle name="Normal 5 3 3 2 2 6 4 2" xfId="47918" xr:uid="{3DCA474A-155F-43C2-BDCA-D62B6BDE4B81}"/>
    <cellStyle name="Normal 5 3 3 2 2 6 4 3" xfId="29322" xr:uid="{CB513F26-4385-4CDB-8861-158C429D8D61}"/>
    <cellStyle name="Normal 5 3 3 2 2 6 5" xfId="38621" xr:uid="{168C4566-E68F-4BB8-8BAE-09BE4605CB7F}"/>
    <cellStyle name="Normal 5 3 3 2 2 6 6" xfId="20023" xr:uid="{AF9B550E-658D-459E-BCE6-2F862D6D96E1}"/>
    <cellStyle name="Normal 5 3 3 2 2 7" xfId="2597" xr:uid="{00000000-0005-0000-0000-00009C190000}"/>
    <cellStyle name="Normal 5 3 3 2 2 7 2" xfId="6880" xr:uid="{00000000-0005-0000-0000-00009D190000}"/>
    <cellStyle name="Normal 5 3 3 2 2 7 2 2" xfId="16206" xr:uid="{60D5F7E6-5605-4830-911E-B1B0341DA8B2}"/>
    <cellStyle name="Normal 5 3 3 2 2 7 2 2 2" xfId="52548" xr:uid="{14D1C7B8-D85C-4ABD-B6B7-FE1A267F8630}"/>
    <cellStyle name="Normal 5 3 3 2 2 7 2 2 3" xfId="33952" xr:uid="{46195082-5986-4472-9F6D-3A4F319887E3}"/>
    <cellStyle name="Normal 5 3 3 2 2 7 2 3" xfId="43251" xr:uid="{C1EEE21C-0B3F-489B-B085-37DAE1132561}"/>
    <cellStyle name="Normal 5 3 3 2 2 7 2 4" xfId="24653" xr:uid="{708447EB-E6A9-4D3D-91D8-A9121987300D}"/>
    <cellStyle name="Normal 5 3 3 2 2 7 3" xfId="11989" xr:uid="{BF1E2AD5-9A6A-4B85-A6F6-CB99DEFAA1C3}"/>
    <cellStyle name="Normal 5 3 3 2 2 7 3 2" xfId="48331" xr:uid="{694A24D8-CC53-4C24-BD70-182208DAEF1F}"/>
    <cellStyle name="Normal 5 3 3 2 2 7 3 3" xfId="29735" xr:uid="{918B02D5-AD29-4D44-9A4F-E3629E2FABC8}"/>
    <cellStyle name="Normal 5 3 3 2 2 7 4" xfId="39034" xr:uid="{5A881A59-A902-429E-9F61-6B7FB0306725}"/>
    <cellStyle name="Normal 5 3 3 2 2 7 5" xfId="20436" xr:uid="{62320FB8-1A46-411E-9BE7-B8DFDB5562E4}"/>
    <cellStyle name="Normal 5 3 3 2 2 8" xfId="4815" xr:uid="{00000000-0005-0000-0000-00009E190000}"/>
    <cellStyle name="Normal 5 3 3 2 2 8 2" xfId="14141" xr:uid="{5124228F-4823-4A57-8764-52D688F64F35}"/>
    <cellStyle name="Normal 5 3 3 2 2 8 2 2" xfId="50483" xr:uid="{E230D247-BD00-42B3-9ACB-CEF93318FEF6}"/>
    <cellStyle name="Normal 5 3 3 2 2 8 2 3" xfId="31887" xr:uid="{751DBA35-542C-4A4B-B52C-16A09CF11B6A}"/>
    <cellStyle name="Normal 5 3 3 2 2 8 3" xfId="41186" xr:uid="{5FB8358C-0A26-4306-B440-FDE8102C37BA}"/>
    <cellStyle name="Normal 5 3 3 2 2 8 4" xfId="22588" xr:uid="{5E415CF5-D5EB-4BFA-86FB-E7F38E724984}"/>
    <cellStyle name="Normal 5 3 3 2 2 9" xfId="8935" xr:uid="{94B8766B-0DD5-4CC7-9403-D37FC711344B}"/>
    <cellStyle name="Normal 5 3 3 2 2 9 2" xfId="36005" xr:uid="{7050883E-4844-4DAE-8F1D-631C0A52E9A5}"/>
    <cellStyle name="Normal 5 3 3 2 2 9 2 2" xfId="54600" xr:uid="{B79F03B9-9D65-49D4-916A-97A51C0DC046}"/>
    <cellStyle name="Normal 5 3 3 2 2 9 3" xfId="45303" xr:uid="{961ED0EF-8846-4974-9E7D-6FE76878D5CA}"/>
    <cellStyle name="Normal 5 3 3 2 2 9 4" xfId="26706" xr:uid="{11D89D4A-3C8F-4CF9-B8C7-482807F1295F}"/>
    <cellStyle name="Normal 5 3 3 2 3" xfId="445" xr:uid="{00000000-0005-0000-0000-00009F190000}"/>
    <cellStyle name="Normal 5 3 3 2 3 10" xfId="36971" xr:uid="{E1B4E22F-E784-4FCF-B896-F6E1484A57D4}"/>
    <cellStyle name="Normal 5 3 3 2 3 11" xfId="18373" xr:uid="{DAE69749-E35C-43B6-AC3E-3414B731E26B}"/>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16701" xr:uid="{EFFDB98A-1B6B-450C-8F20-B17A3B0A70BE}"/>
    <cellStyle name="Normal 5 3 3 2 3 2 2 2 2 2" xfId="53043" xr:uid="{13C203BB-BDFD-4D95-938C-79949F889443}"/>
    <cellStyle name="Normal 5 3 3 2 3 2 2 2 2 3" xfId="34447" xr:uid="{628D94FE-90BC-4B33-9923-BF72CB48C28E}"/>
    <cellStyle name="Normal 5 3 3 2 3 2 2 2 3" xfId="43746" xr:uid="{7057CA3B-D672-4AD3-A8DE-8FDD404DBC1C}"/>
    <cellStyle name="Normal 5 3 3 2 3 2 2 2 4" xfId="25148" xr:uid="{8B7491AB-C8C4-4F23-B392-B2340FECBC87}"/>
    <cellStyle name="Normal 5 3 3 2 3 2 2 3" xfId="12484" xr:uid="{350122B9-7E69-496D-9BF2-423A047DE2C0}"/>
    <cellStyle name="Normal 5 3 3 2 3 2 2 3 2" xfId="48826" xr:uid="{93B1E4F0-9F80-4EEE-80CB-1E2DEBC23AB3}"/>
    <cellStyle name="Normal 5 3 3 2 3 2 2 3 3" xfId="30230" xr:uid="{A1F56A03-A99A-421D-BB5A-34161697E742}"/>
    <cellStyle name="Normal 5 3 3 2 3 2 2 4" xfId="39529" xr:uid="{5C7A7E4B-7867-4CF4-B0CF-832A811168B1}"/>
    <cellStyle name="Normal 5 3 3 2 3 2 2 5" xfId="20931" xr:uid="{21493DCC-C3AF-4596-A113-FDC90ECCE834}"/>
    <cellStyle name="Normal 5 3 3 2 3 2 3" xfId="5230" xr:uid="{00000000-0005-0000-0000-0000A3190000}"/>
    <cellStyle name="Normal 5 3 3 2 3 2 3 2" xfId="14556" xr:uid="{7769F43F-F7B3-4F93-9867-94CF6E07BB95}"/>
    <cellStyle name="Normal 5 3 3 2 3 2 3 2 2" xfId="50898" xr:uid="{33442025-3D2B-4290-97B7-D46392524B0A}"/>
    <cellStyle name="Normal 5 3 3 2 3 2 3 2 3" xfId="32302" xr:uid="{C9055A3D-71D9-491B-B97C-0E744D4176BA}"/>
    <cellStyle name="Normal 5 3 3 2 3 2 3 3" xfId="41601" xr:uid="{7C087868-12B7-40DA-9448-DD2F5B28F89E}"/>
    <cellStyle name="Normal 5 3 3 2 3 2 3 4" xfId="23003" xr:uid="{4229C2EA-8AB9-4CB9-AF10-A74E06667C30}"/>
    <cellStyle name="Normal 5 3 3 2 3 2 4" xfId="9464" xr:uid="{6A182EEF-0879-47AD-839A-17D560B4AF3D}"/>
    <cellStyle name="Normal 5 3 3 2 3 2 4 2" xfId="36525" xr:uid="{7EC4F36D-71ED-4753-9A97-73A27B8D04CA}"/>
    <cellStyle name="Normal 5 3 3 2 3 2 4 2 2" xfId="55119" xr:uid="{AB2D3F13-3035-47E5-8C76-00063BB9B3AD}"/>
    <cellStyle name="Normal 5 3 3 2 3 2 4 3" xfId="45822" xr:uid="{7A8B2A52-600E-4A92-B674-A485743BB6E5}"/>
    <cellStyle name="Normal 5 3 3 2 3 2 4 4" xfId="27226" xr:uid="{B845DFE3-29F7-4559-9B61-DFF3EB29B1D9}"/>
    <cellStyle name="Normal 5 3 3 2 3 2 5" xfId="10339" xr:uid="{E8659EDE-406A-4148-8BE2-D340E6AF4574}"/>
    <cellStyle name="Normal 5 3 3 2 3 2 5 2" xfId="46681" xr:uid="{29395387-1D58-490C-A469-3F3467354D89}"/>
    <cellStyle name="Normal 5 3 3 2 3 2 5 3" xfId="28085" xr:uid="{A0EB0591-2C35-47BC-905C-0AC6331D6886}"/>
    <cellStyle name="Normal 5 3 3 2 3 2 6" xfId="37384" xr:uid="{1A278747-472C-48E9-83B4-70D6FAF0BD8B}"/>
    <cellStyle name="Normal 5 3 3 2 3 2 7" xfId="18786" xr:uid="{5ADCFDE6-2613-4C68-9301-7AB38C35D169}"/>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17114" xr:uid="{4BC3AC62-C70B-440B-AE6A-96965574266C}"/>
    <cellStyle name="Normal 5 3 3 2 3 3 2 2 2 2" xfId="53456" xr:uid="{4CE2C968-F4BF-4E6D-83FA-2007D881BC91}"/>
    <cellStyle name="Normal 5 3 3 2 3 3 2 2 2 3" xfId="34860" xr:uid="{630D0E78-ADC1-4264-A82B-9E6503AD83CB}"/>
    <cellStyle name="Normal 5 3 3 2 3 3 2 2 3" xfId="44159" xr:uid="{33978825-8659-4887-8406-F378357B85B6}"/>
    <cellStyle name="Normal 5 3 3 2 3 3 2 2 4" xfId="25561" xr:uid="{61B59C8A-6D52-41F7-9D88-D5F2F15543E1}"/>
    <cellStyle name="Normal 5 3 3 2 3 3 2 3" xfId="12897" xr:uid="{372B47DC-64DD-43F6-9E69-E40FCE803D47}"/>
    <cellStyle name="Normal 5 3 3 2 3 3 2 3 2" xfId="49239" xr:uid="{C14AD39E-1956-430A-B252-F07D74D09AE0}"/>
    <cellStyle name="Normal 5 3 3 2 3 3 2 3 3" xfId="30643" xr:uid="{F7DF8492-1033-4EAC-87F9-8617A6C0B4C1}"/>
    <cellStyle name="Normal 5 3 3 2 3 3 2 4" xfId="39942" xr:uid="{25DCDCA6-3AD3-4F66-8899-40F691D1D2C8}"/>
    <cellStyle name="Normal 5 3 3 2 3 3 2 5" xfId="21344" xr:uid="{F6BD041F-D451-48B4-B88D-9C617E4C770A}"/>
    <cellStyle name="Normal 5 3 3 2 3 3 3" xfId="5643" xr:uid="{00000000-0005-0000-0000-0000A7190000}"/>
    <cellStyle name="Normal 5 3 3 2 3 3 3 2" xfId="14969" xr:uid="{E5DC2449-A227-468B-83E5-55A4B122406B}"/>
    <cellStyle name="Normal 5 3 3 2 3 3 3 2 2" xfId="51311" xr:uid="{BEC8A5E9-E3BA-4AFA-B6DB-FDADD116A85C}"/>
    <cellStyle name="Normal 5 3 3 2 3 3 3 2 3" xfId="32715" xr:uid="{9B43D0A1-652A-4683-B0A4-E13B67F6C870}"/>
    <cellStyle name="Normal 5 3 3 2 3 3 3 3" xfId="42014" xr:uid="{663B85E7-5E6E-4AB7-A380-53A75ADC466B}"/>
    <cellStyle name="Normal 5 3 3 2 3 3 3 4" xfId="23416" xr:uid="{BB4B682C-5402-4BF6-90AA-04483FFC98A3}"/>
    <cellStyle name="Normal 5 3 3 2 3 3 4" xfId="10752" xr:uid="{0FD1672C-4203-431D-9975-F6ED958087EB}"/>
    <cellStyle name="Normal 5 3 3 2 3 3 4 2" xfId="47094" xr:uid="{B2002498-D7E2-4B04-BA85-E7A47F784187}"/>
    <cellStyle name="Normal 5 3 3 2 3 3 4 3" xfId="28498" xr:uid="{0068EDA4-D819-48C9-951F-9CE5031DB3CC}"/>
    <cellStyle name="Normal 5 3 3 2 3 3 5" xfId="37797" xr:uid="{A4A7E825-AD82-452A-ADFD-75FE6F823E98}"/>
    <cellStyle name="Normal 5 3 3 2 3 3 6" xfId="19199" xr:uid="{0A160A00-A1AF-4AB1-AC54-62BB3B34B1C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17527" xr:uid="{A3474CBB-F056-400F-86A7-93FA02ADF935}"/>
    <cellStyle name="Normal 5 3 3 2 3 4 2 2 2 2" xfId="53869" xr:uid="{EEDF7F00-EB32-433D-866F-3E15446DCDD4}"/>
    <cellStyle name="Normal 5 3 3 2 3 4 2 2 2 3" xfId="35273" xr:uid="{E850688D-39E4-4415-B77C-F9180DEC2666}"/>
    <cellStyle name="Normal 5 3 3 2 3 4 2 2 3" xfId="44572" xr:uid="{6639CFC0-0778-4177-9B9B-B67FC4855EEC}"/>
    <cellStyle name="Normal 5 3 3 2 3 4 2 2 4" xfId="25974" xr:uid="{AF0E5801-8964-4D75-A90B-E11F3CF0A82A}"/>
    <cellStyle name="Normal 5 3 3 2 3 4 2 3" xfId="13310" xr:uid="{77A84328-D434-4398-A451-C0F0A54F435C}"/>
    <cellStyle name="Normal 5 3 3 2 3 4 2 3 2" xfId="49652" xr:uid="{B7301C30-F266-465A-AC83-5E0B7C4D562B}"/>
    <cellStyle name="Normal 5 3 3 2 3 4 2 3 3" xfId="31056" xr:uid="{4E08F6A7-22BF-4871-B5DD-06B41D936D08}"/>
    <cellStyle name="Normal 5 3 3 2 3 4 2 4" xfId="40355" xr:uid="{A66F34F8-7F52-4F31-A7EF-196B01B2F3C0}"/>
    <cellStyle name="Normal 5 3 3 2 3 4 2 5" xfId="21757" xr:uid="{59830977-79DA-4B26-B73A-719672007502}"/>
    <cellStyle name="Normal 5 3 3 2 3 4 3" xfId="6056" xr:uid="{00000000-0005-0000-0000-0000AB190000}"/>
    <cellStyle name="Normal 5 3 3 2 3 4 3 2" xfId="15382" xr:uid="{8925C1BD-C1D5-4CD1-8FCD-58B93A7875D4}"/>
    <cellStyle name="Normal 5 3 3 2 3 4 3 2 2" xfId="51724" xr:uid="{CFF15686-DBD9-4830-AD56-D6A45F73F827}"/>
    <cellStyle name="Normal 5 3 3 2 3 4 3 2 3" xfId="33128" xr:uid="{61B12568-505E-414C-932C-D7A0555CAD22}"/>
    <cellStyle name="Normal 5 3 3 2 3 4 3 3" xfId="42427" xr:uid="{521CED9B-F89F-44AD-BEB1-885073C51A0A}"/>
    <cellStyle name="Normal 5 3 3 2 3 4 3 4" xfId="23829" xr:uid="{7296B54E-0D41-4624-8126-F94DC6E246E7}"/>
    <cellStyle name="Normal 5 3 3 2 3 4 4" xfId="11165" xr:uid="{BF62287E-34FC-49AF-9AAA-0E7E89E63002}"/>
    <cellStyle name="Normal 5 3 3 2 3 4 4 2" xfId="47507" xr:uid="{77F22241-8457-4C9D-B7CB-38B87171B6C8}"/>
    <cellStyle name="Normal 5 3 3 2 3 4 4 3" xfId="28911" xr:uid="{7CC06FB2-49D8-4E2A-A0F7-1AFDE254B35C}"/>
    <cellStyle name="Normal 5 3 3 2 3 4 5" xfId="38210" xr:uid="{EFAE4AAC-4FCB-41F7-9CEC-518C0578AFA7}"/>
    <cellStyle name="Normal 5 3 3 2 3 4 6" xfId="19612" xr:uid="{D13C0180-806D-43A1-85A3-E781AAB0EE5B}"/>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17940" xr:uid="{42EB8D62-DCFA-466F-9571-6F32D37A445A}"/>
    <cellStyle name="Normal 5 3 3 2 3 5 2 2 2 2" xfId="54282" xr:uid="{A51095EC-4F84-4A43-992C-7548E7D8FC2B}"/>
    <cellStyle name="Normal 5 3 3 2 3 5 2 2 2 3" xfId="35686" xr:uid="{3583A5FF-44A5-4E12-85DE-9B8054447A7B}"/>
    <cellStyle name="Normal 5 3 3 2 3 5 2 2 3" xfId="44985" xr:uid="{B9FA4467-6890-421E-BC31-7B800A8FBCB6}"/>
    <cellStyle name="Normal 5 3 3 2 3 5 2 2 4" xfId="26387" xr:uid="{79FF36F8-A152-4208-A9E7-5364505D61D2}"/>
    <cellStyle name="Normal 5 3 3 2 3 5 2 3" xfId="13723" xr:uid="{30748294-5140-45E2-81F9-4D795DD67605}"/>
    <cellStyle name="Normal 5 3 3 2 3 5 2 3 2" xfId="50065" xr:uid="{897922B2-36EA-4F20-B8FB-62B358270570}"/>
    <cellStyle name="Normal 5 3 3 2 3 5 2 3 3" xfId="31469" xr:uid="{1F67B638-09DD-46A3-9882-16A167D077A4}"/>
    <cellStyle name="Normal 5 3 3 2 3 5 2 4" xfId="40768" xr:uid="{1193AE71-1642-44DC-96E6-9176ED2B394F}"/>
    <cellStyle name="Normal 5 3 3 2 3 5 2 5" xfId="22170" xr:uid="{E6CBC397-F504-4D33-8437-CF613F8F9DAD}"/>
    <cellStyle name="Normal 5 3 3 2 3 5 3" xfId="6469" xr:uid="{00000000-0005-0000-0000-0000AF190000}"/>
    <cellStyle name="Normal 5 3 3 2 3 5 3 2" xfId="15795" xr:uid="{A9FB3758-AD15-47F7-95F8-E589B602D765}"/>
    <cellStyle name="Normal 5 3 3 2 3 5 3 2 2" xfId="52137" xr:uid="{C0812CFA-175D-47D5-9868-2CC5B1479E98}"/>
    <cellStyle name="Normal 5 3 3 2 3 5 3 2 3" xfId="33541" xr:uid="{FF4E91F9-F294-4CCC-80AF-5855E2BFFD31}"/>
    <cellStyle name="Normal 5 3 3 2 3 5 3 3" xfId="42840" xr:uid="{02D96728-ECFF-496E-9340-96FAA8852F37}"/>
    <cellStyle name="Normal 5 3 3 2 3 5 3 4" xfId="24242" xr:uid="{7B8D1611-2560-40A1-BDED-BAB4A7C2A682}"/>
    <cellStyle name="Normal 5 3 3 2 3 5 4" xfId="11578" xr:uid="{CCBD62CD-0F6D-4407-9D70-99CE3334FD47}"/>
    <cellStyle name="Normal 5 3 3 2 3 5 4 2" xfId="47920" xr:uid="{B5D9BDC1-39A4-4E99-A9D9-02ED4A4DC1F4}"/>
    <cellStyle name="Normal 5 3 3 2 3 5 4 3" xfId="29324" xr:uid="{EE76E9C0-9C74-4DCC-AFF2-C4A641F08D93}"/>
    <cellStyle name="Normal 5 3 3 2 3 5 5" xfId="38623" xr:uid="{009AD157-F9FA-4E65-82E0-356D31ACB052}"/>
    <cellStyle name="Normal 5 3 3 2 3 5 6" xfId="20025" xr:uid="{9917E52F-01E9-48A4-B290-541D7B97519C}"/>
    <cellStyle name="Normal 5 3 3 2 3 6" xfId="2599" xr:uid="{00000000-0005-0000-0000-0000B0190000}"/>
    <cellStyle name="Normal 5 3 3 2 3 6 2" xfId="6882" xr:uid="{00000000-0005-0000-0000-0000B1190000}"/>
    <cellStyle name="Normal 5 3 3 2 3 6 2 2" xfId="16208" xr:uid="{BC2E3984-7254-46E8-BF21-E12B6D07B933}"/>
    <cellStyle name="Normal 5 3 3 2 3 6 2 2 2" xfId="52550" xr:uid="{B526DB49-E2E3-425E-B057-9C070CEBDE1B}"/>
    <cellStyle name="Normal 5 3 3 2 3 6 2 2 3" xfId="33954" xr:uid="{CBDAAE9A-E065-492F-BF3C-F0648A5F0F7D}"/>
    <cellStyle name="Normal 5 3 3 2 3 6 2 3" xfId="43253" xr:uid="{2FFDB4A1-05C2-487B-BCF7-6FA53ED979A2}"/>
    <cellStyle name="Normal 5 3 3 2 3 6 2 4" xfId="24655" xr:uid="{4884291F-F703-4875-BD1D-71FA3C05A858}"/>
    <cellStyle name="Normal 5 3 3 2 3 6 3" xfId="11991" xr:uid="{24639F73-76E4-4006-BE1B-6E1F92AE45B6}"/>
    <cellStyle name="Normal 5 3 3 2 3 6 3 2" xfId="48333" xr:uid="{5B700EB7-4E62-4C50-AB48-6967073CBAEA}"/>
    <cellStyle name="Normal 5 3 3 2 3 6 3 3" xfId="29737" xr:uid="{210F97E2-9556-4F73-BA36-EEC522756297}"/>
    <cellStyle name="Normal 5 3 3 2 3 6 4" xfId="39036" xr:uid="{968CF05F-430A-4DE8-A1D6-546D1BFEA80B}"/>
    <cellStyle name="Normal 5 3 3 2 3 6 5" xfId="20438" xr:uid="{57199359-C2E7-450D-96B4-74C353BE31FA}"/>
    <cellStyle name="Normal 5 3 3 2 3 7" xfId="4817" xr:uid="{00000000-0005-0000-0000-0000B2190000}"/>
    <cellStyle name="Normal 5 3 3 2 3 7 2" xfId="14143" xr:uid="{BB6F5C38-3EF8-4E43-8D9C-80E16D356284}"/>
    <cellStyle name="Normal 5 3 3 2 3 7 2 2" xfId="50485" xr:uid="{7E9A426D-67FA-4EC7-8CB6-2349913ECF87}"/>
    <cellStyle name="Normal 5 3 3 2 3 7 2 3" xfId="31889" xr:uid="{8D624B28-0756-431F-9B96-32017AC25A51}"/>
    <cellStyle name="Normal 5 3 3 2 3 7 3" xfId="41188" xr:uid="{FC022E0C-62D2-43AC-A1F5-49B5A080BC9F}"/>
    <cellStyle name="Normal 5 3 3 2 3 7 4" xfId="22590" xr:uid="{F9BE8BD0-EA49-4122-B7CE-1A674CA06360}"/>
    <cellStyle name="Normal 5 3 3 2 3 8" xfId="9039" xr:uid="{84D80CE6-A0CA-4841-8673-26EA7EC6806D}"/>
    <cellStyle name="Normal 5 3 3 2 3 8 2" xfId="36109" xr:uid="{E6BE76CC-2B03-425D-A5B7-0966B9C70601}"/>
    <cellStyle name="Normal 5 3 3 2 3 8 2 2" xfId="54704" xr:uid="{5A48906F-C14D-4F39-91B5-F1A3D36492E3}"/>
    <cellStyle name="Normal 5 3 3 2 3 8 3" xfId="45407" xr:uid="{53ABFF2D-200B-4D78-B5B8-E0F628857CAB}"/>
    <cellStyle name="Normal 5 3 3 2 3 8 4" xfId="26810" xr:uid="{22A395CB-865A-4B29-9191-BD90551BCAC7}"/>
    <cellStyle name="Normal 5 3 3 2 3 9" xfId="9926" xr:uid="{F6B7590A-80D1-4133-BBE9-BB9CEB7D69D6}"/>
    <cellStyle name="Normal 5 3 3 2 3 9 2" xfId="46268" xr:uid="{4A10CB73-3A98-4963-B077-832B159D3CA8}"/>
    <cellStyle name="Normal 5 3 3 2 3 9 3" xfId="27672" xr:uid="{D70B0626-3FE8-42B2-8E2F-DE1259EE28C1}"/>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16698" xr:uid="{4B7B61E0-17F5-4C28-A87D-DF2364B86DCA}"/>
    <cellStyle name="Normal 5 3 3 2 4 2 2 2 2" xfId="53040" xr:uid="{7307ACBF-8DA6-4BF4-B150-364C52E7EBD3}"/>
    <cellStyle name="Normal 5 3 3 2 4 2 2 2 3" xfId="34444" xr:uid="{331C8122-910B-4121-9AD1-7A3CDF2F9638}"/>
    <cellStyle name="Normal 5 3 3 2 4 2 2 3" xfId="43743" xr:uid="{9C231CF6-B484-4DCC-9F86-61B885CA196E}"/>
    <cellStyle name="Normal 5 3 3 2 4 2 2 4" xfId="25145" xr:uid="{B57B2522-DDCC-4481-993C-1CEB63EAAAC8}"/>
    <cellStyle name="Normal 5 3 3 2 4 2 3" xfId="12481" xr:uid="{19CAD5DE-2432-4AAE-80B7-5C384E08C7CD}"/>
    <cellStyle name="Normal 5 3 3 2 4 2 3 2" xfId="48823" xr:uid="{A9271D2A-3C51-4885-92AA-D17744F97C2D}"/>
    <cellStyle name="Normal 5 3 3 2 4 2 3 3" xfId="30227" xr:uid="{DA3334EB-1AC6-4F6F-86D0-AB947887C94D}"/>
    <cellStyle name="Normal 5 3 3 2 4 2 4" xfId="39526" xr:uid="{26FC24C1-E816-47ED-AB55-B43B97E19F6B}"/>
    <cellStyle name="Normal 5 3 3 2 4 2 5" xfId="20928" xr:uid="{E2293880-21BD-4BED-A369-187920E12BEF}"/>
    <cellStyle name="Normal 5 3 3 2 4 3" xfId="5227" xr:uid="{00000000-0005-0000-0000-0000B6190000}"/>
    <cellStyle name="Normal 5 3 3 2 4 3 2" xfId="14553" xr:uid="{3311B8DC-615A-4F0B-8D98-ED38CBDB1A07}"/>
    <cellStyle name="Normal 5 3 3 2 4 3 2 2" xfId="50895" xr:uid="{A70C5696-D43E-41C9-B85A-B99736AA012A}"/>
    <cellStyle name="Normal 5 3 3 2 4 3 2 3" xfId="32299" xr:uid="{15F5FECA-56C8-44B6-8751-AA2388F918CD}"/>
    <cellStyle name="Normal 5 3 3 2 4 3 3" xfId="41598" xr:uid="{37A3173F-5E0D-4032-96C5-A4E47ED70598}"/>
    <cellStyle name="Normal 5 3 3 2 4 3 4" xfId="23000" xr:uid="{3D9F0041-3C32-4219-B76F-13CF96939091}"/>
    <cellStyle name="Normal 5 3 3 2 4 4" xfId="9257" xr:uid="{E6656214-6E5B-491F-B1E3-227CB6568726}"/>
    <cellStyle name="Normal 5 3 3 2 4 4 2" xfId="36318" xr:uid="{CF42F2F4-F3C8-4C56-9E12-3F83B95C16D4}"/>
    <cellStyle name="Normal 5 3 3 2 4 4 2 2" xfId="54912" xr:uid="{C68562D5-4355-4E08-A9A0-61F7631B9F41}"/>
    <cellStyle name="Normal 5 3 3 2 4 4 3" xfId="45615" xr:uid="{2CBEC547-E1A2-4175-953A-5E2C8A5E87ED}"/>
    <cellStyle name="Normal 5 3 3 2 4 4 4" xfId="27019" xr:uid="{B68132C9-23C9-42F3-9651-C6D9E574FED2}"/>
    <cellStyle name="Normal 5 3 3 2 4 5" xfId="10336" xr:uid="{718C673F-D7D3-49C6-95CA-BACD8CFF4034}"/>
    <cellStyle name="Normal 5 3 3 2 4 5 2" xfId="46678" xr:uid="{24AA751B-2780-4628-B29B-F2E2E95B5B88}"/>
    <cellStyle name="Normal 5 3 3 2 4 5 3" xfId="28082" xr:uid="{0B92E08D-B0B7-4DD1-8910-71B0100B789E}"/>
    <cellStyle name="Normal 5 3 3 2 4 6" xfId="37381" xr:uid="{8016697A-75EB-4183-898A-6C5AD966DEB9}"/>
    <cellStyle name="Normal 5 3 3 2 4 7" xfId="18783" xr:uid="{D291CEC3-5DD3-4BBD-BE15-BB47CFDC6370}"/>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17111" xr:uid="{5685D923-D8D2-4540-9A18-D2D0366D1082}"/>
    <cellStyle name="Normal 5 3 3 2 5 2 2 2 2" xfId="53453" xr:uid="{D3B681A9-1DBE-4B4B-9425-181115FFAF1A}"/>
    <cellStyle name="Normal 5 3 3 2 5 2 2 2 3" xfId="34857" xr:uid="{EEB7C4D6-1223-41D3-A7CB-32F4FA7CE749}"/>
    <cellStyle name="Normal 5 3 3 2 5 2 2 3" xfId="44156" xr:uid="{8F72A630-C2E8-4964-A3C4-AED123A05A0E}"/>
    <cellStyle name="Normal 5 3 3 2 5 2 2 4" xfId="25558" xr:uid="{A69B0549-020E-4045-810D-F75B52C9B0F1}"/>
    <cellStyle name="Normal 5 3 3 2 5 2 3" xfId="12894" xr:uid="{2BCE1512-2B13-4CEF-B779-5F1E3BC23141}"/>
    <cellStyle name="Normal 5 3 3 2 5 2 3 2" xfId="49236" xr:uid="{04179323-0F5B-410D-9A52-78DB68E5E448}"/>
    <cellStyle name="Normal 5 3 3 2 5 2 3 3" xfId="30640" xr:uid="{3C7D94DA-8318-42EC-B6FA-EFF7EFC5C692}"/>
    <cellStyle name="Normal 5 3 3 2 5 2 4" xfId="39939" xr:uid="{883D461E-E64A-4133-813A-8C0EF3F8DE21}"/>
    <cellStyle name="Normal 5 3 3 2 5 2 5" xfId="21341" xr:uid="{791A1061-4CAE-4E0E-8720-2BE74D6F18BD}"/>
    <cellStyle name="Normal 5 3 3 2 5 3" xfId="5640" xr:uid="{00000000-0005-0000-0000-0000BA190000}"/>
    <cellStyle name="Normal 5 3 3 2 5 3 2" xfId="14966" xr:uid="{A5D517DA-8630-4D11-B01E-DE2AAC34C7C6}"/>
    <cellStyle name="Normal 5 3 3 2 5 3 2 2" xfId="51308" xr:uid="{0DC21C40-64F1-49E6-89F3-B37105B90756}"/>
    <cellStyle name="Normal 5 3 3 2 5 3 2 3" xfId="32712" xr:uid="{13087EFE-8201-4D67-9C81-73DC2C997EEE}"/>
    <cellStyle name="Normal 5 3 3 2 5 3 3" xfId="42011" xr:uid="{F35200C3-41EA-438B-85F4-80F4859177C2}"/>
    <cellStyle name="Normal 5 3 3 2 5 3 4" xfId="23413" xr:uid="{E998555D-F6F7-4C8C-8F2C-E5CFDC565772}"/>
    <cellStyle name="Normal 5 3 3 2 5 4" xfId="10749" xr:uid="{A223686C-EA0A-4C55-A30C-F8E40113F4B5}"/>
    <cellStyle name="Normal 5 3 3 2 5 4 2" xfId="47091" xr:uid="{78FED004-173A-4F61-9D69-BFDB27A148F9}"/>
    <cellStyle name="Normal 5 3 3 2 5 4 3" xfId="28495" xr:uid="{F893BC60-1954-4883-9262-A5966A09B5C0}"/>
    <cellStyle name="Normal 5 3 3 2 5 5" xfId="37794" xr:uid="{F9D7F0AD-E1A2-4504-8D63-F8CAC6666106}"/>
    <cellStyle name="Normal 5 3 3 2 5 6" xfId="19196" xr:uid="{C207E19D-5D40-4536-B09E-B2A1D73D2579}"/>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17524" xr:uid="{8FA73E8A-F429-450D-9C38-38BBAE7CC788}"/>
    <cellStyle name="Normal 5 3 3 2 6 2 2 2 2" xfId="53866" xr:uid="{8DE2F2F9-F521-4C41-9480-B65ECB87DBF1}"/>
    <cellStyle name="Normal 5 3 3 2 6 2 2 2 3" xfId="35270" xr:uid="{B3880394-8C63-4663-BBA7-8B99D5BBF117}"/>
    <cellStyle name="Normal 5 3 3 2 6 2 2 3" xfId="44569" xr:uid="{70502F79-C4A0-471E-8CA9-622FB1E04675}"/>
    <cellStyle name="Normal 5 3 3 2 6 2 2 4" xfId="25971" xr:uid="{922A517E-818F-4FC5-B3A9-FA46E1B2BDCC}"/>
    <cellStyle name="Normal 5 3 3 2 6 2 3" xfId="13307" xr:uid="{D0756756-9022-4EC1-A51E-F57711FE9642}"/>
    <cellStyle name="Normal 5 3 3 2 6 2 3 2" xfId="49649" xr:uid="{166B1632-5651-48C1-A84B-804738916D31}"/>
    <cellStyle name="Normal 5 3 3 2 6 2 3 3" xfId="31053" xr:uid="{430F6EC6-EA70-4A43-9C4A-E8CE93FD361A}"/>
    <cellStyle name="Normal 5 3 3 2 6 2 4" xfId="40352" xr:uid="{D1207F85-F4CE-46B0-9579-3630BC294356}"/>
    <cellStyle name="Normal 5 3 3 2 6 2 5" xfId="21754" xr:uid="{A298FB36-A114-4F55-AFD9-0798717EEFED}"/>
    <cellStyle name="Normal 5 3 3 2 6 3" xfId="6053" xr:uid="{00000000-0005-0000-0000-0000BE190000}"/>
    <cellStyle name="Normal 5 3 3 2 6 3 2" xfId="15379" xr:uid="{E257C2E4-1E45-44D2-A123-27F022DDE452}"/>
    <cellStyle name="Normal 5 3 3 2 6 3 2 2" xfId="51721" xr:uid="{3EEC2C1F-9EB0-4D68-B252-C4224AF9CB51}"/>
    <cellStyle name="Normal 5 3 3 2 6 3 2 3" xfId="33125" xr:uid="{FE50DB10-2419-45EA-A7D2-FD924DE9CA9D}"/>
    <cellStyle name="Normal 5 3 3 2 6 3 3" xfId="42424" xr:uid="{03FA3BCC-D903-48C9-A81E-14AD7AD33A72}"/>
    <cellStyle name="Normal 5 3 3 2 6 3 4" xfId="23826" xr:uid="{65A3DD4F-1C06-43D8-90D3-F3FF2E256D70}"/>
    <cellStyle name="Normal 5 3 3 2 6 4" xfId="11162" xr:uid="{1237DAA9-86C3-455A-BF59-5D34CF1150EB}"/>
    <cellStyle name="Normal 5 3 3 2 6 4 2" xfId="47504" xr:uid="{DE4EE8C3-79B2-4BF9-9DF2-D099969F1E67}"/>
    <cellStyle name="Normal 5 3 3 2 6 4 3" xfId="28908" xr:uid="{301D1F00-F415-4817-9100-8511466A9E9E}"/>
    <cellStyle name="Normal 5 3 3 2 6 5" xfId="38207" xr:uid="{7FFC3F6D-9709-4D55-A37C-E610F8709BD0}"/>
    <cellStyle name="Normal 5 3 3 2 6 6" xfId="19609" xr:uid="{0E1EF6BA-BEA9-4559-9B08-D5FF66B44518}"/>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17937" xr:uid="{12F2F8F6-F1C6-4B11-B667-A3F4795C00D2}"/>
    <cellStyle name="Normal 5 3 3 2 7 2 2 2 2" xfId="54279" xr:uid="{12B11018-F8E1-44CF-8B0B-C508C7825524}"/>
    <cellStyle name="Normal 5 3 3 2 7 2 2 2 3" xfId="35683" xr:uid="{BFB9FBE5-71CE-4AF6-BA34-0E490879D0C0}"/>
    <cellStyle name="Normal 5 3 3 2 7 2 2 3" xfId="44982" xr:uid="{677C80D8-030C-4BE2-8464-65FF58AD2997}"/>
    <cellStyle name="Normal 5 3 3 2 7 2 2 4" xfId="26384" xr:uid="{BC899BD6-0E13-494A-A569-E785C825A653}"/>
    <cellStyle name="Normal 5 3 3 2 7 2 3" xfId="13720" xr:uid="{85EB9604-71A3-47DC-BCCC-5BE2F8305828}"/>
    <cellStyle name="Normal 5 3 3 2 7 2 3 2" xfId="50062" xr:uid="{89F3B2BB-30B1-4E8C-A32F-0CEAE1FD9D69}"/>
    <cellStyle name="Normal 5 3 3 2 7 2 3 3" xfId="31466" xr:uid="{3978D3C3-7CCB-42E2-A737-44DF957FC7FF}"/>
    <cellStyle name="Normal 5 3 3 2 7 2 4" xfId="40765" xr:uid="{6F7345BF-B815-4E75-BE58-09A611ADCC8E}"/>
    <cellStyle name="Normal 5 3 3 2 7 2 5" xfId="22167" xr:uid="{3590F0D6-17CA-437E-94E6-F35CB965ACC9}"/>
    <cellStyle name="Normal 5 3 3 2 7 3" xfId="6466" xr:uid="{00000000-0005-0000-0000-0000C2190000}"/>
    <cellStyle name="Normal 5 3 3 2 7 3 2" xfId="15792" xr:uid="{D301CCB2-CFA2-47B6-AFD1-F9C70E3F7A1C}"/>
    <cellStyle name="Normal 5 3 3 2 7 3 2 2" xfId="52134" xr:uid="{7CC41AC0-81DD-4ACE-AC04-768E99287591}"/>
    <cellStyle name="Normal 5 3 3 2 7 3 2 3" xfId="33538" xr:uid="{0B1C8245-2C0C-4695-A2D2-9EA51C532722}"/>
    <cellStyle name="Normal 5 3 3 2 7 3 3" xfId="42837" xr:uid="{BA3D0502-08AA-4BCC-B4D0-446B9DEF93D5}"/>
    <cellStyle name="Normal 5 3 3 2 7 3 4" xfId="24239" xr:uid="{9D16DF68-ECDE-4EC2-A093-0EFA16A4D0A5}"/>
    <cellStyle name="Normal 5 3 3 2 7 4" xfId="11575" xr:uid="{2DC60FD4-CC0C-4096-B317-F2520E85E334}"/>
    <cellStyle name="Normal 5 3 3 2 7 4 2" xfId="47917" xr:uid="{F9B8086E-8A93-4BC8-A0C9-F6A96055AA5B}"/>
    <cellStyle name="Normal 5 3 3 2 7 4 3" xfId="29321" xr:uid="{9609C3EB-F385-43CE-8D57-A7397475E684}"/>
    <cellStyle name="Normal 5 3 3 2 7 5" xfId="38620" xr:uid="{0705AAC6-11FE-4D11-91AA-191455B5091B}"/>
    <cellStyle name="Normal 5 3 3 2 7 6" xfId="20022" xr:uid="{3BC68E8A-B91F-486D-A776-5D73690FA084}"/>
    <cellStyle name="Normal 5 3 3 2 8" xfId="2596" xr:uid="{00000000-0005-0000-0000-0000C3190000}"/>
    <cellStyle name="Normal 5 3 3 2 8 2" xfId="6879" xr:uid="{00000000-0005-0000-0000-0000C4190000}"/>
    <cellStyle name="Normal 5 3 3 2 8 2 2" xfId="16205" xr:uid="{41A2614F-9777-438A-B70E-A0F54FF7A9A9}"/>
    <cellStyle name="Normal 5 3 3 2 8 2 2 2" xfId="52547" xr:uid="{6045980E-E5A9-4D25-B4B1-1B0C90BBAC60}"/>
    <cellStyle name="Normal 5 3 3 2 8 2 2 3" xfId="33951" xr:uid="{8C4579D7-492F-4896-854A-429F929CD1D0}"/>
    <cellStyle name="Normal 5 3 3 2 8 2 3" xfId="43250" xr:uid="{A717D384-E828-4971-B730-D12BCAD89051}"/>
    <cellStyle name="Normal 5 3 3 2 8 2 4" xfId="24652" xr:uid="{F1EBD2FE-4EC7-4738-A6FA-EEE4619083AA}"/>
    <cellStyle name="Normal 5 3 3 2 8 3" xfId="11988" xr:uid="{D0DC2743-1D17-49F7-AF0C-A8D43B24D404}"/>
    <cellStyle name="Normal 5 3 3 2 8 3 2" xfId="48330" xr:uid="{479F828B-07CC-4CD7-8F33-284D7D52CFAC}"/>
    <cellStyle name="Normal 5 3 3 2 8 3 3" xfId="29734" xr:uid="{84B47790-6FB7-4207-A485-89C9094FCDA4}"/>
    <cellStyle name="Normal 5 3 3 2 8 4" xfId="39033" xr:uid="{5320349D-9DA9-4AF4-9F58-9B84A9AB2821}"/>
    <cellStyle name="Normal 5 3 3 2 8 5" xfId="20435" xr:uid="{2BD23B3E-145E-4F01-ADA8-F2A1B1A9ACE2}"/>
    <cellStyle name="Normal 5 3 3 2 9" xfId="4814" xr:uid="{00000000-0005-0000-0000-0000C5190000}"/>
    <cellStyle name="Normal 5 3 3 2 9 2" xfId="14140" xr:uid="{59824DE4-CF73-4F67-9AE3-77BD6644B53E}"/>
    <cellStyle name="Normal 5 3 3 2 9 2 2" xfId="50482" xr:uid="{812B7F53-D8E2-435C-BF31-851445255687}"/>
    <cellStyle name="Normal 5 3 3 2 9 2 3" xfId="31886" xr:uid="{041D15C6-6B42-4B91-9F85-FEA83AA63A7C}"/>
    <cellStyle name="Normal 5 3 3 2 9 3" xfId="41185" xr:uid="{8BB77A7E-FEE6-4031-AE2F-CA5DE81D37B2}"/>
    <cellStyle name="Normal 5 3 3 2 9 4" xfId="22587" xr:uid="{89087708-E896-4EE6-A870-F7683C7A8A01}"/>
    <cellStyle name="Normal 5 3 3 3" xfId="446" xr:uid="{00000000-0005-0000-0000-0000C6190000}"/>
    <cellStyle name="Normal 5 3 3 3 10" xfId="9927" xr:uid="{3E65E70B-C5A0-4FFF-B71D-EFC6C40D2C74}"/>
    <cellStyle name="Normal 5 3 3 3 10 2" xfId="46269" xr:uid="{2DF703B0-8F4E-41E1-8657-8C037A8E4B4E}"/>
    <cellStyle name="Normal 5 3 3 3 10 3" xfId="27673" xr:uid="{326962D4-3BC9-4BF9-8832-BBF7C373F5EC}"/>
    <cellStyle name="Normal 5 3 3 3 11" xfId="36972" xr:uid="{04F4BA21-2C1A-4C0D-98AD-B60654B6B0C8}"/>
    <cellStyle name="Normal 5 3 3 3 12" xfId="18374" xr:uid="{E2F68933-9700-4D45-B58F-D9B78221D638}"/>
    <cellStyle name="Normal 5 3 3 3 2" xfId="447" xr:uid="{00000000-0005-0000-0000-0000C7190000}"/>
    <cellStyle name="Normal 5 3 3 3 2 10" xfId="36973" xr:uid="{42C56BD9-5DF8-4BDC-8F45-49B058CF8C9B}"/>
    <cellStyle name="Normal 5 3 3 3 2 11" xfId="18375" xr:uid="{6C4F8286-6745-44D6-9101-C56F889B1DEF}"/>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16703" xr:uid="{076418D9-5D14-4E4C-A7E8-EB9686C034CB}"/>
    <cellStyle name="Normal 5 3 3 3 2 2 2 2 2 2" xfId="53045" xr:uid="{11103F02-09BC-4D78-AA53-BF4EA92FC129}"/>
    <cellStyle name="Normal 5 3 3 3 2 2 2 2 2 3" xfId="34449" xr:uid="{7C6C7301-5BD2-48A3-A5D2-09F9EEDF88E6}"/>
    <cellStyle name="Normal 5 3 3 3 2 2 2 2 3" xfId="43748" xr:uid="{32DE4388-244A-4664-ADCC-52FCF9C0E371}"/>
    <cellStyle name="Normal 5 3 3 3 2 2 2 2 4" xfId="25150" xr:uid="{7D912806-E728-4EFF-B56E-1A764E8C5567}"/>
    <cellStyle name="Normal 5 3 3 3 2 2 2 3" xfId="12486" xr:uid="{950572DA-9240-4A09-B0B1-9897BB9DD9B6}"/>
    <cellStyle name="Normal 5 3 3 3 2 2 2 3 2" xfId="48828" xr:uid="{562E5126-02D6-4794-BE53-CCF8D23334E1}"/>
    <cellStyle name="Normal 5 3 3 3 2 2 2 3 3" xfId="30232" xr:uid="{E1292AF9-6BE6-4541-ADD5-52F79D92E7E5}"/>
    <cellStyle name="Normal 5 3 3 3 2 2 2 4" xfId="39531" xr:uid="{4448AE70-80AA-4EF6-95AC-7A67BDC3B0C7}"/>
    <cellStyle name="Normal 5 3 3 3 2 2 2 5" xfId="20933" xr:uid="{BE4EC687-4126-45BF-81AC-335D51C37791}"/>
    <cellStyle name="Normal 5 3 3 3 2 2 3" xfId="5232" xr:uid="{00000000-0005-0000-0000-0000CB190000}"/>
    <cellStyle name="Normal 5 3 3 3 2 2 3 2" xfId="14558" xr:uid="{DA1B512F-9D5E-4769-937A-6F4653697858}"/>
    <cellStyle name="Normal 5 3 3 3 2 2 3 2 2" xfId="50900" xr:uid="{5D54D50D-AB1D-4000-946F-5C34ED63496E}"/>
    <cellStyle name="Normal 5 3 3 3 2 2 3 2 3" xfId="32304" xr:uid="{159562EB-0710-4D93-9B20-2714FDC9D7FE}"/>
    <cellStyle name="Normal 5 3 3 3 2 2 3 3" xfId="41603" xr:uid="{62970D42-BB13-43CB-9F80-CE28D83395F4}"/>
    <cellStyle name="Normal 5 3 3 3 2 2 3 4" xfId="23005" xr:uid="{6965B1A9-68D8-4CD2-BDEC-24DB1F42E652}"/>
    <cellStyle name="Normal 5 3 3 3 2 2 4" xfId="9517" xr:uid="{EA62A3B1-8ED5-4A6F-ACE0-B924BC16AA9E}"/>
    <cellStyle name="Normal 5 3 3 3 2 2 4 2" xfId="36578" xr:uid="{E318B7BB-8299-4079-8C40-9C2620C0C805}"/>
    <cellStyle name="Normal 5 3 3 3 2 2 4 2 2" xfId="55172" xr:uid="{CE718B3B-526D-4CA8-AC0A-6690FFC04290}"/>
    <cellStyle name="Normal 5 3 3 3 2 2 4 3" xfId="45875" xr:uid="{56DF2409-2F76-4A2F-86F5-31EB9DCC4D13}"/>
    <cellStyle name="Normal 5 3 3 3 2 2 4 4" xfId="27279" xr:uid="{0FB3C23D-4EB1-4552-BE87-A90514FEFE4E}"/>
    <cellStyle name="Normal 5 3 3 3 2 2 5" xfId="10341" xr:uid="{599907C0-0AE1-4E06-8167-90F458C41C12}"/>
    <cellStyle name="Normal 5 3 3 3 2 2 5 2" xfId="46683" xr:uid="{99E00BA1-9C3B-4DB8-B6C5-5B7C141CB933}"/>
    <cellStyle name="Normal 5 3 3 3 2 2 5 3" xfId="28087" xr:uid="{51D673E1-2F32-4D0D-B45C-A4FB166924EB}"/>
    <cellStyle name="Normal 5 3 3 3 2 2 6" xfId="37386" xr:uid="{14562182-EAF8-462E-9305-A3BA28B74369}"/>
    <cellStyle name="Normal 5 3 3 3 2 2 7" xfId="18788" xr:uid="{E99E5B36-BFD4-4AE6-9431-14C763C9F5C3}"/>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17116" xr:uid="{2D419D94-9341-4107-91D7-88F34AF6ABB7}"/>
    <cellStyle name="Normal 5 3 3 3 2 3 2 2 2 2" xfId="53458" xr:uid="{775CAEA4-AA46-487B-98F0-469C84B1D8C3}"/>
    <cellStyle name="Normal 5 3 3 3 2 3 2 2 2 3" xfId="34862" xr:uid="{DB424273-B975-4469-A3CC-357F8C82F2C8}"/>
    <cellStyle name="Normal 5 3 3 3 2 3 2 2 3" xfId="44161" xr:uid="{CFB44B21-A7F2-46AF-93F5-DCC428526005}"/>
    <cellStyle name="Normal 5 3 3 3 2 3 2 2 4" xfId="25563" xr:uid="{AD92B36E-3196-42AB-BDE9-FA976289119B}"/>
    <cellStyle name="Normal 5 3 3 3 2 3 2 3" xfId="12899" xr:uid="{E2982606-06F5-40D0-B309-AB2B82D0C23F}"/>
    <cellStyle name="Normal 5 3 3 3 2 3 2 3 2" xfId="49241" xr:uid="{10B58F6F-A61F-47DC-B4C1-1DB18DEA23A8}"/>
    <cellStyle name="Normal 5 3 3 3 2 3 2 3 3" xfId="30645" xr:uid="{E2BA5C13-44D2-4BB0-BB37-176AC04C6A9B}"/>
    <cellStyle name="Normal 5 3 3 3 2 3 2 4" xfId="39944" xr:uid="{0D4B1C99-F0C5-4387-9DFC-3876B28F8185}"/>
    <cellStyle name="Normal 5 3 3 3 2 3 2 5" xfId="21346" xr:uid="{5F8C3D7B-AB13-4F14-83FD-EFBCFF737DE0}"/>
    <cellStyle name="Normal 5 3 3 3 2 3 3" xfId="5645" xr:uid="{00000000-0005-0000-0000-0000CF190000}"/>
    <cellStyle name="Normal 5 3 3 3 2 3 3 2" xfId="14971" xr:uid="{485A9E46-1C66-4EAA-BBCD-DA56BBCEBC3F}"/>
    <cellStyle name="Normal 5 3 3 3 2 3 3 2 2" xfId="51313" xr:uid="{5C0C4C4D-ABAC-46C6-A2D9-D9FC546D0914}"/>
    <cellStyle name="Normal 5 3 3 3 2 3 3 2 3" xfId="32717" xr:uid="{9F56676B-68DB-4387-A23E-6F8E53247251}"/>
    <cellStyle name="Normal 5 3 3 3 2 3 3 3" xfId="42016" xr:uid="{C023B7FE-FA64-4EC1-96D9-4CE741A892B5}"/>
    <cellStyle name="Normal 5 3 3 3 2 3 3 4" xfId="23418" xr:uid="{1F44C065-302E-4230-977A-5213A2CDBE53}"/>
    <cellStyle name="Normal 5 3 3 3 2 3 4" xfId="10754" xr:uid="{2048BCFB-D545-4764-B7E4-A7F44B3CC375}"/>
    <cellStyle name="Normal 5 3 3 3 2 3 4 2" xfId="47096" xr:uid="{507D54ED-1158-4FDB-86F8-7A409F048E30}"/>
    <cellStyle name="Normal 5 3 3 3 2 3 4 3" xfId="28500" xr:uid="{33BF0391-886F-4D99-A718-1A5FA2BEC492}"/>
    <cellStyle name="Normal 5 3 3 3 2 3 5" xfId="37799" xr:uid="{EC31F9BC-FF4D-4859-A08A-F5579E8D63BD}"/>
    <cellStyle name="Normal 5 3 3 3 2 3 6" xfId="19201" xr:uid="{3FDA57DD-3986-4961-96B7-FFB18280EF0C}"/>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17529" xr:uid="{4CDA7900-67E6-4C47-AE1F-1BA899BAF4F2}"/>
    <cellStyle name="Normal 5 3 3 3 2 4 2 2 2 2" xfId="53871" xr:uid="{3236E242-C9CD-4A7F-8913-4DB62F7C4C05}"/>
    <cellStyle name="Normal 5 3 3 3 2 4 2 2 2 3" xfId="35275" xr:uid="{A0840A7D-9827-46DC-8C50-2D462A005069}"/>
    <cellStyle name="Normal 5 3 3 3 2 4 2 2 3" xfId="44574" xr:uid="{3605B57D-6D73-457F-A196-4FB2FB4D3599}"/>
    <cellStyle name="Normal 5 3 3 3 2 4 2 2 4" xfId="25976" xr:uid="{4A5DFE4C-C3CB-4D26-858A-0DBEE6CEC824}"/>
    <cellStyle name="Normal 5 3 3 3 2 4 2 3" xfId="13312" xr:uid="{53EAEA1D-0080-495D-BA55-9F4911C2A52C}"/>
    <cellStyle name="Normal 5 3 3 3 2 4 2 3 2" xfId="49654" xr:uid="{7AA4AF1B-B02D-4A3E-AC60-41C999FB4880}"/>
    <cellStyle name="Normal 5 3 3 3 2 4 2 3 3" xfId="31058" xr:uid="{A674A6A5-C736-44F0-8888-4CA41ADEC01B}"/>
    <cellStyle name="Normal 5 3 3 3 2 4 2 4" xfId="40357" xr:uid="{B3DEDD71-F93C-464F-A052-D9555F7D6D70}"/>
    <cellStyle name="Normal 5 3 3 3 2 4 2 5" xfId="21759" xr:uid="{9598E495-C8DE-4202-AC86-A8E34E59F38C}"/>
    <cellStyle name="Normal 5 3 3 3 2 4 3" xfId="6058" xr:uid="{00000000-0005-0000-0000-0000D3190000}"/>
    <cellStyle name="Normal 5 3 3 3 2 4 3 2" xfId="15384" xr:uid="{B4057EF7-F705-4C86-B83C-8ACE9F23F66F}"/>
    <cellStyle name="Normal 5 3 3 3 2 4 3 2 2" xfId="51726" xr:uid="{78D5DE0F-25E5-471A-821D-04EE605FAF26}"/>
    <cellStyle name="Normal 5 3 3 3 2 4 3 2 3" xfId="33130" xr:uid="{25924C9E-4282-427C-AF49-D3892A4B5A1D}"/>
    <cellStyle name="Normal 5 3 3 3 2 4 3 3" xfId="42429" xr:uid="{A7E50389-9357-49B4-BDD6-BF7CCA56DE2B}"/>
    <cellStyle name="Normal 5 3 3 3 2 4 3 4" xfId="23831" xr:uid="{1E60ABE6-218A-4A28-B8DB-697EB4B44991}"/>
    <cellStyle name="Normal 5 3 3 3 2 4 4" xfId="11167" xr:uid="{E1138513-69AA-4D82-8B7A-AA07D0328866}"/>
    <cellStyle name="Normal 5 3 3 3 2 4 4 2" xfId="47509" xr:uid="{C6680671-BE31-4342-8BE5-1C940F5FDB6E}"/>
    <cellStyle name="Normal 5 3 3 3 2 4 4 3" xfId="28913" xr:uid="{A6742A06-0C16-4A73-BC2E-0BFC85B9CF3D}"/>
    <cellStyle name="Normal 5 3 3 3 2 4 5" xfId="38212" xr:uid="{6A5ED8DE-D69E-42DD-A5F6-9258A89C6AB2}"/>
    <cellStyle name="Normal 5 3 3 3 2 4 6" xfId="19614" xr:uid="{4C425174-46AD-4DF8-83B3-564E6249CB39}"/>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17942" xr:uid="{BD04BBF1-CF05-452E-A105-C2EC4993E855}"/>
    <cellStyle name="Normal 5 3 3 3 2 5 2 2 2 2" xfId="54284" xr:uid="{2E27D30B-332C-47AB-847B-CA7440385C81}"/>
    <cellStyle name="Normal 5 3 3 3 2 5 2 2 2 3" xfId="35688" xr:uid="{6EE24B5A-7F1E-41C8-9480-AE23168F0849}"/>
    <cellStyle name="Normal 5 3 3 3 2 5 2 2 3" xfId="44987" xr:uid="{BE2460B1-2C20-4563-8F3F-E62C60DCEEF8}"/>
    <cellStyle name="Normal 5 3 3 3 2 5 2 2 4" xfId="26389" xr:uid="{A7560C6D-9B2A-4235-AD1B-AB9BB69BC26E}"/>
    <cellStyle name="Normal 5 3 3 3 2 5 2 3" xfId="13725" xr:uid="{78D8C017-64A4-4B5D-A630-C19B4C286D7B}"/>
    <cellStyle name="Normal 5 3 3 3 2 5 2 3 2" xfId="50067" xr:uid="{4AB2F2E2-4F41-4742-A143-E34732673580}"/>
    <cellStyle name="Normal 5 3 3 3 2 5 2 3 3" xfId="31471" xr:uid="{AB45A099-8FD7-431F-BFF0-56006D021771}"/>
    <cellStyle name="Normal 5 3 3 3 2 5 2 4" xfId="40770" xr:uid="{D1845956-F6F6-4F3B-A2A3-48FDC9EB1A27}"/>
    <cellStyle name="Normal 5 3 3 3 2 5 2 5" xfId="22172" xr:uid="{55E39C42-8462-4803-B785-2DB4411681A4}"/>
    <cellStyle name="Normal 5 3 3 3 2 5 3" xfId="6471" xr:uid="{00000000-0005-0000-0000-0000D7190000}"/>
    <cellStyle name="Normal 5 3 3 3 2 5 3 2" xfId="15797" xr:uid="{B802EEF2-25DB-4264-84B2-504AD72056A9}"/>
    <cellStyle name="Normal 5 3 3 3 2 5 3 2 2" xfId="52139" xr:uid="{C09E48A7-7891-44C4-8AD8-9731C812067A}"/>
    <cellStyle name="Normal 5 3 3 3 2 5 3 2 3" xfId="33543" xr:uid="{84F37697-9705-472A-9F1F-9A9EB0A1A066}"/>
    <cellStyle name="Normal 5 3 3 3 2 5 3 3" xfId="42842" xr:uid="{4649D960-9F95-4930-AD67-E1A33C04C398}"/>
    <cellStyle name="Normal 5 3 3 3 2 5 3 4" xfId="24244" xr:uid="{08AC2103-FB08-4851-8D5B-3223A537FA87}"/>
    <cellStyle name="Normal 5 3 3 3 2 5 4" xfId="11580" xr:uid="{C2EFD31A-0C78-4964-9EDA-E27D7DA6F887}"/>
    <cellStyle name="Normal 5 3 3 3 2 5 4 2" xfId="47922" xr:uid="{88B5FD89-6716-4524-B350-463FC081BB3C}"/>
    <cellStyle name="Normal 5 3 3 3 2 5 4 3" xfId="29326" xr:uid="{E3D865CA-EFF5-43F2-8199-45A0D37F5E07}"/>
    <cellStyle name="Normal 5 3 3 3 2 5 5" xfId="38625" xr:uid="{951BF340-7559-4211-ACC8-5D954906558C}"/>
    <cellStyle name="Normal 5 3 3 3 2 5 6" xfId="20027" xr:uid="{1273295D-FCE7-4DEC-A931-34AE804A2AD0}"/>
    <cellStyle name="Normal 5 3 3 3 2 6" xfId="2601" xr:uid="{00000000-0005-0000-0000-0000D8190000}"/>
    <cellStyle name="Normal 5 3 3 3 2 6 2" xfId="6884" xr:uid="{00000000-0005-0000-0000-0000D9190000}"/>
    <cellStyle name="Normal 5 3 3 3 2 6 2 2" xfId="16210" xr:uid="{8C739DE9-EEFC-4143-A2EF-F21322A92989}"/>
    <cellStyle name="Normal 5 3 3 3 2 6 2 2 2" xfId="52552" xr:uid="{5213E68E-DFF1-48A4-A3B3-234628D8F73D}"/>
    <cellStyle name="Normal 5 3 3 3 2 6 2 2 3" xfId="33956" xr:uid="{40A04C13-141E-49F1-BED3-69498F657DE0}"/>
    <cellStyle name="Normal 5 3 3 3 2 6 2 3" xfId="43255" xr:uid="{80A7B298-5D5B-45FC-94D5-948D27FC009E}"/>
    <cellStyle name="Normal 5 3 3 3 2 6 2 4" xfId="24657" xr:uid="{35CBDCA9-DF89-47C3-8B3F-2860DA58C633}"/>
    <cellStyle name="Normal 5 3 3 3 2 6 3" xfId="11993" xr:uid="{01F63284-6489-4019-9809-D68608A9439E}"/>
    <cellStyle name="Normal 5 3 3 3 2 6 3 2" xfId="48335" xr:uid="{E2773C18-BB8D-486A-B792-FAA8F91753C6}"/>
    <cellStyle name="Normal 5 3 3 3 2 6 3 3" xfId="29739" xr:uid="{085B9FC8-7DC1-4B12-ADCE-FBBC772D76A2}"/>
    <cellStyle name="Normal 5 3 3 3 2 6 4" xfId="39038" xr:uid="{AE73C4DE-06C7-4941-B38C-720D3FCE6A8C}"/>
    <cellStyle name="Normal 5 3 3 3 2 6 5" xfId="20440" xr:uid="{B852D12A-DF29-4A13-8DF7-4E0987D7FB6B}"/>
    <cellStyle name="Normal 5 3 3 3 2 7" xfId="4819" xr:uid="{00000000-0005-0000-0000-0000DA190000}"/>
    <cellStyle name="Normal 5 3 3 3 2 7 2" xfId="14145" xr:uid="{F9097092-9939-496C-B0C1-C43DCD14A27D}"/>
    <cellStyle name="Normal 5 3 3 3 2 7 2 2" xfId="50487" xr:uid="{7E5EA3BC-0897-4706-8738-BD1C766D8928}"/>
    <cellStyle name="Normal 5 3 3 3 2 7 2 3" xfId="31891" xr:uid="{30E46B60-D105-4DB3-AF99-EC4423B731FA}"/>
    <cellStyle name="Normal 5 3 3 3 2 7 3" xfId="41190" xr:uid="{583C0475-FEB6-4127-84D9-700BCA03C6C9}"/>
    <cellStyle name="Normal 5 3 3 3 2 7 4" xfId="22592" xr:uid="{14313D21-F783-4F8E-96D1-687B8C843493}"/>
    <cellStyle name="Normal 5 3 3 3 2 8" xfId="9092" xr:uid="{A018BC5E-3880-4BA4-8CFB-322C89A13B5F}"/>
    <cellStyle name="Normal 5 3 3 3 2 8 2" xfId="36162" xr:uid="{027B091E-F789-4BB9-9917-126CBFADA947}"/>
    <cellStyle name="Normal 5 3 3 3 2 8 2 2" xfId="54757" xr:uid="{23F700C6-68AC-45C3-B791-FB03CBBA06E2}"/>
    <cellStyle name="Normal 5 3 3 3 2 8 3" xfId="45460" xr:uid="{6EE71F32-68CD-4A03-B828-421118C15055}"/>
    <cellStyle name="Normal 5 3 3 3 2 8 4" xfId="26863" xr:uid="{A3F47CFB-52EF-4E73-8BC1-C3E75C97B76B}"/>
    <cellStyle name="Normal 5 3 3 3 2 9" xfId="9928" xr:uid="{7D485176-04C0-4D5C-8C2D-1F8A35FF73A1}"/>
    <cellStyle name="Normal 5 3 3 3 2 9 2" xfId="46270" xr:uid="{B71ED600-D8C2-4799-8252-88AA2EC86E67}"/>
    <cellStyle name="Normal 5 3 3 3 2 9 3" xfId="27674" xr:uid="{50519596-023B-49E8-974B-20F0F525FBCD}"/>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16702" xr:uid="{CBCA2B72-C561-4D7F-AB48-991C4A904982}"/>
    <cellStyle name="Normal 5 3 3 3 3 2 2 2 2" xfId="53044" xr:uid="{93BC25F4-9E34-4E06-846B-58714ED4A498}"/>
    <cellStyle name="Normal 5 3 3 3 3 2 2 2 3" xfId="34448" xr:uid="{85948FC8-43BC-4642-8C39-1DA819ECC988}"/>
    <cellStyle name="Normal 5 3 3 3 3 2 2 3" xfId="43747" xr:uid="{6E18FC8D-97E2-4AE0-ACB5-1FCB623E7DFF}"/>
    <cellStyle name="Normal 5 3 3 3 3 2 2 4" xfId="25149" xr:uid="{ED7C3B8E-88AD-4D1A-B51E-02D58AE47E11}"/>
    <cellStyle name="Normal 5 3 3 3 3 2 3" xfId="12485" xr:uid="{7DFAB0E7-9582-4685-A315-596D70A00A12}"/>
    <cellStyle name="Normal 5 3 3 3 3 2 3 2" xfId="48827" xr:uid="{96C049A6-69F8-4B43-A1EB-D05D69658B7C}"/>
    <cellStyle name="Normal 5 3 3 3 3 2 3 3" xfId="30231" xr:uid="{0A23F019-F878-4BA6-A91B-F24ED0B423BC}"/>
    <cellStyle name="Normal 5 3 3 3 3 2 4" xfId="39530" xr:uid="{830ED8E2-B28A-4473-8B94-464ED8A121A2}"/>
    <cellStyle name="Normal 5 3 3 3 3 2 5" xfId="20932" xr:uid="{4EF8AB3B-84A8-425C-A86C-7ECD8311DE1F}"/>
    <cellStyle name="Normal 5 3 3 3 3 3" xfId="5231" xr:uid="{00000000-0005-0000-0000-0000DE190000}"/>
    <cellStyle name="Normal 5 3 3 3 3 3 2" xfId="14557" xr:uid="{D8BCDB04-7D88-484E-B175-BA708E99BBE0}"/>
    <cellStyle name="Normal 5 3 3 3 3 3 2 2" xfId="50899" xr:uid="{C1982F4C-6F0B-42F7-A969-05BB33FF3417}"/>
    <cellStyle name="Normal 5 3 3 3 3 3 2 3" xfId="32303" xr:uid="{8DD7B672-7AA1-4CDF-821F-7952D246443C}"/>
    <cellStyle name="Normal 5 3 3 3 3 3 3" xfId="41602" xr:uid="{E1C99E4F-EF1B-4BE3-BDA7-6AFAD9347264}"/>
    <cellStyle name="Normal 5 3 3 3 3 3 4" xfId="23004" xr:uid="{A2AD5F12-9CB4-418B-81F9-AB9721832E0C}"/>
    <cellStyle name="Normal 5 3 3 3 3 4" xfId="9310" xr:uid="{D169C31A-17C5-4934-97DF-D90479FD2654}"/>
    <cellStyle name="Normal 5 3 3 3 3 4 2" xfId="36371" xr:uid="{6A613A2E-9698-49A7-854F-18973857AFEA}"/>
    <cellStyle name="Normal 5 3 3 3 3 4 2 2" xfId="54965" xr:uid="{529BA0E0-9F70-4BD2-9960-94161E05813B}"/>
    <cellStyle name="Normal 5 3 3 3 3 4 3" xfId="45668" xr:uid="{F6334331-F761-4CF5-BDDD-5E99696BC76C}"/>
    <cellStyle name="Normal 5 3 3 3 3 4 4" xfId="27072" xr:uid="{0500933F-D0F6-4EC2-B4FE-B820007DB613}"/>
    <cellStyle name="Normal 5 3 3 3 3 5" xfId="10340" xr:uid="{1F0E404B-FCC4-4FAC-9BE5-9FEDDF337C12}"/>
    <cellStyle name="Normal 5 3 3 3 3 5 2" xfId="46682" xr:uid="{36BE5857-3A37-46DC-BA46-750A5A37EA99}"/>
    <cellStyle name="Normal 5 3 3 3 3 5 3" xfId="28086" xr:uid="{4F13D62B-5ACA-4B7B-A4DF-22479D4530F2}"/>
    <cellStyle name="Normal 5 3 3 3 3 6" xfId="37385" xr:uid="{656D1F98-D6BE-47AF-B12F-7144F2E79C0E}"/>
    <cellStyle name="Normal 5 3 3 3 3 7" xfId="18787" xr:uid="{9B39230C-5C30-485E-85F1-08E51B8879E1}"/>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17115" xr:uid="{1F431286-0137-498E-B2D4-7D2096180CFF}"/>
    <cellStyle name="Normal 5 3 3 3 4 2 2 2 2" xfId="53457" xr:uid="{8BC9B3E3-24FD-4A5E-B416-787F547D5E9D}"/>
    <cellStyle name="Normal 5 3 3 3 4 2 2 2 3" xfId="34861" xr:uid="{A1867B3F-E2C4-4E55-A9FE-87B144779C6F}"/>
    <cellStyle name="Normal 5 3 3 3 4 2 2 3" xfId="44160" xr:uid="{DBEE3FCC-2D63-43FA-9DFE-8D94A00E91E1}"/>
    <cellStyle name="Normal 5 3 3 3 4 2 2 4" xfId="25562" xr:uid="{75A325F5-DA66-486F-AC57-28BD95ACBB96}"/>
    <cellStyle name="Normal 5 3 3 3 4 2 3" xfId="12898" xr:uid="{98BF207C-C94C-483C-AB8E-3A7E867DB580}"/>
    <cellStyle name="Normal 5 3 3 3 4 2 3 2" xfId="49240" xr:uid="{D3D80AC1-5FA4-47C6-A5F3-200A30967FA2}"/>
    <cellStyle name="Normal 5 3 3 3 4 2 3 3" xfId="30644" xr:uid="{7BA01740-E6E2-4D80-89A5-19454DAF727A}"/>
    <cellStyle name="Normal 5 3 3 3 4 2 4" xfId="39943" xr:uid="{54D29D9F-3A34-4350-B4C9-292CE183F34A}"/>
    <cellStyle name="Normal 5 3 3 3 4 2 5" xfId="21345" xr:uid="{89FF8288-E9CE-4B72-A853-BF78F4C96831}"/>
    <cellStyle name="Normal 5 3 3 3 4 3" xfId="5644" xr:uid="{00000000-0005-0000-0000-0000E2190000}"/>
    <cellStyle name="Normal 5 3 3 3 4 3 2" xfId="14970" xr:uid="{9D67CD9D-D9AB-4EF3-A614-CB1F16EA8135}"/>
    <cellStyle name="Normal 5 3 3 3 4 3 2 2" xfId="51312" xr:uid="{C2219D8A-803E-4E00-8536-6403536BE86E}"/>
    <cellStyle name="Normal 5 3 3 3 4 3 2 3" xfId="32716" xr:uid="{00E56783-78CE-4137-9925-8D24BE5E6E8C}"/>
    <cellStyle name="Normal 5 3 3 3 4 3 3" xfId="42015" xr:uid="{E201D1CA-6ABF-4C07-A85F-348DC5492DED}"/>
    <cellStyle name="Normal 5 3 3 3 4 3 4" xfId="23417" xr:uid="{6868A5CC-BEFB-4721-8080-3DB7D050C953}"/>
    <cellStyle name="Normal 5 3 3 3 4 4" xfId="10753" xr:uid="{6688B8B0-6394-49EB-B217-50948C892E22}"/>
    <cellStyle name="Normal 5 3 3 3 4 4 2" xfId="47095" xr:uid="{24CD4ECC-1659-47DC-8924-1BE9C5B8F9BC}"/>
    <cellStyle name="Normal 5 3 3 3 4 4 3" xfId="28499" xr:uid="{46BBB64B-BFA3-44CF-9DBF-72EE481CD9A9}"/>
    <cellStyle name="Normal 5 3 3 3 4 5" xfId="37798" xr:uid="{FCBCBF42-1C56-4DFF-9761-C65381557E15}"/>
    <cellStyle name="Normal 5 3 3 3 4 6" xfId="19200" xr:uid="{6E3AA825-97B4-410F-8DBB-67D7D9B68FFC}"/>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17528" xr:uid="{1ABED0FA-8160-4706-96F5-3E9F112B4C00}"/>
    <cellStyle name="Normal 5 3 3 3 5 2 2 2 2" xfId="53870" xr:uid="{41B52B38-7F51-425E-8BA0-349A3C32DC66}"/>
    <cellStyle name="Normal 5 3 3 3 5 2 2 2 3" xfId="35274" xr:uid="{472A28B6-0EB8-4E86-94B3-3FB51697E70A}"/>
    <cellStyle name="Normal 5 3 3 3 5 2 2 3" xfId="44573" xr:uid="{AB958033-06B3-4669-BD70-9AAA683632AC}"/>
    <cellStyle name="Normal 5 3 3 3 5 2 2 4" xfId="25975" xr:uid="{3ED091C4-F9F6-4BB1-BDF6-3398E463CF39}"/>
    <cellStyle name="Normal 5 3 3 3 5 2 3" xfId="13311" xr:uid="{F598A745-A412-498A-A6E7-502CBDBB1E3F}"/>
    <cellStyle name="Normal 5 3 3 3 5 2 3 2" xfId="49653" xr:uid="{083B00E3-A60A-4DBF-8FC2-5C6D6D08D19E}"/>
    <cellStyle name="Normal 5 3 3 3 5 2 3 3" xfId="31057" xr:uid="{9E67B2E2-1046-4AC9-B5A7-CB7EC95FE317}"/>
    <cellStyle name="Normal 5 3 3 3 5 2 4" xfId="40356" xr:uid="{274D1440-70DA-476B-B666-54B3DFA6812D}"/>
    <cellStyle name="Normal 5 3 3 3 5 2 5" xfId="21758" xr:uid="{39B22E27-5D13-496B-8579-7E7B76A0F246}"/>
    <cellStyle name="Normal 5 3 3 3 5 3" xfId="6057" xr:uid="{00000000-0005-0000-0000-0000E6190000}"/>
    <cellStyle name="Normal 5 3 3 3 5 3 2" xfId="15383" xr:uid="{3F06391E-4405-42B3-A4B4-66C4B557883C}"/>
    <cellStyle name="Normal 5 3 3 3 5 3 2 2" xfId="51725" xr:uid="{1BD405DC-ECA7-4B82-8A88-5282913AECAF}"/>
    <cellStyle name="Normal 5 3 3 3 5 3 2 3" xfId="33129" xr:uid="{BE0CFD07-9143-4B83-B582-B402486FFCA7}"/>
    <cellStyle name="Normal 5 3 3 3 5 3 3" xfId="42428" xr:uid="{EC4C9A0F-F4F8-4012-824F-028881AE58A4}"/>
    <cellStyle name="Normal 5 3 3 3 5 3 4" xfId="23830" xr:uid="{8E7432DA-115C-458C-9A85-1DA15D4D96D9}"/>
    <cellStyle name="Normal 5 3 3 3 5 4" xfId="11166" xr:uid="{B8CF69EF-725A-4ACF-BB79-2232AE04A880}"/>
    <cellStyle name="Normal 5 3 3 3 5 4 2" xfId="47508" xr:uid="{3098096E-4063-4A1D-AC0B-F6AC2AEC3B39}"/>
    <cellStyle name="Normal 5 3 3 3 5 4 3" xfId="28912" xr:uid="{E0576C14-846C-4934-9DEC-47F98B409F0E}"/>
    <cellStyle name="Normal 5 3 3 3 5 5" xfId="38211" xr:uid="{668C0869-0FEB-41DC-9D3F-75D27A2BF99B}"/>
    <cellStyle name="Normal 5 3 3 3 5 6" xfId="19613" xr:uid="{74CD5C39-B154-4196-A316-195B293AB558}"/>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17941" xr:uid="{053F9EE7-6862-4185-AE8C-2BB0EA727754}"/>
    <cellStyle name="Normal 5 3 3 3 6 2 2 2 2" xfId="54283" xr:uid="{54C28354-2812-44BB-B278-8D795874E202}"/>
    <cellStyle name="Normal 5 3 3 3 6 2 2 2 3" xfId="35687" xr:uid="{55EDEC07-CB87-4843-8B15-CF8C2BBA914F}"/>
    <cellStyle name="Normal 5 3 3 3 6 2 2 3" xfId="44986" xr:uid="{D6F38355-497F-4F38-92C8-A1469AB41175}"/>
    <cellStyle name="Normal 5 3 3 3 6 2 2 4" xfId="26388" xr:uid="{C01CE727-72F8-4B5E-90ED-17F2AF006CC1}"/>
    <cellStyle name="Normal 5 3 3 3 6 2 3" xfId="13724" xr:uid="{24DFF354-29EA-4A6B-B023-ADD4B554AEF7}"/>
    <cellStyle name="Normal 5 3 3 3 6 2 3 2" xfId="50066" xr:uid="{41905939-21FB-411A-9DE8-6B6092D6F9F3}"/>
    <cellStyle name="Normal 5 3 3 3 6 2 3 3" xfId="31470" xr:uid="{E37E7F9C-AB86-485C-9B37-71FF6C5A5315}"/>
    <cellStyle name="Normal 5 3 3 3 6 2 4" xfId="40769" xr:uid="{4197FB93-B7F7-4C89-AC44-B06A565EBF14}"/>
    <cellStyle name="Normal 5 3 3 3 6 2 5" xfId="22171" xr:uid="{A01AB1E9-FA66-421F-9801-C9708266F33E}"/>
    <cellStyle name="Normal 5 3 3 3 6 3" xfId="6470" xr:uid="{00000000-0005-0000-0000-0000EA190000}"/>
    <cellStyle name="Normal 5 3 3 3 6 3 2" xfId="15796" xr:uid="{8501D821-263E-4347-8248-57E681723964}"/>
    <cellStyle name="Normal 5 3 3 3 6 3 2 2" xfId="52138" xr:uid="{19FCB634-D234-4885-8DAA-C0414C138CDD}"/>
    <cellStyle name="Normal 5 3 3 3 6 3 2 3" xfId="33542" xr:uid="{D19F8369-1CA6-440B-8F2E-0E8E95FF9019}"/>
    <cellStyle name="Normal 5 3 3 3 6 3 3" xfId="42841" xr:uid="{A9F67DC3-9872-46A9-B407-B7AD54DAE1A7}"/>
    <cellStyle name="Normal 5 3 3 3 6 3 4" xfId="24243" xr:uid="{AC0E5485-EE9C-4BBE-B4D9-CB4CC0BB5F0B}"/>
    <cellStyle name="Normal 5 3 3 3 6 4" xfId="11579" xr:uid="{03ED921F-709D-4E88-90C9-C880C6F77242}"/>
    <cellStyle name="Normal 5 3 3 3 6 4 2" xfId="47921" xr:uid="{2156AF6B-DBA0-4A2C-95C4-1350207E7326}"/>
    <cellStyle name="Normal 5 3 3 3 6 4 3" xfId="29325" xr:uid="{23185B35-0B23-4EF4-8A9D-6798C4F488E3}"/>
    <cellStyle name="Normal 5 3 3 3 6 5" xfId="38624" xr:uid="{08924731-BFFC-4548-8026-95687776EC7A}"/>
    <cellStyle name="Normal 5 3 3 3 6 6" xfId="20026" xr:uid="{AA6DEA42-4D58-4B70-AA7C-296B23DD078F}"/>
    <cellStyle name="Normal 5 3 3 3 7" xfId="2600" xr:uid="{00000000-0005-0000-0000-0000EB190000}"/>
    <cellStyle name="Normal 5 3 3 3 7 2" xfId="6883" xr:uid="{00000000-0005-0000-0000-0000EC190000}"/>
    <cellStyle name="Normal 5 3 3 3 7 2 2" xfId="16209" xr:uid="{94A48529-348C-4EB0-BDDB-916836E6B5C2}"/>
    <cellStyle name="Normal 5 3 3 3 7 2 2 2" xfId="52551" xr:uid="{BF1CEF43-78CA-4616-BEA3-C1CC3E36F417}"/>
    <cellStyle name="Normal 5 3 3 3 7 2 2 3" xfId="33955" xr:uid="{2DBD907C-2909-46FA-8430-6A21C64A86EE}"/>
    <cellStyle name="Normal 5 3 3 3 7 2 3" xfId="43254" xr:uid="{6B42B6A5-9D07-4254-9F18-98525F28ADD3}"/>
    <cellStyle name="Normal 5 3 3 3 7 2 4" xfId="24656" xr:uid="{635B1A0B-EF52-4CED-9244-4E296ABF1591}"/>
    <cellStyle name="Normal 5 3 3 3 7 3" xfId="11992" xr:uid="{EC799F32-DA40-4914-88B4-FDF3CD6575BA}"/>
    <cellStyle name="Normal 5 3 3 3 7 3 2" xfId="48334" xr:uid="{1C9A8903-2686-4310-80AD-50058E5F51BE}"/>
    <cellStyle name="Normal 5 3 3 3 7 3 3" xfId="29738" xr:uid="{492753EA-54FC-404C-B518-AD0ED0CC6F84}"/>
    <cellStyle name="Normal 5 3 3 3 7 4" xfId="39037" xr:uid="{9C9DB433-655D-4A16-8EA5-60EB2D4A2E49}"/>
    <cellStyle name="Normal 5 3 3 3 7 5" xfId="20439" xr:uid="{9785870F-21AA-4020-B433-0AFC6C266CAC}"/>
    <cellStyle name="Normal 5 3 3 3 8" xfId="4818" xr:uid="{00000000-0005-0000-0000-0000ED190000}"/>
    <cellStyle name="Normal 5 3 3 3 8 2" xfId="14144" xr:uid="{053D8412-D0B6-420A-BDFD-2854FB2695BA}"/>
    <cellStyle name="Normal 5 3 3 3 8 2 2" xfId="50486" xr:uid="{AC78162A-0100-405A-BCF2-1F9AE140024C}"/>
    <cellStyle name="Normal 5 3 3 3 8 2 3" xfId="31890" xr:uid="{47A4479F-C5AC-499E-9184-0DD6D1C2CEB1}"/>
    <cellStyle name="Normal 5 3 3 3 8 3" xfId="41189" xr:uid="{4D54D01E-38E9-43D9-9E4D-803B10555738}"/>
    <cellStyle name="Normal 5 3 3 3 8 4" xfId="22591" xr:uid="{FECA868D-719D-49ED-A5BF-C4E82C83A1A5}"/>
    <cellStyle name="Normal 5 3 3 3 9" xfId="8885" xr:uid="{BFA59703-C126-4DE9-A819-9190501D5C5B}"/>
    <cellStyle name="Normal 5 3 3 3 9 2" xfId="35955" xr:uid="{C129DE7D-F5E4-4D5B-A8BC-0683C2E06223}"/>
    <cellStyle name="Normal 5 3 3 3 9 2 2" xfId="54550" xr:uid="{ADBE8017-FF9B-4713-B6A5-EECA992F60DE}"/>
    <cellStyle name="Normal 5 3 3 3 9 3" xfId="45253" xr:uid="{7EE510EA-691C-49CE-A5D0-495507D34892}"/>
    <cellStyle name="Normal 5 3 3 3 9 4" xfId="26656" xr:uid="{87954A67-8340-4300-B7A7-CD6658F45F78}"/>
    <cellStyle name="Normal 5 3 3 4" xfId="448" xr:uid="{00000000-0005-0000-0000-0000EE190000}"/>
    <cellStyle name="Normal 5 3 3 4 10" xfId="36974" xr:uid="{3EEF5729-AD70-4748-9E30-89C5FDD39181}"/>
    <cellStyle name="Normal 5 3 3 4 11" xfId="18376" xr:uid="{41F46267-1D27-4350-A5FB-D12856867DF2}"/>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16704" xr:uid="{67BC87E0-106C-4A9B-8FB4-30ADD85F0B49}"/>
    <cellStyle name="Normal 5 3 3 4 2 2 2 2 2" xfId="53046" xr:uid="{3C6AB7AD-AC25-4E29-96D4-2AAC834AACB1}"/>
    <cellStyle name="Normal 5 3 3 4 2 2 2 2 3" xfId="34450" xr:uid="{63E76F93-4EAF-478F-BE60-62A25529AD61}"/>
    <cellStyle name="Normal 5 3 3 4 2 2 2 3" xfId="43749" xr:uid="{52691FFE-FC82-4D57-A230-2297C9EF0C24}"/>
    <cellStyle name="Normal 5 3 3 4 2 2 2 4" xfId="25151" xr:uid="{D67168B1-6739-432C-98FC-3AF317C23271}"/>
    <cellStyle name="Normal 5 3 3 4 2 2 3" xfId="12487" xr:uid="{B1DA73D7-655B-4411-8CE1-B9ABA901A3A9}"/>
    <cellStyle name="Normal 5 3 3 4 2 2 3 2" xfId="48829" xr:uid="{AE295721-A187-4C94-83DD-F4AF9C4942C7}"/>
    <cellStyle name="Normal 5 3 3 4 2 2 3 3" xfId="30233" xr:uid="{D5526AC7-5B1E-4D2B-9387-9A8E75EE356F}"/>
    <cellStyle name="Normal 5 3 3 4 2 2 4" xfId="39532" xr:uid="{3B10C747-D08B-49FA-AD66-CF677CC58934}"/>
    <cellStyle name="Normal 5 3 3 4 2 2 5" xfId="20934" xr:uid="{FE73219E-2887-4509-951E-F01713E34A6E}"/>
    <cellStyle name="Normal 5 3 3 4 2 3" xfId="5233" xr:uid="{00000000-0005-0000-0000-0000F2190000}"/>
    <cellStyle name="Normal 5 3 3 4 2 3 2" xfId="14559" xr:uid="{410FEEA7-02C8-4116-AC52-74EED3882F98}"/>
    <cellStyle name="Normal 5 3 3 4 2 3 2 2" xfId="50901" xr:uid="{31620BE5-A004-40A6-A089-3D40B84A1D2F}"/>
    <cellStyle name="Normal 5 3 3 4 2 3 2 3" xfId="32305" xr:uid="{AE0EF466-2C18-4D6E-A01B-F01FA38FE55E}"/>
    <cellStyle name="Normal 5 3 3 4 2 3 3" xfId="41604" xr:uid="{617EA29C-2D54-4E27-9356-BE07C686452E}"/>
    <cellStyle name="Normal 5 3 3 4 2 3 4" xfId="23006" xr:uid="{EB897EAD-5D2B-47F7-A952-D45890F63006}"/>
    <cellStyle name="Normal 5 3 3 4 2 4" xfId="9414" xr:uid="{BD781A4C-FDA7-4D11-87F3-3D38EC19B37A}"/>
    <cellStyle name="Normal 5 3 3 4 2 4 2" xfId="36475" xr:uid="{4D630514-3F6A-4B99-B1D8-141AEF13DD74}"/>
    <cellStyle name="Normal 5 3 3 4 2 4 2 2" xfId="55069" xr:uid="{1B0EB07A-8626-4D1A-9D94-B7386FE8C1FE}"/>
    <cellStyle name="Normal 5 3 3 4 2 4 3" xfId="45772" xr:uid="{2E0BE6E1-6633-49A3-AC8C-A88B1AD29C71}"/>
    <cellStyle name="Normal 5 3 3 4 2 4 4" xfId="27176" xr:uid="{61FD3CE9-84D0-4FBD-9A56-092ED7AE0590}"/>
    <cellStyle name="Normal 5 3 3 4 2 5" xfId="10342" xr:uid="{E9BB350C-A9F6-453E-B9F5-C2E64E9F76AE}"/>
    <cellStyle name="Normal 5 3 3 4 2 5 2" xfId="46684" xr:uid="{03FE1576-803C-4C0C-B94C-4FCE0652DF4B}"/>
    <cellStyle name="Normal 5 3 3 4 2 5 3" xfId="28088" xr:uid="{90116004-397F-445D-92D5-AD5A7EC38DBD}"/>
    <cellStyle name="Normal 5 3 3 4 2 6" xfId="37387" xr:uid="{D682A675-2E40-4BB6-BF50-85BF65C3A556}"/>
    <cellStyle name="Normal 5 3 3 4 2 7" xfId="18789" xr:uid="{9B0473DF-9463-432A-A1D4-956FDAF6FF3C}"/>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17117" xr:uid="{483D9033-36BC-449B-8847-9AAD655B35F9}"/>
    <cellStyle name="Normal 5 3 3 4 3 2 2 2 2" xfId="53459" xr:uid="{D9C8C2AC-2008-4530-BDEF-3E2379A1B1CF}"/>
    <cellStyle name="Normal 5 3 3 4 3 2 2 2 3" xfId="34863" xr:uid="{7435386E-378E-4617-9AFB-81D05DC26EE9}"/>
    <cellStyle name="Normal 5 3 3 4 3 2 2 3" xfId="44162" xr:uid="{9B9B6E77-7368-4CCE-B809-CA2859D4B884}"/>
    <cellStyle name="Normal 5 3 3 4 3 2 2 4" xfId="25564" xr:uid="{E497ADDB-A835-4F11-9CDF-269D72B78527}"/>
    <cellStyle name="Normal 5 3 3 4 3 2 3" xfId="12900" xr:uid="{CCEEE0E8-2722-4BAB-A060-468B4EE47909}"/>
    <cellStyle name="Normal 5 3 3 4 3 2 3 2" xfId="49242" xr:uid="{1885F851-FAD0-46DB-9600-695E8C6A35C8}"/>
    <cellStyle name="Normal 5 3 3 4 3 2 3 3" xfId="30646" xr:uid="{E34EB46C-F127-44AC-9571-51E351554164}"/>
    <cellStyle name="Normal 5 3 3 4 3 2 4" xfId="39945" xr:uid="{2F4D9202-9A71-42BA-B752-E59C4A4E1FF9}"/>
    <cellStyle name="Normal 5 3 3 4 3 2 5" xfId="21347" xr:uid="{1AFD99B8-A8B0-411F-8B43-9D67E2D959E4}"/>
    <cellStyle name="Normal 5 3 3 4 3 3" xfId="5646" xr:uid="{00000000-0005-0000-0000-0000F6190000}"/>
    <cellStyle name="Normal 5 3 3 4 3 3 2" xfId="14972" xr:uid="{A7123E0A-0695-43A5-AE7E-CE49372B0BDF}"/>
    <cellStyle name="Normal 5 3 3 4 3 3 2 2" xfId="51314" xr:uid="{A30D548A-E1C2-4382-937E-5568E118AB48}"/>
    <cellStyle name="Normal 5 3 3 4 3 3 2 3" xfId="32718" xr:uid="{17F84D2E-6300-4CEE-A137-FEF322CE508F}"/>
    <cellStyle name="Normal 5 3 3 4 3 3 3" xfId="42017" xr:uid="{3D692446-506E-4ACA-9B8F-36A4F158357B}"/>
    <cellStyle name="Normal 5 3 3 4 3 3 4" xfId="23419" xr:uid="{A1747AC9-46C8-49F9-A22A-70D135DF2657}"/>
    <cellStyle name="Normal 5 3 3 4 3 4" xfId="10755" xr:uid="{5BB60EFB-03D5-4D56-B765-44663AB83507}"/>
    <cellStyle name="Normal 5 3 3 4 3 4 2" xfId="47097" xr:uid="{0BFA0931-C486-45FB-9D64-75FED5B23ED8}"/>
    <cellStyle name="Normal 5 3 3 4 3 4 3" xfId="28501" xr:uid="{1D806406-2EA9-4549-BA27-DB0F03FEF9F9}"/>
    <cellStyle name="Normal 5 3 3 4 3 5" xfId="37800" xr:uid="{1EE7D06F-5B42-4EE3-9056-0DFBDC064DDC}"/>
    <cellStyle name="Normal 5 3 3 4 3 6" xfId="19202" xr:uid="{1848681C-19D5-4DE6-9103-98EFB0BA5058}"/>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17530" xr:uid="{9671BF05-00B3-46F6-A1B4-2702557F27DF}"/>
    <cellStyle name="Normal 5 3 3 4 4 2 2 2 2" xfId="53872" xr:uid="{DF50AA94-1A42-4653-9EFA-D87E85C307A5}"/>
    <cellStyle name="Normal 5 3 3 4 4 2 2 2 3" xfId="35276" xr:uid="{367D36FF-E1C6-4D0A-8D0D-5A406230B410}"/>
    <cellStyle name="Normal 5 3 3 4 4 2 2 3" xfId="44575" xr:uid="{ACDCFE8E-2DE8-452F-996D-21654F2353E2}"/>
    <cellStyle name="Normal 5 3 3 4 4 2 2 4" xfId="25977" xr:uid="{103B90C4-71D6-400F-8413-705D451AB683}"/>
    <cellStyle name="Normal 5 3 3 4 4 2 3" xfId="13313" xr:uid="{52195FBA-C748-447A-88FD-7170C9AECDB5}"/>
    <cellStyle name="Normal 5 3 3 4 4 2 3 2" xfId="49655" xr:uid="{B5B6B306-9A88-4F16-8796-72A9FC36501C}"/>
    <cellStyle name="Normal 5 3 3 4 4 2 3 3" xfId="31059" xr:uid="{ED8C9B59-C394-4770-8C49-50D7DE191CAC}"/>
    <cellStyle name="Normal 5 3 3 4 4 2 4" xfId="40358" xr:uid="{C5EAAB21-30E5-4E5B-AE80-6F8C8222839B}"/>
    <cellStyle name="Normal 5 3 3 4 4 2 5" xfId="21760" xr:uid="{44B0222D-148E-4FED-8986-602C86E4A4B4}"/>
    <cellStyle name="Normal 5 3 3 4 4 3" xfId="6059" xr:uid="{00000000-0005-0000-0000-0000FA190000}"/>
    <cellStyle name="Normal 5 3 3 4 4 3 2" xfId="15385" xr:uid="{6D18CBD3-0B5F-4E8F-8694-DE8B52F8E82D}"/>
    <cellStyle name="Normal 5 3 3 4 4 3 2 2" xfId="51727" xr:uid="{086ACC3B-3796-453D-950E-086FE0D50E62}"/>
    <cellStyle name="Normal 5 3 3 4 4 3 2 3" xfId="33131" xr:uid="{B8E23547-2511-417B-93D0-A521ED0AB08C}"/>
    <cellStyle name="Normal 5 3 3 4 4 3 3" xfId="42430" xr:uid="{B8104911-AAF4-4ADE-958A-4C8A58037517}"/>
    <cellStyle name="Normal 5 3 3 4 4 3 4" xfId="23832" xr:uid="{3D6A14F1-2230-48EF-805E-FD9511C49300}"/>
    <cellStyle name="Normal 5 3 3 4 4 4" xfId="11168" xr:uid="{7D806735-D752-4F1D-9652-097A8AB88FD2}"/>
    <cellStyle name="Normal 5 3 3 4 4 4 2" xfId="47510" xr:uid="{1E2D2196-708A-47DC-BC47-054628C791CD}"/>
    <cellStyle name="Normal 5 3 3 4 4 4 3" xfId="28914" xr:uid="{66B77AD4-66BE-494A-A2DE-5BE2A56E3F25}"/>
    <cellStyle name="Normal 5 3 3 4 4 5" xfId="38213" xr:uid="{85D030B9-EEAB-44D2-8935-028D1FC02834}"/>
    <cellStyle name="Normal 5 3 3 4 4 6" xfId="19615" xr:uid="{96C937F8-F478-49D6-9BD9-5ACCA00D7CCC}"/>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17943" xr:uid="{D2936611-AA76-47A1-802E-4C379161F484}"/>
    <cellStyle name="Normal 5 3 3 4 5 2 2 2 2" xfId="54285" xr:uid="{4BDEC411-7025-47CD-97F8-F41D6A4AAE6F}"/>
    <cellStyle name="Normal 5 3 3 4 5 2 2 2 3" xfId="35689" xr:uid="{1DE9A68E-EA3D-4FEB-9576-34B398F85D02}"/>
    <cellStyle name="Normal 5 3 3 4 5 2 2 3" xfId="44988" xr:uid="{51A688AD-03A5-476B-8992-479A17EE6BE7}"/>
    <cellStyle name="Normal 5 3 3 4 5 2 2 4" xfId="26390" xr:uid="{72988273-7CA7-4CFE-B61F-9A3F237E8127}"/>
    <cellStyle name="Normal 5 3 3 4 5 2 3" xfId="13726" xr:uid="{43CD9E28-CEB4-4C58-A659-F31407819FED}"/>
    <cellStyle name="Normal 5 3 3 4 5 2 3 2" xfId="50068" xr:uid="{B958582E-4224-43D0-912F-9245E6B5EC9D}"/>
    <cellStyle name="Normal 5 3 3 4 5 2 3 3" xfId="31472" xr:uid="{7B35708B-07AF-4EC9-B69C-CE57CD394837}"/>
    <cellStyle name="Normal 5 3 3 4 5 2 4" xfId="40771" xr:uid="{77DACFBB-407A-4DBD-91A7-13B2521A90A3}"/>
    <cellStyle name="Normal 5 3 3 4 5 2 5" xfId="22173" xr:uid="{420FDA76-32DB-4B5B-AB7C-C9655B8CE16B}"/>
    <cellStyle name="Normal 5 3 3 4 5 3" xfId="6472" xr:uid="{00000000-0005-0000-0000-0000FE190000}"/>
    <cellStyle name="Normal 5 3 3 4 5 3 2" xfId="15798" xr:uid="{FAA6E090-9D8F-4EB6-B1B6-E0897ADA9F20}"/>
    <cellStyle name="Normal 5 3 3 4 5 3 2 2" xfId="52140" xr:uid="{8DA867D8-70A9-421B-99C9-890C17F32770}"/>
    <cellStyle name="Normal 5 3 3 4 5 3 2 3" xfId="33544" xr:uid="{6875C0D7-5ABE-484C-824C-F44BB52F9130}"/>
    <cellStyle name="Normal 5 3 3 4 5 3 3" xfId="42843" xr:uid="{EAC3B4E0-8B2F-4458-B008-6773A2F61816}"/>
    <cellStyle name="Normal 5 3 3 4 5 3 4" xfId="24245" xr:uid="{E93DBE32-FB3F-4BBD-9265-665363E69076}"/>
    <cellStyle name="Normal 5 3 3 4 5 4" xfId="11581" xr:uid="{49A077F8-3EB9-4404-9989-084C5CC9D0CF}"/>
    <cellStyle name="Normal 5 3 3 4 5 4 2" xfId="47923" xr:uid="{1CB4C003-9A90-457B-8BFE-19B0A8902A88}"/>
    <cellStyle name="Normal 5 3 3 4 5 4 3" xfId="29327" xr:uid="{4CCF7A59-19D8-48B2-82B9-DB4E05873D6F}"/>
    <cellStyle name="Normal 5 3 3 4 5 5" xfId="38626" xr:uid="{505A4039-4DF1-4010-B191-689C246F687E}"/>
    <cellStyle name="Normal 5 3 3 4 5 6" xfId="20028" xr:uid="{F2B731FB-647B-4CF0-9C22-60B7F9B9EC27}"/>
    <cellStyle name="Normal 5 3 3 4 6" xfId="2602" xr:uid="{00000000-0005-0000-0000-0000FF190000}"/>
    <cellStyle name="Normal 5 3 3 4 6 2" xfId="6885" xr:uid="{00000000-0005-0000-0000-0000001A0000}"/>
    <cellStyle name="Normal 5 3 3 4 6 2 2" xfId="16211" xr:uid="{E876DAD2-5452-4391-BA67-8F4618D0FC39}"/>
    <cellStyle name="Normal 5 3 3 4 6 2 2 2" xfId="52553" xr:uid="{8BE32291-035E-492C-BEC0-A6A7369C7D3D}"/>
    <cellStyle name="Normal 5 3 3 4 6 2 2 3" xfId="33957" xr:uid="{93313559-78B4-47BD-B208-ADEEDB15A05B}"/>
    <cellStyle name="Normal 5 3 3 4 6 2 3" xfId="43256" xr:uid="{E66336EE-6179-4468-BE6A-5E5787779A2C}"/>
    <cellStyle name="Normal 5 3 3 4 6 2 4" xfId="24658" xr:uid="{C91661CF-5E4C-49C6-9862-2A7577DEA426}"/>
    <cellStyle name="Normal 5 3 3 4 6 3" xfId="11994" xr:uid="{C3C50CC0-391C-4246-B13F-5F99220738B2}"/>
    <cellStyle name="Normal 5 3 3 4 6 3 2" xfId="48336" xr:uid="{E6742285-E215-4324-946E-C8C1FE459BF0}"/>
    <cellStyle name="Normal 5 3 3 4 6 3 3" xfId="29740" xr:uid="{A792A9F4-5DD5-483D-BCA1-C8EFAAAE1BEA}"/>
    <cellStyle name="Normal 5 3 3 4 6 4" xfId="39039" xr:uid="{09F97067-164C-4BA1-A1E2-CB7C56AC5899}"/>
    <cellStyle name="Normal 5 3 3 4 6 5" xfId="20441" xr:uid="{FA95D8E4-A675-4468-95DB-5736299B76E8}"/>
    <cellStyle name="Normal 5 3 3 4 7" xfId="4820" xr:uid="{00000000-0005-0000-0000-0000011A0000}"/>
    <cellStyle name="Normal 5 3 3 4 7 2" xfId="14146" xr:uid="{11EA2394-16F0-47D5-8998-EB0079D3166C}"/>
    <cellStyle name="Normal 5 3 3 4 7 2 2" xfId="50488" xr:uid="{D67CECCB-7012-4BCA-9700-0FC12F58D4D2}"/>
    <cellStyle name="Normal 5 3 3 4 7 2 3" xfId="31892" xr:uid="{1DD2384B-5733-41F0-B47D-F3EC797D78B3}"/>
    <cellStyle name="Normal 5 3 3 4 7 3" xfId="41191" xr:uid="{0EFC3894-55CB-4682-9001-67507C68B156}"/>
    <cellStyle name="Normal 5 3 3 4 7 4" xfId="22593" xr:uid="{AD43AA1A-098F-47E7-B16D-FF7B66B18DB3}"/>
    <cellStyle name="Normal 5 3 3 4 8" xfId="8989" xr:uid="{20FA1483-98E6-46C4-B00B-4EAF7957981D}"/>
    <cellStyle name="Normal 5 3 3 4 8 2" xfId="36059" xr:uid="{28BC0634-4CE4-4A6D-A3D5-343BAC12A8D6}"/>
    <cellStyle name="Normal 5 3 3 4 8 2 2" xfId="54654" xr:uid="{AFF65C4D-D45F-4233-ACB1-79560DFF1051}"/>
    <cellStyle name="Normal 5 3 3 4 8 3" xfId="45357" xr:uid="{B9A9ACAF-9C38-42D6-B324-DB3232394E72}"/>
    <cellStyle name="Normal 5 3 3 4 8 4" xfId="26760" xr:uid="{331BD125-F52C-4655-9E9F-085224F84C75}"/>
    <cellStyle name="Normal 5 3 3 4 9" xfId="9929" xr:uid="{FAFBD684-8048-4456-97BD-CBB88533CD35}"/>
    <cellStyle name="Normal 5 3 3 4 9 2" xfId="46271" xr:uid="{6CDC71A7-E78A-480F-BFFC-11F7EE1650D2}"/>
    <cellStyle name="Normal 5 3 3 4 9 3" xfId="27675" xr:uid="{8C400065-B45B-4569-8CA2-8B5553A88022}"/>
    <cellStyle name="Normal 5 3 3 5" xfId="915" xr:uid="{00000000-0005-0000-0000-0000021A0000}"/>
    <cellStyle name="Normal 5 3 3 5 2" xfId="3149" xr:uid="{00000000-0005-0000-0000-0000031A0000}"/>
    <cellStyle name="Normal 5 3 3 5 2 2" xfId="7371" xr:uid="{00000000-0005-0000-0000-0000041A0000}"/>
    <cellStyle name="Normal 5 3 3 5 2 2 2" xfId="16697" xr:uid="{8D27CE2A-3E95-4CF8-AEEB-2B593FB98F99}"/>
    <cellStyle name="Normal 5 3 3 5 2 2 2 2" xfId="53039" xr:uid="{285563F0-C874-471A-8D74-AF867876A707}"/>
    <cellStyle name="Normal 5 3 3 5 2 2 2 3" xfId="34443" xr:uid="{2545AB8B-2C57-4462-A1C0-EED085C7B026}"/>
    <cellStyle name="Normal 5 3 3 5 2 2 3" xfId="43742" xr:uid="{D8833B50-878C-4F9C-B7D7-C2F4B213DFE2}"/>
    <cellStyle name="Normal 5 3 3 5 2 2 4" xfId="25144" xr:uid="{13911BD8-987E-4FAF-A20A-613A6F71570A}"/>
    <cellStyle name="Normal 5 3 3 5 2 3" xfId="12480" xr:uid="{6BBD5C9B-F9FA-41FA-B059-A522129A2AC1}"/>
    <cellStyle name="Normal 5 3 3 5 2 3 2" xfId="48822" xr:uid="{00651EF1-1CB4-4C0D-9A2C-414473139AC0}"/>
    <cellStyle name="Normal 5 3 3 5 2 3 3" xfId="30226" xr:uid="{1FEF4493-D4B4-4A59-A4A6-AE9544C21479}"/>
    <cellStyle name="Normal 5 3 3 5 2 4" xfId="39525" xr:uid="{3B2DE0FB-A508-4DF6-8D03-CA040C79AEB3}"/>
    <cellStyle name="Normal 5 3 3 5 2 5" xfId="20927" xr:uid="{60AF866E-A8D9-4E89-AD62-632A62796F4B}"/>
    <cellStyle name="Normal 5 3 3 5 3" xfId="5226" xr:uid="{00000000-0005-0000-0000-0000051A0000}"/>
    <cellStyle name="Normal 5 3 3 5 3 2" xfId="14552" xr:uid="{EFEC115A-FE59-4A30-B263-B183BA2DE8B2}"/>
    <cellStyle name="Normal 5 3 3 5 3 2 2" xfId="50894" xr:uid="{B07FAC15-2F5D-4C78-B062-8D6B2340406D}"/>
    <cellStyle name="Normal 5 3 3 5 3 2 3" xfId="32298" xr:uid="{8C7E4D56-FD17-42F0-9560-E724B6140C96}"/>
    <cellStyle name="Normal 5 3 3 5 3 3" xfId="41597" xr:uid="{B529C04F-85E8-445D-A34E-9D0728FA6755}"/>
    <cellStyle name="Normal 5 3 3 5 3 4" xfId="22999" xr:uid="{81EF6FC6-0F6B-407B-9466-17C483FA33A5}"/>
    <cellStyle name="Normal 5 3 3 5 4" xfId="9206" xr:uid="{CA749CBB-EAB5-483B-862D-D7B95A23D45C}"/>
    <cellStyle name="Normal 5 3 3 5 4 2" xfId="36268" xr:uid="{3BB52B55-B468-44F0-A8B9-14DE008E3431}"/>
    <cellStyle name="Normal 5 3 3 5 4 2 2" xfId="54862" xr:uid="{C247B048-02C4-4B55-82DC-B743781B4659}"/>
    <cellStyle name="Normal 5 3 3 5 4 3" xfId="45565" xr:uid="{167AF372-C696-4A21-B457-B3B66E54B25A}"/>
    <cellStyle name="Normal 5 3 3 5 4 4" xfId="26969" xr:uid="{1EB907BB-EB86-4F3E-9F9A-9338CF71213D}"/>
    <cellStyle name="Normal 5 3 3 5 5" xfId="10335" xr:uid="{0FFE8579-C698-4CAA-A642-56F8D26FCDFB}"/>
    <cellStyle name="Normal 5 3 3 5 5 2" xfId="46677" xr:uid="{B67662E6-5595-4B46-9E8C-1F851FE72972}"/>
    <cellStyle name="Normal 5 3 3 5 5 3" xfId="28081" xr:uid="{BD4F7115-6400-4601-9E09-ECB248D91C02}"/>
    <cellStyle name="Normal 5 3 3 5 6" xfId="37380" xr:uid="{F2301BBB-72F3-4C0D-83A3-82661FFDB09A}"/>
    <cellStyle name="Normal 5 3 3 5 7" xfId="18782" xr:uid="{7F9C768C-F41B-46FD-AE7A-57B509DA921A}"/>
    <cellStyle name="Normal 5 3 3 6" xfId="1332" xr:uid="{00000000-0005-0000-0000-0000061A0000}"/>
    <cellStyle name="Normal 5 3 3 6 2" xfId="3562" xr:uid="{00000000-0005-0000-0000-0000071A0000}"/>
    <cellStyle name="Normal 5 3 3 6 2 2" xfId="7784" xr:uid="{00000000-0005-0000-0000-0000081A0000}"/>
    <cellStyle name="Normal 5 3 3 6 2 2 2" xfId="17110" xr:uid="{37E168B7-F2B5-48BA-9A73-8FA707ADEB11}"/>
    <cellStyle name="Normal 5 3 3 6 2 2 2 2" xfId="53452" xr:uid="{76C9EF10-1714-4EE6-B80B-4DE716922B39}"/>
    <cellStyle name="Normal 5 3 3 6 2 2 2 3" xfId="34856" xr:uid="{AEA20F4D-B838-48B2-B95A-BCA6DC166364}"/>
    <cellStyle name="Normal 5 3 3 6 2 2 3" xfId="44155" xr:uid="{934433C8-CA15-4BA6-9680-DB2FAAEDB286}"/>
    <cellStyle name="Normal 5 3 3 6 2 2 4" xfId="25557" xr:uid="{D90B64F4-A24D-4862-98E0-E7D6FA46FE9D}"/>
    <cellStyle name="Normal 5 3 3 6 2 3" xfId="12893" xr:uid="{0695A6EA-F937-4743-9719-A1927D421748}"/>
    <cellStyle name="Normal 5 3 3 6 2 3 2" xfId="49235" xr:uid="{4E5CC076-42DD-4FB9-849F-3E7E907CF083}"/>
    <cellStyle name="Normal 5 3 3 6 2 3 3" xfId="30639" xr:uid="{BB094CF8-D84E-4659-9A80-F98C95292394}"/>
    <cellStyle name="Normal 5 3 3 6 2 4" xfId="39938" xr:uid="{46EA69BB-E012-465F-85DE-0228FA955CF2}"/>
    <cellStyle name="Normal 5 3 3 6 2 5" xfId="21340" xr:uid="{76B7CC20-ECA7-4F88-BF13-A38FE26FDA5A}"/>
    <cellStyle name="Normal 5 3 3 6 3" xfId="5639" xr:uid="{00000000-0005-0000-0000-0000091A0000}"/>
    <cellStyle name="Normal 5 3 3 6 3 2" xfId="14965" xr:uid="{C51C0A8F-664A-47E8-9DF3-DF60BE38D093}"/>
    <cellStyle name="Normal 5 3 3 6 3 2 2" xfId="51307" xr:uid="{23A00E6B-6C02-4D6F-AA83-A316943B88B9}"/>
    <cellStyle name="Normal 5 3 3 6 3 2 3" xfId="32711" xr:uid="{873FD358-C29E-4993-B8D6-361FC0B99E45}"/>
    <cellStyle name="Normal 5 3 3 6 3 3" xfId="42010" xr:uid="{0254A00A-DB2A-4490-A9F1-8969C496106C}"/>
    <cellStyle name="Normal 5 3 3 6 3 4" xfId="23412" xr:uid="{C13B5F1B-DDF9-4492-8638-704075C4FAB6}"/>
    <cellStyle name="Normal 5 3 3 6 4" xfId="10748" xr:uid="{5EB59A00-4F10-41B6-841C-D55416D4329C}"/>
    <cellStyle name="Normal 5 3 3 6 4 2" xfId="47090" xr:uid="{5B2AA71C-2A47-4390-AD1B-211F31F2C7E9}"/>
    <cellStyle name="Normal 5 3 3 6 4 3" xfId="28494" xr:uid="{00B355D4-3D12-4BDB-B294-5544E071025B}"/>
    <cellStyle name="Normal 5 3 3 6 5" xfId="37793" xr:uid="{2E1D79E4-4EBD-4CA8-9C2B-4B4317B1A902}"/>
    <cellStyle name="Normal 5 3 3 6 6" xfId="19195" xr:uid="{147BC237-0E66-47EA-A3EB-6D60F797516C}"/>
    <cellStyle name="Normal 5 3 3 7" xfId="1745" xr:uid="{00000000-0005-0000-0000-00000A1A0000}"/>
    <cellStyle name="Normal 5 3 3 7 2" xfId="3975" xr:uid="{00000000-0005-0000-0000-00000B1A0000}"/>
    <cellStyle name="Normal 5 3 3 7 2 2" xfId="8197" xr:uid="{00000000-0005-0000-0000-00000C1A0000}"/>
    <cellStyle name="Normal 5 3 3 7 2 2 2" xfId="17523" xr:uid="{62662B0B-24A8-45EA-90D4-012A17C7561A}"/>
    <cellStyle name="Normal 5 3 3 7 2 2 2 2" xfId="53865" xr:uid="{CC282548-3586-4DCC-903D-DB1DB79DD3A3}"/>
    <cellStyle name="Normal 5 3 3 7 2 2 2 3" xfId="35269" xr:uid="{11868F98-39CD-4043-8D48-E6F8771CE4C7}"/>
    <cellStyle name="Normal 5 3 3 7 2 2 3" xfId="44568" xr:uid="{DFE835A9-5A9A-4B0D-B340-7499A42FA800}"/>
    <cellStyle name="Normal 5 3 3 7 2 2 4" xfId="25970" xr:uid="{DFF012EC-43CD-4CC6-AB0B-CB3E897EF4C4}"/>
    <cellStyle name="Normal 5 3 3 7 2 3" xfId="13306" xr:uid="{7C91933A-7388-410A-8559-2F438B3EFB1C}"/>
    <cellStyle name="Normal 5 3 3 7 2 3 2" xfId="49648" xr:uid="{5AA321E1-F7DD-4CE1-9B66-E3D36141EFC7}"/>
    <cellStyle name="Normal 5 3 3 7 2 3 3" xfId="31052" xr:uid="{269C676F-541E-4FB3-9DE9-37127FCCF00E}"/>
    <cellStyle name="Normal 5 3 3 7 2 4" xfId="40351" xr:uid="{2370A747-5EAA-4B3D-98C2-F10462A1CDF6}"/>
    <cellStyle name="Normal 5 3 3 7 2 5" xfId="21753" xr:uid="{38AB59AE-B126-4BD9-B2BD-99803331BA1E}"/>
    <cellStyle name="Normal 5 3 3 7 3" xfId="6052" xr:uid="{00000000-0005-0000-0000-00000D1A0000}"/>
    <cellStyle name="Normal 5 3 3 7 3 2" xfId="15378" xr:uid="{04419102-BEEA-48F1-9F1E-7D8D521EC0BE}"/>
    <cellStyle name="Normal 5 3 3 7 3 2 2" xfId="51720" xr:uid="{6308CD5B-52B3-47EA-AD0B-4127C039CC7C}"/>
    <cellStyle name="Normal 5 3 3 7 3 2 3" xfId="33124" xr:uid="{10F09718-D79F-4FD7-BE80-46C6CCA2A2F6}"/>
    <cellStyle name="Normal 5 3 3 7 3 3" xfId="42423" xr:uid="{DA3D72E0-3180-4186-B3FC-471A1CFAE5FC}"/>
    <cellStyle name="Normal 5 3 3 7 3 4" xfId="23825" xr:uid="{941ED14D-3780-4FBC-BB7F-B7DD7195EE71}"/>
    <cellStyle name="Normal 5 3 3 7 4" xfId="11161" xr:uid="{BCFCEB3B-EEE9-4A9C-92F6-4F2FF6826B5D}"/>
    <cellStyle name="Normal 5 3 3 7 4 2" xfId="47503" xr:uid="{920F303B-0AFE-4714-AF3F-79ABDC668A19}"/>
    <cellStyle name="Normal 5 3 3 7 4 3" xfId="28907" xr:uid="{556568DA-3790-4C98-B92D-4A73EB6DD352}"/>
    <cellStyle name="Normal 5 3 3 7 5" xfId="38206" xr:uid="{5AC6D76C-6F72-4A90-80E1-DE7DAF585268}"/>
    <cellStyle name="Normal 5 3 3 7 6" xfId="19608" xr:uid="{F9EE6EA1-BFB0-4E46-A690-C98D793054DA}"/>
    <cellStyle name="Normal 5 3 3 8" xfId="2159" xr:uid="{00000000-0005-0000-0000-00000E1A0000}"/>
    <cellStyle name="Normal 5 3 3 8 2" xfId="4388" xr:uid="{00000000-0005-0000-0000-00000F1A0000}"/>
    <cellStyle name="Normal 5 3 3 8 2 2" xfId="8610" xr:uid="{00000000-0005-0000-0000-0000101A0000}"/>
    <cellStyle name="Normal 5 3 3 8 2 2 2" xfId="17936" xr:uid="{263E9403-2EB3-4B2B-9D1E-7E6D4DF0A10D}"/>
    <cellStyle name="Normal 5 3 3 8 2 2 2 2" xfId="54278" xr:uid="{96B73A67-1ACD-43B3-9FAB-91493B5228E3}"/>
    <cellStyle name="Normal 5 3 3 8 2 2 2 3" xfId="35682" xr:uid="{78FEDD00-86A4-449D-A49C-AF0DF53CC65E}"/>
    <cellStyle name="Normal 5 3 3 8 2 2 3" xfId="44981" xr:uid="{76A20DC1-FDDB-4460-BAB2-01C095CB2BC2}"/>
    <cellStyle name="Normal 5 3 3 8 2 2 4" xfId="26383" xr:uid="{64BDC5AE-BBD5-420C-A758-F822E4A4F170}"/>
    <cellStyle name="Normal 5 3 3 8 2 3" xfId="13719" xr:uid="{317C3688-BF32-48D4-99CA-5117F511AFD9}"/>
    <cellStyle name="Normal 5 3 3 8 2 3 2" xfId="50061" xr:uid="{E619DAD4-24B9-4BD6-86E7-E074129609C5}"/>
    <cellStyle name="Normal 5 3 3 8 2 3 3" xfId="31465" xr:uid="{ADBC9B15-B5CE-45B2-8271-CCA2206D4FB5}"/>
    <cellStyle name="Normal 5 3 3 8 2 4" xfId="40764" xr:uid="{1C1BB3A8-6B4A-4E16-944A-9B80675865EE}"/>
    <cellStyle name="Normal 5 3 3 8 2 5" xfId="22166" xr:uid="{513B990B-F5F1-48C4-88E9-EE489E0188C3}"/>
    <cellStyle name="Normal 5 3 3 8 3" xfId="6465" xr:uid="{00000000-0005-0000-0000-0000111A0000}"/>
    <cellStyle name="Normal 5 3 3 8 3 2" xfId="15791" xr:uid="{9E0FA161-ABE8-4785-9DCF-12FE4C98A294}"/>
    <cellStyle name="Normal 5 3 3 8 3 2 2" xfId="52133" xr:uid="{2767FAB3-B46C-4E8F-8C17-098866E9472A}"/>
    <cellStyle name="Normal 5 3 3 8 3 2 3" xfId="33537" xr:uid="{775F488C-DDB8-4E5A-A85C-A51AF1EDBC9E}"/>
    <cellStyle name="Normal 5 3 3 8 3 3" xfId="42836" xr:uid="{19F5BC1C-6FE5-4819-87F9-6689BBBD135A}"/>
    <cellStyle name="Normal 5 3 3 8 3 4" xfId="24238" xr:uid="{517730EF-CD9F-4906-A852-8F61DC97C4AF}"/>
    <cellStyle name="Normal 5 3 3 8 4" xfId="11574" xr:uid="{980FA065-2DEA-4144-8FB8-74199528F930}"/>
    <cellStyle name="Normal 5 3 3 8 4 2" xfId="47916" xr:uid="{AB083887-3937-4081-88D5-D59E2C468CBA}"/>
    <cellStyle name="Normal 5 3 3 8 4 3" xfId="29320" xr:uid="{5F66BE4C-80DD-4317-9C28-3E78F1E8F469}"/>
    <cellStyle name="Normal 5 3 3 8 5" xfId="38619" xr:uid="{24674EAB-442B-40D5-8DB2-FFC8EA8FC32F}"/>
    <cellStyle name="Normal 5 3 3 8 6" xfId="20021" xr:uid="{7777BB99-E3CD-4958-978A-52F876FF4D31}"/>
    <cellStyle name="Normal 5 3 3 9" xfId="2595" xr:uid="{00000000-0005-0000-0000-0000121A0000}"/>
    <cellStyle name="Normal 5 3 3 9 2" xfId="6878" xr:uid="{00000000-0005-0000-0000-0000131A0000}"/>
    <cellStyle name="Normal 5 3 3 9 2 2" xfId="16204" xr:uid="{9BD6A04A-3092-4C21-ABF5-79709810060C}"/>
    <cellStyle name="Normal 5 3 3 9 2 2 2" xfId="52546" xr:uid="{1FD4060D-9DF4-47B9-BF38-FE93C85B27FD}"/>
    <cellStyle name="Normal 5 3 3 9 2 2 3" xfId="33950" xr:uid="{BB95AC54-E24F-4F99-86F2-6BB1809DB05C}"/>
    <cellStyle name="Normal 5 3 3 9 2 3" xfId="43249" xr:uid="{5E71F14C-CA10-4B90-B00E-E6687B42121F}"/>
    <cellStyle name="Normal 5 3 3 9 2 4" xfId="24651" xr:uid="{1517CC59-E6ED-4B7C-B4D0-4DDE010DC2FF}"/>
    <cellStyle name="Normal 5 3 3 9 3" xfId="11987" xr:uid="{31C43C60-4D49-459B-AF05-FCD581B987CF}"/>
    <cellStyle name="Normal 5 3 3 9 3 2" xfId="48329" xr:uid="{27E581C9-54BE-4B40-8892-C5A5D4719B5D}"/>
    <cellStyle name="Normal 5 3 3 9 3 3" xfId="29733" xr:uid="{64BAA605-0B06-425B-9A9B-56EA8EC9F84B}"/>
    <cellStyle name="Normal 5 3 3 9 4" xfId="39032" xr:uid="{C304C157-20D3-42DE-8A7A-CA8B114BE930}"/>
    <cellStyle name="Normal 5 3 3 9 5" xfId="20434" xr:uid="{9539777C-D7BC-435A-857D-43BF367DC614}"/>
    <cellStyle name="Normal 5 3 4" xfId="449" xr:uid="{00000000-0005-0000-0000-0000141A0000}"/>
    <cellStyle name="Normal 5 3 4 10" xfId="8831" xr:uid="{39AD872D-FBC2-4C4A-B537-79F8014E4247}"/>
    <cellStyle name="Normal 5 3 4 10 2" xfId="35901" xr:uid="{38A062A6-FFB3-45BB-8128-50C42BCB3FAB}"/>
    <cellStyle name="Normal 5 3 4 10 2 2" xfId="54496" xr:uid="{136C0B15-E710-421D-8281-5B57A5F10E17}"/>
    <cellStyle name="Normal 5 3 4 10 3" xfId="45199" xr:uid="{568464EE-46DB-4046-8CF7-FEC6E11A5C2B}"/>
    <cellStyle name="Normal 5 3 4 10 4" xfId="26602" xr:uid="{5D48E7EF-D1CA-48F3-893F-D3AC4184233E}"/>
    <cellStyle name="Normal 5 3 4 11" xfId="9930" xr:uid="{E597D165-D391-4095-AFE2-3CA0661DD57F}"/>
    <cellStyle name="Normal 5 3 4 11 2" xfId="46272" xr:uid="{52A9EB1D-639E-4A44-8CD9-D72A0E01625E}"/>
    <cellStyle name="Normal 5 3 4 11 3" xfId="27676" xr:uid="{36DF5484-6AC1-4612-BF17-4C415AC3CA67}"/>
    <cellStyle name="Normal 5 3 4 12" xfId="36975" xr:uid="{8A457E3C-BA62-4575-98B9-C5DC17B09E69}"/>
    <cellStyle name="Normal 5 3 4 13" xfId="18377" xr:uid="{792263AE-0B80-468F-8771-772728581365}"/>
    <cellStyle name="Normal 5 3 4 2" xfId="450" xr:uid="{00000000-0005-0000-0000-0000151A0000}"/>
    <cellStyle name="Normal 5 3 4 2 10" xfId="9931" xr:uid="{ABF0720E-8434-41E5-B2EB-5403D4639F80}"/>
    <cellStyle name="Normal 5 3 4 2 10 2" xfId="46273" xr:uid="{9A25E3F1-1F23-4954-9AF2-46E0ED21C84F}"/>
    <cellStyle name="Normal 5 3 4 2 10 3" xfId="27677" xr:uid="{F200208E-27A4-49AB-8693-58D3F78CD554}"/>
    <cellStyle name="Normal 5 3 4 2 11" xfId="36976" xr:uid="{DFB87E48-84B4-4383-9C56-939148532857}"/>
    <cellStyle name="Normal 5 3 4 2 12" xfId="18378" xr:uid="{25089D35-6652-49A4-ADC9-03E82BCA60FD}"/>
    <cellStyle name="Normal 5 3 4 2 2" xfId="451" xr:uid="{00000000-0005-0000-0000-0000161A0000}"/>
    <cellStyle name="Normal 5 3 4 2 2 10" xfId="36977" xr:uid="{4B28F4F6-53FD-409D-8976-4C37575B9644}"/>
    <cellStyle name="Normal 5 3 4 2 2 11" xfId="18379" xr:uid="{3A96E09A-8A12-4D26-A9E9-B0F429AD7B08}"/>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16707" xr:uid="{8C94CFF3-E646-4BD8-A6A6-A5411E26F1CB}"/>
    <cellStyle name="Normal 5 3 4 2 2 2 2 2 2 2" xfId="53049" xr:uid="{5C86C2E2-4170-4EA7-B1C2-C50DFFC4C9D7}"/>
    <cellStyle name="Normal 5 3 4 2 2 2 2 2 2 3" xfId="34453" xr:uid="{44768825-028E-4715-930D-A6BE5AE13FF9}"/>
    <cellStyle name="Normal 5 3 4 2 2 2 2 2 3" xfId="43752" xr:uid="{86263AD4-F3AC-4F4F-ACFD-46B7DAB2A26C}"/>
    <cellStyle name="Normal 5 3 4 2 2 2 2 2 4" xfId="25154" xr:uid="{20D0453E-9F22-4E36-A33A-CC3085CBA724}"/>
    <cellStyle name="Normal 5 3 4 2 2 2 2 3" xfId="12490" xr:uid="{C52DB7C0-51DE-4F97-A04B-6E8276CCF8CF}"/>
    <cellStyle name="Normal 5 3 4 2 2 2 2 3 2" xfId="48832" xr:uid="{A41D6A34-2B8C-499E-8CC3-C378DDFAF14B}"/>
    <cellStyle name="Normal 5 3 4 2 2 2 2 3 3" xfId="30236" xr:uid="{F9EF3D02-B2AF-4C78-839E-3CB01986C12D}"/>
    <cellStyle name="Normal 5 3 4 2 2 2 2 4" xfId="39535" xr:uid="{63062045-0E84-4911-9EEA-D755459585A0}"/>
    <cellStyle name="Normal 5 3 4 2 2 2 2 5" xfId="20937" xr:uid="{D40579F4-A9A9-4B25-898B-7D17E2BE224F}"/>
    <cellStyle name="Normal 5 3 4 2 2 2 3" xfId="5236" xr:uid="{00000000-0005-0000-0000-00001A1A0000}"/>
    <cellStyle name="Normal 5 3 4 2 2 2 3 2" xfId="14562" xr:uid="{F9A20131-8CCA-4989-BF22-B7487711C973}"/>
    <cellStyle name="Normal 5 3 4 2 2 2 3 2 2" xfId="50904" xr:uid="{D68B4B6F-48B0-4AAA-9824-26006CC9C2D3}"/>
    <cellStyle name="Normal 5 3 4 2 2 2 3 2 3" xfId="32308" xr:uid="{A335EAA6-AE84-4969-8775-DAE5F1FB0E88}"/>
    <cellStyle name="Normal 5 3 4 2 2 2 3 3" xfId="41607" xr:uid="{EAED7560-17D9-4CE4-8005-485E52C077CA}"/>
    <cellStyle name="Normal 5 3 4 2 2 2 3 4" xfId="23009" xr:uid="{47EF564F-C646-4172-9AF2-D74FA3E1212C}"/>
    <cellStyle name="Normal 5 3 4 2 2 2 4" xfId="9566" xr:uid="{D483C248-9680-462F-989C-42C712CD6EB7}"/>
    <cellStyle name="Normal 5 3 4 2 2 2 4 2" xfId="36627" xr:uid="{BA22CCBC-AF0A-47E3-A1E2-158F43522FB9}"/>
    <cellStyle name="Normal 5 3 4 2 2 2 4 2 2" xfId="55221" xr:uid="{A3E0855C-6097-4D6A-B785-ED76C465CD14}"/>
    <cellStyle name="Normal 5 3 4 2 2 2 4 3" xfId="45924" xr:uid="{32652C9F-84A7-4579-B385-05964C8C6797}"/>
    <cellStyle name="Normal 5 3 4 2 2 2 4 4" xfId="27328" xr:uid="{BA22E901-8FE3-41AF-8258-5D99722C6632}"/>
    <cellStyle name="Normal 5 3 4 2 2 2 5" xfId="10345" xr:uid="{95517378-AEBF-478A-ADA0-C63F0821ADD2}"/>
    <cellStyle name="Normal 5 3 4 2 2 2 5 2" xfId="46687" xr:uid="{D83B4F38-9D8F-41AF-9CC3-D048732C04B8}"/>
    <cellStyle name="Normal 5 3 4 2 2 2 5 3" xfId="28091" xr:uid="{D45E70F7-8D62-4348-B644-2E0778A321A1}"/>
    <cellStyle name="Normal 5 3 4 2 2 2 6" xfId="37390" xr:uid="{2E270428-A607-4338-99AC-E4FF1C64674A}"/>
    <cellStyle name="Normal 5 3 4 2 2 2 7" xfId="18792" xr:uid="{00891EE2-E6BE-48C8-BBCB-E3CDEC42D265}"/>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17120" xr:uid="{FAD2B848-EFFC-4B56-8294-63F3FB27A3E7}"/>
    <cellStyle name="Normal 5 3 4 2 2 3 2 2 2 2" xfId="53462" xr:uid="{719FD1A3-7232-4D92-93C4-E18F8A01A3A3}"/>
    <cellStyle name="Normal 5 3 4 2 2 3 2 2 2 3" xfId="34866" xr:uid="{612D3CD3-ACD5-4FE4-863C-CF8E229E62AE}"/>
    <cellStyle name="Normal 5 3 4 2 2 3 2 2 3" xfId="44165" xr:uid="{A71FBA80-C2FE-4D42-B5DA-D0793CF08A96}"/>
    <cellStyle name="Normal 5 3 4 2 2 3 2 2 4" xfId="25567" xr:uid="{06850B53-FCB9-4C0A-A83C-E7BC4527EAED}"/>
    <cellStyle name="Normal 5 3 4 2 2 3 2 3" xfId="12903" xr:uid="{37FC6E76-34F5-4E2C-AE67-93257AA6B709}"/>
    <cellStyle name="Normal 5 3 4 2 2 3 2 3 2" xfId="49245" xr:uid="{AD9B01C9-8C89-4D3D-A1BA-6D646C90C4CD}"/>
    <cellStyle name="Normal 5 3 4 2 2 3 2 3 3" xfId="30649" xr:uid="{39EAE663-2035-4EFC-A91C-142D29183E22}"/>
    <cellStyle name="Normal 5 3 4 2 2 3 2 4" xfId="39948" xr:uid="{43AE39F4-B5A8-4238-B8B7-EA02A042C03D}"/>
    <cellStyle name="Normal 5 3 4 2 2 3 2 5" xfId="21350" xr:uid="{6018E13C-BC38-44E9-BEB6-BC9BB5ECE592}"/>
    <cellStyle name="Normal 5 3 4 2 2 3 3" xfId="5649" xr:uid="{00000000-0005-0000-0000-00001E1A0000}"/>
    <cellStyle name="Normal 5 3 4 2 2 3 3 2" xfId="14975" xr:uid="{CFAD09A4-06EB-48E3-AC95-1831B018BEF9}"/>
    <cellStyle name="Normal 5 3 4 2 2 3 3 2 2" xfId="51317" xr:uid="{E6288424-5132-43C6-AF9D-F6C7D3459D34}"/>
    <cellStyle name="Normal 5 3 4 2 2 3 3 2 3" xfId="32721" xr:uid="{98AEFE9F-32CA-4309-ACCC-2A8B1C08F8F5}"/>
    <cellStyle name="Normal 5 3 4 2 2 3 3 3" xfId="42020" xr:uid="{91222734-C22E-4E3E-9679-7D0C866BD4A2}"/>
    <cellStyle name="Normal 5 3 4 2 2 3 3 4" xfId="23422" xr:uid="{89FE054E-23FC-4D90-85B6-45FAA9B43F23}"/>
    <cellStyle name="Normal 5 3 4 2 2 3 4" xfId="10758" xr:uid="{20D97FCE-7D36-47E9-BC88-734A00337DD6}"/>
    <cellStyle name="Normal 5 3 4 2 2 3 4 2" xfId="47100" xr:uid="{6381AEF7-58AD-42CE-B25D-0250E294A6D4}"/>
    <cellStyle name="Normal 5 3 4 2 2 3 4 3" xfId="28504" xr:uid="{09571BB3-9985-4B46-9C77-802811B7168C}"/>
    <cellStyle name="Normal 5 3 4 2 2 3 5" xfId="37803" xr:uid="{120E94D3-8072-44A6-B476-F248B26730DB}"/>
    <cellStyle name="Normal 5 3 4 2 2 3 6" xfId="19205" xr:uid="{2252E3E2-5FE1-448B-B212-25913D7ABEF4}"/>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17533" xr:uid="{5334238F-0D1F-4DA1-A583-06ECF0FA185E}"/>
    <cellStyle name="Normal 5 3 4 2 2 4 2 2 2 2" xfId="53875" xr:uid="{9BDC6F73-CA23-4753-BE1D-B30CC3F2238C}"/>
    <cellStyle name="Normal 5 3 4 2 2 4 2 2 2 3" xfId="35279" xr:uid="{B5940FB5-C886-4DF5-8F2B-0AA10A923435}"/>
    <cellStyle name="Normal 5 3 4 2 2 4 2 2 3" xfId="44578" xr:uid="{9778F4B6-A5E0-4EDF-A79F-BE95D88AB198}"/>
    <cellStyle name="Normal 5 3 4 2 2 4 2 2 4" xfId="25980" xr:uid="{8B1DA4E0-79E0-455A-A96C-74E352A37157}"/>
    <cellStyle name="Normal 5 3 4 2 2 4 2 3" xfId="13316" xr:uid="{9EC2C9B2-D67D-4502-BC49-B24516BA6880}"/>
    <cellStyle name="Normal 5 3 4 2 2 4 2 3 2" xfId="49658" xr:uid="{1C9B0C16-D8BA-472E-939F-19144256673D}"/>
    <cellStyle name="Normal 5 3 4 2 2 4 2 3 3" xfId="31062" xr:uid="{49118CFA-D7B9-42F0-A338-B76123F692FC}"/>
    <cellStyle name="Normal 5 3 4 2 2 4 2 4" xfId="40361" xr:uid="{4A41D64F-655E-4B82-97AA-9DB8E242D6C6}"/>
    <cellStyle name="Normal 5 3 4 2 2 4 2 5" xfId="21763" xr:uid="{C69189A6-AB11-4B97-B1A4-44B0439B528E}"/>
    <cellStyle name="Normal 5 3 4 2 2 4 3" xfId="6062" xr:uid="{00000000-0005-0000-0000-0000221A0000}"/>
    <cellStyle name="Normal 5 3 4 2 2 4 3 2" xfId="15388" xr:uid="{E014E1C6-DA7C-4092-87EF-0175A9A6E9FB}"/>
    <cellStyle name="Normal 5 3 4 2 2 4 3 2 2" xfId="51730" xr:uid="{D835F8CE-071B-4EF0-8467-E1B2AFA59296}"/>
    <cellStyle name="Normal 5 3 4 2 2 4 3 2 3" xfId="33134" xr:uid="{891A9130-080B-4B15-B2CD-2AE342AFEF16}"/>
    <cellStyle name="Normal 5 3 4 2 2 4 3 3" xfId="42433" xr:uid="{E175CBE4-B486-4DA3-889C-B0F4D50174DB}"/>
    <cellStyle name="Normal 5 3 4 2 2 4 3 4" xfId="23835" xr:uid="{F223A609-1B6C-4AC6-9ED7-9828C41CFEC4}"/>
    <cellStyle name="Normal 5 3 4 2 2 4 4" xfId="11171" xr:uid="{703A2ED3-8325-41A3-B69E-7634DE09DBB4}"/>
    <cellStyle name="Normal 5 3 4 2 2 4 4 2" xfId="47513" xr:uid="{B999D6BA-9A15-48ED-98D8-6DE080073484}"/>
    <cellStyle name="Normal 5 3 4 2 2 4 4 3" xfId="28917" xr:uid="{DEF4A98C-D7F4-4593-823C-11E4EACCCA8E}"/>
    <cellStyle name="Normal 5 3 4 2 2 4 5" xfId="38216" xr:uid="{220B682E-D98B-49EA-BB4B-29B2926D83C0}"/>
    <cellStyle name="Normal 5 3 4 2 2 4 6" xfId="19618" xr:uid="{6F7B55EE-C520-441C-850E-29204D6BB82E}"/>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17946" xr:uid="{CFAE9056-6B60-4FBF-B77C-763A9EA8A8B0}"/>
    <cellStyle name="Normal 5 3 4 2 2 5 2 2 2 2" xfId="54288" xr:uid="{060CAAF7-B8E6-4806-9657-D8853B804E02}"/>
    <cellStyle name="Normal 5 3 4 2 2 5 2 2 2 3" xfId="35692" xr:uid="{B132E432-EBAF-46CA-B450-41EE0E45D149}"/>
    <cellStyle name="Normal 5 3 4 2 2 5 2 2 3" xfId="44991" xr:uid="{6D634B29-7B58-4552-8C8B-4A6A50FA3E4F}"/>
    <cellStyle name="Normal 5 3 4 2 2 5 2 2 4" xfId="26393" xr:uid="{F9F9A44F-B24C-4BC6-A599-6D7F62E1026F}"/>
    <cellStyle name="Normal 5 3 4 2 2 5 2 3" xfId="13729" xr:uid="{44539999-2C89-4547-BB14-F3FDBE9E6458}"/>
    <cellStyle name="Normal 5 3 4 2 2 5 2 3 2" xfId="50071" xr:uid="{E9053C10-661F-4500-AB44-96318DC66145}"/>
    <cellStyle name="Normal 5 3 4 2 2 5 2 3 3" xfId="31475" xr:uid="{1CDFBC68-6EAE-4924-88C2-A9E373098E2D}"/>
    <cellStyle name="Normal 5 3 4 2 2 5 2 4" xfId="40774" xr:uid="{E44093A7-856A-4643-9DD2-E5812CF4BE13}"/>
    <cellStyle name="Normal 5 3 4 2 2 5 2 5" xfId="22176" xr:uid="{FB4BC901-5AE1-49F7-A69E-42F472AB20D0}"/>
    <cellStyle name="Normal 5 3 4 2 2 5 3" xfId="6475" xr:uid="{00000000-0005-0000-0000-0000261A0000}"/>
    <cellStyle name="Normal 5 3 4 2 2 5 3 2" xfId="15801" xr:uid="{D2EDDBDD-47C8-40A8-96EC-C5FEAB3EF496}"/>
    <cellStyle name="Normal 5 3 4 2 2 5 3 2 2" xfId="52143" xr:uid="{7F843537-F8AC-41CA-9AE0-C0FBCCC40D7C}"/>
    <cellStyle name="Normal 5 3 4 2 2 5 3 2 3" xfId="33547" xr:uid="{14E6AF5B-CFF3-4898-BF1A-B4173CFD4062}"/>
    <cellStyle name="Normal 5 3 4 2 2 5 3 3" xfId="42846" xr:uid="{154C0DFA-FA7E-476B-A703-C573F67FA1B1}"/>
    <cellStyle name="Normal 5 3 4 2 2 5 3 4" xfId="24248" xr:uid="{9E8E0B08-7D2B-42D0-9AB6-2DD198E32924}"/>
    <cellStyle name="Normal 5 3 4 2 2 5 4" xfId="11584" xr:uid="{723065B1-196E-4849-9675-3B2195A0248C}"/>
    <cellStyle name="Normal 5 3 4 2 2 5 4 2" xfId="47926" xr:uid="{8336ADB1-0C0E-45DC-915D-A0632C493603}"/>
    <cellStyle name="Normal 5 3 4 2 2 5 4 3" xfId="29330" xr:uid="{43F436B9-3CE1-4922-B698-D144F78491E8}"/>
    <cellStyle name="Normal 5 3 4 2 2 5 5" xfId="38629" xr:uid="{ED7379DE-9F82-413D-9091-E58EE50A649B}"/>
    <cellStyle name="Normal 5 3 4 2 2 5 6" xfId="20031" xr:uid="{8AEAA6A2-DCF0-4F73-A66F-700F94923DCA}"/>
    <cellStyle name="Normal 5 3 4 2 2 6" xfId="2605" xr:uid="{00000000-0005-0000-0000-0000271A0000}"/>
    <cellStyle name="Normal 5 3 4 2 2 6 2" xfId="6888" xr:uid="{00000000-0005-0000-0000-0000281A0000}"/>
    <cellStyle name="Normal 5 3 4 2 2 6 2 2" xfId="16214" xr:uid="{8CC16537-051C-4031-87EC-7D8946E4D3F6}"/>
    <cellStyle name="Normal 5 3 4 2 2 6 2 2 2" xfId="52556" xr:uid="{63AB8260-490A-4263-AC06-D08D865E49C0}"/>
    <cellStyle name="Normal 5 3 4 2 2 6 2 2 3" xfId="33960" xr:uid="{8945E927-F825-496D-B063-387C1C06DC3C}"/>
    <cellStyle name="Normal 5 3 4 2 2 6 2 3" xfId="43259" xr:uid="{C1B76A55-6AD7-4491-99A1-CC12A9D3EA5B}"/>
    <cellStyle name="Normal 5 3 4 2 2 6 2 4" xfId="24661" xr:uid="{36DEB118-3322-459D-A389-AFF8851E9AA3}"/>
    <cellStyle name="Normal 5 3 4 2 2 6 3" xfId="11997" xr:uid="{B893ED69-AB6B-4D98-8F4E-3E54FF9E3B07}"/>
    <cellStyle name="Normal 5 3 4 2 2 6 3 2" xfId="48339" xr:uid="{1A83732E-BEDF-4886-83F7-2B5CD5950A08}"/>
    <cellStyle name="Normal 5 3 4 2 2 6 3 3" xfId="29743" xr:uid="{9C9E4339-3D11-43D0-883F-6B2B419AAE33}"/>
    <cellStyle name="Normal 5 3 4 2 2 6 4" xfId="39042" xr:uid="{15E8ADDF-6B5A-4016-8628-B08A2C1EE072}"/>
    <cellStyle name="Normal 5 3 4 2 2 6 5" xfId="20444" xr:uid="{7B34D2D0-FB90-4B4D-84D3-ECE93FDEC8D1}"/>
    <cellStyle name="Normal 5 3 4 2 2 7" xfId="4823" xr:uid="{00000000-0005-0000-0000-0000291A0000}"/>
    <cellStyle name="Normal 5 3 4 2 2 7 2" xfId="14149" xr:uid="{FD40570B-553F-49D5-AFA7-FF2ED2E2117F}"/>
    <cellStyle name="Normal 5 3 4 2 2 7 2 2" xfId="50491" xr:uid="{86736929-57D7-4CF8-91C2-C779F615FAA1}"/>
    <cellStyle name="Normal 5 3 4 2 2 7 2 3" xfId="31895" xr:uid="{A2E0B9E9-3358-4594-AA32-AF9B11209A55}"/>
    <cellStyle name="Normal 5 3 4 2 2 7 3" xfId="41194" xr:uid="{ED8EDEA8-564E-4659-808E-7034B9BF5C09}"/>
    <cellStyle name="Normal 5 3 4 2 2 7 4" xfId="22596" xr:uid="{ABFBA77D-50B9-4042-9505-F11F72EDD773}"/>
    <cellStyle name="Normal 5 3 4 2 2 8" xfId="9141" xr:uid="{6B63A6D0-0E60-498B-8E53-451D5144533A}"/>
    <cellStyle name="Normal 5 3 4 2 2 8 2" xfId="36211" xr:uid="{0DF2D02D-508C-4E8E-8953-6C7B41C1A2FC}"/>
    <cellStyle name="Normal 5 3 4 2 2 8 2 2" xfId="54806" xr:uid="{0834AFD2-1800-4C79-9DFB-201EE1A6C02C}"/>
    <cellStyle name="Normal 5 3 4 2 2 8 3" xfId="45509" xr:uid="{103B9D56-BEA5-40EC-B57B-3287162AB943}"/>
    <cellStyle name="Normal 5 3 4 2 2 8 4" xfId="26912" xr:uid="{F5223030-BF29-40F1-9A26-09E87BF28CEB}"/>
    <cellStyle name="Normal 5 3 4 2 2 9" xfId="9932" xr:uid="{7198052B-6E7A-4467-9A78-E959495B2AB6}"/>
    <cellStyle name="Normal 5 3 4 2 2 9 2" xfId="46274" xr:uid="{5E0FDCCF-280F-4A28-B476-DBFB1D1BA116}"/>
    <cellStyle name="Normal 5 3 4 2 2 9 3" xfId="27678" xr:uid="{891B6DEF-F48C-497F-BFF9-0021AEAF765B}"/>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16706" xr:uid="{517D5CCB-76FA-49E9-9251-E8A7A5C0478F}"/>
    <cellStyle name="Normal 5 3 4 2 3 2 2 2 2" xfId="53048" xr:uid="{C64D86FF-838F-4E9D-939D-800F72F462AF}"/>
    <cellStyle name="Normal 5 3 4 2 3 2 2 2 3" xfId="34452" xr:uid="{592668B1-787C-4312-819D-BA76C118DC38}"/>
    <cellStyle name="Normal 5 3 4 2 3 2 2 3" xfId="43751" xr:uid="{2F4D52CD-6ABC-4E13-ABAE-C75309D43599}"/>
    <cellStyle name="Normal 5 3 4 2 3 2 2 4" xfId="25153" xr:uid="{91B8A8D6-3F0B-493D-869A-29005BD8897C}"/>
    <cellStyle name="Normal 5 3 4 2 3 2 3" xfId="12489" xr:uid="{3A4AAEB6-BEC5-4062-87D1-85F276D9969C}"/>
    <cellStyle name="Normal 5 3 4 2 3 2 3 2" xfId="48831" xr:uid="{7AA4217D-E2AA-442F-BB68-40925038E6E4}"/>
    <cellStyle name="Normal 5 3 4 2 3 2 3 3" xfId="30235" xr:uid="{1DAB2C2B-9C07-4896-895D-57BCA53CD286}"/>
    <cellStyle name="Normal 5 3 4 2 3 2 4" xfId="39534" xr:uid="{F2E28EA9-0773-49F4-83AE-6B7B52DE4E38}"/>
    <cellStyle name="Normal 5 3 4 2 3 2 5" xfId="20936" xr:uid="{D765D733-E6CE-41DE-92EA-D35A991CFACF}"/>
    <cellStyle name="Normal 5 3 4 2 3 3" xfId="5235" xr:uid="{00000000-0005-0000-0000-00002D1A0000}"/>
    <cellStyle name="Normal 5 3 4 2 3 3 2" xfId="14561" xr:uid="{AA9F3818-8718-410B-A518-1AE0027651F6}"/>
    <cellStyle name="Normal 5 3 4 2 3 3 2 2" xfId="50903" xr:uid="{85D64A87-BAA8-4817-ACE5-A2B8C049D138}"/>
    <cellStyle name="Normal 5 3 4 2 3 3 2 3" xfId="32307" xr:uid="{4457A076-776E-42E4-88E1-A3E9524D2A8B}"/>
    <cellStyle name="Normal 5 3 4 2 3 3 3" xfId="41606" xr:uid="{80916DBB-9304-49F6-AE56-5D1D945209AB}"/>
    <cellStyle name="Normal 5 3 4 2 3 3 4" xfId="23008" xr:uid="{D274CAB2-A195-4E53-9E9E-CA28BE4F6F96}"/>
    <cellStyle name="Normal 5 3 4 2 3 4" xfId="9359" xr:uid="{FAC41203-2BC4-411F-9296-10781BA4F1AB}"/>
    <cellStyle name="Normal 5 3 4 2 3 4 2" xfId="36420" xr:uid="{54DFE0DA-22BF-4947-94BA-BD8F91CE5C5B}"/>
    <cellStyle name="Normal 5 3 4 2 3 4 2 2" xfId="55014" xr:uid="{3D643637-BC8C-4DC9-8389-4B2FF94B145A}"/>
    <cellStyle name="Normal 5 3 4 2 3 4 3" xfId="45717" xr:uid="{6818BFCC-0355-4899-B253-70D38EBA8EDE}"/>
    <cellStyle name="Normal 5 3 4 2 3 4 4" xfId="27121" xr:uid="{66CFC201-EADC-45D5-BF5E-CA5C45B74416}"/>
    <cellStyle name="Normal 5 3 4 2 3 5" xfId="10344" xr:uid="{50213C63-1296-48F2-A8E8-4A6C3D8B8810}"/>
    <cellStyle name="Normal 5 3 4 2 3 5 2" xfId="46686" xr:uid="{549A6C34-6DDE-4E90-88C8-39CD68C9728A}"/>
    <cellStyle name="Normal 5 3 4 2 3 5 3" xfId="28090" xr:uid="{862FB519-0D10-4C37-B9DC-404CAFCE08FF}"/>
    <cellStyle name="Normal 5 3 4 2 3 6" xfId="37389" xr:uid="{F5610689-5EBE-49C0-85BE-E2CAF018A3A3}"/>
    <cellStyle name="Normal 5 3 4 2 3 7" xfId="18791" xr:uid="{C153B5F3-5182-4C5D-B798-3495D6C9337B}"/>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17119" xr:uid="{34476177-BF57-4654-8663-CC44A3A4DA89}"/>
    <cellStyle name="Normal 5 3 4 2 4 2 2 2 2" xfId="53461" xr:uid="{3DDC8D48-0E76-42E7-B143-5FB9E818635E}"/>
    <cellStyle name="Normal 5 3 4 2 4 2 2 2 3" xfId="34865" xr:uid="{B42796D2-6DDD-4282-A4B0-A063A7FC445C}"/>
    <cellStyle name="Normal 5 3 4 2 4 2 2 3" xfId="44164" xr:uid="{A7BC40C1-9247-44DE-B297-2D7FF005441B}"/>
    <cellStyle name="Normal 5 3 4 2 4 2 2 4" xfId="25566" xr:uid="{E20AB106-DE6B-4FA3-BDE3-FF30F714832A}"/>
    <cellStyle name="Normal 5 3 4 2 4 2 3" xfId="12902" xr:uid="{4A8C4270-9337-4C35-977C-EC34A85C8A32}"/>
    <cellStyle name="Normal 5 3 4 2 4 2 3 2" xfId="49244" xr:uid="{8C9536BD-D4B6-4DFF-8379-32D25CDD1A53}"/>
    <cellStyle name="Normal 5 3 4 2 4 2 3 3" xfId="30648" xr:uid="{A023DB86-D34B-4A55-92D1-D48FC721BD8C}"/>
    <cellStyle name="Normal 5 3 4 2 4 2 4" xfId="39947" xr:uid="{5E3D8659-43D9-49FA-9576-FDB93B7894ED}"/>
    <cellStyle name="Normal 5 3 4 2 4 2 5" xfId="21349" xr:uid="{9DFAB84A-E4DD-499E-96BC-A234195CB1B3}"/>
    <cellStyle name="Normal 5 3 4 2 4 3" xfId="5648" xr:uid="{00000000-0005-0000-0000-0000311A0000}"/>
    <cellStyle name="Normal 5 3 4 2 4 3 2" xfId="14974" xr:uid="{5DC7EFE2-D584-41B7-A2D5-B55BF24BD154}"/>
    <cellStyle name="Normal 5 3 4 2 4 3 2 2" xfId="51316" xr:uid="{75181737-57EB-4FAD-BCFB-584602BA4DAD}"/>
    <cellStyle name="Normal 5 3 4 2 4 3 2 3" xfId="32720" xr:uid="{06360B63-C003-48FF-BAF4-BDED8C6E758B}"/>
    <cellStyle name="Normal 5 3 4 2 4 3 3" xfId="42019" xr:uid="{85FBC627-1D45-4FD6-8051-80DA6A46D55F}"/>
    <cellStyle name="Normal 5 3 4 2 4 3 4" xfId="23421" xr:uid="{CB8BCF7E-4F42-4AB2-A636-894CD6DAE712}"/>
    <cellStyle name="Normal 5 3 4 2 4 4" xfId="10757" xr:uid="{19088165-31D7-4DE6-9FD9-B94397E39DCA}"/>
    <cellStyle name="Normal 5 3 4 2 4 4 2" xfId="47099" xr:uid="{9DEF629E-E8D3-49D6-8B34-B202A0416C30}"/>
    <cellStyle name="Normal 5 3 4 2 4 4 3" xfId="28503" xr:uid="{4AE77096-630B-4801-B412-C5786F34A9B0}"/>
    <cellStyle name="Normal 5 3 4 2 4 5" xfId="37802" xr:uid="{33BCAEAA-CDB4-4438-BE53-AABB638D669C}"/>
    <cellStyle name="Normal 5 3 4 2 4 6" xfId="19204" xr:uid="{7B1FB893-4B30-4D69-8BE3-EE7E7156C7DF}"/>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17532" xr:uid="{FD422BAE-9B73-480F-A81A-49B86692FA7E}"/>
    <cellStyle name="Normal 5 3 4 2 5 2 2 2 2" xfId="53874" xr:uid="{02525DB9-A546-49AA-85F5-CE83BAE69312}"/>
    <cellStyle name="Normal 5 3 4 2 5 2 2 2 3" xfId="35278" xr:uid="{3712748B-1085-4897-941F-6F8ECA1C654D}"/>
    <cellStyle name="Normal 5 3 4 2 5 2 2 3" xfId="44577" xr:uid="{91038A00-522D-4278-A515-DAE089832888}"/>
    <cellStyle name="Normal 5 3 4 2 5 2 2 4" xfId="25979" xr:uid="{5743C3FA-7FE1-4CF1-8381-891D685A0500}"/>
    <cellStyle name="Normal 5 3 4 2 5 2 3" xfId="13315" xr:uid="{FD25E5D2-1FC4-4782-8F6F-FF3A609C7864}"/>
    <cellStyle name="Normal 5 3 4 2 5 2 3 2" xfId="49657" xr:uid="{A75FB4BA-FE42-474C-953B-67F15A5755AA}"/>
    <cellStyle name="Normal 5 3 4 2 5 2 3 3" xfId="31061" xr:uid="{428A57AB-51E4-4E85-AB69-093E4DE2F4EE}"/>
    <cellStyle name="Normal 5 3 4 2 5 2 4" xfId="40360" xr:uid="{AC3FDD30-80AD-4E09-93B3-DA1AF6878F9C}"/>
    <cellStyle name="Normal 5 3 4 2 5 2 5" xfId="21762" xr:uid="{B3D4EEB5-F3FF-4D0C-B4C3-0E9CF9652FC2}"/>
    <cellStyle name="Normal 5 3 4 2 5 3" xfId="6061" xr:uid="{00000000-0005-0000-0000-0000351A0000}"/>
    <cellStyle name="Normal 5 3 4 2 5 3 2" xfId="15387" xr:uid="{124FB500-DF4C-44EC-AEB3-8141CE372BB5}"/>
    <cellStyle name="Normal 5 3 4 2 5 3 2 2" xfId="51729" xr:uid="{5ABDA80D-760E-456D-93CE-D68E2D23D71D}"/>
    <cellStyle name="Normal 5 3 4 2 5 3 2 3" xfId="33133" xr:uid="{81F25179-E344-4353-A4D1-EBF5BF1C31B5}"/>
    <cellStyle name="Normal 5 3 4 2 5 3 3" xfId="42432" xr:uid="{89AB6657-1191-40C9-A9D4-66B048365D6C}"/>
    <cellStyle name="Normal 5 3 4 2 5 3 4" xfId="23834" xr:uid="{DEE13CD7-C818-493E-97C6-08F2AD12F847}"/>
    <cellStyle name="Normal 5 3 4 2 5 4" xfId="11170" xr:uid="{436C1DA9-A13C-47F1-8F32-1C86754BDCC4}"/>
    <cellStyle name="Normal 5 3 4 2 5 4 2" xfId="47512" xr:uid="{C3D2E2A5-D761-44D1-9DFE-85E3BABF4BB9}"/>
    <cellStyle name="Normal 5 3 4 2 5 4 3" xfId="28916" xr:uid="{6A3282F1-28A4-4B19-8628-E24FFE22F2E6}"/>
    <cellStyle name="Normal 5 3 4 2 5 5" xfId="38215" xr:uid="{2BD80A73-3F67-4503-B536-7F940309CBFB}"/>
    <cellStyle name="Normal 5 3 4 2 5 6" xfId="19617" xr:uid="{B516E160-A9B8-4035-B92D-237186720F90}"/>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17945" xr:uid="{9EA55A3D-F74D-4006-BC01-566288C7E6DC}"/>
    <cellStyle name="Normal 5 3 4 2 6 2 2 2 2" xfId="54287" xr:uid="{C7F04EB3-5A7A-4F4D-9AD6-519ED63E9575}"/>
    <cellStyle name="Normal 5 3 4 2 6 2 2 2 3" xfId="35691" xr:uid="{3352BA3B-94E6-406D-9C99-D67283D22057}"/>
    <cellStyle name="Normal 5 3 4 2 6 2 2 3" xfId="44990" xr:uid="{210CF8D4-7108-4E56-ABF3-723D3EA4AFF0}"/>
    <cellStyle name="Normal 5 3 4 2 6 2 2 4" xfId="26392" xr:uid="{BBE0604C-9DC3-4860-B6E8-69FF21D7C717}"/>
    <cellStyle name="Normal 5 3 4 2 6 2 3" xfId="13728" xr:uid="{4589E867-DF56-455A-BC4F-72AD3BABA3A6}"/>
    <cellStyle name="Normal 5 3 4 2 6 2 3 2" xfId="50070" xr:uid="{A048A8E3-F0F4-4D42-8585-E0F4AE9A4117}"/>
    <cellStyle name="Normal 5 3 4 2 6 2 3 3" xfId="31474" xr:uid="{B9FE2361-3C6E-4B98-AEE4-27326E6D8AF0}"/>
    <cellStyle name="Normal 5 3 4 2 6 2 4" xfId="40773" xr:uid="{988264FC-A697-4B68-A5D4-C34E446E9B53}"/>
    <cellStyle name="Normal 5 3 4 2 6 2 5" xfId="22175" xr:uid="{CB376C96-25DA-4574-9369-A7BDB4451E0D}"/>
    <cellStyle name="Normal 5 3 4 2 6 3" xfId="6474" xr:uid="{00000000-0005-0000-0000-0000391A0000}"/>
    <cellStyle name="Normal 5 3 4 2 6 3 2" xfId="15800" xr:uid="{8B5D2378-1AA2-4DB2-A5EF-965050C5C3E3}"/>
    <cellStyle name="Normal 5 3 4 2 6 3 2 2" xfId="52142" xr:uid="{D641B619-EC26-4CE4-BBD8-8A39FAF540A3}"/>
    <cellStyle name="Normal 5 3 4 2 6 3 2 3" xfId="33546" xr:uid="{DF623EEC-4DF8-4B68-B000-DB122408DBB9}"/>
    <cellStyle name="Normal 5 3 4 2 6 3 3" xfId="42845" xr:uid="{CE2F4BA8-2E30-453C-85B5-8B34A7F1C9F2}"/>
    <cellStyle name="Normal 5 3 4 2 6 3 4" xfId="24247" xr:uid="{23CA7B50-A871-4C48-A06B-C6B946A1A316}"/>
    <cellStyle name="Normal 5 3 4 2 6 4" xfId="11583" xr:uid="{84D4043A-6BBF-4B47-9000-08745EC39D5F}"/>
    <cellStyle name="Normal 5 3 4 2 6 4 2" xfId="47925" xr:uid="{B98C96AE-14B0-4161-AE9E-73B3BBDE19DB}"/>
    <cellStyle name="Normal 5 3 4 2 6 4 3" xfId="29329" xr:uid="{B31116AE-5392-4ED4-BB0D-1A3429D37F59}"/>
    <cellStyle name="Normal 5 3 4 2 6 5" xfId="38628" xr:uid="{3680A5C5-8A35-41E8-A743-5991F8D45276}"/>
    <cellStyle name="Normal 5 3 4 2 6 6" xfId="20030" xr:uid="{1671A71F-58DB-428A-9A2D-8E2AFE3D55E7}"/>
    <cellStyle name="Normal 5 3 4 2 7" xfId="2604" xr:uid="{00000000-0005-0000-0000-00003A1A0000}"/>
    <cellStyle name="Normal 5 3 4 2 7 2" xfId="6887" xr:uid="{00000000-0005-0000-0000-00003B1A0000}"/>
    <cellStyle name="Normal 5 3 4 2 7 2 2" xfId="16213" xr:uid="{13DEA22A-D6E5-4D13-BE25-3390D19B97E0}"/>
    <cellStyle name="Normal 5 3 4 2 7 2 2 2" xfId="52555" xr:uid="{6D768D64-0270-44F6-AD06-BA80392FC993}"/>
    <cellStyle name="Normal 5 3 4 2 7 2 2 3" xfId="33959" xr:uid="{8E09AF01-F6B2-4F99-8960-8E25E6EFEB50}"/>
    <cellStyle name="Normal 5 3 4 2 7 2 3" xfId="43258" xr:uid="{4ADA050E-0837-460D-B49B-574D6417D442}"/>
    <cellStyle name="Normal 5 3 4 2 7 2 4" xfId="24660" xr:uid="{07225047-5849-483E-B162-B89CBFFC3CB2}"/>
    <cellStyle name="Normal 5 3 4 2 7 3" xfId="11996" xr:uid="{B905F2D0-3392-4DF8-BCF0-D7731A1C62FA}"/>
    <cellStyle name="Normal 5 3 4 2 7 3 2" xfId="48338" xr:uid="{F7A77782-59C5-41F0-A1C0-4D288ED94632}"/>
    <cellStyle name="Normal 5 3 4 2 7 3 3" xfId="29742" xr:uid="{597D31FD-FA6E-41FF-A5F7-3942DCD129A0}"/>
    <cellStyle name="Normal 5 3 4 2 7 4" xfId="39041" xr:uid="{F1315934-14AC-4096-96FF-688C8411CB68}"/>
    <cellStyle name="Normal 5 3 4 2 7 5" xfId="20443" xr:uid="{80AFA383-DF4E-4BD2-A583-86D229480339}"/>
    <cellStyle name="Normal 5 3 4 2 8" xfId="4822" xr:uid="{00000000-0005-0000-0000-00003C1A0000}"/>
    <cellStyle name="Normal 5 3 4 2 8 2" xfId="14148" xr:uid="{091E8CD1-CDE9-45CA-9635-CE04630EB16D}"/>
    <cellStyle name="Normal 5 3 4 2 8 2 2" xfId="50490" xr:uid="{A9452AC3-E817-4BF7-B0F6-6A4829EF0061}"/>
    <cellStyle name="Normal 5 3 4 2 8 2 3" xfId="31894" xr:uid="{AF83C0BD-387E-4BA1-9F28-B4A57D8687FD}"/>
    <cellStyle name="Normal 5 3 4 2 8 3" xfId="41193" xr:uid="{86DDB68C-6394-4AB8-9E0D-652A4477A39C}"/>
    <cellStyle name="Normal 5 3 4 2 8 4" xfId="22595" xr:uid="{419C3821-3BAD-4DC9-B224-CCF7CC7CE747}"/>
    <cellStyle name="Normal 5 3 4 2 9" xfId="8934" xr:uid="{D16D0DF9-4576-4200-8972-8AAD50545E0D}"/>
    <cellStyle name="Normal 5 3 4 2 9 2" xfId="36004" xr:uid="{8831BB30-B4DF-4360-96FD-2197CC10F5FC}"/>
    <cellStyle name="Normal 5 3 4 2 9 2 2" xfId="54599" xr:uid="{B9ADED3D-BF3B-4552-9F09-776395E2E9E4}"/>
    <cellStyle name="Normal 5 3 4 2 9 3" xfId="45302" xr:uid="{564527F0-397B-4550-84AA-00DBEF1511B8}"/>
    <cellStyle name="Normal 5 3 4 2 9 4" xfId="26705" xr:uid="{E62F00DB-2781-4245-9924-633CD4A5F201}"/>
    <cellStyle name="Normal 5 3 4 3" xfId="452" xr:uid="{00000000-0005-0000-0000-00003D1A0000}"/>
    <cellStyle name="Normal 5 3 4 3 10" xfId="36978" xr:uid="{02D57E26-5C27-4837-BF5E-EB9DE499B7CF}"/>
    <cellStyle name="Normal 5 3 4 3 11" xfId="18380" xr:uid="{49E8C293-FED2-47A3-9E59-DEC4E33A5952}"/>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16708" xr:uid="{BA57D88C-E939-4C11-936D-62447FFBFDD4}"/>
    <cellStyle name="Normal 5 3 4 3 2 2 2 2 2" xfId="53050" xr:uid="{F7A68C37-8B4E-45F2-9641-EC8342C5BE4F}"/>
    <cellStyle name="Normal 5 3 4 3 2 2 2 2 3" xfId="34454" xr:uid="{D64F2AF3-AE9B-42CB-A339-6B0F96F9C8AF}"/>
    <cellStyle name="Normal 5 3 4 3 2 2 2 3" xfId="43753" xr:uid="{DA771EC2-5F58-41DE-B4CC-CD489646F10B}"/>
    <cellStyle name="Normal 5 3 4 3 2 2 2 4" xfId="25155" xr:uid="{C4B0998A-D139-4A32-9522-EF0918D0DB67}"/>
    <cellStyle name="Normal 5 3 4 3 2 2 3" xfId="12491" xr:uid="{CE684023-D03F-4033-AB9D-45678E58985F}"/>
    <cellStyle name="Normal 5 3 4 3 2 2 3 2" xfId="48833" xr:uid="{72E8799A-CF9D-4556-B7D4-2F17E0D95C79}"/>
    <cellStyle name="Normal 5 3 4 3 2 2 3 3" xfId="30237" xr:uid="{E2FC0B24-B62D-4E4C-AA88-B477996F5FBF}"/>
    <cellStyle name="Normal 5 3 4 3 2 2 4" xfId="39536" xr:uid="{794F925C-14D9-4185-A319-5D88435CEB8B}"/>
    <cellStyle name="Normal 5 3 4 3 2 2 5" xfId="20938" xr:uid="{BE055C87-4857-4A7F-A044-F01C5B4A51EC}"/>
    <cellStyle name="Normal 5 3 4 3 2 3" xfId="5237" xr:uid="{00000000-0005-0000-0000-0000411A0000}"/>
    <cellStyle name="Normal 5 3 4 3 2 3 2" xfId="14563" xr:uid="{AA50B111-BD14-4AB3-A464-699D80E31693}"/>
    <cellStyle name="Normal 5 3 4 3 2 3 2 2" xfId="50905" xr:uid="{8B659AAF-86B4-45DF-82F1-EF8058771627}"/>
    <cellStyle name="Normal 5 3 4 3 2 3 2 3" xfId="32309" xr:uid="{5E86C10A-2C72-4CA4-A4E0-64233BC8A782}"/>
    <cellStyle name="Normal 5 3 4 3 2 3 3" xfId="41608" xr:uid="{408772A1-3887-4B1B-A643-8F7BA2F4FD85}"/>
    <cellStyle name="Normal 5 3 4 3 2 3 4" xfId="23010" xr:uid="{956FDFA8-F2C2-4575-A009-488A4EFE7D0F}"/>
    <cellStyle name="Normal 5 3 4 3 2 4" xfId="9463" xr:uid="{1CC38E89-013B-404F-9F3E-11BABC37F656}"/>
    <cellStyle name="Normal 5 3 4 3 2 4 2" xfId="36524" xr:uid="{76478693-7A42-4F45-B4EF-A7A2351F7E08}"/>
    <cellStyle name="Normal 5 3 4 3 2 4 2 2" xfId="55118" xr:uid="{2F4A8522-06FB-4D55-9444-676C1899E910}"/>
    <cellStyle name="Normal 5 3 4 3 2 4 3" xfId="45821" xr:uid="{278E48E4-891A-413B-B837-8B08BC6C928C}"/>
    <cellStyle name="Normal 5 3 4 3 2 4 4" xfId="27225" xr:uid="{DA02CA26-C18D-460D-A114-4AA0C45C79BD}"/>
    <cellStyle name="Normal 5 3 4 3 2 5" xfId="10346" xr:uid="{9579285C-8E04-44B3-A66D-9436C1AF5E81}"/>
    <cellStyle name="Normal 5 3 4 3 2 5 2" xfId="46688" xr:uid="{06E81700-9BD3-417A-BCEA-960503D8DD95}"/>
    <cellStyle name="Normal 5 3 4 3 2 5 3" xfId="28092" xr:uid="{EE8EBC53-038B-43DE-86EE-1098139C7F3C}"/>
    <cellStyle name="Normal 5 3 4 3 2 6" xfId="37391" xr:uid="{64806893-BE09-4796-9E5C-C24F4E8F26B1}"/>
    <cellStyle name="Normal 5 3 4 3 2 7" xfId="18793" xr:uid="{A16AF102-0AC6-4F92-91D7-89C048367D0D}"/>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17121" xr:uid="{A45DA223-E0E3-45D6-8B7D-4197A993AE08}"/>
    <cellStyle name="Normal 5 3 4 3 3 2 2 2 2" xfId="53463" xr:uid="{489E6127-0D1A-44BD-A017-2223E9E2A137}"/>
    <cellStyle name="Normal 5 3 4 3 3 2 2 2 3" xfId="34867" xr:uid="{03755C36-BDC4-456C-AA62-D7FA55D814D2}"/>
    <cellStyle name="Normal 5 3 4 3 3 2 2 3" xfId="44166" xr:uid="{C29A4620-D838-4E7B-BE45-F7DA3D4D4FC7}"/>
    <cellStyle name="Normal 5 3 4 3 3 2 2 4" xfId="25568" xr:uid="{EC203F05-988E-4D46-8CC1-30086407A5F4}"/>
    <cellStyle name="Normal 5 3 4 3 3 2 3" xfId="12904" xr:uid="{D0C581EA-7799-4012-9ECB-28377F1909D6}"/>
    <cellStyle name="Normal 5 3 4 3 3 2 3 2" xfId="49246" xr:uid="{574373BF-1B08-4704-8496-6F7750A4BEED}"/>
    <cellStyle name="Normal 5 3 4 3 3 2 3 3" xfId="30650" xr:uid="{FBFF44AF-EC39-456F-9F1A-8732943A998C}"/>
    <cellStyle name="Normal 5 3 4 3 3 2 4" xfId="39949" xr:uid="{2E336998-7A01-4FC2-BD47-C90D13CAE164}"/>
    <cellStyle name="Normal 5 3 4 3 3 2 5" xfId="21351" xr:uid="{898CAECC-B76C-4375-AE1C-FC0A5854F21F}"/>
    <cellStyle name="Normal 5 3 4 3 3 3" xfId="5650" xr:uid="{00000000-0005-0000-0000-0000451A0000}"/>
    <cellStyle name="Normal 5 3 4 3 3 3 2" xfId="14976" xr:uid="{EC0E4489-D945-405A-8648-F9B10DA70041}"/>
    <cellStyle name="Normal 5 3 4 3 3 3 2 2" xfId="51318" xr:uid="{4DB5F6CF-E80C-4BD8-8427-1558F43970D4}"/>
    <cellStyle name="Normal 5 3 4 3 3 3 2 3" xfId="32722" xr:uid="{1F1D25AF-0A39-4657-966A-FF7ED137F457}"/>
    <cellStyle name="Normal 5 3 4 3 3 3 3" xfId="42021" xr:uid="{2E6D5A16-793A-4F7C-B348-CC65EDF55235}"/>
    <cellStyle name="Normal 5 3 4 3 3 3 4" xfId="23423" xr:uid="{A4BD4163-5763-4454-B6F8-CA47CD7AADD9}"/>
    <cellStyle name="Normal 5 3 4 3 3 4" xfId="10759" xr:uid="{5640B322-DF31-48E2-8A89-86F2DB6E63BF}"/>
    <cellStyle name="Normal 5 3 4 3 3 4 2" xfId="47101" xr:uid="{1F60FF5C-EB0C-4A9A-8D6D-7D613E7467A6}"/>
    <cellStyle name="Normal 5 3 4 3 3 4 3" xfId="28505" xr:uid="{CE403FAC-E86A-4767-B01C-A1D2AFEC90BD}"/>
    <cellStyle name="Normal 5 3 4 3 3 5" xfId="37804" xr:uid="{3B7AE42C-A62B-4F83-9E02-3D37FCDE141A}"/>
    <cellStyle name="Normal 5 3 4 3 3 6" xfId="19206" xr:uid="{877812C8-0DA3-4748-B805-3B533D84B650}"/>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17534" xr:uid="{3ABC4964-792D-4ACB-8B47-9648A0AB44D0}"/>
    <cellStyle name="Normal 5 3 4 3 4 2 2 2 2" xfId="53876" xr:uid="{92463E2F-DB52-4F21-9DEA-873B1F7F614E}"/>
    <cellStyle name="Normal 5 3 4 3 4 2 2 2 3" xfId="35280" xr:uid="{461FA4A4-99F0-45AB-A60F-B6DE869C1CFE}"/>
    <cellStyle name="Normal 5 3 4 3 4 2 2 3" xfId="44579" xr:uid="{D99E5A68-7645-40E3-8083-FA7BA2A1283A}"/>
    <cellStyle name="Normal 5 3 4 3 4 2 2 4" xfId="25981" xr:uid="{91674D38-4BD2-4315-9E65-EAC0899DFC40}"/>
    <cellStyle name="Normal 5 3 4 3 4 2 3" xfId="13317" xr:uid="{13C4A840-C6D9-4135-A827-74760A5101EC}"/>
    <cellStyle name="Normal 5 3 4 3 4 2 3 2" xfId="49659" xr:uid="{E02D3683-0022-463F-8A42-CC98F14709D2}"/>
    <cellStyle name="Normal 5 3 4 3 4 2 3 3" xfId="31063" xr:uid="{7AF2E297-9732-4839-9629-1282C03C9D87}"/>
    <cellStyle name="Normal 5 3 4 3 4 2 4" xfId="40362" xr:uid="{B6274B00-8E81-46DB-AD78-3124B956D833}"/>
    <cellStyle name="Normal 5 3 4 3 4 2 5" xfId="21764" xr:uid="{99FF5A3D-63D2-4BBC-AF41-9CFF9B271624}"/>
    <cellStyle name="Normal 5 3 4 3 4 3" xfId="6063" xr:uid="{00000000-0005-0000-0000-0000491A0000}"/>
    <cellStyle name="Normal 5 3 4 3 4 3 2" xfId="15389" xr:uid="{4F0AC053-F258-4A47-A994-93CFEC0C3760}"/>
    <cellStyle name="Normal 5 3 4 3 4 3 2 2" xfId="51731" xr:uid="{06BB74D3-92C8-496A-BE92-BD393EABCB78}"/>
    <cellStyle name="Normal 5 3 4 3 4 3 2 3" xfId="33135" xr:uid="{225DEA10-5C25-4934-B735-4F39EAC81591}"/>
    <cellStyle name="Normal 5 3 4 3 4 3 3" xfId="42434" xr:uid="{076589B2-4076-47E3-9ED2-A2735AAC2BA0}"/>
    <cellStyle name="Normal 5 3 4 3 4 3 4" xfId="23836" xr:uid="{7E324F4C-6347-4AE0-B46F-D8DE2A6E8031}"/>
    <cellStyle name="Normal 5 3 4 3 4 4" xfId="11172" xr:uid="{BD3D81A9-5511-457B-A0C3-13476388ADCA}"/>
    <cellStyle name="Normal 5 3 4 3 4 4 2" xfId="47514" xr:uid="{A4830DFC-0E01-4393-A72B-87A758C8FDD6}"/>
    <cellStyle name="Normal 5 3 4 3 4 4 3" xfId="28918" xr:uid="{E8D95EFA-FF8B-442F-B344-2C58F6567088}"/>
    <cellStyle name="Normal 5 3 4 3 4 5" xfId="38217" xr:uid="{5C757CDB-5B44-46BA-9C4C-4AF837746321}"/>
    <cellStyle name="Normal 5 3 4 3 4 6" xfId="19619" xr:uid="{F5346975-BCE6-46A3-BEA1-8A5F0BC7DAE1}"/>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17947" xr:uid="{9855A264-C971-41EF-A99E-7F69E3D8FC10}"/>
    <cellStyle name="Normal 5 3 4 3 5 2 2 2 2" xfId="54289" xr:uid="{EB4F7F83-998C-41EB-850F-8FD12B088984}"/>
    <cellStyle name="Normal 5 3 4 3 5 2 2 2 3" xfId="35693" xr:uid="{13DF0E4A-23E9-4421-8EDF-A8C444A9F13B}"/>
    <cellStyle name="Normal 5 3 4 3 5 2 2 3" xfId="44992" xr:uid="{F3001D32-780E-476B-B222-553976A73A18}"/>
    <cellStyle name="Normal 5 3 4 3 5 2 2 4" xfId="26394" xr:uid="{B0673E70-99FC-4C14-A30F-1DEAD16F6179}"/>
    <cellStyle name="Normal 5 3 4 3 5 2 3" xfId="13730" xr:uid="{6E7804F4-0427-41C7-8F26-2A0E6B725BF4}"/>
    <cellStyle name="Normal 5 3 4 3 5 2 3 2" xfId="50072" xr:uid="{ECA7983B-1052-4DC6-9D98-5679F3251873}"/>
    <cellStyle name="Normal 5 3 4 3 5 2 3 3" xfId="31476" xr:uid="{1A6F6886-02A9-491E-AEB0-DDD90D4C7206}"/>
    <cellStyle name="Normal 5 3 4 3 5 2 4" xfId="40775" xr:uid="{9ED083CD-F1F0-4BF8-A44A-F6BC5937B866}"/>
    <cellStyle name="Normal 5 3 4 3 5 2 5" xfId="22177" xr:uid="{BB61356B-F6B9-48C7-96A4-C8BC40799729}"/>
    <cellStyle name="Normal 5 3 4 3 5 3" xfId="6476" xr:uid="{00000000-0005-0000-0000-00004D1A0000}"/>
    <cellStyle name="Normal 5 3 4 3 5 3 2" xfId="15802" xr:uid="{1A5F161F-105C-405C-B626-4BDB1DA3A975}"/>
    <cellStyle name="Normal 5 3 4 3 5 3 2 2" xfId="52144" xr:uid="{E21D0141-BCDA-42B1-8B9F-54EE9DE47759}"/>
    <cellStyle name="Normal 5 3 4 3 5 3 2 3" xfId="33548" xr:uid="{A9A3617C-3F41-4018-B86E-8DA64A2A01FF}"/>
    <cellStyle name="Normal 5 3 4 3 5 3 3" xfId="42847" xr:uid="{00DD9645-1DA0-40A2-98EC-4DAFB28BA612}"/>
    <cellStyle name="Normal 5 3 4 3 5 3 4" xfId="24249" xr:uid="{AAF45544-0170-4F7D-8D91-309CCFCFA1EF}"/>
    <cellStyle name="Normal 5 3 4 3 5 4" xfId="11585" xr:uid="{2637F205-EDB5-44BD-96D3-0589B1F1776B}"/>
    <cellStyle name="Normal 5 3 4 3 5 4 2" xfId="47927" xr:uid="{BA6354EC-E6FF-4B00-BA7A-0B8B1A750748}"/>
    <cellStyle name="Normal 5 3 4 3 5 4 3" xfId="29331" xr:uid="{3EFE5193-7E9F-4E06-BE94-505C62680C29}"/>
    <cellStyle name="Normal 5 3 4 3 5 5" xfId="38630" xr:uid="{D29B4E51-02FE-4C6A-BA8C-B5F978189696}"/>
    <cellStyle name="Normal 5 3 4 3 5 6" xfId="20032" xr:uid="{45CB24D8-A6C1-44FE-A1B9-C0625F8D0F5C}"/>
    <cellStyle name="Normal 5 3 4 3 6" xfId="2606" xr:uid="{00000000-0005-0000-0000-00004E1A0000}"/>
    <cellStyle name="Normal 5 3 4 3 6 2" xfId="6889" xr:uid="{00000000-0005-0000-0000-00004F1A0000}"/>
    <cellStyle name="Normal 5 3 4 3 6 2 2" xfId="16215" xr:uid="{EA00EEF7-C282-45A5-84C3-B11641E7AE9B}"/>
    <cellStyle name="Normal 5 3 4 3 6 2 2 2" xfId="52557" xr:uid="{35441AB7-82DA-4AE3-BCDA-4D7545B0D90A}"/>
    <cellStyle name="Normal 5 3 4 3 6 2 2 3" xfId="33961" xr:uid="{88F36D40-0866-4AC8-B79C-4F0051248D92}"/>
    <cellStyle name="Normal 5 3 4 3 6 2 3" xfId="43260" xr:uid="{35B6F98D-C070-48F2-89CC-B93525555647}"/>
    <cellStyle name="Normal 5 3 4 3 6 2 4" xfId="24662" xr:uid="{8B2C327D-B2A5-43B3-958E-17579E4FE32D}"/>
    <cellStyle name="Normal 5 3 4 3 6 3" xfId="11998" xr:uid="{336D87EE-6977-4B60-9072-6551AC1A8A2A}"/>
    <cellStyle name="Normal 5 3 4 3 6 3 2" xfId="48340" xr:uid="{015DA24B-A212-4752-8DA4-FA2EF60C370F}"/>
    <cellStyle name="Normal 5 3 4 3 6 3 3" xfId="29744" xr:uid="{F240F39F-19CD-4849-A54C-A3DD76717BBD}"/>
    <cellStyle name="Normal 5 3 4 3 6 4" xfId="39043" xr:uid="{B1D3A782-EB6F-479D-A9B8-C1B3CD57211C}"/>
    <cellStyle name="Normal 5 3 4 3 6 5" xfId="20445" xr:uid="{8D470BF6-E90E-4B73-910D-B42DE9FD10D6}"/>
    <cellStyle name="Normal 5 3 4 3 7" xfId="4824" xr:uid="{00000000-0005-0000-0000-0000501A0000}"/>
    <cellStyle name="Normal 5 3 4 3 7 2" xfId="14150" xr:uid="{7A23E788-C9D9-4589-87AB-D150B6EEEBF1}"/>
    <cellStyle name="Normal 5 3 4 3 7 2 2" xfId="50492" xr:uid="{BA041670-AC1F-473E-9353-FA3AA02219FC}"/>
    <cellStyle name="Normal 5 3 4 3 7 2 3" xfId="31896" xr:uid="{C0BF19E9-B935-4029-8685-E27A5E266B77}"/>
    <cellStyle name="Normal 5 3 4 3 7 3" xfId="41195" xr:uid="{23D4AD22-1BE7-45A9-8400-C2FFA6060069}"/>
    <cellStyle name="Normal 5 3 4 3 7 4" xfId="22597" xr:uid="{1A4446B4-99A7-4E03-95C8-B879AFC52892}"/>
    <cellStyle name="Normal 5 3 4 3 8" xfId="9038" xr:uid="{15024032-E3C2-4FDD-B674-481D39A836C5}"/>
    <cellStyle name="Normal 5 3 4 3 8 2" xfId="36108" xr:uid="{22908ABC-3DA6-415D-8FB4-F229F870754A}"/>
    <cellStyle name="Normal 5 3 4 3 8 2 2" xfId="54703" xr:uid="{03E62BF5-3193-4504-A503-D50EF89D6CD5}"/>
    <cellStyle name="Normal 5 3 4 3 8 3" xfId="45406" xr:uid="{A8D31E08-DB78-4F2C-A924-86199E504B56}"/>
    <cellStyle name="Normal 5 3 4 3 8 4" xfId="26809" xr:uid="{E7D7275E-5DC1-49E2-95CE-517542010BD3}"/>
    <cellStyle name="Normal 5 3 4 3 9" xfId="9933" xr:uid="{964763A4-3AF7-4B83-8586-56852356FC8A}"/>
    <cellStyle name="Normal 5 3 4 3 9 2" xfId="46275" xr:uid="{933F1143-3AAD-4A61-BA38-7C2396DE450C}"/>
    <cellStyle name="Normal 5 3 4 3 9 3" xfId="27679" xr:uid="{F1A5B243-995E-48B7-8EFE-DE96C69058F2}"/>
    <cellStyle name="Normal 5 3 4 4" xfId="923" xr:uid="{00000000-0005-0000-0000-0000511A0000}"/>
    <cellStyle name="Normal 5 3 4 4 2" xfId="3157" xr:uid="{00000000-0005-0000-0000-0000521A0000}"/>
    <cellStyle name="Normal 5 3 4 4 2 2" xfId="7379" xr:uid="{00000000-0005-0000-0000-0000531A0000}"/>
    <cellStyle name="Normal 5 3 4 4 2 2 2" xfId="16705" xr:uid="{35ADC646-341C-4A92-A17E-A221FB0231A5}"/>
    <cellStyle name="Normal 5 3 4 4 2 2 2 2" xfId="53047" xr:uid="{14A3AB48-D5B9-41E4-BE38-A1346F485E7D}"/>
    <cellStyle name="Normal 5 3 4 4 2 2 2 3" xfId="34451" xr:uid="{45576DCE-1D9B-4267-BE3E-D93E450907AA}"/>
    <cellStyle name="Normal 5 3 4 4 2 2 3" xfId="43750" xr:uid="{D16449C0-F34A-44D9-B497-7ADE2D987708}"/>
    <cellStyle name="Normal 5 3 4 4 2 2 4" xfId="25152" xr:uid="{D3080248-E098-4368-8111-9A8DE2FA706C}"/>
    <cellStyle name="Normal 5 3 4 4 2 3" xfId="12488" xr:uid="{821A6D25-3128-4782-8BEA-43B478EC2F7E}"/>
    <cellStyle name="Normal 5 3 4 4 2 3 2" xfId="48830" xr:uid="{98E0D87F-EF43-4199-A1E4-88D910FB9C2A}"/>
    <cellStyle name="Normal 5 3 4 4 2 3 3" xfId="30234" xr:uid="{91229FD5-DEE8-43EB-BFA7-8C3C095C2DAF}"/>
    <cellStyle name="Normal 5 3 4 4 2 4" xfId="39533" xr:uid="{5F9283E4-0D27-4CDF-9F72-5863CE1D9C46}"/>
    <cellStyle name="Normal 5 3 4 4 2 5" xfId="20935" xr:uid="{14B02EB5-BF6F-4DF4-8A52-0F0309C578EB}"/>
    <cellStyle name="Normal 5 3 4 4 3" xfId="5234" xr:uid="{00000000-0005-0000-0000-0000541A0000}"/>
    <cellStyle name="Normal 5 3 4 4 3 2" xfId="14560" xr:uid="{50F7F4BE-3D2D-4FB7-97CA-07EB126307D5}"/>
    <cellStyle name="Normal 5 3 4 4 3 2 2" xfId="50902" xr:uid="{166E7C73-3FCF-41FF-B334-D44D2AB87B04}"/>
    <cellStyle name="Normal 5 3 4 4 3 2 3" xfId="32306" xr:uid="{7B813ADA-A272-497B-8260-221B6FFE13CA}"/>
    <cellStyle name="Normal 5 3 4 4 3 3" xfId="41605" xr:uid="{0250BBEE-402D-4D56-806E-06ED7608D5AA}"/>
    <cellStyle name="Normal 5 3 4 4 3 4" xfId="23007" xr:uid="{2F207DB7-1801-47E1-BD80-2A3D75092EB2}"/>
    <cellStyle name="Normal 5 3 4 4 4" xfId="9256" xr:uid="{69A14F57-2B46-4294-8CA5-E21858516C25}"/>
    <cellStyle name="Normal 5 3 4 4 4 2" xfId="36317" xr:uid="{6D3A95EC-A816-4F7E-8BFC-A29AEF9144D3}"/>
    <cellStyle name="Normal 5 3 4 4 4 2 2" xfId="54911" xr:uid="{026534B7-3A2F-4FF0-A444-C989E0497EE5}"/>
    <cellStyle name="Normal 5 3 4 4 4 3" xfId="45614" xr:uid="{5C2501A3-F52C-4702-8192-2BB2E1DCEED6}"/>
    <cellStyle name="Normal 5 3 4 4 4 4" xfId="27018" xr:uid="{88387ABE-811D-422E-8AF7-E5427D9B689A}"/>
    <cellStyle name="Normal 5 3 4 4 5" xfId="10343" xr:uid="{A2C2365F-1CD9-4DD7-A61A-5455FE8203B1}"/>
    <cellStyle name="Normal 5 3 4 4 5 2" xfId="46685" xr:uid="{C4C19DF5-1407-4B96-B753-AF4C7E3CB60F}"/>
    <cellStyle name="Normal 5 3 4 4 5 3" xfId="28089" xr:uid="{4AD5C28C-CBD6-4116-A5C0-222ED77A3DC9}"/>
    <cellStyle name="Normal 5 3 4 4 6" xfId="37388" xr:uid="{329E6CB5-4CFC-4211-BEC6-DD4B9AA97DC8}"/>
    <cellStyle name="Normal 5 3 4 4 7" xfId="18790" xr:uid="{6FBAB6ED-6B7B-4A1F-956F-470596D7D210}"/>
    <cellStyle name="Normal 5 3 4 5" xfId="1340" xr:uid="{00000000-0005-0000-0000-0000551A0000}"/>
    <cellStyle name="Normal 5 3 4 5 2" xfId="3570" xr:uid="{00000000-0005-0000-0000-0000561A0000}"/>
    <cellStyle name="Normal 5 3 4 5 2 2" xfId="7792" xr:uid="{00000000-0005-0000-0000-0000571A0000}"/>
    <cellStyle name="Normal 5 3 4 5 2 2 2" xfId="17118" xr:uid="{A4607AE9-FDC8-4CF0-9A30-97840F89FC1C}"/>
    <cellStyle name="Normal 5 3 4 5 2 2 2 2" xfId="53460" xr:uid="{B4D8B3B6-54FE-42F0-8EB8-4F577AF63D6D}"/>
    <cellStyle name="Normal 5 3 4 5 2 2 2 3" xfId="34864" xr:uid="{3C4D9A33-440D-4377-BD99-C4F81893403A}"/>
    <cellStyle name="Normal 5 3 4 5 2 2 3" xfId="44163" xr:uid="{BB22336C-E3D8-4763-A5FF-5732EF8B68DB}"/>
    <cellStyle name="Normal 5 3 4 5 2 2 4" xfId="25565" xr:uid="{46FE4FE3-FD77-4FBD-948C-E1126B83CF54}"/>
    <cellStyle name="Normal 5 3 4 5 2 3" xfId="12901" xr:uid="{C8482457-592F-42E3-9C04-8F951D3FBD75}"/>
    <cellStyle name="Normal 5 3 4 5 2 3 2" xfId="49243" xr:uid="{90ED9E19-BB0E-4D1F-81A4-8A68D74F40EA}"/>
    <cellStyle name="Normal 5 3 4 5 2 3 3" xfId="30647" xr:uid="{CB27311E-FF73-48A6-8BA0-F8B748F3886C}"/>
    <cellStyle name="Normal 5 3 4 5 2 4" xfId="39946" xr:uid="{6294E660-FE7A-43F9-8559-B26DF2AA7ABA}"/>
    <cellStyle name="Normal 5 3 4 5 2 5" xfId="21348" xr:uid="{39033464-0DF8-4E04-9181-F2F225E9FC01}"/>
    <cellStyle name="Normal 5 3 4 5 3" xfId="5647" xr:uid="{00000000-0005-0000-0000-0000581A0000}"/>
    <cellStyle name="Normal 5 3 4 5 3 2" xfId="14973" xr:uid="{3F586D2E-6721-4472-9AD4-739755B17B8E}"/>
    <cellStyle name="Normal 5 3 4 5 3 2 2" xfId="51315" xr:uid="{708B000E-089A-4C07-9185-4D1C5082F63F}"/>
    <cellStyle name="Normal 5 3 4 5 3 2 3" xfId="32719" xr:uid="{F44ABE76-0E39-479A-875B-652C7E2A207E}"/>
    <cellStyle name="Normal 5 3 4 5 3 3" xfId="42018" xr:uid="{46B0BFE8-01BC-4A26-ADF2-F9DAA1D12FD8}"/>
    <cellStyle name="Normal 5 3 4 5 3 4" xfId="23420" xr:uid="{6C13D921-FFCF-4418-A0D4-04B5DD4C5C74}"/>
    <cellStyle name="Normal 5 3 4 5 4" xfId="10756" xr:uid="{79E480C0-3665-4084-A018-88C0417570CA}"/>
    <cellStyle name="Normal 5 3 4 5 4 2" xfId="47098" xr:uid="{62E5E7EA-A095-4AB8-B5E2-6838BC76385E}"/>
    <cellStyle name="Normal 5 3 4 5 4 3" xfId="28502" xr:uid="{358170E8-5BC2-4344-94EC-211A8E460265}"/>
    <cellStyle name="Normal 5 3 4 5 5" xfId="37801" xr:uid="{E249E435-88D8-4724-82B2-A9340D91E656}"/>
    <cellStyle name="Normal 5 3 4 5 6" xfId="19203" xr:uid="{BCD667DC-A544-45F9-B403-4D3E227D78EF}"/>
    <cellStyle name="Normal 5 3 4 6" xfId="1753" xr:uid="{00000000-0005-0000-0000-0000591A0000}"/>
    <cellStyle name="Normal 5 3 4 6 2" xfId="3983" xr:uid="{00000000-0005-0000-0000-00005A1A0000}"/>
    <cellStyle name="Normal 5 3 4 6 2 2" xfId="8205" xr:uid="{00000000-0005-0000-0000-00005B1A0000}"/>
    <cellStyle name="Normal 5 3 4 6 2 2 2" xfId="17531" xr:uid="{6E9CEAEB-5DEA-4C06-806F-03D132A6FACB}"/>
    <cellStyle name="Normal 5 3 4 6 2 2 2 2" xfId="53873" xr:uid="{5B9A1347-EB7C-4CDD-9F7F-A78037D4CD1C}"/>
    <cellStyle name="Normal 5 3 4 6 2 2 2 3" xfId="35277" xr:uid="{02223F8B-3A20-4B86-80A0-D845791283FE}"/>
    <cellStyle name="Normal 5 3 4 6 2 2 3" xfId="44576" xr:uid="{BA1B0FBB-4173-4AF7-8DBA-4DCD9A623EA3}"/>
    <cellStyle name="Normal 5 3 4 6 2 2 4" xfId="25978" xr:uid="{D445E127-C8B1-4D22-9D69-29173557A9BF}"/>
    <cellStyle name="Normal 5 3 4 6 2 3" xfId="13314" xr:uid="{6BA1E0CE-9516-4BBA-855A-A9718218A7D9}"/>
    <cellStyle name="Normal 5 3 4 6 2 3 2" xfId="49656" xr:uid="{883BD845-7C01-4144-843F-B0F6CC16BCF2}"/>
    <cellStyle name="Normal 5 3 4 6 2 3 3" xfId="31060" xr:uid="{034A3085-C593-4941-BDBB-A585AD84F686}"/>
    <cellStyle name="Normal 5 3 4 6 2 4" xfId="40359" xr:uid="{74CB77D5-46CD-4EBE-9404-38D16DF3699D}"/>
    <cellStyle name="Normal 5 3 4 6 2 5" xfId="21761" xr:uid="{3E2381CF-1121-479B-A80C-8533CAFC66BE}"/>
    <cellStyle name="Normal 5 3 4 6 3" xfId="6060" xr:uid="{00000000-0005-0000-0000-00005C1A0000}"/>
    <cellStyle name="Normal 5 3 4 6 3 2" xfId="15386" xr:uid="{1C3FF07C-2E3C-4BDF-B4F6-F48C8FB49869}"/>
    <cellStyle name="Normal 5 3 4 6 3 2 2" xfId="51728" xr:uid="{F3F0758A-F9FC-4189-A2E1-472B5A82B46F}"/>
    <cellStyle name="Normal 5 3 4 6 3 2 3" xfId="33132" xr:uid="{2C94852F-C3FF-439E-9E78-B551A3725732}"/>
    <cellStyle name="Normal 5 3 4 6 3 3" xfId="42431" xr:uid="{13E1DF83-92CE-4081-97BB-C305886D57F3}"/>
    <cellStyle name="Normal 5 3 4 6 3 4" xfId="23833" xr:uid="{19C4B742-D8E6-42CF-A10E-570601546B92}"/>
    <cellStyle name="Normal 5 3 4 6 4" xfId="11169" xr:uid="{0C91E3BA-F0DC-4446-9E00-3732D18D4A2A}"/>
    <cellStyle name="Normal 5 3 4 6 4 2" xfId="47511" xr:uid="{4E5FC2C7-46C4-4E09-B9E7-580F757675A8}"/>
    <cellStyle name="Normal 5 3 4 6 4 3" xfId="28915" xr:uid="{C8FFCE6F-C0EE-4C26-8391-277840D61DC8}"/>
    <cellStyle name="Normal 5 3 4 6 5" xfId="38214" xr:uid="{7406AB8C-E469-4DC2-903C-7AAF4AFA5ACC}"/>
    <cellStyle name="Normal 5 3 4 6 6" xfId="19616" xr:uid="{64877A0B-4089-483B-BD34-C8E0CE9774F8}"/>
    <cellStyle name="Normal 5 3 4 7" xfId="2167" xr:uid="{00000000-0005-0000-0000-00005D1A0000}"/>
    <cellStyle name="Normal 5 3 4 7 2" xfId="4396" xr:uid="{00000000-0005-0000-0000-00005E1A0000}"/>
    <cellStyle name="Normal 5 3 4 7 2 2" xfId="8618" xr:uid="{00000000-0005-0000-0000-00005F1A0000}"/>
    <cellStyle name="Normal 5 3 4 7 2 2 2" xfId="17944" xr:uid="{C5708D7B-55EC-4E22-A469-2AB12B3C8EF7}"/>
    <cellStyle name="Normal 5 3 4 7 2 2 2 2" xfId="54286" xr:uid="{2DDBAF6A-AEC9-4C3B-A90D-33C4280563D1}"/>
    <cellStyle name="Normal 5 3 4 7 2 2 2 3" xfId="35690" xr:uid="{8E085103-A4C7-4064-88AA-6D5DEC08250B}"/>
    <cellStyle name="Normal 5 3 4 7 2 2 3" xfId="44989" xr:uid="{6AD6EAD4-8F10-4854-8109-028DC908024A}"/>
    <cellStyle name="Normal 5 3 4 7 2 2 4" xfId="26391" xr:uid="{4B8150D0-7DD7-4393-A5EA-BD8B171EAB4D}"/>
    <cellStyle name="Normal 5 3 4 7 2 3" xfId="13727" xr:uid="{C7199AD3-357C-44A3-86FB-F5B8370C000B}"/>
    <cellStyle name="Normal 5 3 4 7 2 3 2" xfId="50069" xr:uid="{DD75D949-0CF7-4BEE-845B-29A610D1EEB6}"/>
    <cellStyle name="Normal 5 3 4 7 2 3 3" xfId="31473" xr:uid="{A666E33C-5849-4CF0-AACB-55167498E14E}"/>
    <cellStyle name="Normal 5 3 4 7 2 4" xfId="40772" xr:uid="{6E4DA965-43AB-4C00-9501-ACF923E3E338}"/>
    <cellStyle name="Normal 5 3 4 7 2 5" xfId="22174" xr:uid="{062EFAC4-40F6-42CB-BF2D-64D0707A5490}"/>
    <cellStyle name="Normal 5 3 4 7 3" xfId="6473" xr:uid="{00000000-0005-0000-0000-0000601A0000}"/>
    <cellStyle name="Normal 5 3 4 7 3 2" xfId="15799" xr:uid="{584B40D4-A22F-46E9-AEBA-486F1320FDF0}"/>
    <cellStyle name="Normal 5 3 4 7 3 2 2" xfId="52141" xr:uid="{2F00BABD-FBC0-4807-A13C-4685F4663AE5}"/>
    <cellStyle name="Normal 5 3 4 7 3 2 3" xfId="33545" xr:uid="{1E488C2F-9BD1-4FFA-B0CE-ED9F534B09E3}"/>
    <cellStyle name="Normal 5 3 4 7 3 3" xfId="42844" xr:uid="{47BA1250-F8F6-44DA-8653-A9B8D3DF6291}"/>
    <cellStyle name="Normal 5 3 4 7 3 4" xfId="24246" xr:uid="{57181AAA-8B5F-48BD-B3B4-22A5437BD239}"/>
    <cellStyle name="Normal 5 3 4 7 4" xfId="11582" xr:uid="{44749B79-4616-4F6A-880A-1C60C6B371F3}"/>
    <cellStyle name="Normal 5 3 4 7 4 2" xfId="47924" xr:uid="{55DC95CD-391A-485F-B36D-44421414C897}"/>
    <cellStyle name="Normal 5 3 4 7 4 3" xfId="29328" xr:uid="{11720987-7E44-41F2-8712-130DFD9B2722}"/>
    <cellStyle name="Normal 5 3 4 7 5" xfId="38627" xr:uid="{EE89DF45-99A2-4328-B048-0F27D3AF3B4D}"/>
    <cellStyle name="Normal 5 3 4 7 6" xfId="20029" xr:uid="{DF3514DC-5DEA-499E-904B-D79164EA841D}"/>
    <cellStyle name="Normal 5 3 4 8" xfId="2603" xr:uid="{00000000-0005-0000-0000-0000611A0000}"/>
    <cellStyle name="Normal 5 3 4 8 2" xfId="6886" xr:uid="{00000000-0005-0000-0000-0000621A0000}"/>
    <cellStyle name="Normal 5 3 4 8 2 2" xfId="16212" xr:uid="{C323FD44-D8C3-43DE-8EE8-4A45AE3E6DC2}"/>
    <cellStyle name="Normal 5 3 4 8 2 2 2" xfId="52554" xr:uid="{DE51A290-8ABF-4B5A-ACF1-38244CF4E904}"/>
    <cellStyle name="Normal 5 3 4 8 2 2 3" xfId="33958" xr:uid="{E4063530-47D7-40AC-8C63-D67E04452A34}"/>
    <cellStyle name="Normal 5 3 4 8 2 3" xfId="43257" xr:uid="{BC3066BF-4618-4BF4-8D7F-5E7F1D2F2A6B}"/>
    <cellStyle name="Normal 5 3 4 8 2 4" xfId="24659" xr:uid="{6AC817C9-4F92-4C62-AED5-A8514CAF0462}"/>
    <cellStyle name="Normal 5 3 4 8 3" xfId="11995" xr:uid="{B2313CD9-33AC-451A-A585-B71497D838BC}"/>
    <cellStyle name="Normal 5 3 4 8 3 2" xfId="48337" xr:uid="{0565CA30-F30C-4A87-B3A1-268E7E7C5FD7}"/>
    <cellStyle name="Normal 5 3 4 8 3 3" xfId="29741" xr:uid="{EB5BCFB6-BC48-4CD0-8374-7CBA71713F51}"/>
    <cellStyle name="Normal 5 3 4 8 4" xfId="39040" xr:uid="{B19E9DF2-22A2-4574-B6D9-7B01009339C8}"/>
    <cellStyle name="Normal 5 3 4 8 5" xfId="20442" xr:uid="{D468062D-6815-4434-BCB6-5F117EA7A3F7}"/>
    <cellStyle name="Normal 5 3 4 9" xfId="4821" xr:uid="{00000000-0005-0000-0000-0000631A0000}"/>
    <cellStyle name="Normal 5 3 4 9 2" xfId="14147" xr:uid="{FCAD9F5E-B419-48D9-87E9-A7296C097400}"/>
    <cellStyle name="Normal 5 3 4 9 2 2" xfId="50489" xr:uid="{B3D94806-D34E-4110-80E4-4CC8BAA098DA}"/>
    <cellStyle name="Normal 5 3 4 9 2 3" xfId="31893" xr:uid="{367B10D3-1CB6-448F-BD95-54F8872D495A}"/>
    <cellStyle name="Normal 5 3 4 9 3" xfId="41192" xr:uid="{53E02ADF-5645-42BE-BFBA-9748E1811E04}"/>
    <cellStyle name="Normal 5 3 4 9 4" xfId="22594" xr:uid="{68594E9B-71F2-48B0-8032-03C111664C38}"/>
    <cellStyle name="Normal 5 3 5" xfId="453" xr:uid="{00000000-0005-0000-0000-0000641A0000}"/>
    <cellStyle name="Normal 5 3 5 10" xfId="9934" xr:uid="{82A74A1C-7A7D-40C8-9ABC-6C3DA074C159}"/>
    <cellStyle name="Normal 5 3 5 10 2" xfId="46276" xr:uid="{E7A3C616-CF44-41C1-886F-DDDFA9884196}"/>
    <cellStyle name="Normal 5 3 5 10 3" xfId="27680" xr:uid="{63699487-1D1A-4E0F-B7F6-8462FA4149A4}"/>
    <cellStyle name="Normal 5 3 5 11" xfId="36979" xr:uid="{FEE7468E-EA95-43F5-8AC9-DFBA47742C7B}"/>
    <cellStyle name="Normal 5 3 5 12" xfId="18381" xr:uid="{B0879301-72BC-4DA7-89EF-293A3E021ED4}"/>
    <cellStyle name="Normal 5 3 5 2" xfId="454" xr:uid="{00000000-0005-0000-0000-0000651A0000}"/>
    <cellStyle name="Normal 5 3 5 2 10" xfId="36980" xr:uid="{EFB23521-98CA-4A92-9EEE-81B1EE9FE0E4}"/>
    <cellStyle name="Normal 5 3 5 2 11" xfId="18382" xr:uid="{9A29FAF6-A567-4380-8921-33A599A05491}"/>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16710" xr:uid="{8046EA96-6288-4B50-8A6C-0AD4843B6B5A}"/>
    <cellStyle name="Normal 5 3 5 2 2 2 2 2 2" xfId="53052" xr:uid="{7AD0672F-5F76-4960-A816-210A2D3480A7}"/>
    <cellStyle name="Normal 5 3 5 2 2 2 2 2 3" xfId="34456" xr:uid="{E1CD1319-19AD-42F4-A7EA-78D934FA6E89}"/>
    <cellStyle name="Normal 5 3 5 2 2 2 2 3" xfId="43755" xr:uid="{688EF582-5204-407B-B593-E75EDB6E163C}"/>
    <cellStyle name="Normal 5 3 5 2 2 2 2 4" xfId="25157" xr:uid="{2B130C9B-C6A5-40C5-97E5-806459E00386}"/>
    <cellStyle name="Normal 5 3 5 2 2 2 3" xfId="12493" xr:uid="{98D7B9AB-B8CE-48B5-A9C6-F4A1EAF806CD}"/>
    <cellStyle name="Normal 5 3 5 2 2 2 3 2" xfId="48835" xr:uid="{8457957C-9C52-4121-9F2B-79D352D5EFDF}"/>
    <cellStyle name="Normal 5 3 5 2 2 2 3 3" xfId="30239" xr:uid="{4FF1D713-5691-49A5-B933-C02DA28D9FCE}"/>
    <cellStyle name="Normal 5 3 5 2 2 2 4" xfId="39538" xr:uid="{043956AD-84C9-40A5-986B-295594C7550A}"/>
    <cellStyle name="Normal 5 3 5 2 2 2 5" xfId="20940" xr:uid="{28AF21D3-B96F-491D-B581-ABAF20B7BD19}"/>
    <cellStyle name="Normal 5 3 5 2 2 3" xfId="5239" xr:uid="{00000000-0005-0000-0000-0000691A0000}"/>
    <cellStyle name="Normal 5 3 5 2 2 3 2" xfId="14565" xr:uid="{6F7451CF-C436-4E47-BA19-C892895E98E8}"/>
    <cellStyle name="Normal 5 3 5 2 2 3 2 2" xfId="50907" xr:uid="{806A3C26-1A10-4C9A-A776-42206CA571E5}"/>
    <cellStyle name="Normal 5 3 5 2 2 3 2 3" xfId="32311" xr:uid="{1CBEF619-59F8-4FEF-A1D5-90F7686E5ED7}"/>
    <cellStyle name="Normal 5 3 5 2 2 3 3" xfId="41610" xr:uid="{D0D93A5D-59B4-476F-B2B2-E24EA6CDEF45}"/>
    <cellStyle name="Normal 5 3 5 2 2 3 4" xfId="23012" xr:uid="{B1801484-5BAE-40B0-80C7-AAA5675B5912}"/>
    <cellStyle name="Normal 5 3 5 2 2 4" xfId="9485" xr:uid="{E88A0512-4544-44F7-B02F-696DEB177F8E}"/>
    <cellStyle name="Normal 5 3 5 2 2 4 2" xfId="36546" xr:uid="{804E0089-B2D2-4F12-9BFF-6F191B2545B3}"/>
    <cellStyle name="Normal 5 3 5 2 2 4 2 2" xfId="55140" xr:uid="{4B5204E8-BEB2-407D-AA1B-5B8BA18F1D13}"/>
    <cellStyle name="Normal 5 3 5 2 2 4 3" xfId="45843" xr:uid="{64940279-0870-4C6D-81F8-CD2C2FC26EF9}"/>
    <cellStyle name="Normal 5 3 5 2 2 4 4" xfId="27247" xr:uid="{F10D2F28-950B-4EBA-87CF-6C46772966C5}"/>
    <cellStyle name="Normal 5 3 5 2 2 5" xfId="10348" xr:uid="{3AFD321B-87DD-4612-A983-B4107025FBDF}"/>
    <cellStyle name="Normal 5 3 5 2 2 5 2" xfId="46690" xr:uid="{D6AA25A9-474E-451F-9AC6-3AECD00F3A78}"/>
    <cellStyle name="Normal 5 3 5 2 2 5 3" xfId="28094" xr:uid="{03DD73E5-19ED-4EFF-ACF1-0FAC25A25C64}"/>
    <cellStyle name="Normal 5 3 5 2 2 6" xfId="37393" xr:uid="{59BDD6C5-69BA-4419-92DF-A3DBA3A0C13F}"/>
    <cellStyle name="Normal 5 3 5 2 2 7" xfId="18795" xr:uid="{47D79EAA-6824-4B76-A15F-D5B462D30063}"/>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17123" xr:uid="{00DBE3EA-FF2C-43B1-8429-421AA42B5EAF}"/>
    <cellStyle name="Normal 5 3 5 2 3 2 2 2 2" xfId="53465" xr:uid="{C665BE99-F0CA-4261-8E10-1ABF8B9F21B0}"/>
    <cellStyle name="Normal 5 3 5 2 3 2 2 2 3" xfId="34869" xr:uid="{B3CF73F8-671A-44B3-97E4-A2D513510CEC}"/>
    <cellStyle name="Normal 5 3 5 2 3 2 2 3" xfId="44168" xr:uid="{A7F9B3D9-4633-4330-B50D-73A5F5D965A3}"/>
    <cellStyle name="Normal 5 3 5 2 3 2 2 4" xfId="25570" xr:uid="{51D4A024-12A2-4EFD-995E-36DD683939A7}"/>
    <cellStyle name="Normal 5 3 5 2 3 2 3" xfId="12906" xr:uid="{E82FAE9A-5E88-462D-8246-0B58B6C92C3B}"/>
    <cellStyle name="Normal 5 3 5 2 3 2 3 2" xfId="49248" xr:uid="{24216F95-60ED-455A-BB61-13BCAA58460F}"/>
    <cellStyle name="Normal 5 3 5 2 3 2 3 3" xfId="30652" xr:uid="{9DA5BACA-B918-4F45-ACD4-DF884B8C39AC}"/>
    <cellStyle name="Normal 5 3 5 2 3 2 4" xfId="39951" xr:uid="{3039FEAE-A225-4D41-BE94-FAACEE8535DC}"/>
    <cellStyle name="Normal 5 3 5 2 3 2 5" xfId="21353" xr:uid="{A2A95D61-7210-44D2-A8A5-4CEEEB0C3031}"/>
    <cellStyle name="Normal 5 3 5 2 3 3" xfId="5652" xr:uid="{00000000-0005-0000-0000-00006D1A0000}"/>
    <cellStyle name="Normal 5 3 5 2 3 3 2" xfId="14978" xr:uid="{795405CD-B7CD-46E0-82E8-06B924CD136A}"/>
    <cellStyle name="Normal 5 3 5 2 3 3 2 2" xfId="51320" xr:uid="{AA06DBAB-FF05-49DD-8940-554322442503}"/>
    <cellStyle name="Normal 5 3 5 2 3 3 2 3" xfId="32724" xr:uid="{4626D7AA-E14A-4038-93B2-E9B37B42B7A4}"/>
    <cellStyle name="Normal 5 3 5 2 3 3 3" xfId="42023" xr:uid="{DD3042A2-CB3F-48E8-9DD2-3E818C95CEB2}"/>
    <cellStyle name="Normal 5 3 5 2 3 3 4" xfId="23425" xr:uid="{7DB81C89-20F8-4173-9542-BF16204606E5}"/>
    <cellStyle name="Normal 5 3 5 2 3 4" xfId="10761" xr:uid="{5D3094A1-E4CE-4131-BD99-D115FF149552}"/>
    <cellStyle name="Normal 5 3 5 2 3 4 2" xfId="47103" xr:uid="{80191546-D411-4ED1-A271-7B434DE17B01}"/>
    <cellStyle name="Normal 5 3 5 2 3 4 3" xfId="28507" xr:uid="{905F6BC5-7023-4F65-8694-ED13DCF6CA90}"/>
    <cellStyle name="Normal 5 3 5 2 3 5" xfId="37806" xr:uid="{58804347-0DB8-4049-882D-4B732BA61386}"/>
    <cellStyle name="Normal 5 3 5 2 3 6" xfId="19208" xr:uid="{B3AD0B6C-ABCE-4D27-8B98-471E39F574CB}"/>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17536" xr:uid="{AECC1CCE-3F80-4596-9D2C-8D25647481E9}"/>
    <cellStyle name="Normal 5 3 5 2 4 2 2 2 2" xfId="53878" xr:uid="{D99DD518-B8F1-48E5-9DDB-E30D01896FE4}"/>
    <cellStyle name="Normal 5 3 5 2 4 2 2 2 3" xfId="35282" xr:uid="{0B53FCA0-1EE9-4EF4-8585-97F6CD10773B}"/>
    <cellStyle name="Normal 5 3 5 2 4 2 2 3" xfId="44581" xr:uid="{6CCC951D-5611-4277-8764-8FD6D49B4D16}"/>
    <cellStyle name="Normal 5 3 5 2 4 2 2 4" xfId="25983" xr:uid="{0FFACBCD-C285-40F6-B5FF-C0C2BC509B8E}"/>
    <cellStyle name="Normal 5 3 5 2 4 2 3" xfId="13319" xr:uid="{C9902038-5CD0-4478-A5E5-65714E1A659D}"/>
    <cellStyle name="Normal 5 3 5 2 4 2 3 2" xfId="49661" xr:uid="{1B606F74-1D55-4B75-A6E5-03030270874F}"/>
    <cellStyle name="Normal 5 3 5 2 4 2 3 3" xfId="31065" xr:uid="{21677FC4-C7EB-4513-8515-219BB993C4A7}"/>
    <cellStyle name="Normal 5 3 5 2 4 2 4" xfId="40364" xr:uid="{509A4C3B-764A-4833-8EC0-60A1CB291FCB}"/>
    <cellStyle name="Normal 5 3 5 2 4 2 5" xfId="21766" xr:uid="{3C2EE88E-547B-4863-8735-09E9FEB6288D}"/>
    <cellStyle name="Normal 5 3 5 2 4 3" xfId="6065" xr:uid="{00000000-0005-0000-0000-0000711A0000}"/>
    <cellStyle name="Normal 5 3 5 2 4 3 2" xfId="15391" xr:uid="{C9290AD4-9433-4EA7-81D0-74C8E545A28D}"/>
    <cellStyle name="Normal 5 3 5 2 4 3 2 2" xfId="51733" xr:uid="{88116E36-2AB2-4769-93DB-8A60A3820FB8}"/>
    <cellStyle name="Normal 5 3 5 2 4 3 2 3" xfId="33137" xr:uid="{9B7AF768-D600-4A28-909A-DC11DAAF9E64}"/>
    <cellStyle name="Normal 5 3 5 2 4 3 3" xfId="42436" xr:uid="{79BB9069-D161-499E-9FFC-9BD70698D91F}"/>
    <cellStyle name="Normal 5 3 5 2 4 3 4" xfId="23838" xr:uid="{A67DE265-3877-4103-B999-ECC6EDFAF85B}"/>
    <cellStyle name="Normal 5 3 5 2 4 4" xfId="11174" xr:uid="{DC8708C4-C79B-4C53-A41A-C76C5DDA5770}"/>
    <cellStyle name="Normal 5 3 5 2 4 4 2" xfId="47516" xr:uid="{E1D54DCE-D0AB-49A3-AA3B-2BC1464CF0B1}"/>
    <cellStyle name="Normal 5 3 5 2 4 4 3" xfId="28920" xr:uid="{296A7493-B56F-409B-848F-AB1A8EE38678}"/>
    <cellStyle name="Normal 5 3 5 2 4 5" xfId="38219" xr:uid="{CF6748AA-427D-4522-9E92-152D476070A7}"/>
    <cellStyle name="Normal 5 3 5 2 4 6" xfId="19621" xr:uid="{6B3A9F01-C81C-4D82-A262-10AEB981F559}"/>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17949" xr:uid="{C56031F8-080E-4373-8DDE-F483406E9EC5}"/>
    <cellStyle name="Normal 5 3 5 2 5 2 2 2 2" xfId="54291" xr:uid="{5FD8BDD6-2E5D-4BD7-B446-C5069E5B23CC}"/>
    <cellStyle name="Normal 5 3 5 2 5 2 2 2 3" xfId="35695" xr:uid="{51FCDD11-16EA-4F78-A23E-0D66B6FCB67F}"/>
    <cellStyle name="Normal 5 3 5 2 5 2 2 3" xfId="44994" xr:uid="{23439D5E-CE17-405E-99B9-5E5ED09D1B6F}"/>
    <cellStyle name="Normal 5 3 5 2 5 2 2 4" xfId="26396" xr:uid="{3766E16F-1BC5-4A6E-A92A-B5E519731B28}"/>
    <cellStyle name="Normal 5 3 5 2 5 2 3" xfId="13732" xr:uid="{E177E309-0A3E-4F18-8ED4-9691BD8904D8}"/>
    <cellStyle name="Normal 5 3 5 2 5 2 3 2" xfId="50074" xr:uid="{3116629B-1B94-4E68-8362-231585557421}"/>
    <cellStyle name="Normal 5 3 5 2 5 2 3 3" xfId="31478" xr:uid="{47D7128E-25CA-4199-9C21-18EA6396FC91}"/>
    <cellStyle name="Normal 5 3 5 2 5 2 4" xfId="40777" xr:uid="{7D9F1488-0ED7-41B9-9191-04CC15556B29}"/>
    <cellStyle name="Normal 5 3 5 2 5 2 5" xfId="22179" xr:uid="{CDC7A162-421B-44CA-8D4B-B0178A8338F0}"/>
    <cellStyle name="Normal 5 3 5 2 5 3" xfId="6478" xr:uid="{00000000-0005-0000-0000-0000751A0000}"/>
    <cellStyle name="Normal 5 3 5 2 5 3 2" xfId="15804" xr:uid="{3E22AAFD-874B-4BC8-BEF8-E4CEB06B77EE}"/>
    <cellStyle name="Normal 5 3 5 2 5 3 2 2" xfId="52146" xr:uid="{CCB461AD-5CF9-40A3-A5AB-76307D124760}"/>
    <cellStyle name="Normal 5 3 5 2 5 3 2 3" xfId="33550" xr:uid="{C3906E2E-DA7D-4DA4-8989-3DE240F8CD4E}"/>
    <cellStyle name="Normal 5 3 5 2 5 3 3" xfId="42849" xr:uid="{8446736B-42E4-498F-B630-24BA37579BC8}"/>
    <cellStyle name="Normal 5 3 5 2 5 3 4" xfId="24251" xr:uid="{CD687EB2-60FB-4633-B2D4-096ACEB19ABD}"/>
    <cellStyle name="Normal 5 3 5 2 5 4" xfId="11587" xr:uid="{8F4197EB-101F-46B0-B262-40D439DF6451}"/>
    <cellStyle name="Normal 5 3 5 2 5 4 2" xfId="47929" xr:uid="{908E4AE2-FB68-43A0-8D3A-303BD24CA894}"/>
    <cellStyle name="Normal 5 3 5 2 5 4 3" xfId="29333" xr:uid="{D8FA3A36-32A4-47A9-8457-F908BD7F669B}"/>
    <cellStyle name="Normal 5 3 5 2 5 5" xfId="38632" xr:uid="{85BB86CF-CB08-4B97-B752-87BEDB511086}"/>
    <cellStyle name="Normal 5 3 5 2 5 6" xfId="20034" xr:uid="{214BF49D-925F-4200-AAA5-DDA45E66D093}"/>
    <cellStyle name="Normal 5 3 5 2 6" xfId="2608" xr:uid="{00000000-0005-0000-0000-0000761A0000}"/>
    <cellStyle name="Normal 5 3 5 2 6 2" xfId="6891" xr:uid="{00000000-0005-0000-0000-0000771A0000}"/>
    <cellStyle name="Normal 5 3 5 2 6 2 2" xfId="16217" xr:uid="{CB62A828-2182-4643-99B2-5D5EF4D0F726}"/>
    <cellStyle name="Normal 5 3 5 2 6 2 2 2" xfId="52559" xr:uid="{422C9DB9-646A-4834-837B-B2AC87A58CB0}"/>
    <cellStyle name="Normal 5 3 5 2 6 2 2 3" xfId="33963" xr:uid="{C6B06E24-BC79-4082-A8B2-000D6A0BD5C3}"/>
    <cellStyle name="Normal 5 3 5 2 6 2 3" xfId="43262" xr:uid="{7947AAB7-3E94-4A46-8B1F-4B852E94F00D}"/>
    <cellStyle name="Normal 5 3 5 2 6 2 4" xfId="24664" xr:uid="{902086AB-5C7A-4534-B304-D41682967BD7}"/>
    <cellStyle name="Normal 5 3 5 2 6 3" xfId="12000" xr:uid="{24ABF692-C7BB-4B13-85D0-90335A483AEA}"/>
    <cellStyle name="Normal 5 3 5 2 6 3 2" xfId="48342" xr:uid="{911184FC-A479-4986-A6AF-0016FCE44655}"/>
    <cellStyle name="Normal 5 3 5 2 6 3 3" xfId="29746" xr:uid="{57BEAECB-0928-42C7-84B6-BABC7A247117}"/>
    <cellStyle name="Normal 5 3 5 2 6 4" xfId="39045" xr:uid="{FDD52C40-072D-46F9-A478-6DA9FB70CA7A}"/>
    <cellStyle name="Normal 5 3 5 2 6 5" xfId="20447" xr:uid="{08141E7C-614D-4521-BDB6-F378E363EDC1}"/>
    <cellStyle name="Normal 5 3 5 2 7" xfId="4826" xr:uid="{00000000-0005-0000-0000-0000781A0000}"/>
    <cellStyle name="Normal 5 3 5 2 7 2" xfId="14152" xr:uid="{6757C4A7-3822-4628-BC84-DD6939A693FC}"/>
    <cellStyle name="Normal 5 3 5 2 7 2 2" xfId="50494" xr:uid="{E297E162-3F9E-4326-B5D3-3A20706478CB}"/>
    <cellStyle name="Normal 5 3 5 2 7 2 3" xfId="31898" xr:uid="{0F490AFC-6A8D-42DA-BD0E-567877FE3AE7}"/>
    <cellStyle name="Normal 5 3 5 2 7 3" xfId="41197" xr:uid="{9BCDF6B9-E76C-4FBC-B5E2-5795C14EB700}"/>
    <cellStyle name="Normal 5 3 5 2 7 4" xfId="22599" xr:uid="{0526AA81-D06B-4931-891E-0B44B2F14797}"/>
    <cellStyle name="Normal 5 3 5 2 8" xfId="9060" xr:uid="{D76124DC-5753-46E4-97E7-1D76E6E20EEE}"/>
    <cellStyle name="Normal 5 3 5 2 8 2" xfId="36130" xr:uid="{3266AF97-A12D-434B-B026-3B4856378BE2}"/>
    <cellStyle name="Normal 5 3 5 2 8 2 2" xfId="54725" xr:uid="{FABF6487-8AB2-4F8F-8C19-87D3F6627E7E}"/>
    <cellStyle name="Normal 5 3 5 2 8 3" xfId="45428" xr:uid="{91CD79A9-6389-41C0-B66A-6CA19ECE9292}"/>
    <cellStyle name="Normal 5 3 5 2 8 4" xfId="26831" xr:uid="{C64FCC7B-6751-4334-8E98-DAE8AB1E9281}"/>
    <cellStyle name="Normal 5 3 5 2 9" xfId="9935" xr:uid="{26AFF4F9-1BEE-4E0C-94B6-98D121219FE8}"/>
    <cellStyle name="Normal 5 3 5 2 9 2" xfId="46277" xr:uid="{9C566263-9943-4223-A32B-EC13E72123DB}"/>
    <cellStyle name="Normal 5 3 5 2 9 3" xfId="27681" xr:uid="{AFE31DC1-2386-4DB3-9094-0F8B29CF2A38}"/>
    <cellStyle name="Normal 5 3 5 3" xfId="927" xr:uid="{00000000-0005-0000-0000-0000791A0000}"/>
    <cellStyle name="Normal 5 3 5 3 2" xfId="3161" xr:uid="{00000000-0005-0000-0000-00007A1A0000}"/>
    <cellStyle name="Normal 5 3 5 3 2 2" xfId="7383" xr:uid="{00000000-0005-0000-0000-00007B1A0000}"/>
    <cellStyle name="Normal 5 3 5 3 2 2 2" xfId="16709" xr:uid="{E0B90EE1-0F06-4D5A-AFA0-7D6A719EF947}"/>
    <cellStyle name="Normal 5 3 5 3 2 2 2 2" xfId="53051" xr:uid="{794DEF60-61CE-42A0-980B-ECDBB5B5861E}"/>
    <cellStyle name="Normal 5 3 5 3 2 2 2 3" xfId="34455" xr:uid="{1DB1CC29-2FD8-4E33-AD0E-403EE3E02046}"/>
    <cellStyle name="Normal 5 3 5 3 2 2 3" xfId="43754" xr:uid="{4BB408E8-7F8E-419A-B7FF-5A5A6C4D817C}"/>
    <cellStyle name="Normal 5 3 5 3 2 2 4" xfId="25156" xr:uid="{262E0996-E903-4F2F-8ED7-1227538FCC9A}"/>
    <cellStyle name="Normal 5 3 5 3 2 3" xfId="12492" xr:uid="{29907443-CED4-4019-A5EA-3BD53936FD30}"/>
    <cellStyle name="Normal 5 3 5 3 2 3 2" xfId="48834" xr:uid="{19DD5EF9-09AD-41C1-9E09-C4E17852B0AD}"/>
    <cellStyle name="Normal 5 3 5 3 2 3 3" xfId="30238" xr:uid="{62652210-947D-4C4D-819F-E81E131AB079}"/>
    <cellStyle name="Normal 5 3 5 3 2 4" xfId="39537" xr:uid="{C15CA44E-DF07-437A-976A-5185EA654922}"/>
    <cellStyle name="Normal 5 3 5 3 2 5" xfId="20939" xr:uid="{5744C26C-9003-4578-962C-5FC887B5DAE2}"/>
    <cellStyle name="Normal 5 3 5 3 3" xfId="5238" xr:uid="{00000000-0005-0000-0000-00007C1A0000}"/>
    <cellStyle name="Normal 5 3 5 3 3 2" xfId="14564" xr:uid="{E98E32D2-B6D0-4794-B802-1AA59EAB9F02}"/>
    <cellStyle name="Normal 5 3 5 3 3 2 2" xfId="50906" xr:uid="{3F909327-CD26-43FF-BAE4-6FB68B8FF016}"/>
    <cellStyle name="Normal 5 3 5 3 3 2 3" xfId="32310" xr:uid="{FC356FD0-D44C-451D-A6D4-C8E859FBFE47}"/>
    <cellStyle name="Normal 5 3 5 3 3 3" xfId="41609" xr:uid="{FFA8A2AE-4E8E-4209-A73F-B73C860DC135}"/>
    <cellStyle name="Normal 5 3 5 3 3 4" xfId="23011" xr:uid="{D71D525A-D38A-4C4D-A39D-3147BDB31BA2}"/>
    <cellStyle name="Normal 5 3 5 3 4" xfId="9278" xr:uid="{6197750A-97CA-41EF-A67C-63E25EE58E9E}"/>
    <cellStyle name="Normal 5 3 5 3 4 2" xfId="36339" xr:uid="{7BEDF35D-B033-4E91-92C8-C03A98DF9FB0}"/>
    <cellStyle name="Normal 5 3 5 3 4 2 2" xfId="54933" xr:uid="{0DE14BD2-F1B7-414A-908E-0F6CE7433E8D}"/>
    <cellStyle name="Normal 5 3 5 3 4 3" xfId="45636" xr:uid="{397C6C4D-4D0D-425D-8D98-575D4DA0A0A4}"/>
    <cellStyle name="Normal 5 3 5 3 4 4" xfId="27040" xr:uid="{2CF9EDF5-4A69-4119-A22F-598E47DFD4B8}"/>
    <cellStyle name="Normal 5 3 5 3 5" xfId="10347" xr:uid="{6854FC25-0F1A-438F-88CE-D97759AFFC8E}"/>
    <cellStyle name="Normal 5 3 5 3 5 2" xfId="46689" xr:uid="{7A5844DA-F018-4E3B-B87C-0A47342EBE82}"/>
    <cellStyle name="Normal 5 3 5 3 5 3" xfId="28093" xr:uid="{1B560BFE-C1A9-4D1F-BE5F-D48AD61F8A76}"/>
    <cellStyle name="Normal 5 3 5 3 6" xfId="37392" xr:uid="{C0ED7C40-5D09-4412-AAD7-697C9D6AD74B}"/>
    <cellStyle name="Normal 5 3 5 3 7" xfId="18794" xr:uid="{EC3932CA-DEFA-4238-BCCC-D04FA987EC69}"/>
    <cellStyle name="Normal 5 3 5 4" xfId="1344" xr:uid="{00000000-0005-0000-0000-00007D1A0000}"/>
    <cellStyle name="Normal 5 3 5 4 2" xfId="3574" xr:uid="{00000000-0005-0000-0000-00007E1A0000}"/>
    <cellStyle name="Normal 5 3 5 4 2 2" xfId="7796" xr:uid="{00000000-0005-0000-0000-00007F1A0000}"/>
    <cellStyle name="Normal 5 3 5 4 2 2 2" xfId="17122" xr:uid="{0DC37CF5-FF83-4BEE-A3D5-7F85ABBEBE71}"/>
    <cellStyle name="Normal 5 3 5 4 2 2 2 2" xfId="53464" xr:uid="{EF4EA5FC-AF95-476F-A868-0CEAABEB533F}"/>
    <cellStyle name="Normal 5 3 5 4 2 2 2 3" xfId="34868" xr:uid="{AFDF0135-7114-4C7B-9994-C8EC5ABB7D7A}"/>
    <cellStyle name="Normal 5 3 5 4 2 2 3" xfId="44167" xr:uid="{67EFE462-9064-4F28-AAAF-415CFA382092}"/>
    <cellStyle name="Normal 5 3 5 4 2 2 4" xfId="25569" xr:uid="{59E0BAF6-5ACE-43FF-B8AD-A4B15AF1BADF}"/>
    <cellStyle name="Normal 5 3 5 4 2 3" xfId="12905" xr:uid="{CAC7919C-33EC-4E3F-872D-00FD1D28B981}"/>
    <cellStyle name="Normal 5 3 5 4 2 3 2" xfId="49247" xr:uid="{F48CDA8D-AD28-449C-8445-EA6725E311C1}"/>
    <cellStyle name="Normal 5 3 5 4 2 3 3" xfId="30651" xr:uid="{F369E719-74EF-4454-BD2A-9654DAC664D1}"/>
    <cellStyle name="Normal 5 3 5 4 2 4" xfId="39950" xr:uid="{F43EBB6A-226F-4E16-B246-6AC151C2EC5E}"/>
    <cellStyle name="Normal 5 3 5 4 2 5" xfId="21352" xr:uid="{2FCD7B6C-0D17-434F-AD07-B36E1C3053F9}"/>
    <cellStyle name="Normal 5 3 5 4 3" xfId="5651" xr:uid="{00000000-0005-0000-0000-0000801A0000}"/>
    <cellStyle name="Normal 5 3 5 4 3 2" xfId="14977" xr:uid="{E0BC196A-EDE1-4FDA-B26A-79E60065168A}"/>
    <cellStyle name="Normal 5 3 5 4 3 2 2" xfId="51319" xr:uid="{F8DFF7CD-086B-4555-9498-8E193E24A758}"/>
    <cellStyle name="Normal 5 3 5 4 3 2 3" xfId="32723" xr:uid="{B0058569-75F1-424F-97C9-DA502530D843}"/>
    <cellStyle name="Normal 5 3 5 4 3 3" xfId="42022" xr:uid="{0A06A622-E5D3-4E1B-BEF8-87ED1D9DE4DB}"/>
    <cellStyle name="Normal 5 3 5 4 3 4" xfId="23424" xr:uid="{B0833C2F-3755-4440-AA8A-76DE4E8E172C}"/>
    <cellStyle name="Normal 5 3 5 4 4" xfId="10760" xr:uid="{1BBE1551-4EF1-4F06-93BB-01BB750C38A6}"/>
    <cellStyle name="Normal 5 3 5 4 4 2" xfId="47102" xr:uid="{3BB71CF1-0C0E-4376-A359-30EBF53A1379}"/>
    <cellStyle name="Normal 5 3 5 4 4 3" xfId="28506" xr:uid="{7EA95009-FA30-4AB0-A168-0EFA920BF1B6}"/>
    <cellStyle name="Normal 5 3 5 4 5" xfId="37805" xr:uid="{E3767EBC-5A30-405F-A625-B9C37C7E7186}"/>
    <cellStyle name="Normal 5 3 5 4 6" xfId="19207" xr:uid="{5D96AFA3-7707-4297-9DDA-C7FA58874CD5}"/>
    <cellStyle name="Normal 5 3 5 5" xfId="1757" xr:uid="{00000000-0005-0000-0000-0000811A0000}"/>
    <cellStyle name="Normal 5 3 5 5 2" xfId="3987" xr:uid="{00000000-0005-0000-0000-0000821A0000}"/>
    <cellStyle name="Normal 5 3 5 5 2 2" xfId="8209" xr:uid="{00000000-0005-0000-0000-0000831A0000}"/>
    <cellStyle name="Normal 5 3 5 5 2 2 2" xfId="17535" xr:uid="{222CD68B-930B-4A6F-ABDA-EC622B7F4962}"/>
    <cellStyle name="Normal 5 3 5 5 2 2 2 2" xfId="53877" xr:uid="{3E138F54-A478-4346-87F4-3CE4C7704802}"/>
    <cellStyle name="Normal 5 3 5 5 2 2 2 3" xfId="35281" xr:uid="{A0CF9BA0-3A6E-4330-979E-67E0F7A6EFBE}"/>
    <cellStyle name="Normal 5 3 5 5 2 2 3" xfId="44580" xr:uid="{E0932C39-7124-425C-AB7C-95BB5672815B}"/>
    <cellStyle name="Normal 5 3 5 5 2 2 4" xfId="25982" xr:uid="{1DFE6D08-73EC-4944-BC73-4AB271E22EFA}"/>
    <cellStyle name="Normal 5 3 5 5 2 3" xfId="13318" xr:uid="{2A8003D0-6E19-4A06-ABAF-680A34709616}"/>
    <cellStyle name="Normal 5 3 5 5 2 3 2" xfId="49660" xr:uid="{DEE6E37C-5F83-4549-87F1-3A8EE06A9AEB}"/>
    <cellStyle name="Normal 5 3 5 5 2 3 3" xfId="31064" xr:uid="{86EECBBC-FD79-4064-912F-B4E89F6ECB93}"/>
    <cellStyle name="Normal 5 3 5 5 2 4" xfId="40363" xr:uid="{A4A97938-EF9F-4752-A647-2DAF8D14C268}"/>
    <cellStyle name="Normal 5 3 5 5 2 5" xfId="21765" xr:uid="{03B6EBC9-7830-4DF7-8686-4B673D9D3E9C}"/>
    <cellStyle name="Normal 5 3 5 5 3" xfId="6064" xr:uid="{00000000-0005-0000-0000-0000841A0000}"/>
    <cellStyle name="Normal 5 3 5 5 3 2" xfId="15390" xr:uid="{628065D8-DD09-4316-875B-90B8480CD26F}"/>
    <cellStyle name="Normal 5 3 5 5 3 2 2" xfId="51732" xr:uid="{25C1A47C-0260-45A0-9D7C-F046994E182E}"/>
    <cellStyle name="Normal 5 3 5 5 3 2 3" xfId="33136" xr:uid="{C0C4AF18-7495-423B-A85A-96E7FD1B3BE1}"/>
    <cellStyle name="Normal 5 3 5 5 3 3" xfId="42435" xr:uid="{97B260CB-1819-447B-A258-8DBBF52005B2}"/>
    <cellStyle name="Normal 5 3 5 5 3 4" xfId="23837" xr:uid="{3E2BC7AF-8E6E-40B6-8C0B-B5DB065D2BAB}"/>
    <cellStyle name="Normal 5 3 5 5 4" xfId="11173" xr:uid="{97DEDF66-3069-4B3E-93D7-6B187EBB6899}"/>
    <cellStyle name="Normal 5 3 5 5 4 2" xfId="47515" xr:uid="{41190422-BA08-4925-A4B8-E82BCC4BC7BB}"/>
    <cellStyle name="Normal 5 3 5 5 4 3" xfId="28919" xr:uid="{8EDD34B9-C3A2-4AA3-811E-10A2518DE77D}"/>
    <cellStyle name="Normal 5 3 5 5 5" xfId="38218" xr:uid="{1B4BB35B-17F1-4A53-AE25-2C602EE437DE}"/>
    <cellStyle name="Normal 5 3 5 5 6" xfId="19620" xr:uid="{0781D850-E7AE-444E-B466-61ED062AB330}"/>
    <cellStyle name="Normal 5 3 5 6" xfId="2171" xr:uid="{00000000-0005-0000-0000-0000851A0000}"/>
    <cellStyle name="Normal 5 3 5 6 2" xfId="4400" xr:uid="{00000000-0005-0000-0000-0000861A0000}"/>
    <cellStyle name="Normal 5 3 5 6 2 2" xfId="8622" xr:uid="{00000000-0005-0000-0000-0000871A0000}"/>
    <cellStyle name="Normal 5 3 5 6 2 2 2" xfId="17948" xr:uid="{E0CB0E91-DDE6-451D-A5D1-D2F3888C8B05}"/>
    <cellStyle name="Normal 5 3 5 6 2 2 2 2" xfId="54290" xr:uid="{F2214A2A-BD35-4CFC-96E1-69FC1D9FCB29}"/>
    <cellStyle name="Normal 5 3 5 6 2 2 2 3" xfId="35694" xr:uid="{EA30BB39-992C-4485-A9F6-F3F80CDAD02D}"/>
    <cellStyle name="Normal 5 3 5 6 2 2 3" xfId="44993" xr:uid="{0993D4B3-0D02-4CFD-A5C5-23A3AADFC0D8}"/>
    <cellStyle name="Normal 5 3 5 6 2 2 4" xfId="26395" xr:uid="{DA576510-A768-4608-B86D-598AC7001DE7}"/>
    <cellStyle name="Normal 5 3 5 6 2 3" xfId="13731" xr:uid="{2F3379E6-3B25-435A-A13B-C061E1677FBD}"/>
    <cellStyle name="Normal 5 3 5 6 2 3 2" xfId="50073" xr:uid="{82DC18E7-F7FB-4719-8C38-99B70B8F5A76}"/>
    <cellStyle name="Normal 5 3 5 6 2 3 3" xfId="31477" xr:uid="{38A375D9-077E-4E23-8596-C43A7F748C4B}"/>
    <cellStyle name="Normal 5 3 5 6 2 4" xfId="40776" xr:uid="{04129D5A-2C98-4D2C-B28B-41BF046B45FC}"/>
    <cellStyle name="Normal 5 3 5 6 2 5" xfId="22178" xr:uid="{87A063D0-6AD3-40C4-9931-FBA377E3C30F}"/>
    <cellStyle name="Normal 5 3 5 6 3" xfId="6477" xr:uid="{00000000-0005-0000-0000-0000881A0000}"/>
    <cellStyle name="Normal 5 3 5 6 3 2" xfId="15803" xr:uid="{4107D0D4-3F93-4F6E-95F9-94EE9391D17D}"/>
    <cellStyle name="Normal 5 3 5 6 3 2 2" xfId="52145" xr:uid="{68ACE582-10D6-48E1-9E7E-DAAA99530B05}"/>
    <cellStyle name="Normal 5 3 5 6 3 2 3" xfId="33549" xr:uid="{9D0E5B36-A60A-4745-AA02-6CBEAA575B0A}"/>
    <cellStyle name="Normal 5 3 5 6 3 3" xfId="42848" xr:uid="{F5BC7EA4-89ED-446C-9CA0-81A4113C04D9}"/>
    <cellStyle name="Normal 5 3 5 6 3 4" xfId="24250" xr:uid="{9218CF6B-9409-40C6-ABF2-07E42FCBD2CE}"/>
    <cellStyle name="Normal 5 3 5 6 4" xfId="11586" xr:uid="{A6A48B1B-AC75-47C8-8525-B27EFA8EC272}"/>
    <cellStyle name="Normal 5 3 5 6 4 2" xfId="47928" xr:uid="{B2AC135D-8083-40C4-8E61-121441C3E63F}"/>
    <cellStyle name="Normal 5 3 5 6 4 3" xfId="29332" xr:uid="{8B1B2D51-0687-4906-80AF-F75E2FF9F458}"/>
    <cellStyle name="Normal 5 3 5 6 5" xfId="38631" xr:uid="{0CB4EC4A-87A5-46E9-A499-647A42DA40C3}"/>
    <cellStyle name="Normal 5 3 5 6 6" xfId="20033" xr:uid="{08705A6B-FBDA-466A-A7C3-833F29C415FA}"/>
    <cellStyle name="Normal 5 3 5 7" xfId="2607" xr:uid="{00000000-0005-0000-0000-0000891A0000}"/>
    <cellStyle name="Normal 5 3 5 7 2" xfId="6890" xr:uid="{00000000-0005-0000-0000-00008A1A0000}"/>
    <cellStyle name="Normal 5 3 5 7 2 2" xfId="16216" xr:uid="{BE7B448E-A3F5-4BF0-966C-4D526B971061}"/>
    <cellStyle name="Normal 5 3 5 7 2 2 2" xfId="52558" xr:uid="{91D9336D-BAE6-48F8-AA9A-7A038C1B201E}"/>
    <cellStyle name="Normal 5 3 5 7 2 2 3" xfId="33962" xr:uid="{82CDF619-E66C-4E38-965C-E5D6B7E3CFD9}"/>
    <cellStyle name="Normal 5 3 5 7 2 3" xfId="43261" xr:uid="{80CB6DF1-E5AC-4AA7-A58A-F05AA0270865}"/>
    <cellStyle name="Normal 5 3 5 7 2 4" xfId="24663" xr:uid="{C5EF714A-735A-4123-B69F-65152591EB4B}"/>
    <cellStyle name="Normal 5 3 5 7 3" xfId="11999" xr:uid="{937D342F-490C-42D8-8E0E-F9C22057828A}"/>
    <cellStyle name="Normal 5 3 5 7 3 2" xfId="48341" xr:uid="{F2B4DADE-4204-462C-BF93-2365DABC37EE}"/>
    <cellStyle name="Normal 5 3 5 7 3 3" xfId="29745" xr:uid="{6D9AD947-DADC-44DC-B6FC-16DCC0412E82}"/>
    <cellStyle name="Normal 5 3 5 7 4" xfId="39044" xr:uid="{1EB6BBCA-A54B-4176-ABEF-480BEA8AF0A7}"/>
    <cellStyle name="Normal 5 3 5 7 5" xfId="20446" xr:uid="{C222CB7D-52BA-4477-AC79-1DB2476AB24C}"/>
    <cellStyle name="Normal 5 3 5 8" xfId="4825" xr:uid="{00000000-0005-0000-0000-00008B1A0000}"/>
    <cellStyle name="Normal 5 3 5 8 2" xfId="14151" xr:uid="{8250CCFE-E4FB-4B36-9FD2-61677571FEBC}"/>
    <cellStyle name="Normal 5 3 5 8 2 2" xfId="50493" xr:uid="{947A96BF-F8A5-413D-92EA-5BFC525D1CE0}"/>
    <cellStyle name="Normal 5 3 5 8 2 3" xfId="31897" xr:uid="{8F6F3FFB-2510-40F8-AB83-A431B3B5573F}"/>
    <cellStyle name="Normal 5 3 5 8 3" xfId="41196" xr:uid="{CADF9C02-D090-42EE-BABE-753DFB849A34}"/>
    <cellStyle name="Normal 5 3 5 8 4" xfId="22598" xr:uid="{62E00A98-353F-4E04-A32D-12456723FEC5}"/>
    <cellStyle name="Normal 5 3 5 9" xfId="8853" xr:uid="{049FA2CE-003F-47C1-A264-645323886F35}"/>
    <cellStyle name="Normal 5 3 5 9 2" xfId="35923" xr:uid="{CB3BB5B6-D31C-415E-B9F9-B28D4D3A7FB8}"/>
    <cellStyle name="Normal 5 3 5 9 2 2" xfId="54518" xr:uid="{B97A0435-F89D-4F0C-9E64-C87527FA625F}"/>
    <cellStyle name="Normal 5 3 5 9 3" xfId="45221" xr:uid="{0102DE7D-DB74-461B-8738-EC077262FD67}"/>
    <cellStyle name="Normal 5 3 5 9 4" xfId="26624" xr:uid="{4C601AC4-C99B-45E9-918C-F45701168C04}"/>
    <cellStyle name="Normal 5 3 6" xfId="455" xr:uid="{00000000-0005-0000-0000-00008C1A0000}"/>
    <cellStyle name="Normal 5 3 6 10" xfId="36981" xr:uid="{1DA01CBF-6EB8-480E-BAC9-E4B0D011D581}"/>
    <cellStyle name="Normal 5 3 6 11" xfId="18383" xr:uid="{6B5DDF87-C884-479C-A85A-614545E55966}"/>
    <cellStyle name="Normal 5 3 6 2" xfId="929" xr:uid="{00000000-0005-0000-0000-00008D1A0000}"/>
    <cellStyle name="Normal 5 3 6 2 2" xfId="3163" xr:uid="{00000000-0005-0000-0000-00008E1A0000}"/>
    <cellStyle name="Normal 5 3 6 2 2 2" xfId="7385" xr:uid="{00000000-0005-0000-0000-00008F1A0000}"/>
    <cellStyle name="Normal 5 3 6 2 2 2 2" xfId="16711" xr:uid="{C50A05CB-BF50-4F5C-AC18-BEDF408F09BE}"/>
    <cellStyle name="Normal 5 3 6 2 2 2 2 2" xfId="53053" xr:uid="{3EAAF5A1-655C-4F14-8FE0-5C957A7686CE}"/>
    <cellStyle name="Normal 5 3 6 2 2 2 2 3" xfId="34457" xr:uid="{CF9C84B0-9899-4A45-B1E8-51FE12F5E984}"/>
    <cellStyle name="Normal 5 3 6 2 2 2 3" xfId="43756" xr:uid="{AE4E0ED8-8B5B-412E-B90C-632B58BDA3AB}"/>
    <cellStyle name="Normal 5 3 6 2 2 2 4" xfId="25158" xr:uid="{EEFA49F9-701A-47DE-BD70-D533624656FE}"/>
    <cellStyle name="Normal 5 3 6 2 2 3" xfId="12494" xr:uid="{F0531463-E0B8-45AC-A297-FF31F36C6657}"/>
    <cellStyle name="Normal 5 3 6 2 2 3 2" xfId="48836" xr:uid="{BA0E68C4-BA87-4A66-833D-5AC245E877B6}"/>
    <cellStyle name="Normal 5 3 6 2 2 3 3" xfId="30240" xr:uid="{3E365BA9-DCDF-4F22-B1B5-F2BB070F86AF}"/>
    <cellStyle name="Normal 5 3 6 2 2 4" xfId="39539" xr:uid="{ADE8A705-E0DE-47A0-AA94-419E6AF6D8D2}"/>
    <cellStyle name="Normal 5 3 6 2 2 5" xfId="20941" xr:uid="{FBF0AF38-181C-4727-992A-0F1E8B95FF2B}"/>
    <cellStyle name="Normal 5 3 6 2 3" xfId="5240" xr:uid="{00000000-0005-0000-0000-0000901A0000}"/>
    <cellStyle name="Normal 5 3 6 2 3 2" xfId="14566" xr:uid="{D3289C6D-09DE-4DDE-A3A0-50A47FE318CF}"/>
    <cellStyle name="Normal 5 3 6 2 3 2 2" xfId="50908" xr:uid="{F43F7A14-9D6F-4566-99B3-F151FE753419}"/>
    <cellStyle name="Normal 5 3 6 2 3 2 3" xfId="32312" xr:uid="{9482E217-3C8F-40A5-9338-7175296A997B}"/>
    <cellStyle name="Normal 5 3 6 2 3 3" xfId="41611" xr:uid="{CD73E4B8-4F46-467E-822C-BDB66B424B5F}"/>
    <cellStyle name="Normal 5 3 6 2 3 4" xfId="23013" xr:uid="{863A4E29-11DC-4D6D-8266-EE61C94EC5C4}"/>
    <cellStyle name="Normal 5 3 6 2 4" xfId="9394" xr:uid="{040FDD8C-10C9-4583-9A6E-8F76047ECA0C}"/>
    <cellStyle name="Normal 5 3 6 2 4 2" xfId="36455" xr:uid="{B0421A27-1EB8-44D8-8144-06CCB3A323F1}"/>
    <cellStyle name="Normal 5 3 6 2 4 2 2" xfId="55049" xr:uid="{FB6ADF76-A673-4583-BE6B-56D4B3E562B0}"/>
    <cellStyle name="Normal 5 3 6 2 4 3" xfId="45752" xr:uid="{2203D5C3-91B2-44C8-B88E-E1202ED9B2FA}"/>
    <cellStyle name="Normal 5 3 6 2 4 4" xfId="27156" xr:uid="{6C15E161-3D25-4857-9C41-BF38A67B38F3}"/>
    <cellStyle name="Normal 5 3 6 2 5" xfId="10349" xr:uid="{0B333CF6-E277-4C16-9431-BEDBE2484443}"/>
    <cellStyle name="Normal 5 3 6 2 5 2" xfId="46691" xr:uid="{292DF079-83CF-4DF1-9DC4-4210C89B8490}"/>
    <cellStyle name="Normal 5 3 6 2 5 3" xfId="28095" xr:uid="{E311C731-3965-4E2E-8092-69F9CDBA3DFB}"/>
    <cellStyle name="Normal 5 3 6 2 6" xfId="37394" xr:uid="{23B2AA12-D1FD-4EAF-A0F0-7A1A5EF75A6F}"/>
    <cellStyle name="Normal 5 3 6 2 7" xfId="18796" xr:uid="{01450EDE-5A8E-489B-AF3E-A008CAEA8BF2}"/>
    <cellStyle name="Normal 5 3 6 3" xfId="1346" xr:uid="{00000000-0005-0000-0000-0000911A0000}"/>
    <cellStyle name="Normal 5 3 6 3 2" xfId="3576" xr:uid="{00000000-0005-0000-0000-0000921A0000}"/>
    <cellStyle name="Normal 5 3 6 3 2 2" xfId="7798" xr:uid="{00000000-0005-0000-0000-0000931A0000}"/>
    <cellStyle name="Normal 5 3 6 3 2 2 2" xfId="17124" xr:uid="{F4944C77-6C41-44F3-A66E-677E8B1D33C0}"/>
    <cellStyle name="Normal 5 3 6 3 2 2 2 2" xfId="53466" xr:uid="{0A2EB9C6-31F9-43D7-9FD8-8C2529C6CC2D}"/>
    <cellStyle name="Normal 5 3 6 3 2 2 2 3" xfId="34870" xr:uid="{A76CE107-2F1C-4BD4-9680-6BF8ED318C42}"/>
    <cellStyle name="Normal 5 3 6 3 2 2 3" xfId="44169" xr:uid="{34652E06-DB9D-4DF0-9C3A-0D8338829606}"/>
    <cellStyle name="Normal 5 3 6 3 2 2 4" xfId="25571" xr:uid="{06774277-3B5C-49F7-9E7B-0E3CA84F957C}"/>
    <cellStyle name="Normal 5 3 6 3 2 3" xfId="12907" xr:uid="{AA6DF40F-F117-4295-AA71-47396F91DB12}"/>
    <cellStyle name="Normal 5 3 6 3 2 3 2" xfId="49249" xr:uid="{7149BD61-663E-491A-A9A2-51543B1427AF}"/>
    <cellStyle name="Normal 5 3 6 3 2 3 3" xfId="30653" xr:uid="{28FCE849-B760-450F-8961-AB218D30A4E8}"/>
    <cellStyle name="Normal 5 3 6 3 2 4" xfId="39952" xr:uid="{9A542A96-8B9D-4E02-AA41-2DD364747CE0}"/>
    <cellStyle name="Normal 5 3 6 3 2 5" xfId="21354" xr:uid="{041C26F6-3681-40AA-9E55-FA5E04857975}"/>
    <cellStyle name="Normal 5 3 6 3 3" xfId="5653" xr:uid="{00000000-0005-0000-0000-0000941A0000}"/>
    <cellStyle name="Normal 5 3 6 3 3 2" xfId="14979" xr:uid="{0249D096-E233-4E72-A315-78D88A3FC73C}"/>
    <cellStyle name="Normal 5 3 6 3 3 2 2" xfId="51321" xr:uid="{828B2A44-C3C1-4B72-87CF-DE2BB1F62FBA}"/>
    <cellStyle name="Normal 5 3 6 3 3 2 3" xfId="32725" xr:uid="{0A877399-1C78-4047-8979-56D4A486BF81}"/>
    <cellStyle name="Normal 5 3 6 3 3 3" xfId="42024" xr:uid="{C93B2655-2B05-418F-B076-5A43F07CB89B}"/>
    <cellStyle name="Normal 5 3 6 3 3 4" xfId="23426" xr:uid="{E0A75555-BB00-4019-9A99-C48CF29A7F48}"/>
    <cellStyle name="Normal 5 3 6 3 4" xfId="10762" xr:uid="{373A8B9E-0BE3-4737-B397-CA994A2A7A5C}"/>
    <cellStyle name="Normal 5 3 6 3 4 2" xfId="47104" xr:uid="{D7967656-AB93-47CB-9670-E87551D97739}"/>
    <cellStyle name="Normal 5 3 6 3 4 3" xfId="28508" xr:uid="{C6867E1F-37A2-4EE4-B480-5B52DC621141}"/>
    <cellStyle name="Normal 5 3 6 3 5" xfId="37807" xr:uid="{C3562623-1C1E-4F5F-B640-A18E7B6F5621}"/>
    <cellStyle name="Normal 5 3 6 3 6" xfId="19209" xr:uid="{8CFCADB3-E551-413C-80E8-143B4EBA4BCA}"/>
    <cellStyle name="Normal 5 3 6 4" xfId="1759" xr:uid="{00000000-0005-0000-0000-0000951A0000}"/>
    <cellStyle name="Normal 5 3 6 4 2" xfId="3989" xr:uid="{00000000-0005-0000-0000-0000961A0000}"/>
    <cellStyle name="Normal 5 3 6 4 2 2" xfId="8211" xr:uid="{00000000-0005-0000-0000-0000971A0000}"/>
    <cellStyle name="Normal 5 3 6 4 2 2 2" xfId="17537" xr:uid="{B43865C4-DEA0-49D8-9A3D-C58C244FDB2A}"/>
    <cellStyle name="Normal 5 3 6 4 2 2 2 2" xfId="53879" xr:uid="{E4ED9513-681A-43E1-B33E-ECBDFA2B69FB}"/>
    <cellStyle name="Normal 5 3 6 4 2 2 2 3" xfId="35283" xr:uid="{3DFC2376-A0BF-4748-A49C-1AD7DF2BDAA0}"/>
    <cellStyle name="Normal 5 3 6 4 2 2 3" xfId="44582" xr:uid="{9FDE2AC6-7EEA-409E-8E89-25649C0DB68B}"/>
    <cellStyle name="Normal 5 3 6 4 2 2 4" xfId="25984" xr:uid="{3CA671BC-4997-4AE3-AB0A-224828CD86BB}"/>
    <cellStyle name="Normal 5 3 6 4 2 3" xfId="13320" xr:uid="{23518129-64C2-45B9-9ED7-FD3E0238015C}"/>
    <cellStyle name="Normal 5 3 6 4 2 3 2" xfId="49662" xr:uid="{E80559F9-FAF0-4EBB-A79F-6A4267FC366A}"/>
    <cellStyle name="Normal 5 3 6 4 2 3 3" xfId="31066" xr:uid="{C2CA5FEC-93A2-4CFF-8AE3-3A9497EBF7A8}"/>
    <cellStyle name="Normal 5 3 6 4 2 4" xfId="40365" xr:uid="{23B36483-6555-4E1D-8E0F-51474A05EB37}"/>
    <cellStyle name="Normal 5 3 6 4 2 5" xfId="21767" xr:uid="{F92EB2D3-E5EF-49F2-92C8-51989C9F293C}"/>
    <cellStyle name="Normal 5 3 6 4 3" xfId="6066" xr:uid="{00000000-0005-0000-0000-0000981A0000}"/>
    <cellStyle name="Normal 5 3 6 4 3 2" xfId="15392" xr:uid="{472FE3B3-5C5B-462F-A652-B32445F23C64}"/>
    <cellStyle name="Normal 5 3 6 4 3 2 2" xfId="51734" xr:uid="{ED322F95-5969-49A3-9E82-7F9705589CA5}"/>
    <cellStyle name="Normal 5 3 6 4 3 2 3" xfId="33138" xr:uid="{F5AD49B2-7AD3-48F8-BEE1-7399AA319A1A}"/>
    <cellStyle name="Normal 5 3 6 4 3 3" xfId="42437" xr:uid="{0D77A66F-0910-4111-BE9B-BA5C728E525C}"/>
    <cellStyle name="Normal 5 3 6 4 3 4" xfId="23839" xr:uid="{76F79460-6990-462F-A28A-2D2D3A477DD5}"/>
    <cellStyle name="Normal 5 3 6 4 4" xfId="11175" xr:uid="{63E2E9C0-676D-495F-9CCF-C357740CCE36}"/>
    <cellStyle name="Normal 5 3 6 4 4 2" xfId="47517" xr:uid="{D7541C00-4242-4EAF-89C6-AA484ABE65E1}"/>
    <cellStyle name="Normal 5 3 6 4 4 3" xfId="28921" xr:uid="{CCE349C3-E5EB-4391-8F29-279EF41E2D0C}"/>
    <cellStyle name="Normal 5 3 6 4 5" xfId="38220" xr:uid="{FF7D2AE2-FDA1-4092-8CDA-71DC7697BDC7}"/>
    <cellStyle name="Normal 5 3 6 4 6" xfId="19622" xr:uid="{06BFA530-67BD-4341-9035-98B37362AD99}"/>
    <cellStyle name="Normal 5 3 6 5" xfId="2173" xr:uid="{00000000-0005-0000-0000-0000991A0000}"/>
    <cellStyle name="Normal 5 3 6 5 2" xfId="4402" xr:uid="{00000000-0005-0000-0000-00009A1A0000}"/>
    <cellStyle name="Normal 5 3 6 5 2 2" xfId="8624" xr:uid="{00000000-0005-0000-0000-00009B1A0000}"/>
    <cellStyle name="Normal 5 3 6 5 2 2 2" xfId="17950" xr:uid="{74B2F645-8926-4F04-AFDA-549BC2D8D3D0}"/>
    <cellStyle name="Normal 5 3 6 5 2 2 2 2" xfId="54292" xr:uid="{C0334A93-0163-4815-93F3-CA735C67993E}"/>
    <cellStyle name="Normal 5 3 6 5 2 2 2 3" xfId="35696" xr:uid="{EB95C6A8-3F8D-4AD8-A2A4-0F664AE6FFBD}"/>
    <cellStyle name="Normal 5 3 6 5 2 2 3" xfId="44995" xr:uid="{11CF6D22-2CAC-46AD-9E16-2D5D399BB14A}"/>
    <cellStyle name="Normal 5 3 6 5 2 2 4" xfId="26397" xr:uid="{75B0E1B0-396B-4DA5-855B-4CB953C91D84}"/>
    <cellStyle name="Normal 5 3 6 5 2 3" xfId="13733" xr:uid="{D8D2D4BE-76BD-438F-85C4-E0BD937F1A63}"/>
    <cellStyle name="Normal 5 3 6 5 2 3 2" xfId="50075" xr:uid="{6D030645-EF68-41B7-A4BA-99A8D436761C}"/>
    <cellStyle name="Normal 5 3 6 5 2 3 3" xfId="31479" xr:uid="{A48C10A1-3BB7-44F3-A78B-05D5F13D1555}"/>
    <cellStyle name="Normal 5 3 6 5 2 4" xfId="40778" xr:uid="{541D02B7-CB32-4FB6-B211-2111D9ABE747}"/>
    <cellStyle name="Normal 5 3 6 5 2 5" xfId="22180" xr:uid="{83B3A4C1-379F-4845-8E78-C4934AC9A06F}"/>
    <cellStyle name="Normal 5 3 6 5 3" xfId="6479" xr:uid="{00000000-0005-0000-0000-00009C1A0000}"/>
    <cellStyle name="Normal 5 3 6 5 3 2" xfId="15805" xr:uid="{FEBC9504-49E5-40C4-8AFB-DE590D9D4E61}"/>
    <cellStyle name="Normal 5 3 6 5 3 2 2" xfId="52147" xr:uid="{DC0B7278-FC23-44EA-9035-35C22406894F}"/>
    <cellStyle name="Normal 5 3 6 5 3 2 3" xfId="33551" xr:uid="{4B5AC61E-95A9-4691-B124-09D36B5FE330}"/>
    <cellStyle name="Normal 5 3 6 5 3 3" xfId="42850" xr:uid="{4A821B23-7C35-46C0-97E4-AFD6160A5266}"/>
    <cellStyle name="Normal 5 3 6 5 3 4" xfId="24252" xr:uid="{0DFE3DD0-CD98-4683-94ED-A0C52EB90D1F}"/>
    <cellStyle name="Normal 5 3 6 5 4" xfId="11588" xr:uid="{481CC005-6AC3-4356-AF81-3319E2A89FB5}"/>
    <cellStyle name="Normal 5 3 6 5 4 2" xfId="47930" xr:uid="{5563B16D-CE03-47FF-ADBF-974114234401}"/>
    <cellStyle name="Normal 5 3 6 5 4 3" xfId="29334" xr:uid="{1701C1E9-757E-42FB-9713-40E2E7B54085}"/>
    <cellStyle name="Normal 5 3 6 5 5" xfId="38633" xr:uid="{B6483623-AE8F-48B7-9446-09454F0894C8}"/>
    <cellStyle name="Normal 5 3 6 5 6" xfId="20035" xr:uid="{46A48916-5148-418E-83C8-2DBB19F3532D}"/>
    <cellStyle name="Normal 5 3 6 6" xfId="2609" xr:uid="{00000000-0005-0000-0000-00009D1A0000}"/>
    <cellStyle name="Normal 5 3 6 6 2" xfId="6892" xr:uid="{00000000-0005-0000-0000-00009E1A0000}"/>
    <cellStyle name="Normal 5 3 6 6 2 2" xfId="16218" xr:uid="{CD766DCE-D7FF-4291-A0A7-F8A8DB16AAF6}"/>
    <cellStyle name="Normal 5 3 6 6 2 2 2" xfId="52560" xr:uid="{77DD3B0A-F3E7-4459-9E6D-B56535C37ADB}"/>
    <cellStyle name="Normal 5 3 6 6 2 2 3" xfId="33964" xr:uid="{307005E1-E3F5-4298-8DC4-1CFAB143BF99}"/>
    <cellStyle name="Normal 5 3 6 6 2 3" xfId="43263" xr:uid="{2950FC21-7B5F-42FF-83C6-DA2464BF625F}"/>
    <cellStyle name="Normal 5 3 6 6 2 4" xfId="24665" xr:uid="{6B15E003-0AD5-4C90-B4C5-8AEA35DB6873}"/>
    <cellStyle name="Normal 5 3 6 6 3" xfId="12001" xr:uid="{245360C1-0F3D-4C6C-8A05-A3FE1FD5FA68}"/>
    <cellStyle name="Normal 5 3 6 6 3 2" xfId="48343" xr:uid="{FAC8D9B9-9431-4FB8-BA99-3BAFB0322969}"/>
    <cellStyle name="Normal 5 3 6 6 3 3" xfId="29747" xr:uid="{0ADB546C-7870-4A6F-A501-367ED5DBD635}"/>
    <cellStyle name="Normal 5 3 6 6 4" xfId="39046" xr:uid="{E4034343-1EB5-42E6-B0BE-2699C1E657A9}"/>
    <cellStyle name="Normal 5 3 6 6 5" xfId="20448" xr:uid="{B76D39B0-133E-4B25-8BA1-AB3E863DFB83}"/>
    <cellStyle name="Normal 5 3 6 7" xfId="4827" xr:uid="{00000000-0005-0000-0000-00009F1A0000}"/>
    <cellStyle name="Normal 5 3 6 7 2" xfId="14153" xr:uid="{4DB16CBB-67E3-4515-92CD-4D4D70D94B27}"/>
    <cellStyle name="Normal 5 3 6 7 2 2" xfId="50495" xr:uid="{83AB2BB0-5385-4F4C-A83B-215AF2E04C7C}"/>
    <cellStyle name="Normal 5 3 6 7 2 3" xfId="31899" xr:uid="{DAD8E859-AF07-453E-9675-0D3DCF5F4085}"/>
    <cellStyle name="Normal 5 3 6 7 3" xfId="41198" xr:uid="{237DD173-69CB-4374-AFA9-004E60593C77}"/>
    <cellStyle name="Normal 5 3 6 7 4" xfId="22600" xr:uid="{4E91F3E5-5EDF-46C5-A54A-65C069C833C8}"/>
    <cellStyle name="Normal 5 3 6 8" xfId="8969" xr:uid="{FA7ABEAF-BFEA-4D3E-A53B-E23F3117BFD8}"/>
    <cellStyle name="Normal 5 3 6 8 2" xfId="36039" xr:uid="{BC6E2A86-B016-494A-80DD-8034DF1F210A}"/>
    <cellStyle name="Normal 5 3 6 8 2 2" xfId="54634" xr:uid="{73C1C966-3C02-456B-9ED9-56A6A660547C}"/>
    <cellStyle name="Normal 5 3 6 8 3" xfId="45337" xr:uid="{DF2351D0-9B77-4ADC-80DD-E32F032E01C2}"/>
    <cellStyle name="Normal 5 3 6 8 4" xfId="26740" xr:uid="{BC8288C3-B6B2-421E-BD8A-E093F08B6F93}"/>
    <cellStyle name="Normal 5 3 6 9" xfId="9936" xr:uid="{87D71E08-102C-4365-985E-EC60978CD966}"/>
    <cellStyle name="Normal 5 3 6 9 2" xfId="46278" xr:uid="{61173581-3746-481B-9709-2F2D03D4AF88}"/>
    <cellStyle name="Normal 5 3 6 9 3" xfId="27682" xr:uid="{BE8EDEC6-81B2-45F5-AAF0-EB077F2459FF}"/>
    <cellStyle name="Normal 5 3 7" xfId="913" xr:uid="{00000000-0005-0000-0000-0000A01A0000}"/>
    <cellStyle name="Normal 5 3 7 2" xfId="3148" xr:uid="{00000000-0005-0000-0000-0000A11A0000}"/>
    <cellStyle name="Normal 5 3 7 2 2" xfId="7370" xr:uid="{00000000-0005-0000-0000-0000A21A0000}"/>
    <cellStyle name="Normal 5 3 7 2 2 2" xfId="16696" xr:uid="{0F895570-198D-4E0B-857D-2CB461506427}"/>
    <cellStyle name="Normal 5 3 7 2 2 2 2" xfId="53038" xr:uid="{BC7B0634-3AC8-4A65-8AC5-C5DEB8391009}"/>
    <cellStyle name="Normal 5 3 7 2 2 2 3" xfId="34442" xr:uid="{5E52561C-3675-415B-A68D-85F9BB4629E8}"/>
    <cellStyle name="Normal 5 3 7 2 2 3" xfId="43741" xr:uid="{95CA03D4-B4B7-4363-BBEE-BDDE51B64365}"/>
    <cellStyle name="Normal 5 3 7 2 2 4" xfId="25143" xr:uid="{5D66DA54-9959-41D0-9270-838E398E551D}"/>
    <cellStyle name="Normal 5 3 7 2 3" xfId="12479" xr:uid="{4EA8C6D5-8435-4EE8-B950-78F1CF580D52}"/>
    <cellStyle name="Normal 5 3 7 2 3 2" xfId="48821" xr:uid="{4C5B5721-3C53-456D-A5DA-728F9C0FF9DC}"/>
    <cellStyle name="Normal 5 3 7 2 3 3" xfId="30225" xr:uid="{0F5A7DED-58B2-474C-BC84-E0184E49C41D}"/>
    <cellStyle name="Normal 5 3 7 2 4" xfId="39524" xr:uid="{5D17DD10-06B3-470D-B59E-39F4F8584C93}"/>
    <cellStyle name="Normal 5 3 7 2 5" xfId="20926" xr:uid="{F02D4002-9EC8-4357-A1FE-241D8CC372D5}"/>
    <cellStyle name="Normal 5 3 7 3" xfId="5225" xr:uid="{00000000-0005-0000-0000-0000A31A0000}"/>
    <cellStyle name="Normal 5 3 7 3 2" xfId="14551" xr:uid="{907676FB-0FA7-4BD8-B484-5CCCA4BB7C07}"/>
    <cellStyle name="Normal 5 3 7 3 2 2" xfId="50893" xr:uid="{A0736CE4-D1F1-4901-BC98-910FBDBB30F3}"/>
    <cellStyle name="Normal 5 3 7 3 2 3" xfId="32297" xr:uid="{277A7659-4D61-4EAD-9418-3EFE5D8DD6A1}"/>
    <cellStyle name="Normal 5 3 7 3 3" xfId="41596" xr:uid="{6D152238-C9E4-44ED-9AF4-9145241895E9}"/>
    <cellStyle name="Normal 5 3 7 3 4" xfId="22998" xr:uid="{0268BDE8-EE1B-4559-A164-8445C8CA787B}"/>
    <cellStyle name="Normal 5 3 7 4" xfId="9172" xr:uid="{5609ABAF-B913-41DD-9CCE-B28C6A880815}"/>
    <cellStyle name="Normal 5 3 7 4 2" xfId="36236" xr:uid="{A161B871-59C3-42EF-9804-18AF8BE31558}"/>
    <cellStyle name="Normal 5 3 7 4 2 2" xfId="54830" xr:uid="{64B786B0-AB31-4A4A-A07E-7E00D6CE2A77}"/>
    <cellStyle name="Normal 5 3 7 4 3" xfId="45533" xr:uid="{1E7F6C93-023E-4137-BBB9-7F26B48FB1B5}"/>
    <cellStyle name="Normal 5 3 7 4 4" xfId="26937" xr:uid="{18BF588E-A667-402E-9301-9D313FA4BF59}"/>
    <cellStyle name="Normal 5 3 7 5" xfId="10334" xr:uid="{65A324CF-FDE5-47F3-850C-EF0D7CD0A729}"/>
    <cellStyle name="Normal 5 3 7 5 2" xfId="46676" xr:uid="{55D7293D-50EA-4038-9A01-90E5CF8711AF}"/>
    <cellStyle name="Normal 5 3 7 5 3" xfId="28080" xr:uid="{430578BC-AB0B-44C1-8F3A-055C4B8836DA}"/>
    <cellStyle name="Normal 5 3 7 6" xfId="37379" xr:uid="{FD53BEF4-8503-4B5A-AFD4-654937F9B336}"/>
    <cellStyle name="Normal 5 3 7 7" xfId="18781" xr:uid="{91C3FE8C-90DB-4FA2-AFB7-19C9A0EF4EF7}"/>
    <cellStyle name="Normal 5 3 8" xfId="1331" xr:uid="{00000000-0005-0000-0000-0000A41A0000}"/>
    <cellStyle name="Normal 5 3 8 2" xfId="3561" xr:uid="{00000000-0005-0000-0000-0000A51A0000}"/>
    <cellStyle name="Normal 5 3 8 2 2" xfId="7783" xr:uid="{00000000-0005-0000-0000-0000A61A0000}"/>
    <cellStyle name="Normal 5 3 8 2 2 2" xfId="17109" xr:uid="{D8246342-83DF-49B6-A17C-7B84465FABD9}"/>
    <cellStyle name="Normal 5 3 8 2 2 2 2" xfId="53451" xr:uid="{AE4FC2E4-C859-4F36-85CE-36DF3CF8C6E6}"/>
    <cellStyle name="Normal 5 3 8 2 2 2 3" xfId="34855" xr:uid="{3CEE3215-F05D-4FE4-B9B3-AE78159565C7}"/>
    <cellStyle name="Normal 5 3 8 2 2 3" xfId="44154" xr:uid="{1209652F-3984-4B1C-9ABB-17465BF98D52}"/>
    <cellStyle name="Normal 5 3 8 2 2 4" xfId="25556" xr:uid="{06DFD897-D196-48BA-9DA8-046F41082507}"/>
    <cellStyle name="Normal 5 3 8 2 3" xfId="12892" xr:uid="{4B5F751F-7891-43F9-B8EA-4C3E36336E4E}"/>
    <cellStyle name="Normal 5 3 8 2 3 2" xfId="49234" xr:uid="{1C0673DC-C2DF-4B03-8124-F705CA86D238}"/>
    <cellStyle name="Normal 5 3 8 2 3 3" xfId="30638" xr:uid="{BF7BADE2-565E-4095-A17F-5170A1A930C8}"/>
    <cellStyle name="Normal 5 3 8 2 4" xfId="39937" xr:uid="{C515FF57-AC20-4AD1-B815-8105956801E0}"/>
    <cellStyle name="Normal 5 3 8 2 5" xfId="21339" xr:uid="{BC5AE836-A5C3-4B86-8589-E57075BAAC53}"/>
    <cellStyle name="Normal 5 3 8 3" xfId="5638" xr:uid="{00000000-0005-0000-0000-0000A71A0000}"/>
    <cellStyle name="Normal 5 3 8 3 2" xfId="14964" xr:uid="{BE26BC73-09E5-4CAB-A472-9ED9B8F0A3F9}"/>
    <cellStyle name="Normal 5 3 8 3 2 2" xfId="51306" xr:uid="{C3A3D7EB-B9FC-4E2D-8137-C8F09001277E}"/>
    <cellStyle name="Normal 5 3 8 3 2 3" xfId="32710" xr:uid="{3F89C2B4-DC19-43AB-BB81-6967D3C1733D}"/>
    <cellStyle name="Normal 5 3 8 3 3" xfId="42009" xr:uid="{2AA965BA-A27A-463B-90B2-2D329ED24E44}"/>
    <cellStyle name="Normal 5 3 8 3 4" xfId="23411" xr:uid="{F9A9D3C5-BBB3-44E1-9E7C-DD556CD1ACC3}"/>
    <cellStyle name="Normal 5 3 8 4" xfId="10747" xr:uid="{C97387D8-09B7-4B12-B952-65114920AF9E}"/>
    <cellStyle name="Normal 5 3 8 4 2" xfId="47089" xr:uid="{DA0161E6-28C7-4794-B989-E4F67A858009}"/>
    <cellStyle name="Normal 5 3 8 4 3" xfId="28493" xr:uid="{30265D0E-A2E9-4DA9-A084-524BDCF6DF49}"/>
    <cellStyle name="Normal 5 3 8 5" xfId="37792" xr:uid="{11D32AA3-D10E-4B44-BAE8-BC6C41FDBE1C}"/>
    <cellStyle name="Normal 5 3 8 6" xfId="19194" xr:uid="{2C7C2071-E4D7-46CF-B632-FF780F8D5320}"/>
    <cellStyle name="Normal 5 3 9" xfId="1744" xr:uid="{00000000-0005-0000-0000-0000A81A0000}"/>
    <cellStyle name="Normal 5 3 9 2" xfId="3974" xr:uid="{00000000-0005-0000-0000-0000A91A0000}"/>
    <cellStyle name="Normal 5 3 9 2 2" xfId="8196" xr:uid="{00000000-0005-0000-0000-0000AA1A0000}"/>
    <cellStyle name="Normal 5 3 9 2 2 2" xfId="17522" xr:uid="{A0B7B5BB-ACE2-41D1-9752-47AF2E3BF4CF}"/>
    <cellStyle name="Normal 5 3 9 2 2 2 2" xfId="53864" xr:uid="{1C13E0C2-01EF-43E0-BD2F-26CD842016BA}"/>
    <cellStyle name="Normal 5 3 9 2 2 2 3" xfId="35268" xr:uid="{DCC04261-A993-42E4-A40B-A7F096563C4F}"/>
    <cellStyle name="Normal 5 3 9 2 2 3" xfId="44567" xr:uid="{14CD41CE-A8EB-4F82-8D10-F086F001454D}"/>
    <cellStyle name="Normal 5 3 9 2 2 4" xfId="25969" xr:uid="{A41F6A08-3854-42AD-A21C-0D1CFF2D115D}"/>
    <cellStyle name="Normal 5 3 9 2 3" xfId="13305" xr:uid="{9A64D448-CE30-4BD2-BD48-FD43CCEF97AB}"/>
    <cellStyle name="Normal 5 3 9 2 3 2" xfId="49647" xr:uid="{7C8F94A6-CA74-48F6-904C-93F2149A54FF}"/>
    <cellStyle name="Normal 5 3 9 2 3 3" xfId="31051" xr:uid="{C741B216-478F-45BA-8D51-1C22F6AD76B1}"/>
    <cellStyle name="Normal 5 3 9 2 4" xfId="40350" xr:uid="{E6B8C820-70B8-4FBF-85DA-40FC37E5A48E}"/>
    <cellStyle name="Normal 5 3 9 2 5" xfId="21752" xr:uid="{48E57181-41C3-4CC0-82D4-EFC9DB7DA5BD}"/>
    <cellStyle name="Normal 5 3 9 3" xfId="6051" xr:uid="{00000000-0005-0000-0000-0000AB1A0000}"/>
    <cellStyle name="Normal 5 3 9 3 2" xfId="15377" xr:uid="{74BC85C4-3DAC-4A4B-8E0F-0BA8ED9E3A3A}"/>
    <cellStyle name="Normal 5 3 9 3 2 2" xfId="51719" xr:uid="{30D3CFA4-A13E-4E25-8696-312511D998DB}"/>
    <cellStyle name="Normal 5 3 9 3 2 3" xfId="33123" xr:uid="{CF6DD4C8-0D82-4C2F-A713-C34EAA9BEC0D}"/>
    <cellStyle name="Normal 5 3 9 3 3" xfId="42422" xr:uid="{C3789624-C830-466C-B7AA-A0FD7B28E397}"/>
    <cellStyle name="Normal 5 3 9 3 4" xfId="23824" xr:uid="{57652E46-C37F-4FD2-A5DD-2BBC2B0A72F3}"/>
    <cellStyle name="Normal 5 3 9 4" xfId="11160" xr:uid="{138EAA03-1B6C-4744-BCBB-D803E39E7FC6}"/>
    <cellStyle name="Normal 5 3 9 4 2" xfId="47502" xr:uid="{96A092AA-72B6-41FF-BBB3-BB6C506AF87A}"/>
    <cellStyle name="Normal 5 3 9 4 3" xfId="28906" xr:uid="{EA4FEE14-708B-4C9B-A1CE-C5F388B55F57}"/>
    <cellStyle name="Normal 5 3 9 5" xfId="38205" xr:uid="{7494EC07-7099-4DF5-A3D9-F5D2341B9DF4}"/>
    <cellStyle name="Normal 5 3 9 6" xfId="19607" xr:uid="{B4E2524B-39BB-4BF0-9D49-A1904C49E6FB}"/>
    <cellStyle name="Normal 5 4" xfId="456" xr:uid="{00000000-0005-0000-0000-0000AC1A0000}"/>
    <cellStyle name="Normal 5 4 10" xfId="4828" xr:uid="{00000000-0005-0000-0000-0000AD1A0000}"/>
    <cellStyle name="Normal 5 4 10 2" xfId="14154" xr:uid="{236FA54A-BCE4-4222-8805-62A810E43B24}"/>
    <cellStyle name="Normal 5 4 10 2 2" xfId="50496" xr:uid="{6EC961E8-98C0-4337-B612-ED1ED1D64EFC}"/>
    <cellStyle name="Normal 5 4 10 2 3" xfId="31900" xr:uid="{AA3C9C57-8721-4DD5-87F4-98ACF656B11B}"/>
    <cellStyle name="Normal 5 4 10 3" xfId="41199" xr:uid="{810CD553-693F-4CC3-8AE2-AA3737AA4F8E}"/>
    <cellStyle name="Normal 5 4 10 4" xfId="22601" xr:uid="{140D1924-B990-4D4F-9D9A-CE6FFCC6D2C3}"/>
    <cellStyle name="Normal 5 4 11" xfId="8773" xr:uid="{50472F80-32FD-428C-B078-8DE338D6CA16}"/>
    <cellStyle name="Normal 5 4 11 2" xfId="35843" xr:uid="{E7993B09-A9A4-41E8-93DE-59AC3D49491F}"/>
    <cellStyle name="Normal 5 4 11 2 2" xfId="54438" xr:uid="{5D3C3B59-E373-410A-9B8E-A2D9A977667B}"/>
    <cellStyle name="Normal 5 4 11 3" xfId="45141" xr:uid="{FF0ED09F-0BA4-46D0-BCE7-8B030189A5AA}"/>
    <cellStyle name="Normal 5 4 11 4" xfId="26544" xr:uid="{9CEC60D0-7AE9-4E75-A10B-206DE99B876E}"/>
    <cellStyle name="Normal 5 4 12" xfId="9937" xr:uid="{91D32A1E-A5ED-4AC6-A09F-44565049AD91}"/>
    <cellStyle name="Normal 5 4 12 2" xfId="46279" xr:uid="{692FAB66-8311-4948-AED8-CA5056F6CD14}"/>
    <cellStyle name="Normal 5 4 12 3" xfId="27683" xr:uid="{68002B5B-69D0-4B9A-BE37-F3DAD18E465D}"/>
    <cellStyle name="Normal 5 4 13" xfId="36982" xr:uid="{1C2AD2A9-254B-4730-A7D0-23ACE33D2475}"/>
    <cellStyle name="Normal 5 4 14" xfId="18384" xr:uid="{8F15988F-4E41-4987-91D5-FE23FC87DCF7}"/>
    <cellStyle name="Normal 5 4 2" xfId="457" xr:uid="{00000000-0005-0000-0000-0000AE1A0000}"/>
    <cellStyle name="Normal 5 4 2 10" xfId="8833" xr:uid="{6EA55230-8E5B-4EF6-B83C-8DF4202F8C31}"/>
    <cellStyle name="Normal 5 4 2 10 2" xfId="35903" xr:uid="{85CFED2D-072D-4714-8C1B-EBE9C33185B6}"/>
    <cellStyle name="Normal 5 4 2 10 2 2" xfId="54498" xr:uid="{EDCB98C3-5D09-45CD-AD8A-E09B4B9C64EE}"/>
    <cellStyle name="Normal 5 4 2 10 3" xfId="45201" xr:uid="{658F8BE0-9AD6-4670-B0DC-1938CB83819C}"/>
    <cellStyle name="Normal 5 4 2 10 4" xfId="26604" xr:uid="{A0E92629-062A-4506-B364-87161A8331CC}"/>
    <cellStyle name="Normal 5 4 2 11" xfId="9938" xr:uid="{F28B93DB-6DC0-4BFC-B51E-EFC45B54B3C3}"/>
    <cellStyle name="Normal 5 4 2 11 2" xfId="46280" xr:uid="{0C3ADCA2-84FC-4891-A85E-F61CA3A76F82}"/>
    <cellStyle name="Normal 5 4 2 11 3" xfId="27684" xr:uid="{A1894754-705B-4716-9F2F-D08045CCEBF0}"/>
    <cellStyle name="Normal 5 4 2 12" xfId="36983" xr:uid="{BAD98A42-4330-43FE-A532-FF161BA838B2}"/>
    <cellStyle name="Normal 5 4 2 13" xfId="18385" xr:uid="{5D64AC2C-FAC9-4CC2-BCBD-EF58A5918B01}"/>
    <cellStyle name="Normal 5 4 2 2" xfId="458" xr:uid="{00000000-0005-0000-0000-0000AF1A0000}"/>
    <cellStyle name="Normal 5 4 2 2 10" xfId="9939" xr:uid="{6BF1E148-E750-48B6-A0C6-62EDB2C2B80B}"/>
    <cellStyle name="Normal 5 4 2 2 10 2" xfId="46281" xr:uid="{74BF3B0C-CC4F-462F-A27B-C1858D07F9AD}"/>
    <cellStyle name="Normal 5 4 2 2 10 3" xfId="27685" xr:uid="{1D12597E-6449-43A7-8270-69007107D628}"/>
    <cellStyle name="Normal 5 4 2 2 11" xfId="36984" xr:uid="{CC274D8D-E6CD-4950-A135-0F597164E012}"/>
    <cellStyle name="Normal 5 4 2 2 12" xfId="18386" xr:uid="{45AA7802-3EBA-48F8-A658-103FCB9854D4}"/>
    <cellStyle name="Normal 5 4 2 2 2" xfId="459" xr:uid="{00000000-0005-0000-0000-0000B01A0000}"/>
    <cellStyle name="Normal 5 4 2 2 2 10" xfId="36985" xr:uid="{CAE4E36E-17DC-41EF-9EAC-73779443750F}"/>
    <cellStyle name="Normal 5 4 2 2 2 11" xfId="18387" xr:uid="{380064E3-E10E-4B0D-92ED-08A883E9DC8B}"/>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16715" xr:uid="{1D4B7379-5649-4BEF-8578-6C7FFAC01876}"/>
    <cellStyle name="Normal 5 4 2 2 2 2 2 2 2 2" xfId="53057" xr:uid="{CD804C7C-67F8-45A8-A63C-95D62E647EA1}"/>
    <cellStyle name="Normal 5 4 2 2 2 2 2 2 2 3" xfId="34461" xr:uid="{19A33CC4-C8F4-45F5-8977-F53B2CEC877E}"/>
    <cellStyle name="Normal 5 4 2 2 2 2 2 2 3" xfId="43760" xr:uid="{E147DE27-C77B-4F01-9D85-C5C47D2EEE5D}"/>
    <cellStyle name="Normal 5 4 2 2 2 2 2 2 4" xfId="25162" xr:uid="{3EFC72F2-D22A-49D8-8786-58B237308D10}"/>
    <cellStyle name="Normal 5 4 2 2 2 2 2 3" xfId="12498" xr:uid="{1D218D6D-3038-41EB-836F-3E3817740612}"/>
    <cellStyle name="Normal 5 4 2 2 2 2 2 3 2" xfId="48840" xr:uid="{8C35C21A-C9DA-4558-B8A8-F580286B9C02}"/>
    <cellStyle name="Normal 5 4 2 2 2 2 2 3 3" xfId="30244" xr:uid="{2B866CEF-757F-457B-8633-74AE44B5C01C}"/>
    <cellStyle name="Normal 5 4 2 2 2 2 2 4" xfId="39543" xr:uid="{0712F071-6A1A-4264-A7B5-6E78D4776510}"/>
    <cellStyle name="Normal 5 4 2 2 2 2 2 5" xfId="20945" xr:uid="{E91CC93D-7926-4144-B64D-0EE85C21CD48}"/>
    <cellStyle name="Normal 5 4 2 2 2 2 3" xfId="5244" xr:uid="{00000000-0005-0000-0000-0000B41A0000}"/>
    <cellStyle name="Normal 5 4 2 2 2 2 3 2" xfId="14570" xr:uid="{1D36EBDA-DB98-4395-8AA9-A8D76E5DDA90}"/>
    <cellStyle name="Normal 5 4 2 2 2 2 3 2 2" xfId="50912" xr:uid="{299AD208-9E75-4E5A-8C49-D9B82BB21980}"/>
    <cellStyle name="Normal 5 4 2 2 2 2 3 2 3" xfId="32316" xr:uid="{8480C5D6-A6E8-42E1-B68F-A140E087A989}"/>
    <cellStyle name="Normal 5 4 2 2 2 2 3 3" xfId="41615" xr:uid="{281FB9C0-BF7E-45CA-A23D-91E8CD073301}"/>
    <cellStyle name="Normal 5 4 2 2 2 2 3 4" xfId="23017" xr:uid="{7FD8E420-AC3E-4A1A-B582-F61C34486823}"/>
    <cellStyle name="Normal 5 4 2 2 2 2 4" xfId="9568" xr:uid="{C9922021-D284-4633-BD4E-F2DB1197482A}"/>
    <cellStyle name="Normal 5 4 2 2 2 2 4 2" xfId="36629" xr:uid="{2C2DFF45-3C86-425C-B70E-A5C2B18E5271}"/>
    <cellStyle name="Normal 5 4 2 2 2 2 4 2 2" xfId="55223" xr:uid="{84A1CF86-9408-4FDF-8351-36CD86D4656B}"/>
    <cellStyle name="Normal 5 4 2 2 2 2 4 3" xfId="45926" xr:uid="{517F4A91-6844-4924-B1FE-99B5EFB90C7C}"/>
    <cellStyle name="Normal 5 4 2 2 2 2 4 4" xfId="27330" xr:uid="{45D32829-EECA-4B40-B7BD-4F819B5750E6}"/>
    <cellStyle name="Normal 5 4 2 2 2 2 5" xfId="10353" xr:uid="{E470BC86-0EFC-497F-A187-90881F3445C3}"/>
    <cellStyle name="Normal 5 4 2 2 2 2 5 2" xfId="46695" xr:uid="{3C2AFF6D-6830-4194-A2D9-43D7250D87C2}"/>
    <cellStyle name="Normal 5 4 2 2 2 2 5 3" xfId="28099" xr:uid="{C6BDFD60-2446-4A63-90F8-A804FBE63BB9}"/>
    <cellStyle name="Normal 5 4 2 2 2 2 6" xfId="37398" xr:uid="{A7B0AEFE-7CC6-414D-B974-EB4C06510224}"/>
    <cellStyle name="Normal 5 4 2 2 2 2 7" xfId="18800" xr:uid="{6E00C508-5D73-4FB9-8C16-9F3683898382}"/>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17128" xr:uid="{8A833705-2D4A-4252-8C8D-740370C86BFF}"/>
    <cellStyle name="Normal 5 4 2 2 2 3 2 2 2 2" xfId="53470" xr:uid="{6A3ADF4B-657C-4802-BF0A-E621752C76DC}"/>
    <cellStyle name="Normal 5 4 2 2 2 3 2 2 2 3" xfId="34874" xr:uid="{EC78B558-6331-473B-B5A7-FC3ED3E321B7}"/>
    <cellStyle name="Normal 5 4 2 2 2 3 2 2 3" xfId="44173" xr:uid="{2412BE2E-C82B-4C79-A7B4-031F8F27EF65}"/>
    <cellStyle name="Normal 5 4 2 2 2 3 2 2 4" xfId="25575" xr:uid="{5252FF45-615B-4FA0-B582-86984751A847}"/>
    <cellStyle name="Normal 5 4 2 2 2 3 2 3" xfId="12911" xr:uid="{2231C935-A3F1-4C81-9E59-1EA938DC0C36}"/>
    <cellStyle name="Normal 5 4 2 2 2 3 2 3 2" xfId="49253" xr:uid="{4F935A6C-D815-4487-8F0C-D3BE7ECA77C6}"/>
    <cellStyle name="Normal 5 4 2 2 2 3 2 3 3" xfId="30657" xr:uid="{46DD1E89-5C85-407D-B724-CFF506D96C0D}"/>
    <cellStyle name="Normal 5 4 2 2 2 3 2 4" xfId="39956" xr:uid="{5956C308-695B-4D36-B8F9-B8B2AD13A6EC}"/>
    <cellStyle name="Normal 5 4 2 2 2 3 2 5" xfId="21358" xr:uid="{68644372-3D62-4207-9142-D211F6AF0EFF}"/>
    <cellStyle name="Normal 5 4 2 2 2 3 3" xfId="5657" xr:uid="{00000000-0005-0000-0000-0000B81A0000}"/>
    <cellStyle name="Normal 5 4 2 2 2 3 3 2" xfId="14983" xr:uid="{A4D11CC1-4636-4F54-AD07-0427B73BA3B8}"/>
    <cellStyle name="Normal 5 4 2 2 2 3 3 2 2" xfId="51325" xr:uid="{1532C783-0535-47A1-B40D-8658A51564B1}"/>
    <cellStyle name="Normal 5 4 2 2 2 3 3 2 3" xfId="32729" xr:uid="{C0B0D712-1CE4-4F7E-93A7-56D2BA76C064}"/>
    <cellStyle name="Normal 5 4 2 2 2 3 3 3" xfId="42028" xr:uid="{8581F0C2-C996-4AF0-9293-42D8542FB3F0}"/>
    <cellStyle name="Normal 5 4 2 2 2 3 3 4" xfId="23430" xr:uid="{559845B7-EFD7-4565-B3F1-CF87022F24B0}"/>
    <cellStyle name="Normal 5 4 2 2 2 3 4" xfId="10766" xr:uid="{25C23325-DF60-4424-8A3D-33C9EA7BF8C0}"/>
    <cellStyle name="Normal 5 4 2 2 2 3 4 2" xfId="47108" xr:uid="{88B34007-1554-4853-BB64-A9DDD9F5CE12}"/>
    <cellStyle name="Normal 5 4 2 2 2 3 4 3" xfId="28512" xr:uid="{7D6DC633-105C-41CB-B32F-339F3E556915}"/>
    <cellStyle name="Normal 5 4 2 2 2 3 5" xfId="37811" xr:uid="{AE1DB60C-E888-46CE-AF17-1F94B666FCEA}"/>
    <cellStyle name="Normal 5 4 2 2 2 3 6" xfId="19213" xr:uid="{3652C146-B1E7-4535-AFEE-249F59DCA181}"/>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17541" xr:uid="{B9E023A5-F7C5-476D-A6DA-2705802A02DF}"/>
    <cellStyle name="Normal 5 4 2 2 2 4 2 2 2 2" xfId="53883" xr:uid="{B5CFE71C-A818-4D69-9EF1-2B568B99F569}"/>
    <cellStyle name="Normal 5 4 2 2 2 4 2 2 2 3" xfId="35287" xr:uid="{69B41AD9-F9EC-4A5C-BD32-437AB08FE3E0}"/>
    <cellStyle name="Normal 5 4 2 2 2 4 2 2 3" xfId="44586" xr:uid="{E622DEA9-9865-49EE-A44A-AFB4C1522FA1}"/>
    <cellStyle name="Normal 5 4 2 2 2 4 2 2 4" xfId="25988" xr:uid="{77856E2B-F44D-4B4C-A11D-151A9B51D109}"/>
    <cellStyle name="Normal 5 4 2 2 2 4 2 3" xfId="13324" xr:uid="{C41EA135-167A-4C42-B35F-1B8A6D892397}"/>
    <cellStyle name="Normal 5 4 2 2 2 4 2 3 2" xfId="49666" xr:uid="{5D0348DC-14A2-41A1-9536-A676CA3C266B}"/>
    <cellStyle name="Normal 5 4 2 2 2 4 2 3 3" xfId="31070" xr:uid="{0E18ED72-D277-4643-B272-AE2EDF3618BF}"/>
    <cellStyle name="Normal 5 4 2 2 2 4 2 4" xfId="40369" xr:uid="{81452CB8-CED5-408D-924F-D48C3E5AFDB7}"/>
    <cellStyle name="Normal 5 4 2 2 2 4 2 5" xfId="21771" xr:uid="{42E2474E-538A-4891-81E9-C2B110BA671B}"/>
    <cellStyle name="Normal 5 4 2 2 2 4 3" xfId="6070" xr:uid="{00000000-0005-0000-0000-0000BC1A0000}"/>
    <cellStyle name="Normal 5 4 2 2 2 4 3 2" xfId="15396" xr:uid="{B104F895-0FC6-4E48-BB59-DFFF89071001}"/>
    <cellStyle name="Normal 5 4 2 2 2 4 3 2 2" xfId="51738" xr:uid="{07F8A073-3633-44A9-B686-95DA48986413}"/>
    <cellStyle name="Normal 5 4 2 2 2 4 3 2 3" xfId="33142" xr:uid="{90DFBCC1-1CED-44A3-B9B7-F2CFD751C781}"/>
    <cellStyle name="Normal 5 4 2 2 2 4 3 3" xfId="42441" xr:uid="{94639B80-6A97-4B17-93B8-BF041E96BF08}"/>
    <cellStyle name="Normal 5 4 2 2 2 4 3 4" xfId="23843" xr:uid="{787C4E44-BB47-453F-AC1A-681755EE16C0}"/>
    <cellStyle name="Normal 5 4 2 2 2 4 4" xfId="11179" xr:uid="{06FBFF54-76F3-4334-8A9B-65F204E10A87}"/>
    <cellStyle name="Normal 5 4 2 2 2 4 4 2" xfId="47521" xr:uid="{359AB36B-0E43-446B-89A3-B565CE818B80}"/>
    <cellStyle name="Normal 5 4 2 2 2 4 4 3" xfId="28925" xr:uid="{B8796EB8-EA58-46B3-8756-DF15A51D3C6C}"/>
    <cellStyle name="Normal 5 4 2 2 2 4 5" xfId="38224" xr:uid="{DBB7884D-C985-4FEC-BFD7-C88A75B79AFD}"/>
    <cellStyle name="Normal 5 4 2 2 2 4 6" xfId="19626" xr:uid="{0497A1D1-BCCF-47B4-B2E5-4CE3416F454F}"/>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17954" xr:uid="{DD79DAFC-6A8A-4908-B1D6-2E34A38EF21A}"/>
    <cellStyle name="Normal 5 4 2 2 2 5 2 2 2 2" xfId="54296" xr:uid="{CBDB7B73-6FA4-47DB-942A-6A9297EE8404}"/>
    <cellStyle name="Normal 5 4 2 2 2 5 2 2 2 3" xfId="35700" xr:uid="{2F931A2E-27B1-454F-B963-EF66C2B82F8A}"/>
    <cellStyle name="Normal 5 4 2 2 2 5 2 2 3" xfId="44999" xr:uid="{DEF552B3-66D2-4B73-829D-EC1E9994A4EA}"/>
    <cellStyle name="Normal 5 4 2 2 2 5 2 2 4" xfId="26401" xr:uid="{D8C9B87E-D887-4395-B2DA-BADF507E773C}"/>
    <cellStyle name="Normal 5 4 2 2 2 5 2 3" xfId="13737" xr:uid="{8801F93D-C502-4673-80C6-9E42855CD1D2}"/>
    <cellStyle name="Normal 5 4 2 2 2 5 2 3 2" xfId="50079" xr:uid="{61542B6B-CAA2-483C-B565-E15DCA7373C3}"/>
    <cellStyle name="Normal 5 4 2 2 2 5 2 3 3" xfId="31483" xr:uid="{3CEA6323-2664-4E89-B214-B7986869BBFC}"/>
    <cellStyle name="Normal 5 4 2 2 2 5 2 4" xfId="40782" xr:uid="{FD092FFE-B22E-4277-A80B-DBE772ADEA7A}"/>
    <cellStyle name="Normal 5 4 2 2 2 5 2 5" xfId="22184" xr:uid="{DB190B1F-BB29-4A43-AFB2-BD96032C67CC}"/>
    <cellStyle name="Normal 5 4 2 2 2 5 3" xfId="6483" xr:uid="{00000000-0005-0000-0000-0000C01A0000}"/>
    <cellStyle name="Normal 5 4 2 2 2 5 3 2" xfId="15809" xr:uid="{50C108E9-69C2-4512-9108-CA21E314DFBF}"/>
    <cellStyle name="Normal 5 4 2 2 2 5 3 2 2" xfId="52151" xr:uid="{FEA10790-ACDC-497C-BF6D-110688AB6E09}"/>
    <cellStyle name="Normal 5 4 2 2 2 5 3 2 3" xfId="33555" xr:uid="{18C606B3-A435-41A0-8A17-C1D007BFD921}"/>
    <cellStyle name="Normal 5 4 2 2 2 5 3 3" xfId="42854" xr:uid="{1D48A9AD-E70B-4723-A46D-005B13CA3B5A}"/>
    <cellStyle name="Normal 5 4 2 2 2 5 3 4" xfId="24256" xr:uid="{C4CB339D-16F1-46A2-8B11-D924DCA1BF66}"/>
    <cellStyle name="Normal 5 4 2 2 2 5 4" xfId="11592" xr:uid="{96C84B43-2172-43FD-B064-E94AC346E18E}"/>
    <cellStyle name="Normal 5 4 2 2 2 5 4 2" xfId="47934" xr:uid="{E83D4279-B299-4DC7-88E2-F943AC8C4F92}"/>
    <cellStyle name="Normal 5 4 2 2 2 5 4 3" xfId="29338" xr:uid="{D72E3422-0E9E-4661-8538-B3AFA60CD175}"/>
    <cellStyle name="Normal 5 4 2 2 2 5 5" xfId="38637" xr:uid="{B5B2C8B9-9097-4B0E-9EDA-D80874574779}"/>
    <cellStyle name="Normal 5 4 2 2 2 5 6" xfId="20039" xr:uid="{3C0E33F9-0F5B-4109-B964-3376477A922E}"/>
    <cellStyle name="Normal 5 4 2 2 2 6" xfId="2613" xr:uid="{00000000-0005-0000-0000-0000C11A0000}"/>
    <cellStyle name="Normal 5 4 2 2 2 6 2" xfId="6896" xr:uid="{00000000-0005-0000-0000-0000C21A0000}"/>
    <cellStyle name="Normal 5 4 2 2 2 6 2 2" xfId="16222" xr:uid="{E1E7D852-D54E-4463-88BA-0ED3A5AB649D}"/>
    <cellStyle name="Normal 5 4 2 2 2 6 2 2 2" xfId="52564" xr:uid="{B7796A2D-776A-4F08-B185-B3FC42D639D0}"/>
    <cellStyle name="Normal 5 4 2 2 2 6 2 2 3" xfId="33968" xr:uid="{33BF9651-C1A1-44BC-AC9C-735F2091D3E3}"/>
    <cellStyle name="Normal 5 4 2 2 2 6 2 3" xfId="43267" xr:uid="{DCFD0A0B-A5D8-493E-8D07-EBED9027A366}"/>
    <cellStyle name="Normal 5 4 2 2 2 6 2 4" xfId="24669" xr:uid="{057C74C4-465C-4EEA-A178-88473F8E16F8}"/>
    <cellStyle name="Normal 5 4 2 2 2 6 3" xfId="12005" xr:uid="{DB8C050F-3811-4B22-B321-C4FA2F2FFE72}"/>
    <cellStyle name="Normal 5 4 2 2 2 6 3 2" xfId="48347" xr:uid="{2A1CA7DE-8159-4E26-A337-870B587F082B}"/>
    <cellStyle name="Normal 5 4 2 2 2 6 3 3" xfId="29751" xr:uid="{E083ABD2-A4A3-4FC8-95C5-7290B7DA9F14}"/>
    <cellStyle name="Normal 5 4 2 2 2 6 4" xfId="39050" xr:uid="{E0E499BC-87B6-4EDC-B471-56811BE1BECC}"/>
    <cellStyle name="Normal 5 4 2 2 2 6 5" xfId="20452" xr:uid="{2CD61FA4-3AF6-415B-A216-32D235A0934C}"/>
    <cellStyle name="Normal 5 4 2 2 2 7" xfId="4831" xr:uid="{00000000-0005-0000-0000-0000C31A0000}"/>
    <cellStyle name="Normal 5 4 2 2 2 7 2" xfId="14157" xr:uid="{B094C4AA-565E-48CA-AF88-D7B444826D29}"/>
    <cellStyle name="Normal 5 4 2 2 2 7 2 2" xfId="50499" xr:uid="{1A63AB8E-2613-4B3B-8E13-A73E828CF226}"/>
    <cellStyle name="Normal 5 4 2 2 2 7 2 3" xfId="31903" xr:uid="{5F5A81A6-1031-4D7C-B95B-75E0767DD589}"/>
    <cellStyle name="Normal 5 4 2 2 2 7 3" xfId="41202" xr:uid="{BEE620C5-6906-452C-9CCE-DEC20301D335}"/>
    <cellStyle name="Normal 5 4 2 2 2 7 4" xfId="22604" xr:uid="{90F85DF2-4266-4B8A-9612-DEACA6C16CE7}"/>
    <cellStyle name="Normal 5 4 2 2 2 8" xfId="9143" xr:uid="{C8F15FA9-FDFE-4358-95A8-17B14299B14C}"/>
    <cellStyle name="Normal 5 4 2 2 2 8 2" xfId="36213" xr:uid="{F27A0532-409E-4BA6-9B36-CA01B4FFE570}"/>
    <cellStyle name="Normal 5 4 2 2 2 8 2 2" xfId="54808" xr:uid="{6F1CC6A9-7437-4956-AFF9-347B3CC1AAC1}"/>
    <cellStyle name="Normal 5 4 2 2 2 8 3" xfId="45511" xr:uid="{F2B37E36-5836-44D6-85AD-94416F683666}"/>
    <cellStyle name="Normal 5 4 2 2 2 8 4" xfId="26914" xr:uid="{F16C5428-49AD-4236-9835-D1D1F79D2E09}"/>
    <cellStyle name="Normal 5 4 2 2 2 9" xfId="9940" xr:uid="{3A770682-B7FB-4AA5-90AF-2408638C1C01}"/>
    <cellStyle name="Normal 5 4 2 2 2 9 2" xfId="46282" xr:uid="{8CBB5B2F-0E7B-454E-B822-4AFA54A7DE08}"/>
    <cellStyle name="Normal 5 4 2 2 2 9 3" xfId="27686" xr:uid="{68DD9DB8-6C19-47EC-82F4-D6CBBF7ECFCE}"/>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16714" xr:uid="{F631C40A-893D-4F74-BCD5-6044716DE283}"/>
    <cellStyle name="Normal 5 4 2 2 3 2 2 2 2" xfId="53056" xr:uid="{9D71D21C-DBF4-4B4F-A13C-C6F1BB94B676}"/>
    <cellStyle name="Normal 5 4 2 2 3 2 2 2 3" xfId="34460" xr:uid="{2DDC68BE-16E1-4162-8189-78511295A001}"/>
    <cellStyle name="Normal 5 4 2 2 3 2 2 3" xfId="43759" xr:uid="{5843ABA4-D388-4837-833A-FE18A8BE5EE0}"/>
    <cellStyle name="Normal 5 4 2 2 3 2 2 4" xfId="25161" xr:uid="{7E4A04E9-9C7A-4A82-8E82-6BA1819CE12F}"/>
    <cellStyle name="Normal 5 4 2 2 3 2 3" xfId="12497" xr:uid="{14D63003-D6B1-4AEB-ADFD-A6E5BC60993E}"/>
    <cellStyle name="Normal 5 4 2 2 3 2 3 2" xfId="48839" xr:uid="{2D6D9D30-92BF-4DED-83EE-ABA9FD7F76E5}"/>
    <cellStyle name="Normal 5 4 2 2 3 2 3 3" xfId="30243" xr:uid="{88FCD137-96EC-4665-85BC-75D5AFEDED88}"/>
    <cellStyle name="Normal 5 4 2 2 3 2 4" xfId="39542" xr:uid="{BD9036AC-F949-4B64-87E2-1CE2003FD5E5}"/>
    <cellStyle name="Normal 5 4 2 2 3 2 5" xfId="20944" xr:uid="{7D8694FC-5998-430C-AB2A-49BEED771E63}"/>
    <cellStyle name="Normal 5 4 2 2 3 3" xfId="5243" xr:uid="{00000000-0005-0000-0000-0000C71A0000}"/>
    <cellStyle name="Normal 5 4 2 2 3 3 2" xfId="14569" xr:uid="{5A3E083A-87B1-4AA0-8BB9-9E55FF806C8B}"/>
    <cellStyle name="Normal 5 4 2 2 3 3 2 2" xfId="50911" xr:uid="{22823D2B-8CEE-4EC5-9BA9-16E404C135E0}"/>
    <cellStyle name="Normal 5 4 2 2 3 3 2 3" xfId="32315" xr:uid="{53C13005-46FE-4D80-BBFD-5FAA42965772}"/>
    <cellStyle name="Normal 5 4 2 2 3 3 3" xfId="41614" xr:uid="{89AA7EB5-8ACE-43A2-9978-3C2B6519FB1B}"/>
    <cellStyle name="Normal 5 4 2 2 3 3 4" xfId="23016" xr:uid="{D2D93F13-45AA-4C13-AD7D-6ADDFBB4BDDD}"/>
    <cellStyle name="Normal 5 4 2 2 3 4" xfId="9361" xr:uid="{421F0FC8-8E8F-498F-BD31-B00CB58D5B43}"/>
    <cellStyle name="Normal 5 4 2 2 3 4 2" xfId="36422" xr:uid="{4DC1C2FF-A917-46C3-90E2-50886B83B364}"/>
    <cellStyle name="Normal 5 4 2 2 3 4 2 2" xfId="55016" xr:uid="{D068DA66-11C1-4D32-98E8-2910000D47A2}"/>
    <cellStyle name="Normal 5 4 2 2 3 4 3" xfId="45719" xr:uid="{C7DF0182-09B8-417C-93A4-F5EDC749331F}"/>
    <cellStyle name="Normal 5 4 2 2 3 4 4" xfId="27123" xr:uid="{B1104362-4F80-47F6-BDA7-FD512B58877C}"/>
    <cellStyle name="Normal 5 4 2 2 3 5" xfId="10352" xr:uid="{8BE8719F-E1F8-4A69-A68F-DF0C91042469}"/>
    <cellStyle name="Normal 5 4 2 2 3 5 2" xfId="46694" xr:uid="{86563DE9-2279-4F6E-80A0-06C869ADC11B}"/>
    <cellStyle name="Normal 5 4 2 2 3 5 3" xfId="28098" xr:uid="{991F5A36-18D1-46DC-B8A6-878AD112D842}"/>
    <cellStyle name="Normal 5 4 2 2 3 6" xfId="37397" xr:uid="{982B79C2-3BE6-4DF4-9663-FB6B7BDF8224}"/>
    <cellStyle name="Normal 5 4 2 2 3 7" xfId="18799" xr:uid="{68492071-3D0E-4A53-A839-08148A717F24}"/>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17127" xr:uid="{72157DA1-92A9-428C-B6A7-7C7F0CC434A8}"/>
    <cellStyle name="Normal 5 4 2 2 4 2 2 2 2" xfId="53469" xr:uid="{53D3D181-B61D-4BD6-87F3-5985C07CDFE8}"/>
    <cellStyle name="Normal 5 4 2 2 4 2 2 2 3" xfId="34873" xr:uid="{1D17BD1F-645B-4E6B-8386-D105F2F96755}"/>
    <cellStyle name="Normal 5 4 2 2 4 2 2 3" xfId="44172" xr:uid="{F5749106-6BF1-46BC-B29C-205A34A813E6}"/>
    <cellStyle name="Normal 5 4 2 2 4 2 2 4" xfId="25574" xr:uid="{A5EB3183-C646-4FB2-A218-6880D204E817}"/>
    <cellStyle name="Normal 5 4 2 2 4 2 3" xfId="12910" xr:uid="{EA75CCBB-F95C-4695-B298-11CC4E8F4F86}"/>
    <cellStyle name="Normal 5 4 2 2 4 2 3 2" xfId="49252" xr:uid="{B9984178-ACBB-4BD4-B446-8ED496D39855}"/>
    <cellStyle name="Normal 5 4 2 2 4 2 3 3" xfId="30656" xr:uid="{9F2CA080-8928-40C7-BB06-4F462F2F66F1}"/>
    <cellStyle name="Normal 5 4 2 2 4 2 4" xfId="39955" xr:uid="{AA743D81-EB05-480F-B196-4FAC007C82EF}"/>
    <cellStyle name="Normal 5 4 2 2 4 2 5" xfId="21357" xr:uid="{BC421BBC-0A90-4A5C-A268-91D7D482FC85}"/>
    <cellStyle name="Normal 5 4 2 2 4 3" xfId="5656" xr:uid="{00000000-0005-0000-0000-0000CB1A0000}"/>
    <cellStyle name="Normal 5 4 2 2 4 3 2" xfId="14982" xr:uid="{C085B539-695E-4233-A04A-33994F7C3778}"/>
    <cellStyle name="Normal 5 4 2 2 4 3 2 2" xfId="51324" xr:uid="{5C6A821C-10A9-4112-946F-A127377FD3E6}"/>
    <cellStyle name="Normal 5 4 2 2 4 3 2 3" xfId="32728" xr:uid="{C5FE060A-998D-439A-A042-4E9E9BBCE2AB}"/>
    <cellStyle name="Normal 5 4 2 2 4 3 3" xfId="42027" xr:uid="{61543B1C-EBCA-46FE-A468-EB697285175C}"/>
    <cellStyle name="Normal 5 4 2 2 4 3 4" xfId="23429" xr:uid="{96AD5449-DF30-4DD2-9F2A-095E2623B12B}"/>
    <cellStyle name="Normal 5 4 2 2 4 4" xfId="10765" xr:uid="{E2C8A265-D919-4F98-B150-CBC90882470C}"/>
    <cellStyle name="Normal 5 4 2 2 4 4 2" xfId="47107" xr:uid="{037C31D3-26E2-477C-A6CC-3EAE68759B87}"/>
    <cellStyle name="Normal 5 4 2 2 4 4 3" xfId="28511" xr:uid="{4B0D6B5A-9889-44C7-8899-B86E714280D8}"/>
    <cellStyle name="Normal 5 4 2 2 4 5" xfId="37810" xr:uid="{00697FCC-77AC-40B9-B79C-FA5E2F1E9132}"/>
    <cellStyle name="Normal 5 4 2 2 4 6" xfId="19212" xr:uid="{11A760E4-82CF-4999-94A0-321797002466}"/>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17540" xr:uid="{C1B84AC4-EA47-4B0C-AE55-D3539134684F}"/>
    <cellStyle name="Normal 5 4 2 2 5 2 2 2 2" xfId="53882" xr:uid="{508209EB-EFA5-4CE6-9AA7-52499EE547F6}"/>
    <cellStyle name="Normal 5 4 2 2 5 2 2 2 3" xfId="35286" xr:uid="{E29DA9F6-4B46-4A03-9B11-2C19D9BF8EAA}"/>
    <cellStyle name="Normal 5 4 2 2 5 2 2 3" xfId="44585" xr:uid="{1B2E506A-327F-4AB3-8F28-6BCF49F1F5B9}"/>
    <cellStyle name="Normal 5 4 2 2 5 2 2 4" xfId="25987" xr:uid="{7D201F5D-0815-4ABD-99EC-1AED7C126FE8}"/>
    <cellStyle name="Normal 5 4 2 2 5 2 3" xfId="13323" xr:uid="{CFF89B4B-92BA-4CD3-8903-779B544D6EBA}"/>
    <cellStyle name="Normal 5 4 2 2 5 2 3 2" xfId="49665" xr:uid="{C1E0CDD9-2624-4B3E-B5B6-BEEFFD123185}"/>
    <cellStyle name="Normal 5 4 2 2 5 2 3 3" xfId="31069" xr:uid="{5A405CC6-5F61-430D-86A1-7B2E22D37721}"/>
    <cellStyle name="Normal 5 4 2 2 5 2 4" xfId="40368" xr:uid="{18B26CCF-DC39-4028-9275-0A56E86DB512}"/>
    <cellStyle name="Normal 5 4 2 2 5 2 5" xfId="21770" xr:uid="{094335F2-360F-484D-808A-65CAEBBB43E1}"/>
    <cellStyle name="Normal 5 4 2 2 5 3" xfId="6069" xr:uid="{00000000-0005-0000-0000-0000CF1A0000}"/>
    <cellStyle name="Normal 5 4 2 2 5 3 2" xfId="15395" xr:uid="{61922F9E-61CD-405A-B2AF-CB533B02B5D2}"/>
    <cellStyle name="Normal 5 4 2 2 5 3 2 2" xfId="51737" xr:uid="{F761A26E-4F1B-402C-8BFA-AFCBEA6B43A7}"/>
    <cellStyle name="Normal 5 4 2 2 5 3 2 3" xfId="33141" xr:uid="{73C60BCA-ACC3-496D-A175-C51EF067EF5E}"/>
    <cellStyle name="Normal 5 4 2 2 5 3 3" xfId="42440" xr:uid="{2A05905C-BBC4-475F-8537-AE3661700129}"/>
    <cellStyle name="Normal 5 4 2 2 5 3 4" xfId="23842" xr:uid="{9AFA5910-6740-4FAA-AD7D-2AE73B4BCCC9}"/>
    <cellStyle name="Normal 5 4 2 2 5 4" xfId="11178" xr:uid="{1907ED3E-DB4C-442D-984E-F0A8340AF7EC}"/>
    <cellStyle name="Normal 5 4 2 2 5 4 2" xfId="47520" xr:uid="{B8745C25-8D12-47B5-BD00-3876FDF4B1AC}"/>
    <cellStyle name="Normal 5 4 2 2 5 4 3" xfId="28924" xr:uid="{29046642-73D3-4670-8B65-4DF96D7A1768}"/>
    <cellStyle name="Normal 5 4 2 2 5 5" xfId="38223" xr:uid="{17720AD6-C911-4617-B574-92B3DFCA279D}"/>
    <cellStyle name="Normal 5 4 2 2 5 6" xfId="19625" xr:uid="{9A054E6A-12A0-4A1E-BD82-D04FCC5C0C99}"/>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17953" xr:uid="{E0D897BA-7176-4D73-B638-449A6E08F454}"/>
    <cellStyle name="Normal 5 4 2 2 6 2 2 2 2" xfId="54295" xr:uid="{09EACF61-3044-4F47-A075-FC2A869B6AAA}"/>
    <cellStyle name="Normal 5 4 2 2 6 2 2 2 3" xfId="35699" xr:uid="{3DD5CD49-1A31-46EA-915D-0BE1F2C36682}"/>
    <cellStyle name="Normal 5 4 2 2 6 2 2 3" xfId="44998" xr:uid="{34F5540C-A51D-4123-9478-AB5A229ACB71}"/>
    <cellStyle name="Normal 5 4 2 2 6 2 2 4" xfId="26400" xr:uid="{67878BCE-17D1-43D9-B2F7-FE86A0A540A2}"/>
    <cellStyle name="Normal 5 4 2 2 6 2 3" xfId="13736" xr:uid="{17394FC2-4448-4D39-8C22-DFE557523148}"/>
    <cellStyle name="Normal 5 4 2 2 6 2 3 2" xfId="50078" xr:uid="{DC8CAB42-5D95-4425-B5A3-F05CAF51D26F}"/>
    <cellStyle name="Normal 5 4 2 2 6 2 3 3" xfId="31482" xr:uid="{C718F477-C0B0-427D-B032-BD1E0A7AE77B}"/>
    <cellStyle name="Normal 5 4 2 2 6 2 4" xfId="40781" xr:uid="{33D3D0DF-A9DA-4A58-8D55-4EDFEFB669C9}"/>
    <cellStyle name="Normal 5 4 2 2 6 2 5" xfId="22183" xr:uid="{70C87FD0-E869-4338-974A-8100E33EB359}"/>
    <cellStyle name="Normal 5 4 2 2 6 3" xfId="6482" xr:uid="{00000000-0005-0000-0000-0000D31A0000}"/>
    <cellStyle name="Normal 5 4 2 2 6 3 2" xfId="15808" xr:uid="{C329BC9C-D169-4B58-863B-5328176E2952}"/>
    <cellStyle name="Normal 5 4 2 2 6 3 2 2" xfId="52150" xr:uid="{0FAC3A37-E3F6-4461-9E89-8CB48CDF1D3C}"/>
    <cellStyle name="Normal 5 4 2 2 6 3 2 3" xfId="33554" xr:uid="{B0FF7A7A-5D45-4352-98FE-6E37B36682A5}"/>
    <cellStyle name="Normal 5 4 2 2 6 3 3" xfId="42853" xr:uid="{51F5B850-B691-4D5E-9A61-67EEA844F937}"/>
    <cellStyle name="Normal 5 4 2 2 6 3 4" xfId="24255" xr:uid="{314B737A-C45A-4E7B-8085-5E2A4E6F01B0}"/>
    <cellStyle name="Normal 5 4 2 2 6 4" xfId="11591" xr:uid="{7559EE87-58F2-4DF0-9C20-E6084BC814B3}"/>
    <cellStyle name="Normal 5 4 2 2 6 4 2" xfId="47933" xr:uid="{501E4F04-2FDD-4DA6-8C9C-4923920371E5}"/>
    <cellStyle name="Normal 5 4 2 2 6 4 3" xfId="29337" xr:uid="{78C230DD-1D25-40F6-A60C-521220238AC7}"/>
    <cellStyle name="Normal 5 4 2 2 6 5" xfId="38636" xr:uid="{9C702092-7CAC-4B39-A3AD-4C9A3E43DA0A}"/>
    <cellStyle name="Normal 5 4 2 2 6 6" xfId="20038" xr:uid="{1F20BD02-7434-4B0D-81EF-B10DB574602E}"/>
    <cellStyle name="Normal 5 4 2 2 7" xfId="2612" xr:uid="{00000000-0005-0000-0000-0000D41A0000}"/>
    <cellStyle name="Normal 5 4 2 2 7 2" xfId="6895" xr:uid="{00000000-0005-0000-0000-0000D51A0000}"/>
    <cellStyle name="Normal 5 4 2 2 7 2 2" xfId="16221" xr:uid="{FEB08009-B60F-4550-BED8-BD9C8D2A38CD}"/>
    <cellStyle name="Normal 5 4 2 2 7 2 2 2" xfId="52563" xr:uid="{A3EBE310-1332-43D2-B513-5B4DA39E9D38}"/>
    <cellStyle name="Normal 5 4 2 2 7 2 2 3" xfId="33967" xr:uid="{9CD4BD55-B2A2-4E03-A247-1793A9E50426}"/>
    <cellStyle name="Normal 5 4 2 2 7 2 3" xfId="43266" xr:uid="{C8A6FB86-CE94-4120-89A0-D1EAC95B2F0D}"/>
    <cellStyle name="Normal 5 4 2 2 7 2 4" xfId="24668" xr:uid="{E4E5DBEF-CDE9-4A2C-827F-AEAEB4758040}"/>
    <cellStyle name="Normal 5 4 2 2 7 3" xfId="12004" xr:uid="{3EA09861-466F-4C58-8124-4BBF950FB3E9}"/>
    <cellStyle name="Normal 5 4 2 2 7 3 2" xfId="48346" xr:uid="{64892039-538B-4F4A-8EB3-EA0F479A36BE}"/>
    <cellStyle name="Normal 5 4 2 2 7 3 3" xfId="29750" xr:uid="{8313074B-2D4F-4850-BE9F-FE9C86562676}"/>
    <cellStyle name="Normal 5 4 2 2 7 4" xfId="39049" xr:uid="{99352EB2-94A1-42A6-A9FB-FFB5CCD9B57C}"/>
    <cellStyle name="Normal 5 4 2 2 7 5" xfId="20451" xr:uid="{727E3313-B086-4DC2-B9F7-6C331834B22C}"/>
    <cellStyle name="Normal 5 4 2 2 8" xfId="4830" xr:uid="{00000000-0005-0000-0000-0000D61A0000}"/>
    <cellStyle name="Normal 5 4 2 2 8 2" xfId="14156" xr:uid="{50F65483-1A5D-466B-98F6-108BD926A993}"/>
    <cellStyle name="Normal 5 4 2 2 8 2 2" xfId="50498" xr:uid="{5413AB5A-103A-4D7E-9DC9-E318FB2DED78}"/>
    <cellStyle name="Normal 5 4 2 2 8 2 3" xfId="31902" xr:uid="{82BD93F9-AD52-4DB1-8BB4-6D92D6167DAC}"/>
    <cellStyle name="Normal 5 4 2 2 8 3" xfId="41201" xr:uid="{8C35CC30-C4CE-43CF-BE5F-618B4B9E9C48}"/>
    <cellStyle name="Normal 5 4 2 2 8 4" xfId="22603" xr:uid="{E5CC4C36-EB5E-4C3D-A0EF-B89729ADACC5}"/>
    <cellStyle name="Normal 5 4 2 2 9" xfId="8936" xr:uid="{31CF7A09-919D-40D2-B5FD-098CEA44D314}"/>
    <cellStyle name="Normal 5 4 2 2 9 2" xfId="36006" xr:uid="{228B8B0D-43C5-43BC-A42D-CE4A651E4C0A}"/>
    <cellStyle name="Normal 5 4 2 2 9 2 2" xfId="54601" xr:uid="{9A9C5C32-0B5C-4795-920C-873169FA779B}"/>
    <cellStyle name="Normal 5 4 2 2 9 3" xfId="45304" xr:uid="{94BC796D-B2D0-4F3A-BB2D-BAFE1E7F2AD0}"/>
    <cellStyle name="Normal 5 4 2 2 9 4" xfId="26707" xr:uid="{01CD95E9-9934-4E78-90FD-D8F764E7BB8B}"/>
    <cellStyle name="Normal 5 4 2 3" xfId="460" xr:uid="{00000000-0005-0000-0000-0000D71A0000}"/>
    <cellStyle name="Normal 5 4 2 3 10" xfId="36986" xr:uid="{B4A635DD-5D3A-43E2-810B-2937EA8258DB}"/>
    <cellStyle name="Normal 5 4 2 3 11" xfId="18388" xr:uid="{524A8F29-90BA-480F-A02D-3604E851B866}"/>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16716" xr:uid="{CB8A7500-187B-459F-80FC-C20CEA68DA68}"/>
    <cellStyle name="Normal 5 4 2 3 2 2 2 2 2" xfId="53058" xr:uid="{899D5B55-27D5-4183-98E9-EF0763DAB807}"/>
    <cellStyle name="Normal 5 4 2 3 2 2 2 2 3" xfId="34462" xr:uid="{92621E46-8A0D-4212-BAE7-1195C65685FE}"/>
    <cellStyle name="Normal 5 4 2 3 2 2 2 3" xfId="43761" xr:uid="{CD5AA364-5D00-4C48-9DE9-9CAD0EA70C28}"/>
    <cellStyle name="Normal 5 4 2 3 2 2 2 4" xfId="25163" xr:uid="{F1098AA9-FE6A-4D98-B4F4-1405316BBAE0}"/>
    <cellStyle name="Normal 5 4 2 3 2 2 3" xfId="12499" xr:uid="{04A6F4B6-A5A7-4922-94F2-3F3CB817F54A}"/>
    <cellStyle name="Normal 5 4 2 3 2 2 3 2" xfId="48841" xr:uid="{08690B0F-FEF5-4ADE-8109-A5042599C97F}"/>
    <cellStyle name="Normal 5 4 2 3 2 2 3 3" xfId="30245" xr:uid="{B1D84187-2D3B-4223-8898-C68C931852A1}"/>
    <cellStyle name="Normal 5 4 2 3 2 2 4" xfId="39544" xr:uid="{FAB474F2-C501-4602-BE5D-4387BE3542AF}"/>
    <cellStyle name="Normal 5 4 2 3 2 2 5" xfId="20946" xr:uid="{0EFBADFF-C3CD-4F82-9589-3385A2F1345B}"/>
    <cellStyle name="Normal 5 4 2 3 2 3" xfId="5245" xr:uid="{00000000-0005-0000-0000-0000DB1A0000}"/>
    <cellStyle name="Normal 5 4 2 3 2 3 2" xfId="14571" xr:uid="{129162B3-2DBE-4CDF-9EE4-966DDAECD21D}"/>
    <cellStyle name="Normal 5 4 2 3 2 3 2 2" xfId="50913" xr:uid="{05D7F869-1017-412D-B601-07A7EEA9570E}"/>
    <cellStyle name="Normal 5 4 2 3 2 3 2 3" xfId="32317" xr:uid="{44CFD84D-795B-4765-9C19-0031DFB5A0BF}"/>
    <cellStyle name="Normal 5 4 2 3 2 3 3" xfId="41616" xr:uid="{439F463D-33B1-45C3-8CCA-31F377E8D079}"/>
    <cellStyle name="Normal 5 4 2 3 2 3 4" xfId="23018" xr:uid="{0A9A92FB-4ACD-495B-8090-AEBAB2F09401}"/>
    <cellStyle name="Normal 5 4 2 3 2 4" xfId="9465" xr:uid="{B8459C73-266B-467B-A163-FFDFF015A460}"/>
    <cellStyle name="Normal 5 4 2 3 2 4 2" xfId="36526" xr:uid="{79B25DB7-2471-4D6D-A026-7CC29E1AF2E1}"/>
    <cellStyle name="Normal 5 4 2 3 2 4 2 2" xfId="55120" xr:uid="{4AF8B247-97F8-4594-867D-B7C9A4706359}"/>
    <cellStyle name="Normal 5 4 2 3 2 4 3" xfId="45823" xr:uid="{D990DB9F-7153-40E5-AB63-B47785B53772}"/>
    <cellStyle name="Normal 5 4 2 3 2 4 4" xfId="27227" xr:uid="{57A5F22B-B830-4DA6-A9E9-6FC9B4B56A9D}"/>
    <cellStyle name="Normal 5 4 2 3 2 5" xfId="10354" xr:uid="{C6DD8074-89A4-46DB-836B-92708FEF2D0E}"/>
    <cellStyle name="Normal 5 4 2 3 2 5 2" xfId="46696" xr:uid="{0E5E63D8-783F-46CF-B9E3-14C6BCAFB853}"/>
    <cellStyle name="Normal 5 4 2 3 2 5 3" xfId="28100" xr:uid="{DCFB6B62-7C40-4F3C-AB90-2090BE36F6BA}"/>
    <cellStyle name="Normal 5 4 2 3 2 6" xfId="37399" xr:uid="{5E39CEE1-D475-425C-8C51-A848C78AE4CD}"/>
    <cellStyle name="Normal 5 4 2 3 2 7" xfId="18801" xr:uid="{810D50C4-FFC6-4551-B0F2-2F9995004F66}"/>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17129" xr:uid="{1550A958-4BD3-4B2B-A666-70491FEBDC55}"/>
    <cellStyle name="Normal 5 4 2 3 3 2 2 2 2" xfId="53471" xr:uid="{C1568D5B-8B69-4566-B854-DB6600AF6DC9}"/>
    <cellStyle name="Normal 5 4 2 3 3 2 2 2 3" xfId="34875" xr:uid="{87860A8D-FE37-4E16-B208-02FDDE52B771}"/>
    <cellStyle name="Normal 5 4 2 3 3 2 2 3" xfId="44174" xr:uid="{40D32D1A-13B4-4E5B-92A0-ECEEA1546560}"/>
    <cellStyle name="Normal 5 4 2 3 3 2 2 4" xfId="25576" xr:uid="{1893B29E-CFBC-4FFC-8A1B-9CDCD5B9C6A3}"/>
    <cellStyle name="Normal 5 4 2 3 3 2 3" xfId="12912" xr:uid="{218C9887-035D-40A6-87DB-0DE297636CA5}"/>
    <cellStyle name="Normal 5 4 2 3 3 2 3 2" xfId="49254" xr:uid="{19B72F37-0266-4D20-BCE3-DB98B919392F}"/>
    <cellStyle name="Normal 5 4 2 3 3 2 3 3" xfId="30658" xr:uid="{BF470207-4E33-4EE5-9D63-52F3B7854623}"/>
    <cellStyle name="Normal 5 4 2 3 3 2 4" xfId="39957" xr:uid="{06C6E343-1E1D-4DBF-B160-B36C557EE0DE}"/>
    <cellStyle name="Normal 5 4 2 3 3 2 5" xfId="21359" xr:uid="{4FEFF654-25D2-4A83-B7B3-3411F02EBC99}"/>
    <cellStyle name="Normal 5 4 2 3 3 3" xfId="5658" xr:uid="{00000000-0005-0000-0000-0000DF1A0000}"/>
    <cellStyle name="Normal 5 4 2 3 3 3 2" xfId="14984" xr:uid="{87534736-1ABC-42F5-AD3B-15015898CBC4}"/>
    <cellStyle name="Normal 5 4 2 3 3 3 2 2" xfId="51326" xr:uid="{CCD02465-2AAF-4E18-B479-9E53B903131A}"/>
    <cellStyle name="Normal 5 4 2 3 3 3 2 3" xfId="32730" xr:uid="{57A28100-2F5A-4A6A-82C7-380EB501FE0C}"/>
    <cellStyle name="Normal 5 4 2 3 3 3 3" xfId="42029" xr:uid="{8D2EE8AB-E20D-4F0E-8F73-699E49E0723F}"/>
    <cellStyle name="Normal 5 4 2 3 3 3 4" xfId="23431" xr:uid="{149301EA-03BF-4865-8195-429745DDF6B2}"/>
    <cellStyle name="Normal 5 4 2 3 3 4" xfId="10767" xr:uid="{C14A0A89-5FCD-4EE9-8ADC-7CB0279224E0}"/>
    <cellStyle name="Normal 5 4 2 3 3 4 2" xfId="47109" xr:uid="{758ED66C-B177-45B5-9FC4-CBA57D33F461}"/>
    <cellStyle name="Normal 5 4 2 3 3 4 3" xfId="28513" xr:uid="{26E9F40E-70EE-4EEE-8451-5E10EA251DE9}"/>
    <cellStyle name="Normal 5 4 2 3 3 5" xfId="37812" xr:uid="{9403DF7A-8697-41B8-BACF-8916E219B862}"/>
    <cellStyle name="Normal 5 4 2 3 3 6" xfId="19214" xr:uid="{13827FC9-BE04-4538-8833-70492B2493A3}"/>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17542" xr:uid="{08B7DB7C-CE84-4AD3-9C17-43104C9EB16C}"/>
    <cellStyle name="Normal 5 4 2 3 4 2 2 2 2" xfId="53884" xr:uid="{AE6FADAA-5DA7-474A-BC54-7174A6F2D03B}"/>
    <cellStyle name="Normal 5 4 2 3 4 2 2 2 3" xfId="35288" xr:uid="{8AB0017B-4F13-4E21-96F3-8DE7530E850B}"/>
    <cellStyle name="Normal 5 4 2 3 4 2 2 3" xfId="44587" xr:uid="{C9FE7785-7ED3-448B-A3AE-45D4EC6C6CF7}"/>
    <cellStyle name="Normal 5 4 2 3 4 2 2 4" xfId="25989" xr:uid="{3FE2F909-4AA3-46C9-B5F6-21EDD42B0C13}"/>
    <cellStyle name="Normal 5 4 2 3 4 2 3" xfId="13325" xr:uid="{3932A59F-16BB-4727-AFFA-E887AC998A0A}"/>
    <cellStyle name="Normal 5 4 2 3 4 2 3 2" xfId="49667" xr:uid="{F4F518A1-EE2E-4AF4-8F45-808AD2290707}"/>
    <cellStyle name="Normal 5 4 2 3 4 2 3 3" xfId="31071" xr:uid="{7D0AF7F2-B324-4C9E-9A0D-AF4E3CCC759A}"/>
    <cellStyle name="Normal 5 4 2 3 4 2 4" xfId="40370" xr:uid="{D1C38B7F-D9FE-482B-9ADF-063BF959E3C2}"/>
    <cellStyle name="Normal 5 4 2 3 4 2 5" xfId="21772" xr:uid="{81DCA526-E5A0-4BFC-9298-3F9E63B9A87E}"/>
    <cellStyle name="Normal 5 4 2 3 4 3" xfId="6071" xr:uid="{00000000-0005-0000-0000-0000E31A0000}"/>
    <cellStyle name="Normal 5 4 2 3 4 3 2" xfId="15397" xr:uid="{BAA7A5DB-49BB-403D-9088-31487E8C584E}"/>
    <cellStyle name="Normal 5 4 2 3 4 3 2 2" xfId="51739" xr:uid="{702CA8A6-475D-4491-BB30-3A30A9625EAE}"/>
    <cellStyle name="Normal 5 4 2 3 4 3 2 3" xfId="33143" xr:uid="{AA1B7AC7-88D4-41E9-8EE5-8BFAADA356B8}"/>
    <cellStyle name="Normal 5 4 2 3 4 3 3" xfId="42442" xr:uid="{494A52F9-48AB-4FB5-8429-63ADC018B04C}"/>
    <cellStyle name="Normal 5 4 2 3 4 3 4" xfId="23844" xr:uid="{0DEF9F60-EDE8-482D-B58E-DA5530A532B7}"/>
    <cellStyle name="Normal 5 4 2 3 4 4" xfId="11180" xr:uid="{ABE4B9A1-CE3A-4BD5-AC8B-A312ABDF5B74}"/>
    <cellStyle name="Normal 5 4 2 3 4 4 2" xfId="47522" xr:uid="{E817E76C-2976-458F-AFC8-C7BFCD38035D}"/>
    <cellStyle name="Normal 5 4 2 3 4 4 3" xfId="28926" xr:uid="{EFE190AF-BDF5-4BD6-AF71-1D3CD5C13460}"/>
    <cellStyle name="Normal 5 4 2 3 4 5" xfId="38225" xr:uid="{1DD8EF0F-B559-4771-99AD-4D8389BBC12C}"/>
    <cellStyle name="Normal 5 4 2 3 4 6" xfId="19627" xr:uid="{430962F6-5DD4-4077-A203-4E04AC82D85E}"/>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17955" xr:uid="{DD183D44-D4AB-4BAC-AB81-3E8396186FB8}"/>
    <cellStyle name="Normal 5 4 2 3 5 2 2 2 2" xfId="54297" xr:uid="{C2B54F34-0A02-4492-92C9-91BA1A5F6C13}"/>
    <cellStyle name="Normal 5 4 2 3 5 2 2 2 3" xfId="35701" xr:uid="{37FED425-FA24-4AE6-92BD-342B7D1AF4B6}"/>
    <cellStyle name="Normal 5 4 2 3 5 2 2 3" xfId="45000" xr:uid="{10001A0B-0478-4A4F-AB6C-B85B7A01054E}"/>
    <cellStyle name="Normal 5 4 2 3 5 2 2 4" xfId="26402" xr:uid="{46C84A40-F5AD-4472-B627-1FC0306A2A84}"/>
    <cellStyle name="Normal 5 4 2 3 5 2 3" xfId="13738" xr:uid="{FE887FAB-2F0D-4CC7-A925-FC8257377350}"/>
    <cellStyle name="Normal 5 4 2 3 5 2 3 2" xfId="50080" xr:uid="{842B69F5-7C26-42BB-9764-F6A592574910}"/>
    <cellStyle name="Normal 5 4 2 3 5 2 3 3" xfId="31484" xr:uid="{3F5143D8-F94F-4857-9F8B-B6FEECA0A6AA}"/>
    <cellStyle name="Normal 5 4 2 3 5 2 4" xfId="40783" xr:uid="{DE4FE8BB-6629-4C33-9FA0-AFD1D4A3EF0D}"/>
    <cellStyle name="Normal 5 4 2 3 5 2 5" xfId="22185" xr:uid="{F09A81FB-AC3F-4771-AC8B-9C617BD35350}"/>
    <cellStyle name="Normal 5 4 2 3 5 3" xfId="6484" xr:uid="{00000000-0005-0000-0000-0000E71A0000}"/>
    <cellStyle name="Normal 5 4 2 3 5 3 2" xfId="15810" xr:uid="{4330A30F-853E-4A58-9D5F-227EB83F1BE2}"/>
    <cellStyle name="Normal 5 4 2 3 5 3 2 2" xfId="52152" xr:uid="{327B19B6-1A8D-45ED-A55B-9DA27C491593}"/>
    <cellStyle name="Normal 5 4 2 3 5 3 2 3" xfId="33556" xr:uid="{6AE44F94-908F-4384-809E-5548973ABFE1}"/>
    <cellStyle name="Normal 5 4 2 3 5 3 3" xfId="42855" xr:uid="{833A0666-3FCA-4DEB-88C6-C47AC1C8740A}"/>
    <cellStyle name="Normal 5 4 2 3 5 3 4" xfId="24257" xr:uid="{65AEC1D9-F71C-4C7C-A609-0695CA6971E1}"/>
    <cellStyle name="Normal 5 4 2 3 5 4" xfId="11593" xr:uid="{2A270BA2-8644-411E-A0FA-7DB833611984}"/>
    <cellStyle name="Normal 5 4 2 3 5 4 2" xfId="47935" xr:uid="{8C877B99-6333-4536-98E7-53E5B766F277}"/>
    <cellStyle name="Normal 5 4 2 3 5 4 3" xfId="29339" xr:uid="{62B274FE-E4BF-4139-AEB9-29EA867AA4E2}"/>
    <cellStyle name="Normal 5 4 2 3 5 5" xfId="38638" xr:uid="{FDA6E601-999D-4534-87FC-D8651471C212}"/>
    <cellStyle name="Normal 5 4 2 3 5 6" xfId="20040" xr:uid="{0BB790B7-30E0-4C33-AA75-F61DB19FBDB1}"/>
    <cellStyle name="Normal 5 4 2 3 6" xfId="2614" xr:uid="{00000000-0005-0000-0000-0000E81A0000}"/>
    <cellStyle name="Normal 5 4 2 3 6 2" xfId="6897" xr:uid="{00000000-0005-0000-0000-0000E91A0000}"/>
    <cellStyle name="Normal 5 4 2 3 6 2 2" xfId="16223" xr:uid="{2E14B207-EC6B-4463-BD13-75226668A065}"/>
    <cellStyle name="Normal 5 4 2 3 6 2 2 2" xfId="52565" xr:uid="{B4EEB39C-8DC2-4D72-9C1B-13EE13BF46B0}"/>
    <cellStyle name="Normal 5 4 2 3 6 2 2 3" xfId="33969" xr:uid="{60E3773B-C8AC-4F18-A37E-9CDABCF6E5ED}"/>
    <cellStyle name="Normal 5 4 2 3 6 2 3" xfId="43268" xr:uid="{CF40EFB5-C2BB-4F40-AB5C-CDF6EC143217}"/>
    <cellStyle name="Normal 5 4 2 3 6 2 4" xfId="24670" xr:uid="{7294CEE3-C3E0-4B70-9A9B-6DCC2FBE6917}"/>
    <cellStyle name="Normal 5 4 2 3 6 3" xfId="12006" xr:uid="{8F32C3CC-B39B-4E91-B9E4-06E45DACE299}"/>
    <cellStyle name="Normal 5 4 2 3 6 3 2" xfId="48348" xr:uid="{083C5BA9-D376-48A3-BD5D-D463726EAE15}"/>
    <cellStyle name="Normal 5 4 2 3 6 3 3" xfId="29752" xr:uid="{9427378B-C646-45A0-8266-E4A3592908B6}"/>
    <cellStyle name="Normal 5 4 2 3 6 4" xfId="39051" xr:uid="{30C7AFA1-264A-4CE4-94B8-27B60EBC592F}"/>
    <cellStyle name="Normal 5 4 2 3 6 5" xfId="20453" xr:uid="{ADAA4BC9-7933-4402-9A3F-C7C1C8992763}"/>
    <cellStyle name="Normal 5 4 2 3 7" xfId="4832" xr:uid="{00000000-0005-0000-0000-0000EA1A0000}"/>
    <cellStyle name="Normal 5 4 2 3 7 2" xfId="14158" xr:uid="{1B88A419-1BD1-447E-86EA-6B14A3569114}"/>
    <cellStyle name="Normal 5 4 2 3 7 2 2" xfId="50500" xr:uid="{7ACFD9BE-BB36-4A1B-AD32-11BBA3047073}"/>
    <cellStyle name="Normal 5 4 2 3 7 2 3" xfId="31904" xr:uid="{22FF92E6-4E73-4DDC-BD43-EF2726644E9E}"/>
    <cellStyle name="Normal 5 4 2 3 7 3" xfId="41203" xr:uid="{707D1C44-C4DE-4A31-9170-0050B8589118}"/>
    <cellStyle name="Normal 5 4 2 3 7 4" xfId="22605" xr:uid="{E5F250CE-69B7-448E-BF87-5B44CF876428}"/>
    <cellStyle name="Normal 5 4 2 3 8" xfId="9040" xr:uid="{D68CAB17-BB41-4D9B-AA76-76FE511392DC}"/>
    <cellStyle name="Normal 5 4 2 3 8 2" xfId="36110" xr:uid="{5AA29CEC-95E3-4BFE-8267-5FDF22080633}"/>
    <cellStyle name="Normal 5 4 2 3 8 2 2" xfId="54705" xr:uid="{BD1F09F3-C013-437D-BC5C-F52063FF6F81}"/>
    <cellStyle name="Normal 5 4 2 3 8 3" xfId="45408" xr:uid="{DCF2E7E2-AE22-4455-A6CA-4A7C65DF284B}"/>
    <cellStyle name="Normal 5 4 2 3 8 4" xfId="26811" xr:uid="{85B4C4D4-AE41-4E98-A22C-AB2E42634563}"/>
    <cellStyle name="Normal 5 4 2 3 9" xfId="9941" xr:uid="{59B668FD-BAC3-4FCA-B996-2244AD868E62}"/>
    <cellStyle name="Normal 5 4 2 3 9 2" xfId="46283" xr:uid="{367C0BBF-E9C1-4D5D-B552-1B81D9ECDF81}"/>
    <cellStyle name="Normal 5 4 2 3 9 3" xfId="27687" xr:uid="{669E5817-B593-485B-9313-0EDA88EADD92}"/>
    <cellStyle name="Normal 5 4 2 4" xfId="931" xr:uid="{00000000-0005-0000-0000-0000EB1A0000}"/>
    <cellStyle name="Normal 5 4 2 4 2" xfId="3165" xr:uid="{00000000-0005-0000-0000-0000EC1A0000}"/>
    <cellStyle name="Normal 5 4 2 4 2 2" xfId="7387" xr:uid="{00000000-0005-0000-0000-0000ED1A0000}"/>
    <cellStyle name="Normal 5 4 2 4 2 2 2" xfId="16713" xr:uid="{4E4EE477-AEA5-4AE3-8BAD-36DD8C2908B4}"/>
    <cellStyle name="Normal 5 4 2 4 2 2 2 2" xfId="53055" xr:uid="{F9794606-E053-4C09-BCDA-06C48E532DDD}"/>
    <cellStyle name="Normal 5 4 2 4 2 2 2 3" xfId="34459" xr:uid="{3ACA167A-6864-4E97-BE77-282A04EE582E}"/>
    <cellStyle name="Normal 5 4 2 4 2 2 3" xfId="43758" xr:uid="{FF00F575-E337-4A62-AC4E-73486D7628AD}"/>
    <cellStyle name="Normal 5 4 2 4 2 2 4" xfId="25160" xr:uid="{D84EDB11-E717-4239-A40B-D45882EB5840}"/>
    <cellStyle name="Normal 5 4 2 4 2 3" xfId="12496" xr:uid="{E7055482-DB42-48C2-8D50-215A28116E01}"/>
    <cellStyle name="Normal 5 4 2 4 2 3 2" xfId="48838" xr:uid="{7E96A51C-7DAF-402E-AE09-B65BF128082D}"/>
    <cellStyle name="Normal 5 4 2 4 2 3 3" xfId="30242" xr:uid="{704E3A3F-3F0B-4310-9733-B6BF5581F209}"/>
    <cellStyle name="Normal 5 4 2 4 2 4" xfId="39541" xr:uid="{9BCC12E8-2D7C-49DF-82F6-0E029053DFA6}"/>
    <cellStyle name="Normal 5 4 2 4 2 5" xfId="20943" xr:uid="{BB821B98-FEE8-444F-96C6-1EBA0DA88FE8}"/>
    <cellStyle name="Normal 5 4 2 4 3" xfId="5242" xr:uid="{00000000-0005-0000-0000-0000EE1A0000}"/>
    <cellStyle name="Normal 5 4 2 4 3 2" xfId="14568" xr:uid="{2F2780B4-0858-453F-9A20-E65480B3985D}"/>
    <cellStyle name="Normal 5 4 2 4 3 2 2" xfId="50910" xr:uid="{C38856E9-C83F-4D29-B8CB-AC591F05B908}"/>
    <cellStyle name="Normal 5 4 2 4 3 2 3" xfId="32314" xr:uid="{F5FA68EA-AAA2-43F9-8149-4D3AFB8EB4A5}"/>
    <cellStyle name="Normal 5 4 2 4 3 3" xfId="41613" xr:uid="{473ED010-D60A-47C6-AD21-2C6E8B93E0EB}"/>
    <cellStyle name="Normal 5 4 2 4 3 4" xfId="23015" xr:uid="{4FF774FA-E39E-4498-BE29-C27E6FC9DE52}"/>
    <cellStyle name="Normal 5 4 2 4 4" xfId="9258" xr:uid="{971C48A9-8200-405B-A9BE-B3AFD2CDDA76}"/>
    <cellStyle name="Normal 5 4 2 4 4 2" xfId="36319" xr:uid="{9FD530EB-84A8-4CD3-A139-014622EE0AF3}"/>
    <cellStyle name="Normal 5 4 2 4 4 2 2" xfId="54913" xr:uid="{11DCEDD5-7055-4F5A-8886-48CDF793665E}"/>
    <cellStyle name="Normal 5 4 2 4 4 3" xfId="45616" xr:uid="{16A21D66-9EF8-4267-80AE-AF372A5B075F}"/>
    <cellStyle name="Normal 5 4 2 4 4 4" xfId="27020" xr:uid="{85DC59CE-6FD9-4033-8A77-482D6C7266A6}"/>
    <cellStyle name="Normal 5 4 2 4 5" xfId="10351" xr:uid="{14A9450C-4B81-4825-AC88-91F60FA133C4}"/>
    <cellStyle name="Normal 5 4 2 4 5 2" xfId="46693" xr:uid="{75B95067-60D9-45AF-98ED-7C4F6F143C0F}"/>
    <cellStyle name="Normal 5 4 2 4 5 3" xfId="28097" xr:uid="{C3CEDBB1-9D42-4EEB-A043-737E0D3B4DBB}"/>
    <cellStyle name="Normal 5 4 2 4 6" xfId="37396" xr:uid="{6BD605E3-51B5-479B-9D76-0F926584BBF3}"/>
    <cellStyle name="Normal 5 4 2 4 7" xfId="18798" xr:uid="{1252E7C4-A3EA-43EA-AE7F-41814447BA8A}"/>
    <cellStyle name="Normal 5 4 2 5" xfId="1348" xr:uid="{00000000-0005-0000-0000-0000EF1A0000}"/>
    <cellStyle name="Normal 5 4 2 5 2" xfId="3578" xr:uid="{00000000-0005-0000-0000-0000F01A0000}"/>
    <cellStyle name="Normal 5 4 2 5 2 2" xfId="7800" xr:uid="{00000000-0005-0000-0000-0000F11A0000}"/>
    <cellStyle name="Normal 5 4 2 5 2 2 2" xfId="17126" xr:uid="{882C4ACE-BC1F-4A5B-B33E-72B6727B9B93}"/>
    <cellStyle name="Normal 5 4 2 5 2 2 2 2" xfId="53468" xr:uid="{5E561BF8-5905-415E-A52F-F3C8E4231E8E}"/>
    <cellStyle name="Normal 5 4 2 5 2 2 2 3" xfId="34872" xr:uid="{A9BB9ADF-B344-4636-AD0C-33AD1F360322}"/>
    <cellStyle name="Normal 5 4 2 5 2 2 3" xfId="44171" xr:uid="{7F2D46A6-9A55-4C3F-863D-F66D424FC918}"/>
    <cellStyle name="Normal 5 4 2 5 2 2 4" xfId="25573" xr:uid="{7832EDE9-0535-4F53-9A09-72EE441251BD}"/>
    <cellStyle name="Normal 5 4 2 5 2 3" xfId="12909" xr:uid="{799B9A51-C27F-4497-9F76-B266ED5CF0BA}"/>
    <cellStyle name="Normal 5 4 2 5 2 3 2" xfId="49251" xr:uid="{8CE87F2B-EEE1-4292-9D2B-CD17C206C87E}"/>
    <cellStyle name="Normal 5 4 2 5 2 3 3" xfId="30655" xr:uid="{27A807A2-8714-45CB-9A96-143814CE9EB2}"/>
    <cellStyle name="Normal 5 4 2 5 2 4" xfId="39954" xr:uid="{63FB9A3E-6D2E-4C00-A7A5-F87828E7E954}"/>
    <cellStyle name="Normal 5 4 2 5 2 5" xfId="21356" xr:uid="{D081630E-0F57-47F8-804E-2DB5E906ED45}"/>
    <cellStyle name="Normal 5 4 2 5 3" xfId="5655" xr:uid="{00000000-0005-0000-0000-0000F21A0000}"/>
    <cellStyle name="Normal 5 4 2 5 3 2" xfId="14981" xr:uid="{8E923E73-1DD2-4C81-9D8C-39E3BA47FF23}"/>
    <cellStyle name="Normal 5 4 2 5 3 2 2" xfId="51323" xr:uid="{851CD6AE-A201-491F-9A3C-6B2C63FE3CB5}"/>
    <cellStyle name="Normal 5 4 2 5 3 2 3" xfId="32727" xr:uid="{59A417AD-97BF-4DC5-A634-422165795279}"/>
    <cellStyle name="Normal 5 4 2 5 3 3" xfId="42026" xr:uid="{9420A52C-CF4C-4028-B352-FFFB85A9834C}"/>
    <cellStyle name="Normal 5 4 2 5 3 4" xfId="23428" xr:uid="{18B35A3A-2C4F-4A57-BD57-459C4F945489}"/>
    <cellStyle name="Normal 5 4 2 5 4" xfId="10764" xr:uid="{2FDDAD8E-CC87-4E4C-AC06-D54DF5192F5A}"/>
    <cellStyle name="Normal 5 4 2 5 4 2" xfId="47106" xr:uid="{DEFDFCD4-06A0-46F1-BE6B-F174FB9271C5}"/>
    <cellStyle name="Normal 5 4 2 5 4 3" xfId="28510" xr:uid="{BC4E60BF-1EC6-4965-9B81-3E49B87DA4B9}"/>
    <cellStyle name="Normal 5 4 2 5 5" xfId="37809" xr:uid="{2F2D2276-3BF2-4C37-9374-343626F5F051}"/>
    <cellStyle name="Normal 5 4 2 5 6" xfId="19211" xr:uid="{1CF6FEC1-EED1-4179-894B-2226424F6073}"/>
    <cellStyle name="Normal 5 4 2 6" xfId="1761" xr:uid="{00000000-0005-0000-0000-0000F31A0000}"/>
    <cellStyle name="Normal 5 4 2 6 2" xfId="3991" xr:uid="{00000000-0005-0000-0000-0000F41A0000}"/>
    <cellStyle name="Normal 5 4 2 6 2 2" xfId="8213" xr:uid="{00000000-0005-0000-0000-0000F51A0000}"/>
    <cellStyle name="Normal 5 4 2 6 2 2 2" xfId="17539" xr:uid="{991C3DEB-0E6F-4A09-AA29-B696CB58E7E2}"/>
    <cellStyle name="Normal 5 4 2 6 2 2 2 2" xfId="53881" xr:uid="{3D89FF36-AEC8-413C-B2C8-6DAD84B88CEC}"/>
    <cellStyle name="Normal 5 4 2 6 2 2 2 3" xfId="35285" xr:uid="{B5EA881B-F5AA-43ED-8C19-C5639FCEC929}"/>
    <cellStyle name="Normal 5 4 2 6 2 2 3" xfId="44584" xr:uid="{F44324A3-4AE4-4D20-A06A-40A0358A1AEA}"/>
    <cellStyle name="Normal 5 4 2 6 2 2 4" xfId="25986" xr:uid="{B766EE51-2841-4D9C-961C-1337F1B79702}"/>
    <cellStyle name="Normal 5 4 2 6 2 3" xfId="13322" xr:uid="{618901B4-50BE-4FCD-8063-A32A3A41235C}"/>
    <cellStyle name="Normal 5 4 2 6 2 3 2" xfId="49664" xr:uid="{5BE27271-E4A3-48D5-8734-F0EE1B39BF33}"/>
    <cellStyle name="Normal 5 4 2 6 2 3 3" xfId="31068" xr:uid="{4B7B0329-E8DE-49B7-9013-0AE87E786A3C}"/>
    <cellStyle name="Normal 5 4 2 6 2 4" xfId="40367" xr:uid="{438323E2-4480-4240-8A07-009CC13571DA}"/>
    <cellStyle name="Normal 5 4 2 6 2 5" xfId="21769" xr:uid="{A18D5281-6038-4431-95DF-256B70D941CA}"/>
    <cellStyle name="Normal 5 4 2 6 3" xfId="6068" xr:uid="{00000000-0005-0000-0000-0000F61A0000}"/>
    <cellStyle name="Normal 5 4 2 6 3 2" xfId="15394" xr:uid="{263ACE1A-305A-460D-A417-0C9F4095710F}"/>
    <cellStyle name="Normal 5 4 2 6 3 2 2" xfId="51736" xr:uid="{8FAFBCAE-268C-40E1-8BE3-F35CA1AD8803}"/>
    <cellStyle name="Normal 5 4 2 6 3 2 3" xfId="33140" xr:uid="{FE006824-6F18-410A-B01D-B3D356957176}"/>
    <cellStyle name="Normal 5 4 2 6 3 3" xfId="42439" xr:uid="{146BB0FE-0835-44BD-B8DB-C1AF724AAE9D}"/>
    <cellStyle name="Normal 5 4 2 6 3 4" xfId="23841" xr:uid="{43E208E2-ACEB-4145-B407-839E8A6F3E81}"/>
    <cellStyle name="Normal 5 4 2 6 4" xfId="11177" xr:uid="{4A1B5A1D-D8DA-4727-94CE-15ABEC4D74EE}"/>
    <cellStyle name="Normal 5 4 2 6 4 2" xfId="47519" xr:uid="{DEE0EBCF-0116-483F-974B-D9B61093A619}"/>
    <cellStyle name="Normal 5 4 2 6 4 3" xfId="28923" xr:uid="{E19ED0A8-00A5-4D69-98EF-13F9C3F52F3C}"/>
    <cellStyle name="Normal 5 4 2 6 5" xfId="38222" xr:uid="{8BB08F4F-9E50-4D51-94CD-EA86D8DEFDED}"/>
    <cellStyle name="Normal 5 4 2 6 6" xfId="19624" xr:uid="{C0042A91-AA06-4129-9A54-B3A478CEF1D1}"/>
    <cellStyle name="Normal 5 4 2 7" xfId="2175" xr:uid="{00000000-0005-0000-0000-0000F71A0000}"/>
    <cellStyle name="Normal 5 4 2 7 2" xfId="4404" xr:uid="{00000000-0005-0000-0000-0000F81A0000}"/>
    <cellStyle name="Normal 5 4 2 7 2 2" xfId="8626" xr:uid="{00000000-0005-0000-0000-0000F91A0000}"/>
    <cellStyle name="Normal 5 4 2 7 2 2 2" xfId="17952" xr:uid="{CFE465ED-5DF0-498D-A0EE-5D99D5F3393F}"/>
    <cellStyle name="Normal 5 4 2 7 2 2 2 2" xfId="54294" xr:uid="{3CCFF288-7EEA-48DE-9AD8-BFC911835C99}"/>
    <cellStyle name="Normal 5 4 2 7 2 2 2 3" xfId="35698" xr:uid="{8E3E811A-2DC1-45CB-B3B4-A72B1C82707A}"/>
    <cellStyle name="Normal 5 4 2 7 2 2 3" xfId="44997" xr:uid="{88EBFA6E-4753-4B09-B7E4-8B49724EE5A0}"/>
    <cellStyle name="Normal 5 4 2 7 2 2 4" xfId="26399" xr:uid="{6AAB4940-20F1-494E-A6A8-99D92E63C8D2}"/>
    <cellStyle name="Normal 5 4 2 7 2 3" xfId="13735" xr:uid="{8118EA41-D6A1-4850-AC97-B74A1BE81371}"/>
    <cellStyle name="Normal 5 4 2 7 2 3 2" xfId="50077" xr:uid="{AEF66CD5-63DF-4064-A4BE-5BCBB1E64C5E}"/>
    <cellStyle name="Normal 5 4 2 7 2 3 3" xfId="31481" xr:uid="{AFBC88F9-A131-4B59-BE8A-FDC6F4E6A238}"/>
    <cellStyle name="Normal 5 4 2 7 2 4" xfId="40780" xr:uid="{6A72356B-1870-46E8-930A-9F19E13F832A}"/>
    <cellStyle name="Normal 5 4 2 7 2 5" xfId="22182" xr:uid="{0C6D50B4-466E-45EB-9437-186B03A096A5}"/>
    <cellStyle name="Normal 5 4 2 7 3" xfId="6481" xr:uid="{00000000-0005-0000-0000-0000FA1A0000}"/>
    <cellStyle name="Normal 5 4 2 7 3 2" xfId="15807" xr:uid="{6D67CAE7-8BC1-4528-8482-A2C20618346B}"/>
    <cellStyle name="Normal 5 4 2 7 3 2 2" xfId="52149" xr:uid="{51B298DB-60FD-4390-80E1-199E561A2C7C}"/>
    <cellStyle name="Normal 5 4 2 7 3 2 3" xfId="33553" xr:uid="{D5446249-7CD7-4F70-98F2-3E78A6BACF44}"/>
    <cellStyle name="Normal 5 4 2 7 3 3" xfId="42852" xr:uid="{BD005D28-9614-421A-8311-4B7E5EA1B475}"/>
    <cellStyle name="Normal 5 4 2 7 3 4" xfId="24254" xr:uid="{C33D32B5-9440-4CF0-83FB-8DD98E46455C}"/>
    <cellStyle name="Normal 5 4 2 7 4" xfId="11590" xr:uid="{5E72004B-9D6E-4DC4-9FFD-C52C14D61969}"/>
    <cellStyle name="Normal 5 4 2 7 4 2" xfId="47932" xr:uid="{40189C8E-54FE-450D-97E6-32FD398ABC37}"/>
    <cellStyle name="Normal 5 4 2 7 4 3" xfId="29336" xr:uid="{F5A1C3F3-B995-4A13-A16B-B43A20217123}"/>
    <cellStyle name="Normal 5 4 2 7 5" xfId="38635" xr:uid="{07C2ED04-1BB4-4516-A043-EDBF9FBE96BD}"/>
    <cellStyle name="Normal 5 4 2 7 6" xfId="20037" xr:uid="{FD0D0287-320C-44D4-8824-1CED6964796E}"/>
    <cellStyle name="Normal 5 4 2 8" xfId="2611" xr:uid="{00000000-0005-0000-0000-0000FB1A0000}"/>
    <cellStyle name="Normal 5 4 2 8 2" xfId="6894" xr:uid="{00000000-0005-0000-0000-0000FC1A0000}"/>
    <cellStyle name="Normal 5 4 2 8 2 2" xfId="16220" xr:uid="{2129D6D4-76ED-4114-9C67-8640F03971E9}"/>
    <cellStyle name="Normal 5 4 2 8 2 2 2" xfId="52562" xr:uid="{0B21C13E-3D65-4F5C-8346-9A3BA4022128}"/>
    <cellStyle name="Normal 5 4 2 8 2 2 3" xfId="33966" xr:uid="{FF120DD5-B2CB-4FE1-A34C-5C270EB0DC84}"/>
    <cellStyle name="Normal 5 4 2 8 2 3" xfId="43265" xr:uid="{D70D5362-B5C3-48D7-953C-4D3AC9AC1C8B}"/>
    <cellStyle name="Normal 5 4 2 8 2 4" xfId="24667" xr:uid="{073B83AB-5B08-4CA3-85AE-61943BBDF5DA}"/>
    <cellStyle name="Normal 5 4 2 8 3" xfId="12003" xr:uid="{0A286CEB-5593-44C3-B0F9-9E57C2B7B402}"/>
    <cellStyle name="Normal 5 4 2 8 3 2" xfId="48345" xr:uid="{9E513DEC-341C-4F0C-8F95-0B9BF23229B8}"/>
    <cellStyle name="Normal 5 4 2 8 3 3" xfId="29749" xr:uid="{39A53974-CA39-4C45-B480-33EF2DF9397E}"/>
    <cellStyle name="Normal 5 4 2 8 4" xfId="39048" xr:uid="{EF0B4F4A-26D9-47DB-8C99-AEF528947C36}"/>
    <cellStyle name="Normal 5 4 2 8 5" xfId="20450" xr:uid="{3D60C764-BAF0-4828-B3B3-6EA2BC91C4DA}"/>
    <cellStyle name="Normal 5 4 2 9" xfId="4829" xr:uid="{00000000-0005-0000-0000-0000FD1A0000}"/>
    <cellStyle name="Normal 5 4 2 9 2" xfId="14155" xr:uid="{B75D707C-2431-4229-9B62-A5F27614AF85}"/>
    <cellStyle name="Normal 5 4 2 9 2 2" xfId="50497" xr:uid="{9FF363C1-E1A5-4A84-BCF0-F569B00B3535}"/>
    <cellStyle name="Normal 5 4 2 9 2 3" xfId="31901" xr:uid="{D512FACF-607E-4605-820D-4E41E97A78BB}"/>
    <cellStyle name="Normal 5 4 2 9 3" xfId="41200" xr:uid="{B4257B25-39C8-4022-84C9-F655E72BA462}"/>
    <cellStyle name="Normal 5 4 2 9 4" xfId="22602" xr:uid="{E669C151-357F-49F5-BFE8-C7A889AE3213}"/>
    <cellStyle name="Normal 5 4 3" xfId="461" xr:uid="{00000000-0005-0000-0000-0000FE1A0000}"/>
    <cellStyle name="Normal 5 4 3 10" xfId="9942" xr:uid="{254B7B75-DA0D-47AE-919B-57E4B77586F6}"/>
    <cellStyle name="Normal 5 4 3 10 2" xfId="46284" xr:uid="{36DCC60B-E420-4579-977B-36D1E6BBB4A9}"/>
    <cellStyle name="Normal 5 4 3 10 3" xfId="27688" xr:uid="{91EE4B6A-C131-4ADA-A59C-5C77602FFCC8}"/>
    <cellStyle name="Normal 5 4 3 11" xfId="36987" xr:uid="{9D1C9A6F-682B-48D2-B158-42C15AFA7E90}"/>
    <cellStyle name="Normal 5 4 3 12" xfId="18389" xr:uid="{82E0355D-878C-467D-AA16-5B6230F98B57}"/>
    <cellStyle name="Normal 5 4 3 2" xfId="462" xr:uid="{00000000-0005-0000-0000-0000FF1A0000}"/>
    <cellStyle name="Normal 5 4 3 2 10" xfId="36988" xr:uid="{41CD302D-78EA-4765-AE1F-A5568E7B40AB}"/>
    <cellStyle name="Normal 5 4 3 2 11" xfId="18390" xr:uid="{48FB5E34-3EEA-4BF5-9DDC-41792F8AD4B2}"/>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16718" xr:uid="{21A1DDEB-AAA4-49E7-8262-1EF0FB984ADF}"/>
    <cellStyle name="Normal 5 4 3 2 2 2 2 2 2" xfId="53060" xr:uid="{9CA6D41A-9D14-426C-AE9D-0A5CD334AEDB}"/>
    <cellStyle name="Normal 5 4 3 2 2 2 2 2 3" xfId="34464" xr:uid="{FEC78A90-440B-4D3A-A8A1-56153F89518A}"/>
    <cellStyle name="Normal 5 4 3 2 2 2 2 3" xfId="43763" xr:uid="{78EB7351-F278-48AB-B73B-975D5CF0C4E6}"/>
    <cellStyle name="Normal 5 4 3 2 2 2 2 4" xfId="25165" xr:uid="{12F63F43-1F2C-4E78-99AA-FC205A381652}"/>
    <cellStyle name="Normal 5 4 3 2 2 2 3" xfId="12501" xr:uid="{E5B12F12-6F2A-4AEC-91A7-7234C2FA9405}"/>
    <cellStyle name="Normal 5 4 3 2 2 2 3 2" xfId="48843" xr:uid="{8076FC1A-F487-4B4C-BC8D-FE9DF2862D2F}"/>
    <cellStyle name="Normal 5 4 3 2 2 2 3 3" xfId="30247" xr:uid="{10F4C12E-DC5A-4301-90E7-09C639009CA2}"/>
    <cellStyle name="Normal 5 4 3 2 2 2 4" xfId="39546" xr:uid="{CC85A7CF-AFB0-4843-BDEA-9FF27C574123}"/>
    <cellStyle name="Normal 5 4 3 2 2 2 5" xfId="20948" xr:uid="{92EAA259-6F48-4AB3-A3AD-4B56EF21DAB3}"/>
    <cellStyle name="Normal 5 4 3 2 2 3" xfId="5247" xr:uid="{00000000-0005-0000-0000-0000031B0000}"/>
    <cellStyle name="Normal 5 4 3 2 2 3 2" xfId="14573" xr:uid="{624C34FA-ED34-4668-8796-7DC72729EFE9}"/>
    <cellStyle name="Normal 5 4 3 2 2 3 2 2" xfId="50915" xr:uid="{3433EE31-0EC4-4E7D-A2E2-58E416626887}"/>
    <cellStyle name="Normal 5 4 3 2 2 3 2 3" xfId="32319" xr:uid="{CC262D64-7771-46F4-AF47-8B52049C5F9E}"/>
    <cellStyle name="Normal 5 4 3 2 2 3 3" xfId="41618" xr:uid="{B8136F08-3E31-48B9-9543-90B4EAABD378}"/>
    <cellStyle name="Normal 5 4 3 2 2 3 4" xfId="23020" xr:uid="{80F79290-8D15-4C69-897E-CB9F6BA0B001}"/>
    <cellStyle name="Normal 5 4 3 2 2 4" xfId="9508" xr:uid="{1F9B5A8F-2A45-43C5-9422-E8BC84424A55}"/>
    <cellStyle name="Normal 5 4 3 2 2 4 2" xfId="36569" xr:uid="{F21C827B-3122-4DAE-A69A-2CEF44DE18D9}"/>
    <cellStyle name="Normal 5 4 3 2 2 4 2 2" xfId="55163" xr:uid="{AD602E38-72B6-4B27-8632-873ED6087B76}"/>
    <cellStyle name="Normal 5 4 3 2 2 4 3" xfId="45866" xr:uid="{F20D9CED-9A19-452A-A49C-AE643C32A440}"/>
    <cellStyle name="Normal 5 4 3 2 2 4 4" xfId="27270" xr:uid="{7176BA39-FB87-41FF-A21D-96F9CD4ECB41}"/>
    <cellStyle name="Normal 5 4 3 2 2 5" xfId="10356" xr:uid="{DEF57E5A-631D-4E0E-AE72-682A80A639E5}"/>
    <cellStyle name="Normal 5 4 3 2 2 5 2" xfId="46698" xr:uid="{17DCDDA9-53D6-4840-A3B6-8DD5C933E990}"/>
    <cellStyle name="Normal 5 4 3 2 2 5 3" xfId="28102" xr:uid="{AC428B02-4D17-4D5A-A691-49ABC211E108}"/>
    <cellStyle name="Normal 5 4 3 2 2 6" xfId="37401" xr:uid="{07E733A5-0B51-4E4A-9482-135118D78714}"/>
    <cellStyle name="Normal 5 4 3 2 2 7" xfId="18803" xr:uid="{83BBC258-9A9B-4EDF-A6AB-7F47896014EC}"/>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17131" xr:uid="{3B320B1C-BEB7-41B7-9B77-CF585AA262BA}"/>
    <cellStyle name="Normal 5 4 3 2 3 2 2 2 2" xfId="53473" xr:uid="{6545F14B-8CDE-40A9-9DD8-90292593443B}"/>
    <cellStyle name="Normal 5 4 3 2 3 2 2 2 3" xfId="34877" xr:uid="{D29977C7-5E7D-4C2B-947B-8EE840A102AC}"/>
    <cellStyle name="Normal 5 4 3 2 3 2 2 3" xfId="44176" xr:uid="{B8F69B8B-71DA-446D-8EED-CEFF16587B4C}"/>
    <cellStyle name="Normal 5 4 3 2 3 2 2 4" xfId="25578" xr:uid="{3459927F-9D0C-4917-989F-76CF5BAA3DBF}"/>
    <cellStyle name="Normal 5 4 3 2 3 2 3" xfId="12914" xr:uid="{E1A409E6-7B2D-426C-9B9C-7D29FD884082}"/>
    <cellStyle name="Normal 5 4 3 2 3 2 3 2" xfId="49256" xr:uid="{113915E0-36BC-405C-A749-CD65FFC5FA39}"/>
    <cellStyle name="Normal 5 4 3 2 3 2 3 3" xfId="30660" xr:uid="{1F51393E-C560-4B9C-84F6-789B772C5E57}"/>
    <cellStyle name="Normal 5 4 3 2 3 2 4" xfId="39959" xr:uid="{A2C29E46-4A51-4D3D-943D-4CB428F06256}"/>
    <cellStyle name="Normal 5 4 3 2 3 2 5" xfId="21361" xr:uid="{7269D1B8-D686-466A-9CB6-2F784115CA68}"/>
    <cellStyle name="Normal 5 4 3 2 3 3" xfId="5660" xr:uid="{00000000-0005-0000-0000-0000071B0000}"/>
    <cellStyle name="Normal 5 4 3 2 3 3 2" xfId="14986" xr:uid="{07FF9703-B048-40F1-A25B-48BABD776A31}"/>
    <cellStyle name="Normal 5 4 3 2 3 3 2 2" xfId="51328" xr:uid="{6625CAC0-B07C-4BD9-8F8C-3C4E6AF02814}"/>
    <cellStyle name="Normal 5 4 3 2 3 3 2 3" xfId="32732" xr:uid="{4BD06044-5E3F-4043-82FE-82C455F78CBA}"/>
    <cellStyle name="Normal 5 4 3 2 3 3 3" xfId="42031" xr:uid="{E6773BD5-B06A-46CF-A042-CC39BA61BDDF}"/>
    <cellStyle name="Normal 5 4 3 2 3 3 4" xfId="23433" xr:uid="{B6895BB6-1B29-4C3E-B227-C1D00BA9F7AF}"/>
    <cellStyle name="Normal 5 4 3 2 3 4" xfId="10769" xr:uid="{06E85FB7-47BA-4FB6-B77F-A87768747091}"/>
    <cellStyle name="Normal 5 4 3 2 3 4 2" xfId="47111" xr:uid="{6A93AB41-918F-4565-ADBF-31AE63129C6F}"/>
    <cellStyle name="Normal 5 4 3 2 3 4 3" xfId="28515" xr:uid="{BDA57B77-5AA5-4069-AA09-78B5B0A7E6F4}"/>
    <cellStyle name="Normal 5 4 3 2 3 5" xfId="37814" xr:uid="{F15EF7E9-AF5E-465E-9215-A214A47134DC}"/>
    <cellStyle name="Normal 5 4 3 2 3 6" xfId="19216" xr:uid="{2E037F99-CB59-48CA-B2FC-065657498912}"/>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17544" xr:uid="{EC2358F6-AB3A-457C-9C5A-C52E330CF98C}"/>
    <cellStyle name="Normal 5 4 3 2 4 2 2 2 2" xfId="53886" xr:uid="{871B0B49-0F59-4A2F-B7C6-3F0DEE3E5E61}"/>
    <cellStyle name="Normal 5 4 3 2 4 2 2 2 3" xfId="35290" xr:uid="{D2A222D3-CD31-4D1A-96E0-90EDA61783B1}"/>
    <cellStyle name="Normal 5 4 3 2 4 2 2 3" xfId="44589" xr:uid="{3DFD069F-C47B-4495-8D46-C4497862929B}"/>
    <cellStyle name="Normal 5 4 3 2 4 2 2 4" xfId="25991" xr:uid="{57530C10-62C9-4A2D-ADB5-DCC41459BC98}"/>
    <cellStyle name="Normal 5 4 3 2 4 2 3" xfId="13327" xr:uid="{3D8EBFEE-BE79-4765-8A63-E83D66FA3503}"/>
    <cellStyle name="Normal 5 4 3 2 4 2 3 2" xfId="49669" xr:uid="{44AA162E-4E76-4F5F-A899-B5343F25BC22}"/>
    <cellStyle name="Normal 5 4 3 2 4 2 3 3" xfId="31073" xr:uid="{0B03BB5A-CECF-46A1-9466-97E354920800}"/>
    <cellStyle name="Normal 5 4 3 2 4 2 4" xfId="40372" xr:uid="{8FF4759B-B114-429B-9442-3DF44F92CC7F}"/>
    <cellStyle name="Normal 5 4 3 2 4 2 5" xfId="21774" xr:uid="{C7DCE80B-033D-4307-B236-952A6EB3D72C}"/>
    <cellStyle name="Normal 5 4 3 2 4 3" xfId="6073" xr:uid="{00000000-0005-0000-0000-00000B1B0000}"/>
    <cellStyle name="Normal 5 4 3 2 4 3 2" xfId="15399" xr:uid="{95842C48-B7AC-48FA-9038-3AC1E15ECFAE}"/>
    <cellStyle name="Normal 5 4 3 2 4 3 2 2" xfId="51741" xr:uid="{99215EA3-6DD9-4378-8B9D-32A6F68C7478}"/>
    <cellStyle name="Normal 5 4 3 2 4 3 2 3" xfId="33145" xr:uid="{C470FE2C-93E8-4EA9-AE01-1CE0A5726844}"/>
    <cellStyle name="Normal 5 4 3 2 4 3 3" xfId="42444" xr:uid="{97DB0875-DD03-4B02-85C7-EFE770491A9F}"/>
    <cellStyle name="Normal 5 4 3 2 4 3 4" xfId="23846" xr:uid="{52E48F8D-02DE-4F23-AF84-7493184AB040}"/>
    <cellStyle name="Normal 5 4 3 2 4 4" xfId="11182" xr:uid="{BB2F068E-0DC3-4E44-A798-BFDAFFD52612}"/>
    <cellStyle name="Normal 5 4 3 2 4 4 2" xfId="47524" xr:uid="{6B5AD235-1A19-4877-9E72-ED97ADA4E03B}"/>
    <cellStyle name="Normal 5 4 3 2 4 4 3" xfId="28928" xr:uid="{24C50781-A607-4C58-96C6-9740C2419B63}"/>
    <cellStyle name="Normal 5 4 3 2 4 5" xfId="38227" xr:uid="{4A1D416B-4D0B-407F-8D3D-753EF59ECDFE}"/>
    <cellStyle name="Normal 5 4 3 2 4 6" xfId="19629" xr:uid="{E7248C63-2C79-43E7-91CC-C2B2D1C10DA4}"/>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17957" xr:uid="{B908B5AA-AD8C-4BD9-9A1E-A8C518AEF71A}"/>
    <cellStyle name="Normal 5 4 3 2 5 2 2 2 2" xfId="54299" xr:uid="{344FB8B0-E98A-4F9E-ADDA-B5ADD76CD9CF}"/>
    <cellStyle name="Normal 5 4 3 2 5 2 2 2 3" xfId="35703" xr:uid="{4E7C034C-5241-4B01-959A-5F7C712DFC4F}"/>
    <cellStyle name="Normal 5 4 3 2 5 2 2 3" xfId="45002" xr:uid="{0215D550-0DDE-4296-8FCB-BB4A25FC1101}"/>
    <cellStyle name="Normal 5 4 3 2 5 2 2 4" xfId="26404" xr:uid="{FEE2CEB9-4C52-4253-8DD0-3A00D4C4AA49}"/>
    <cellStyle name="Normal 5 4 3 2 5 2 3" xfId="13740" xr:uid="{D7843846-595D-48A8-BC9C-D85031DEE1B8}"/>
    <cellStyle name="Normal 5 4 3 2 5 2 3 2" xfId="50082" xr:uid="{92CED86A-7897-4264-8DE2-81DB46D2F370}"/>
    <cellStyle name="Normal 5 4 3 2 5 2 3 3" xfId="31486" xr:uid="{F5FCF038-C41E-47D6-924A-5BB699C0B213}"/>
    <cellStyle name="Normal 5 4 3 2 5 2 4" xfId="40785" xr:uid="{797FA044-58A3-4F34-A2E3-F1A07AD0AC1D}"/>
    <cellStyle name="Normal 5 4 3 2 5 2 5" xfId="22187" xr:uid="{CD38350F-BA64-41F2-856B-8F14F530FA80}"/>
    <cellStyle name="Normal 5 4 3 2 5 3" xfId="6486" xr:uid="{00000000-0005-0000-0000-00000F1B0000}"/>
    <cellStyle name="Normal 5 4 3 2 5 3 2" xfId="15812" xr:uid="{EB09EDD9-EEE5-4CD9-8ACA-A522B65DC097}"/>
    <cellStyle name="Normal 5 4 3 2 5 3 2 2" xfId="52154" xr:uid="{43336F76-B818-4C44-AF1B-BBDA2144D0F7}"/>
    <cellStyle name="Normal 5 4 3 2 5 3 2 3" xfId="33558" xr:uid="{DDFD9820-C3B3-497B-9DF1-C3BA7F8D8A2D}"/>
    <cellStyle name="Normal 5 4 3 2 5 3 3" xfId="42857" xr:uid="{07E403B0-2F45-4785-B2DC-191A50B18AC0}"/>
    <cellStyle name="Normal 5 4 3 2 5 3 4" xfId="24259" xr:uid="{CF293EFB-FC2B-4FE1-A589-52C2AFB0EA19}"/>
    <cellStyle name="Normal 5 4 3 2 5 4" xfId="11595" xr:uid="{6AB1064D-64A9-4C9C-9079-7C8E653D2A8F}"/>
    <cellStyle name="Normal 5 4 3 2 5 4 2" xfId="47937" xr:uid="{6042F158-5435-459D-A918-696D9340124D}"/>
    <cellStyle name="Normal 5 4 3 2 5 4 3" xfId="29341" xr:uid="{CFC20CFE-A293-4E8C-828A-93A47986CAAB}"/>
    <cellStyle name="Normal 5 4 3 2 5 5" xfId="38640" xr:uid="{F7C290D1-19AB-4FFD-83E3-CDA135B5DEF7}"/>
    <cellStyle name="Normal 5 4 3 2 5 6" xfId="20042" xr:uid="{D43E84F5-2F5E-427E-B7F9-C86092A715AB}"/>
    <cellStyle name="Normal 5 4 3 2 6" xfId="2616" xr:uid="{00000000-0005-0000-0000-0000101B0000}"/>
    <cellStyle name="Normal 5 4 3 2 6 2" xfId="6899" xr:uid="{00000000-0005-0000-0000-0000111B0000}"/>
    <cellStyle name="Normal 5 4 3 2 6 2 2" xfId="16225" xr:uid="{4AB0CF27-CC2D-4541-AB98-51633E94750D}"/>
    <cellStyle name="Normal 5 4 3 2 6 2 2 2" xfId="52567" xr:uid="{32C52C25-F207-4B4D-863A-2F3C674F052F}"/>
    <cellStyle name="Normal 5 4 3 2 6 2 2 3" xfId="33971" xr:uid="{26745A50-CFAE-4EDD-AAE5-2810C2DE1F1B}"/>
    <cellStyle name="Normal 5 4 3 2 6 2 3" xfId="43270" xr:uid="{C5D8040E-A7EC-4E96-9714-FF8134831CB9}"/>
    <cellStyle name="Normal 5 4 3 2 6 2 4" xfId="24672" xr:uid="{2B3E46E8-F143-40B3-8243-53D9D60C05C4}"/>
    <cellStyle name="Normal 5 4 3 2 6 3" xfId="12008" xr:uid="{CCD9BCD7-7CA9-4DCF-8E8B-78D57D5546E6}"/>
    <cellStyle name="Normal 5 4 3 2 6 3 2" xfId="48350" xr:uid="{135927AD-32FA-4783-97DC-7F22872B1997}"/>
    <cellStyle name="Normal 5 4 3 2 6 3 3" xfId="29754" xr:uid="{50A66A6D-BE27-4168-8C15-B7689E3F8BEA}"/>
    <cellStyle name="Normal 5 4 3 2 6 4" xfId="39053" xr:uid="{43DC9891-1F9C-44A7-97F1-C2C6D282587B}"/>
    <cellStyle name="Normal 5 4 3 2 6 5" xfId="20455" xr:uid="{E6D5CE57-9293-407A-86DE-62AEA8A4FB54}"/>
    <cellStyle name="Normal 5 4 3 2 7" xfId="4834" xr:uid="{00000000-0005-0000-0000-0000121B0000}"/>
    <cellStyle name="Normal 5 4 3 2 7 2" xfId="14160" xr:uid="{FC193A73-0EF7-48D3-8D9F-DD0121638643}"/>
    <cellStyle name="Normal 5 4 3 2 7 2 2" xfId="50502" xr:uid="{535BFFF5-A3C0-49E5-B870-E54ECFCAB01C}"/>
    <cellStyle name="Normal 5 4 3 2 7 2 3" xfId="31906" xr:uid="{6D38DA4F-8B0E-483E-8811-6624FEA99B7F}"/>
    <cellStyle name="Normal 5 4 3 2 7 3" xfId="41205" xr:uid="{AEE05BA0-9CDC-4AD4-99D1-3430BB02C90C}"/>
    <cellStyle name="Normal 5 4 3 2 7 4" xfId="22607" xr:uid="{72FC8F61-098D-4472-A535-08B4E61301D9}"/>
    <cellStyle name="Normal 5 4 3 2 8" xfId="9083" xr:uid="{206384C8-6AD8-4D28-8F99-3033A80D68FC}"/>
    <cellStyle name="Normal 5 4 3 2 8 2" xfId="36153" xr:uid="{0D39AB63-3955-4EB0-AAF3-F55FFB63DE02}"/>
    <cellStyle name="Normal 5 4 3 2 8 2 2" xfId="54748" xr:uid="{0FDEDA5E-58C8-4FF2-8906-899A18AC34DA}"/>
    <cellStyle name="Normal 5 4 3 2 8 3" xfId="45451" xr:uid="{BF953F68-33F1-433B-A7DC-9DA5A089ECF9}"/>
    <cellStyle name="Normal 5 4 3 2 8 4" xfId="26854" xr:uid="{73EC969A-4513-4416-B3A3-C7A5C9AB1390}"/>
    <cellStyle name="Normal 5 4 3 2 9" xfId="9943" xr:uid="{B2214673-0947-474C-88D9-4D182D62E03A}"/>
    <cellStyle name="Normal 5 4 3 2 9 2" xfId="46285" xr:uid="{83B36CDF-0E83-431D-A8D7-3CE3EDA39534}"/>
    <cellStyle name="Normal 5 4 3 2 9 3" xfId="27689" xr:uid="{84B4B9D4-40B2-43C7-BB1B-A18CB79F872D}"/>
    <cellStyle name="Normal 5 4 3 3" xfId="935" xr:uid="{00000000-0005-0000-0000-0000131B0000}"/>
    <cellStyle name="Normal 5 4 3 3 2" xfId="3169" xr:uid="{00000000-0005-0000-0000-0000141B0000}"/>
    <cellStyle name="Normal 5 4 3 3 2 2" xfId="7391" xr:uid="{00000000-0005-0000-0000-0000151B0000}"/>
    <cellStyle name="Normal 5 4 3 3 2 2 2" xfId="16717" xr:uid="{D30F617F-D24C-42D6-B55A-574384193771}"/>
    <cellStyle name="Normal 5 4 3 3 2 2 2 2" xfId="53059" xr:uid="{9AB05F55-D36D-40AE-AF00-A15C6D6673EC}"/>
    <cellStyle name="Normal 5 4 3 3 2 2 2 3" xfId="34463" xr:uid="{52BC1596-A4CF-4A08-86EB-D5A1B7C53B18}"/>
    <cellStyle name="Normal 5 4 3 3 2 2 3" xfId="43762" xr:uid="{747058BC-C25B-47EF-94A4-102AB5B9F05D}"/>
    <cellStyle name="Normal 5 4 3 3 2 2 4" xfId="25164" xr:uid="{20874348-66BA-46DE-96C5-ABC192BB16A2}"/>
    <cellStyle name="Normal 5 4 3 3 2 3" xfId="12500" xr:uid="{5B475480-006D-4461-8A87-92642D7865A7}"/>
    <cellStyle name="Normal 5 4 3 3 2 3 2" xfId="48842" xr:uid="{5ED75A3B-947F-4F3C-8002-CDBD34AACEEB}"/>
    <cellStyle name="Normal 5 4 3 3 2 3 3" xfId="30246" xr:uid="{02AAC8BA-BBA7-4F90-9C45-7E2C319647A3}"/>
    <cellStyle name="Normal 5 4 3 3 2 4" xfId="39545" xr:uid="{7CDE36E0-44BA-40F2-AC15-717D51C217BF}"/>
    <cellStyle name="Normal 5 4 3 3 2 5" xfId="20947" xr:uid="{2C172A5F-1A5E-448E-B77B-8A1FB6D36C70}"/>
    <cellStyle name="Normal 5 4 3 3 3" xfId="5246" xr:uid="{00000000-0005-0000-0000-0000161B0000}"/>
    <cellStyle name="Normal 5 4 3 3 3 2" xfId="14572" xr:uid="{480D4E98-47A3-4FD9-9DDC-CE4A584C5D4E}"/>
    <cellStyle name="Normal 5 4 3 3 3 2 2" xfId="50914" xr:uid="{B7D35512-E315-419F-B1AC-D5795B87CE41}"/>
    <cellStyle name="Normal 5 4 3 3 3 2 3" xfId="32318" xr:uid="{6B8F0DAA-890F-4F3C-AF0C-030128D27C54}"/>
    <cellStyle name="Normal 5 4 3 3 3 3" xfId="41617" xr:uid="{0B5E92F2-316B-4740-BE9D-97A3877CC5F6}"/>
    <cellStyle name="Normal 5 4 3 3 3 4" xfId="23019" xr:uid="{793F1DA0-DCCD-44A2-9C90-D2083B693241}"/>
    <cellStyle name="Normal 5 4 3 3 4" xfId="9301" xr:uid="{CB02BBE7-2E3D-4C67-A62E-BA84DE882039}"/>
    <cellStyle name="Normal 5 4 3 3 4 2" xfId="36362" xr:uid="{1F837D74-5CFB-4B29-B3AF-30017D7237F7}"/>
    <cellStyle name="Normal 5 4 3 3 4 2 2" xfId="54956" xr:uid="{5ADE4738-E2F2-402F-8CC8-1D5D16660D08}"/>
    <cellStyle name="Normal 5 4 3 3 4 3" xfId="45659" xr:uid="{00BF526F-252C-4953-A94B-A9F78E519C12}"/>
    <cellStyle name="Normal 5 4 3 3 4 4" xfId="27063" xr:uid="{26465CB2-432E-4F04-9A24-A57A06731DDB}"/>
    <cellStyle name="Normal 5 4 3 3 5" xfId="10355" xr:uid="{F962B9E5-639E-427B-8FF2-D6ABB6F44679}"/>
    <cellStyle name="Normal 5 4 3 3 5 2" xfId="46697" xr:uid="{4FD6B572-E6CB-4CA8-A086-EDC979B1AEA3}"/>
    <cellStyle name="Normal 5 4 3 3 5 3" xfId="28101" xr:uid="{870C7A6E-5921-4AEB-9078-9321C9C6B7D3}"/>
    <cellStyle name="Normal 5 4 3 3 6" xfId="37400" xr:uid="{86AB7C65-A409-4C1C-A93E-F48E6A5DDBA3}"/>
    <cellStyle name="Normal 5 4 3 3 7" xfId="18802" xr:uid="{D6B5D5C3-C440-49E6-88DA-8FC9B8787D30}"/>
    <cellStyle name="Normal 5 4 3 4" xfId="1352" xr:uid="{00000000-0005-0000-0000-0000171B0000}"/>
    <cellStyle name="Normal 5 4 3 4 2" xfId="3582" xr:uid="{00000000-0005-0000-0000-0000181B0000}"/>
    <cellStyle name="Normal 5 4 3 4 2 2" xfId="7804" xr:uid="{00000000-0005-0000-0000-0000191B0000}"/>
    <cellStyle name="Normal 5 4 3 4 2 2 2" xfId="17130" xr:uid="{C72F33D1-B5BD-4FD7-834B-BB0CC97A9F75}"/>
    <cellStyle name="Normal 5 4 3 4 2 2 2 2" xfId="53472" xr:uid="{DA18464C-4E48-44A4-B977-0412DD8CEC0F}"/>
    <cellStyle name="Normal 5 4 3 4 2 2 2 3" xfId="34876" xr:uid="{D510CB1A-817C-4130-85C6-ABF31A75703D}"/>
    <cellStyle name="Normal 5 4 3 4 2 2 3" xfId="44175" xr:uid="{5A3269C7-2074-49DF-B7E4-F53E6BD652CE}"/>
    <cellStyle name="Normal 5 4 3 4 2 2 4" xfId="25577" xr:uid="{AFFA870A-C5A2-4BB8-BA14-8EFAA3C7BD51}"/>
    <cellStyle name="Normal 5 4 3 4 2 3" xfId="12913" xr:uid="{F8AFB1D3-7526-4038-92C6-8C6B1F3CBC9F}"/>
    <cellStyle name="Normal 5 4 3 4 2 3 2" xfId="49255" xr:uid="{F2D98D47-74C1-41F1-8914-A0F1F27026E5}"/>
    <cellStyle name="Normal 5 4 3 4 2 3 3" xfId="30659" xr:uid="{9F71821F-5EB9-48C0-BCD7-CED3F1369663}"/>
    <cellStyle name="Normal 5 4 3 4 2 4" xfId="39958" xr:uid="{117C314E-B55B-4F77-B4E8-508991D017DC}"/>
    <cellStyle name="Normal 5 4 3 4 2 5" xfId="21360" xr:uid="{63BF4D7F-9784-4F55-AEA8-9012C57F3D0B}"/>
    <cellStyle name="Normal 5 4 3 4 3" xfId="5659" xr:uid="{00000000-0005-0000-0000-00001A1B0000}"/>
    <cellStyle name="Normal 5 4 3 4 3 2" xfId="14985" xr:uid="{758B6510-B119-4C6A-99D4-A298A3533CA8}"/>
    <cellStyle name="Normal 5 4 3 4 3 2 2" xfId="51327" xr:uid="{9C7C3C07-2F52-4135-9187-5AC189D28E80}"/>
    <cellStyle name="Normal 5 4 3 4 3 2 3" xfId="32731" xr:uid="{0C4A690E-3C08-4263-A287-72A59161ABA1}"/>
    <cellStyle name="Normal 5 4 3 4 3 3" xfId="42030" xr:uid="{D89C611F-B739-4A64-BED2-02A27622D9AA}"/>
    <cellStyle name="Normal 5 4 3 4 3 4" xfId="23432" xr:uid="{0FBBD583-C436-42F2-8B55-01A420ECB92B}"/>
    <cellStyle name="Normal 5 4 3 4 4" xfId="10768" xr:uid="{079B09CA-208B-45E7-9202-D2BA9D1B0430}"/>
    <cellStyle name="Normal 5 4 3 4 4 2" xfId="47110" xr:uid="{88703083-32DE-4251-966C-20362B87321B}"/>
    <cellStyle name="Normal 5 4 3 4 4 3" xfId="28514" xr:uid="{3A17AADA-C07A-4C6A-9784-EB021B545BB4}"/>
    <cellStyle name="Normal 5 4 3 4 5" xfId="37813" xr:uid="{7BB082B0-6A44-40E8-BDC6-327237FB965A}"/>
    <cellStyle name="Normal 5 4 3 4 6" xfId="19215" xr:uid="{B1B56171-AD0F-4436-901C-C37EC7AD5691}"/>
    <cellStyle name="Normal 5 4 3 5" xfId="1765" xr:uid="{00000000-0005-0000-0000-00001B1B0000}"/>
    <cellStyle name="Normal 5 4 3 5 2" xfId="3995" xr:uid="{00000000-0005-0000-0000-00001C1B0000}"/>
    <cellStyle name="Normal 5 4 3 5 2 2" xfId="8217" xr:uid="{00000000-0005-0000-0000-00001D1B0000}"/>
    <cellStyle name="Normal 5 4 3 5 2 2 2" xfId="17543" xr:uid="{87B42E97-47DA-42F2-9940-53218F49844C}"/>
    <cellStyle name="Normal 5 4 3 5 2 2 2 2" xfId="53885" xr:uid="{D5FCD13F-E8B4-4656-9388-D69256E6930B}"/>
    <cellStyle name="Normal 5 4 3 5 2 2 2 3" xfId="35289" xr:uid="{8EEEA67F-0E35-4C5B-A003-7F4AEC0C053C}"/>
    <cellStyle name="Normal 5 4 3 5 2 2 3" xfId="44588" xr:uid="{65F944AB-8282-4C8D-909F-A1E8771E3B2F}"/>
    <cellStyle name="Normal 5 4 3 5 2 2 4" xfId="25990" xr:uid="{1963E43B-1B48-43B6-BC5B-20D3C88EBDE5}"/>
    <cellStyle name="Normal 5 4 3 5 2 3" xfId="13326" xr:uid="{2DAF5EA6-4538-4C41-8858-E00FFAFF6796}"/>
    <cellStyle name="Normal 5 4 3 5 2 3 2" xfId="49668" xr:uid="{91A79FA7-BA60-4F77-A0AF-6A0D561EA196}"/>
    <cellStyle name="Normal 5 4 3 5 2 3 3" xfId="31072" xr:uid="{DD4869CA-D9CA-4ED4-95DD-32C5CC1AA7E9}"/>
    <cellStyle name="Normal 5 4 3 5 2 4" xfId="40371" xr:uid="{DC900036-EEDE-4A1B-8BC7-E5FAA67E1811}"/>
    <cellStyle name="Normal 5 4 3 5 2 5" xfId="21773" xr:uid="{7CA843D4-5BA1-4B7C-8F39-E156516FA400}"/>
    <cellStyle name="Normal 5 4 3 5 3" xfId="6072" xr:uid="{00000000-0005-0000-0000-00001E1B0000}"/>
    <cellStyle name="Normal 5 4 3 5 3 2" xfId="15398" xr:uid="{177BB172-2B2B-46A6-A43D-1CFEBAFABF62}"/>
    <cellStyle name="Normal 5 4 3 5 3 2 2" xfId="51740" xr:uid="{E540F14F-F850-4E0C-89E5-F2FAD58DDD23}"/>
    <cellStyle name="Normal 5 4 3 5 3 2 3" xfId="33144" xr:uid="{686A3555-2232-4FE0-9D4E-FB0180892D38}"/>
    <cellStyle name="Normal 5 4 3 5 3 3" xfId="42443" xr:uid="{E63F6E15-3301-4AD2-8330-9F8B888CD567}"/>
    <cellStyle name="Normal 5 4 3 5 3 4" xfId="23845" xr:uid="{3AD20711-BD20-49BE-A4FA-5BAE48E38BC4}"/>
    <cellStyle name="Normal 5 4 3 5 4" xfId="11181" xr:uid="{3C4E2B97-A590-4814-973C-4454CB8BE4CE}"/>
    <cellStyle name="Normal 5 4 3 5 4 2" xfId="47523" xr:uid="{FD26A674-D215-4E73-9B86-0E3817D26753}"/>
    <cellStyle name="Normal 5 4 3 5 4 3" xfId="28927" xr:uid="{09EEEA5D-1DA5-49FF-AB4F-9151B6922520}"/>
    <cellStyle name="Normal 5 4 3 5 5" xfId="38226" xr:uid="{33339BD9-9708-4B58-AABC-31462FA77969}"/>
    <cellStyle name="Normal 5 4 3 5 6" xfId="19628" xr:uid="{BDAA447C-CCF7-42A2-9F87-B02219865DB6}"/>
    <cellStyle name="Normal 5 4 3 6" xfId="2179" xr:uid="{00000000-0005-0000-0000-00001F1B0000}"/>
    <cellStyle name="Normal 5 4 3 6 2" xfId="4408" xr:uid="{00000000-0005-0000-0000-0000201B0000}"/>
    <cellStyle name="Normal 5 4 3 6 2 2" xfId="8630" xr:uid="{00000000-0005-0000-0000-0000211B0000}"/>
    <cellStyle name="Normal 5 4 3 6 2 2 2" xfId="17956" xr:uid="{72962223-1A85-4FEB-AC04-4F049B882AED}"/>
    <cellStyle name="Normal 5 4 3 6 2 2 2 2" xfId="54298" xr:uid="{4D4D108D-F3B8-4C78-8606-DE8F22A267B6}"/>
    <cellStyle name="Normal 5 4 3 6 2 2 2 3" xfId="35702" xr:uid="{DDC481E3-8A52-4B49-8742-C126CEE017E9}"/>
    <cellStyle name="Normal 5 4 3 6 2 2 3" xfId="45001" xr:uid="{61AA575A-306A-4120-84E6-8654EE95C2A5}"/>
    <cellStyle name="Normal 5 4 3 6 2 2 4" xfId="26403" xr:uid="{A9F0A2A9-3554-4503-B338-5799045F2890}"/>
    <cellStyle name="Normal 5 4 3 6 2 3" xfId="13739" xr:uid="{0453F70B-6A94-4441-90C9-C27A259EB31D}"/>
    <cellStyle name="Normal 5 4 3 6 2 3 2" xfId="50081" xr:uid="{C7AC2D76-61FB-4006-949C-11BA0044CA9B}"/>
    <cellStyle name="Normal 5 4 3 6 2 3 3" xfId="31485" xr:uid="{D4766178-63E9-4289-880F-E410D01BF164}"/>
    <cellStyle name="Normal 5 4 3 6 2 4" xfId="40784" xr:uid="{4B6B9B85-E724-4796-9787-29C3C3BD1963}"/>
    <cellStyle name="Normal 5 4 3 6 2 5" xfId="22186" xr:uid="{31CB9DE0-119F-4257-8500-48AFA2583C59}"/>
    <cellStyle name="Normal 5 4 3 6 3" xfId="6485" xr:uid="{00000000-0005-0000-0000-0000221B0000}"/>
    <cellStyle name="Normal 5 4 3 6 3 2" xfId="15811" xr:uid="{7C96BFEB-553D-4FE7-8581-43B9797BB577}"/>
    <cellStyle name="Normal 5 4 3 6 3 2 2" xfId="52153" xr:uid="{549047B8-2A75-4DD5-B6FE-7215B7DF6C39}"/>
    <cellStyle name="Normal 5 4 3 6 3 2 3" xfId="33557" xr:uid="{689DDE38-32ED-4EC1-894C-1FD7C4BB3DDC}"/>
    <cellStyle name="Normal 5 4 3 6 3 3" xfId="42856" xr:uid="{44D7880D-4386-4A85-9166-1C50611B37D1}"/>
    <cellStyle name="Normal 5 4 3 6 3 4" xfId="24258" xr:uid="{54E99B50-9159-4CA2-88BB-1232AFFD9476}"/>
    <cellStyle name="Normal 5 4 3 6 4" xfId="11594" xr:uid="{19A16F14-D013-487C-A974-537F1CC1507C}"/>
    <cellStyle name="Normal 5 4 3 6 4 2" xfId="47936" xr:uid="{59BC907E-6256-4C72-8B47-AA0AE33AA238}"/>
    <cellStyle name="Normal 5 4 3 6 4 3" xfId="29340" xr:uid="{7BE39617-72AD-45EE-80A7-1A391D536E3C}"/>
    <cellStyle name="Normal 5 4 3 6 5" xfId="38639" xr:uid="{8314E90D-0F05-41AE-96AA-BBF27774305B}"/>
    <cellStyle name="Normal 5 4 3 6 6" xfId="20041" xr:uid="{4D98D4D0-A186-4D9A-9E06-41EAA59ABA3D}"/>
    <cellStyle name="Normal 5 4 3 7" xfId="2615" xr:uid="{00000000-0005-0000-0000-0000231B0000}"/>
    <cellStyle name="Normal 5 4 3 7 2" xfId="6898" xr:uid="{00000000-0005-0000-0000-0000241B0000}"/>
    <cellStyle name="Normal 5 4 3 7 2 2" xfId="16224" xr:uid="{9A05EE65-F835-47E4-A83C-E42291BF1E21}"/>
    <cellStyle name="Normal 5 4 3 7 2 2 2" xfId="52566" xr:uid="{B16C8DDD-AEC7-408A-8C2D-250718E752F5}"/>
    <cellStyle name="Normal 5 4 3 7 2 2 3" xfId="33970" xr:uid="{730ADFFC-6722-491C-B125-DAE8261519C5}"/>
    <cellStyle name="Normal 5 4 3 7 2 3" xfId="43269" xr:uid="{D96407F2-B240-4405-A55E-9751DDA6856A}"/>
    <cellStyle name="Normal 5 4 3 7 2 4" xfId="24671" xr:uid="{A28BD6C4-D223-4BD6-A2DB-29FC5F398108}"/>
    <cellStyle name="Normal 5 4 3 7 3" xfId="12007" xr:uid="{E23C4266-AC89-4BE0-A884-D9F42CA2A7DF}"/>
    <cellStyle name="Normal 5 4 3 7 3 2" xfId="48349" xr:uid="{D93CFFEB-AC53-4527-AA8C-10F294D21FFB}"/>
    <cellStyle name="Normal 5 4 3 7 3 3" xfId="29753" xr:uid="{62573894-3DFE-4D0E-9BAF-E6E17DD486F2}"/>
    <cellStyle name="Normal 5 4 3 7 4" xfId="39052" xr:uid="{4530862B-6142-4ACC-9C19-C5A0443ED381}"/>
    <cellStyle name="Normal 5 4 3 7 5" xfId="20454" xr:uid="{2D2F17AB-95AB-4516-A105-6BA8EBD69E63}"/>
    <cellStyle name="Normal 5 4 3 8" xfId="4833" xr:uid="{00000000-0005-0000-0000-0000251B0000}"/>
    <cellStyle name="Normal 5 4 3 8 2" xfId="14159" xr:uid="{BE280D11-2197-4035-8308-6DF3FD90BBD1}"/>
    <cellStyle name="Normal 5 4 3 8 2 2" xfId="50501" xr:uid="{9796ACBB-5F2F-4E7B-A98F-E326BAB792D1}"/>
    <cellStyle name="Normal 5 4 3 8 2 3" xfId="31905" xr:uid="{99DBFE71-F0B9-450D-99A6-00789CE71B14}"/>
    <cellStyle name="Normal 5 4 3 8 3" xfId="41204" xr:uid="{60E5F919-5DA9-49F5-84F4-F0DA4CA19554}"/>
    <cellStyle name="Normal 5 4 3 8 4" xfId="22606" xr:uid="{AFEE7CE6-1AFA-4E82-8643-BCFCB5DF16F4}"/>
    <cellStyle name="Normal 5 4 3 9" xfId="8876" xr:uid="{D636A598-175F-46A4-8005-1A20EC6CCEC9}"/>
    <cellStyle name="Normal 5 4 3 9 2" xfId="35946" xr:uid="{21785F6A-5C5E-4E0D-9D96-E3D9554B7141}"/>
    <cellStyle name="Normal 5 4 3 9 2 2" xfId="54541" xr:uid="{93255514-B074-4609-97BB-467E771F9798}"/>
    <cellStyle name="Normal 5 4 3 9 3" xfId="45244" xr:uid="{34F0C0A0-7E14-4C63-B583-DA33C3503E75}"/>
    <cellStyle name="Normal 5 4 3 9 4" xfId="26647" xr:uid="{B1066CAD-80CD-4FC3-B17C-C33A9E3A39CE}"/>
    <cellStyle name="Normal 5 4 4" xfId="463" xr:uid="{00000000-0005-0000-0000-0000261B0000}"/>
    <cellStyle name="Normal 5 4 4 10" xfId="36989" xr:uid="{4EB745C2-5E4C-4621-A591-504C08CBD80A}"/>
    <cellStyle name="Normal 5 4 4 11" xfId="18391" xr:uid="{6991DCE6-DE9F-4B23-BAD9-6E6E5B62C0F9}"/>
    <cellStyle name="Normal 5 4 4 2" xfId="937" xr:uid="{00000000-0005-0000-0000-0000271B0000}"/>
    <cellStyle name="Normal 5 4 4 2 2" xfId="3171" xr:uid="{00000000-0005-0000-0000-0000281B0000}"/>
    <cellStyle name="Normal 5 4 4 2 2 2" xfId="7393" xr:uid="{00000000-0005-0000-0000-0000291B0000}"/>
    <cellStyle name="Normal 5 4 4 2 2 2 2" xfId="16719" xr:uid="{3352B14E-703B-4DC3-884F-84CAA087D958}"/>
    <cellStyle name="Normal 5 4 4 2 2 2 2 2" xfId="53061" xr:uid="{8D1A466F-6B70-46E6-851F-5578276FE909}"/>
    <cellStyle name="Normal 5 4 4 2 2 2 2 3" xfId="34465" xr:uid="{6CC6E23F-62E0-4CE1-8617-D1D694741CC1}"/>
    <cellStyle name="Normal 5 4 4 2 2 2 3" xfId="43764" xr:uid="{6E2F0440-FABD-4CDD-A1D9-A79783A70762}"/>
    <cellStyle name="Normal 5 4 4 2 2 2 4" xfId="25166" xr:uid="{013EE5A0-5FA8-44A1-9D41-18A4777B355E}"/>
    <cellStyle name="Normal 5 4 4 2 2 3" xfId="12502" xr:uid="{623E7210-0AAE-49B1-8B71-FDD99B091AB9}"/>
    <cellStyle name="Normal 5 4 4 2 2 3 2" xfId="48844" xr:uid="{5BA1CA3C-D7B1-43E2-BCFF-AD678DAD7DD8}"/>
    <cellStyle name="Normal 5 4 4 2 2 3 3" xfId="30248" xr:uid="{E54533DF-7E38-4F89-B02F-CD2EFC64F4C1}"/>
    <cellStyle name="Normal 5 4 4 2 2 4" xfId="39547" xr:uid="{F1F748AC-80C3-4DDF-8B30-B8B6B42EC390}"/>
    <cellStyle name="Normal 5 4 4 2 2 5" xfId="20949" xr:uid="{68C79B1F-7314-40AF-9969-6556C0FD2802}"/>
    <cellStyle name="Normal 5 4 4 2 3" xfId="5248" xr:uid="{00000000-0005-0000-0000-00002A1B0000}"/>
    <cellStyle name="Normal 5 4 4 2 3 2" xfId="14574" xr:uid="{3B6658B7-C943-4A66-B8A3-9DDE89C6419C}"/>
    <cellStyle name="Normal 5 4 4 2 3 2 2" xfId="50916" xr:uid="{16AAD772-1BDB-49B1-8465-4395DD9645BD}"/>
    <cellStyle name="Normal 5 4 4 2 3 2 3" xfId="32320" xr:uid="{0A85A141-DF77-40CF-BFF8-EA1BB427205B}"/>
    <cellStyle name="Normal 5 4 4 2 3 3" xfId="41619" xr:uid="{CAE90239-CC87-48B6-A75B-43AFE69E7F5D}"/>
    <cellStyle name="Normal 5 4 4 2 3 4" xfId="23021" xr:uid="{E5731A25-E530-46CE-AE8A-95691C72D3EA}"/>
    <cellStyle name="Normal 5 4 4 2 4" xfId="9405" xr:uid="{F05DE0DC-A0AA-4CEB-9ABC-0D70F781B819}"/>
    <cellStyle name="Normal 5 4 4 2 4 2" xfId="36466" xr:uid="{55D6E103-39D3-41DC-B064-23F2EBE631E8}"/>
    <cellStyle name="Normal 5 4 4 2 4 2 2" xfId="55060" xr:uid="{6ED23F36-7396-4D6B-9E89-684BAAC261DC}"/>
    <cellStyle name="Normal 5 4 4 2 4 3" xfId="45763" xr:uid="{8E62C977-D1D6-4F86-BEF7-0D5C090D3D48}"/>
    <cellStyle name="Normal 5 4 4 2 4 4" xfId="27167" xr:uid="{244B6583-5800-4209-92E3-D7A0A9FC059F}"/>
    <cellStyle name="Normal 5 4 4 2 5" xfId="10357" xr:uid="{D2F1DE1A-E953-4C94-A6B4-70B1D6A19930}"/>
    <cellStyle name="Normal 5 4 4 2 5 2" xfId="46699" xr:uid="{497786C3-B8A8-46E4-B505-6B4496782F28}"/>
    <cellStyle name="Normal 5 4 4 2 5 3" xfId="28103" xr:uid="{190E2BB3-6E42-4DE5-9738-FDD84A8010AC}"/>
    <cellStyle name="Normal 5 4 4 2 6" xfId="37402" xr:uid="{5FB4437D-C1FB-414C-A8EB-6FCB657DBEBF}"/>
    <cellStyle name="Normal 5 4 4 2 7" xfId="18804" xr:uid="{5FB333CB-26C0-465D-81B8-426F798C0E08}"/>
    <cellStyle name="Normal 5 4 4 3" xfId="1354" xr:uid="{00000000-0005-0000-0000-00002B1B0000}"/>
    <cellStyle name="Normal 5 4 4 3 2" xfId="3584" xr:uid="{00000000-0005-0000-0000-00002C1B0000}"/>
    <cellStyle name="Normal 5 4 4 3 2 2" xfId="7806" xr:uid="{00000000-0005-0000-0000-00002D1B0000}"/>
    <cellStyle name="Normal 5 4 4 3 2 2 2" xfId="17132" xr:uid="{808017A6-EA3B-4593-96A7-5C337A449342}"/>
    <cellStyle name="Normal 5 4 4 3 2 2 2 2" xfId="53474" xr:uid="{DF4D0B2A-26BC-4F9A-975F-0E2CB209A82B}"/>
    <cellStyle name="Normal 5 4 4 3 2 2 2 3" xfId="34878" xr:uid="{9641688D-5B42-4DED-8825-8DFC63924B0D}"/>
    <cellStyle name="Normal 5 4 4 3 2 2 3" xfId="44177" xr:uid="{8D83B53F-FBBE-4C4A-BB4E-6E302B259C72}"/>
    <cellStyle name="Normal 5 4 4 3 2 2 4" xfId="25579" xr:uid="{B1A9D44A-D0F6-4C43-B02C-3EA6F7853C98}"/>
    <cellStyle name="Normal 5 4 4 3 2 3" xfId="12915" xr:uid="{F2BAFA5F-3592-4EB7-96F6-09FD3FB1A2EB}"/>
    <cellStyle name="Normal 5 4 4 3 2 3 2" xfId="49257" xr:uid="{45562443-08A1-4202-8059-7B9C67526FC9}"/>
    <cellStyle name="Normal 5 4 4 3 2 3 3" xfId="30661" xr:uid="{FF135830-79E6-4B1C-B70B-AF125341F1D5}"/>
    <cellStyle name="Normal 5 4 4 3 2 4" xfId="39960" xr:uid="{71E61F22-1854-45FB-9A47-88183EEF5BB2}"/>
    <cellStyle name="Normal 5 4 4 3 2 5" xfId="21362" xr:uid="{15DF078E-AB6C-47C7-95E1-20EE4C8EA55D}"/>
    <cellStyle name="Normal 5 4 4 3 3" xfId="5661" xr:uid="{00000000-0005-0000-0000-00002E1B0000}"/>
    <cellStyle name="Normal 5 4 4 3 3 2" xfId="14987" xr:uid="{EBA2C8A4-79C4-4D6D-BE58-522FA305F379}"/>
    <cellStyle name="Normal 5 4 4 3 3 2 2" xfId="51329" xr:uid="{7419152D-702E-40DD-9A71-FE77DFA54352}"/>
    <cellStyle name="Normal 5 4 4 3 3 2 3" xfId="32733" xr:uid="{F83E51EF-8BB8-4CAC-BABA-34912F65239E}"/>
    <cellStyle name="Normal 5 4 4 3 3 3" xfId="42032" xr:uid="{2C8325D6-1084-4C6A-AE75-8A5FB107059A}"/>
    <cellStyle name="Normal 5 4 4 3 3 4" xfId="23434" xr:uid="{921A4BA8-0A91-40C1-B477-31836D1A0791}"/>
    <cellStyle name="Normal 5 4 4 3 4" xfId="10770" xr:uid="{2C5151F3-4741-49A6-BA74-05125C478E35}"/>
    <cellStyle name="Normal 5 4 4 3 4 2" xfId="47112" xr:uid="{37BEB3DE-4090-412A-97A6-29AA0160D2F7}"/>
    <cellStyle name="Normal 5 4 4 3 4 3" xfId="28516" xr:uid="{05611284-1B6A-400D-9D6A-08063EF99261}"/>
    <cellStyle name="Normal 5 4 4 3 5" xfId="37815" xr:uid="{B56ED045-0949-4F2C-84FC-B20306CA98CF}"/>
    <cellStyle name="Normal 5 4 4 3 6" xfId="19217" xr:uid="{AF40C358-F68A-4C11-B98B-0F48B7A5C582}"/>
    <cellStyle name="Normal 5 4 4 4" xfId="1767" xr:uid="{00000000-0005-0000-0000-00002F1B0000}"/>
    <cellStyle name="Normal 5 4 4 4 2" xfId="3997" xr:uid="{00000000-0005-0000-0000-0000301B0000}"/>
    <cellStyle name="Normal 5 4 4 4 2 2" xfId="8219" xr:uid="{00000000-0005-0000-0000-0000311B0000}"/>
    <cellStyle name="Normal 5 4 4 4 2 2 2" xfId="17545" xr:uid="{06FA1F3B-DE76-4E21-BD45-CF59BEBBB554}"/>
    <cellStyle name="Normal 5 4 4 4 2 2 2 2" xfId="53887" xr:uid="{86CB1D58-4AFA-460D-B6C3-EF20A0D6EE0D}"/>
    <cellStyle name="Normal 5 4 4 4 2 2 2 3" xfId="35291" xr:uid="{7E7E077F-F96C-4F4D-8BDD-3CBBF57F455E}"/>
    <cellStyle name="Normal 5 4 4 4 2 2 3" xfId="44590" xr:uid="{EE91388A-A7DB-474A-9C25-D236A34D30CC}"/>
    <cellStyle name="Normal 5 4 4 4 2 2 4" xfId="25992" xr:uid="{6F4A1D56-6F51-40FB-8AD3-A4EA5E3B0ED8}"/>
    <cellStyle name="Normal 5 4 4 4 2 3" xfId="13328" xr:uid="{213DCB7E-B27C-4483-8C24-9E7B3EB8D896}"/>
    <cellStyle name="Normal 5 4 4 4 2 3 2" xfId="49670" xr:uid="{ED4E983E-2F0A-4163-B8B2-9458E24C1E82}"/>
    <cellStyle name="Normal 5 4 4 4 2 3 3" xfId="31074" xr:uid="{A13E0917-1FFA-40A2-9DDA-C08434FED534}"/>
    <cellStyle name="Normal 5 4 4 4 2 4" xfId="40373" xr:uid="{124438F0-FC06-4D90-BA7F-AE15A3BA934D}"/>
    <cellStyle name="Normal 5 4 4 4 2 5" xfId="21775" xr:uid="{F2990D74-F85D-4741-8EA1-5B9BBD885E62}"/>
    <cellStyle name="Normal 5 4 4 4 3" xfId="6074" xr:uid="{00000000-0005-0000-0000-0000321B0000}"/>
    <cellStyle name="Normal 5 4 4 4 3 2" xfId="15400" xr:uid="{AC59B136-7063-4600-BCC5-1F553918BFC1}"/>
    <cellStyle name="Normal 5 4 4 4 3 2 2" xfId="51742" xr:uid="{B8C1F124-590F-466A-A12C-11EB5299EB82}"/>
    <cellStyle name="Normal 5 4 4 4 3 2 3" xfId="33146" xr:uid="{12F3B71C-2F94-4038-9451-015B583164EF}"/>
    <cellStyle name="Normal 5 4 4 4 3 3" xfId="42445" xr:uid="{9F9252C6-2622-4DFE-A881-F4887A4C3A9A}"/>
    <cellStyle name="Normal 5 4 4 4 3 4" xfId="23847" xr:uid="{C90A979A-49D6-4B0D-9B6A-A357B544F9B4}"/>
    <cellStyle name="Normal 5 4 4 4 4" xfId="11183" xr:uid="{47A27B89-BBED-4293-BC99-17FC7CBB51ED}"/>
    <cellStyle name="Normal 5 4 4 4 4 2" xfId="47525" xr:uid="{307C7397-C691-4F34-BDBA-C2FE23757900}"/>
    <cellStyle name="Normal 5 4 4 4 4 3" xfId="28929" xr:uid="{504F20E6-E77A-4C71-A95D-B9F7C584FBE1}"/>
    <cellStyle name="Normal 5 4 4 4 5" xfId="38228" xr:uid="{4FA1993D-3874-4B8C-ADA5-86483BAC4E43}"/>
    <cellStyle name="Normal 5 4 4 4 6" xfId="19630" xr:uid="{FFA04E8D-8115-4ECC-9B6B-9D562086D6A5}"/>
    <cellStyle name="Normal 5 4 4 5" xfId="2181" xr:uid="{00000000-0005-0000-0000-0000331B0000}"/>
    <cellStyle name="Normal 5 4 4 5 2" xfId="4410" xr:uid="{00000000-0005-0000-0000-0000341B0000}"/>
    <cellStyle name="Normal 5 4 4 5 2 2" xfId="8632" xr:uid="{00000000-0005-0000-0000-0000351B0000}"/>
    <cellStyle name="Normal 5 4 4 5 2 2 2" xfId="17958" xr:uid="{3D2F536B-3E01-4849-918D-F7D2D5E0F670}"/>
    <cellStyle name="Normal 5 4 4 5 2 2 2 2" xfId="54300" xr:uid="{4F022996-EF12-4C03-B22D-A7E9C6C97E33}"/>
    <cellStyle name="Normal 5 4 4 5 2 2 2 3" xfId="35704" xr:uid="{9AD1959F-D86E-42C9-B8FA-BC09B161CCA7}"/>
    <cellStyle name="Normal 5 4 4 5 2 2 3" xfId="45003" xr:uid="{D234FBD1-F5E0-4138-AE0A-A644E323EBD1}"/>
    <cellStyle name="Normal 5 4 4 5 2 2 4" xfId="26405" xr:uid="{584DDE23-4557-4775-8397-6B277631A7D7}"/>
    <cellStyle name="Normal 5 4 4 5 2 3" xfId="13741" xr:uid="{F4E5AD94-7C03-4111-879F-9CF99CB6837B}"/>
    <cellStyle name="Normal 5 4 4 5 2 3 2" xfId="50083" xr:uid="{C19B1E8E-8363-4BFC-B8DF-1AC018A77649}"/>
    <cellStyle name="Normal 5 4 4 5 2 3 3" xfId="31487" xr:uid="{ED2E220A-0793-4164-854A-CEEDB75EB350}"/>
    <cellStyle name="Normal 5 4 4 5 2 4" xfId="40786" xr:uid="{E9E7FADE-ADBC-4BD6-B751-C99841AB99C6}"/>
    <cellStyle name="Normal 5 4 4 5 2 5" xfId="22188" xr:uid="{860CFFC6-7260-4EE0-8C09-7688BA71B96B}"/>
    <cellStyle name="Normal 5 4 4 5 3" xfId="6487" xr:uid="{00000000-0005-0000-0000-0000361B0000}"/>
    <cellStyle name="Normal 5 4 4 5 3 2" xfId="15813" xr:uid="{9F968300-EB71-4AC9-98EF-B4D7AA449FED}"/>
    <cellStyle name="Normal 5 4 4 5 3 2 2" xfId="52155" xr:uid="{C478100A-3D13-48FC-A560-32B276E3C58E}"/>
    <cellStyle name="Normal 5 4 4 5 3 2 3" xfId="33559" xr:uid="{F2A65C84-BF2B-440F-94E9-CB45C410E895}"/>
    <cellStyle name="Normal 5 4 4 5 3 3" xfId="42858" xr:uid="{DA59816C-1D79-4D1E-85A2-F2DFD4EF6230}"/>
    <cellStyle name="Normal 5 4 4 5 3 4" xfId="24260" xr:uid="{7FA4B80D-3DFF-4C8B-A717-8FF2F7AE28FB}"/>
    <cellStyle name="Normal 5 4 4 5 4" xfId="11596" xr:uid="{3AC88442-4332-4789-A433-EF8528FDC0FC}"/>
    <cellStyle name="Normal 5 4 4 5 4 2" xfId="47938" xr:uid="{DD203FA3-1444-4ECA-85C6-820581DB0DA1}"/>
    <cellStyle name="Normal 5 4 4 5 4 3" xfId="29342" xr:uid="{F4D4830A-0755-4ABE-9C10-975A3FA63874}"/>
    <cellStyle name="Normal 5 4 4 5 5" xfId="38641" xr:uid="{55C45688-0BBA-4FA2-91C0-E27BB5FFB848}"/>
    <cellStyle name="Normal 5 4 4 5 6" xfId="20043" xr:uid="{5929AA3D-6CA7-4D34-80C7-D6149B9B116C}"/>
    <cellStyle name="Normal 5 4 4 6" xfId="2617" xr:uid="{00000000-0005-0000-0000-0000371B0000}"/>
    <cellStyle name="Normal 5 4 4 6 2" xfId="6900" xr:uid="{00000000-0005-0000-0000-0000381B0000}"/>
    <cellStyle name="Normal 5 4 4 6 2 2" xfId="16226" xr:uid="{2C7944EF-0C1F-49E6-8740-AC16D3E343AF}"/>
    <cellStyle name="Normal 5 4 4 6 2 2 2" xfId="52568" xr:uid="{800633F9-A4DF-45D7-8698-ED0889E5E849}"/>
    <cellStyle name="Normal 5 4 4 6 2 2 3" xfId="33972" xr:uid="{30C54777-E8D6-4032-9DCD-220318D51333}"/>
    <cellStyle name="Normal 5 4 4 6 2 3" xfId="43271" xr:uid="{3098170D-92D1-4D4A-8ABD-65CD260D5525}"/>
    <cellStyle name="Normal 5 4 4 6 2 4" xfId="24673" xr:uid="{89FBFE1A-D544-4B4C-9AB3-22038B28C589}"/>
    <cellStyle name="Normal 5 4 4 6 3" xfId="12009" xr:uid="{2D9E515C-7C20-4091-A3AF-358FEAD7AC8C}"/>
    <cellStyle name="Normal 5 4 4 6 3 2" xfId="48351" xr:uid="{AD9B7961-AB7A-4F96-857D-B82AC7757BFA}"/>
    <cellStyle name="Normal 5 4 4 6 3 3" xfId="29755" xr:uid="{F99A7BFB-7652-403C-A78F-0A54E62CA085}"/>
    <cellStyle name="Normal 5 4 4 6 4" xfId="39054" xr:uid="{DD30DCE0-BC6A-4126-8EC1-E39A01F16CCE}"/>
    <cellStyle name="Normal 5 4 4 6 5" xfId="20456" xr:uid="{4A14DB8D-5B27-4097-9081-F666D7735147}"/>
    <cellStyle name="Normal 5 4 4 7" xfId="4835" xr:uid="{00000000-0005-0000-0000-0000391B0000}"/>
    <cellStyle name="Normal 5 4 4 7 2" xfId="14161" xr:uid="{27222C8D-4680-4665-BEE2-78A8699CEA71}"/>
    <cellStyle name="Normal 5 4 4 7 2 2" xfId="50503" xr:uid="{A5A42650-F213-46FB-A756-F178906B073A}"/>
    <cellStyle name="Normal 5 4 4 7 2 3" xfId="31907" xr:uid="{EAC5D5DC-2585-402F-9074-7EDCE0089189}"/>
    <cellStyle name="Normal 5 4 4 7 3" xfId="41206" xr:uid="{377BCCAE-4825-4746-A384-073920A459AF}"/>
    <cellStyle name="Normal 5 4 4 7 4" xfId="22608" xr:uid="{81E10358-9947-447C-BF06-410BB197E511}"/>
    <cellStyle name="Normal 5 4 4 8" xfId="8980" xr:uid="{B1DB48A4-94CB-4CC2-8D4B-8FD478363D48}"/>
    <cellStyle name="Normal 5 4 4 8 2" xfId="36050" xr:uid="{26256F8C-AFCF-4C14-8040-694F0FAF05D0}"/>
    <cellStyle name="Normal 5 4 4 8 2 2" xfId="54645" xr:uid="{AE2AA585-16AB-4FF9-996B-454909023B3E}"/>
    <cellStyle name="Normal 5 4 4 8 3" xfId="45348" xr:uid="{DD8563ED-61FD-4626-A806-08215451BBE3}"/>
    <cellStyle name="Normal 5 4 4 8 4" xfId="26751" xr:uid="{ECCE01D4-BFCC-4230-99FC-3E47215ABF7B}"/>
    <cellStyle name="Normal 5 4 4 9" xfId="9944" xr:uid="{59E20060-91DA-4C5F-BFD3-6A94E8F7045A}"/>
    <cellStyle name="Normal 5 4 4 9 2" xfId="46286" xr:uid="{411356F9-74B9-4F0D-BB8C-4FD2C151FC70}"/>
    <cellStyle name="Normal 5 4 4 9 3" xfId="27690" xr:uid="{E5CD55A4-8C8D-4168-A393-EC70B0B331FB}"/>
    <cellStyle name="Normal 5 4 5" xfId="930" xr:uid="{00000000-0005-0000-0000-00003A1B0000}"/>
    <cellStyle name="Normal 5 4 5 2" xfId="3164" xr:uid="{00000000-0005-0000-0000-00003B1B0000}"/>
    <cellStyle name="Normal 5 4 5 2 2" xfId="7386" xr:uid="{00000000-0005-0000-0000-00003C1B0000}"/>
    <cellStyle name="Normal 5 4 5 2 2 2" xfId="16712" xr:uid="{5C1D46D5-9D8E-4EBB-9D5C-DF1739133C4D}"/>
    <cellStyle name="Normal 5 4 5 2 2 2 2" xfId="53054" xr:uid="{9775771F-E4D4-4DC5-966B-26DD1AB7392B}"/>
    <cellStyle name="Normal 5 4 5 2 2 2 3" xfId="34458" xr:uid="{A825D365-D441-422F-B163-D043339A0A73}"/>
    <cellStyle name="Normal 5 4 5 2 2 3" xfId="43757" xr:uid="{00755D48-261F-4D6F-9F23-64A98996B879}"/>
    <cellStyle name="Normal 5 4 5 2 2 4" xfId="25159" xr:uid="{ABE4994C-D0E2-46FA-92D6-493688E2EDA1}"/>
    <cellStyle name="Normal 5 4 5 2 3" xfId="12495" xr:uid="{58885761-047A-4B23-A7D8-1C3DA90843EB}"/>
    <cellStyle name="Normal 5 4 5 2 3 2" xfId="48837" xr:uid="{18E8286D-9B60-44D7-AFFF-75C3417341C1}"/>
    <cellStyle name="Normal 5 4 5 2 3 3" xfId="30241" xr:uid="{66843636-1E4D-4B69-8039-53D213FDDB87}"/>
    <cellStyle name="Normal 5 4 5 2 4" xfId="39540" xr:uid="{D4E06981-B0C2-4025-B53B-A7A2774F01CB}"/>
    <cellStyle name="Normal 5 4 5 2 5" xfId="20942" xr:uid="{980A9B40-D0B8-43BE-B147-D44F6657D4B4}"/>
    <cellStyle name="Normal 5 4 5 3" xfId="5241" xr:uid="{00000000-0005-0000-0000-00003D1B0000}"/>
    <cellStyle name="Normal 5 4 5 3 2" xfId="14567" xr:uid="{8FFE56B0-C67D-443C-B69E-D726B4406E22}"/>
    <cellStyle name="Normal 5 4 5 3 2 2" xfId="50909" xr:uid="{97FFD3FC-AF5E-4E56-ACF6-6E8EE1A33D98}"/>
    <cellStyle name="Normal 5 4 5 3 2 3" xfId="32313" xr:uid="{1A4EE38F-7B95-4B5A-B592-A8E5B285D90A}"/>
    <cellStyle name="Normal 5 4 5 3 3" xfId="41612" xr:uid="{E3F96BFE-FCF7-4C7B-B7CC-7BA4D92B954D}"/>
    <cellStyle name="Normal 5 4 5 3 4" xfId="23014" xr:uid="{966B1F2E-7CD7-4E3B-9399-3EA16F2F480E}"/>
    <cellStyle name="Normal 5 4 5 4" xfId="9197" xr:uid="{44FF0EFB-444B-4C40-B695-8C256ADB5563}"/>
    <cellStyle name="Normal 5 4 5 4 2" xfId="36259" xr:uid="{93C06C4F-4ACE-4C1E-A8FB-6E5939DE5615}"/>
    <cellStyle name="Normal 5 4 5 4 2 2" xfId="54853" xr:uid="{26E8DFB3-EB4F-439B-B232-AE360F8DDC6F}"/>
    <cellStyle name="Normal 5 4 5 4 3" xfId="45556" xr:uid="{5FAE2456-BE03-48FA-BE85-4C6AD0948450}"/>
    <cellStyle name="Normal 5 4 5 4 4" xfId="26960" xr:uid="{C24E1ECF-41F1-4827-AC83-FCB1FD61966D}"/>
    <cellStyle name="Normal 5 4 5 5" xfId="10350" xr:uid="{BF4AEC41-80E3-4F68-84F4-2690D4714D6F}"/>
    <cellStyle name="Normal 5 4 5 5 2" xfId="46692" xr:uid="{C453D3DC-6C29-4A1C-890E-93F81E9D27F9}"/>
    <cellStyle name="Normal 5 4 5 5 3" xfId="28096" xr:uid="{40DE60B1-2529-4DC5-BB0C-56836BB55FAC}"/>
    <cellStyle name="Normal 5 4 5 6" xfId="37395" xr:uid="{2DA6010F-8B13-40DE-8D81-51CE71DD796F}"/>
    <cellStyle name="Normal 5 4 5 7" xfId="18797" xr:uid="{85A0D762-5A55-49E5-A322-B0DF44A89515}"/>
    <cellStyle name="Normal 5 4 6" xfId="1347" xr:uid="{00000000-0005-0000-0000-00003E1B0000}"/>
    <cellStyle name="Normal 5 4 6 2" xfId="3577" xr:uid="{00000000-0005-0000-0000-00003F1B0000}"/>
    <cellStyle name="Normal 5 4 6 2 2" xfId="7799" xr:uid="{00000000-0005-0000-0000-0000401B0000}"/>
    <cellStyle name="Normal 5 4 6 2 2 2" xfId="17125" xr:uid="{A40875C0-FC5B-49DD-8ABB-196C5992DE43}"/>
    <cellStyle name="Normal 5 4 6 2 2 2 2" xfId="53467" xr:uid="{0F41C4E3-5A1B-4B66-A39E-EED0C023D246}"/>
    <cellStyle name="Normal 5 4 6 2 2 2 3" xfId="34871" xr:uid="{F1EB0A2D-2153-45DF-80F2-7D106994643E}"/>
    <cellStyle name="Normal 5 4 6 2 2 3" xfId="44170" xr:uid="{45F2898F-696D-45B8-A251-4030AE0FEDBA}"/>
    <cellStyle name="Normal 5 4 6 2 2 4" xfId="25572" xr:uid="{DA1C632C-1E48-44A8-A337-A61FF056B2CE}"/>
    <cellStyle name="Normal 5 4 6 2 3" xfId="12908" xr:uid="{A0A19B97-A9D4-4613-888A-D34A28A6EDF4}"/>
    <cellStyle name="Normal 5 4 6 2 3 2" xfId="49250" xr:uid="{0136916E-C037-4DA2-8CD1-8117596E28E5}"/>
    <cellStyle name="Normal 5 4 6 2 3 3" xfId="30654" xr:uid="{DFEA4E6C-E2FF-4CF6-B75D-0BD4D648D18B}"/>
    <cellStyle name="Normal 5 4 6 2 4" xfId="39953" xr:uid="{A6E9DF6F-4385-464E-911F-CCF412668365}"/>
    <cellStyle name="Normal 5 4 6 2 5" xfId="21355" xr:uid="{298FDF9F-B105-4B91-9740-5B2C84C596CF}"/>
    <cellStyle name="Normal 5 4 6 3" xfId="5654" xr:uid="{00000000-0005-0000-0000-0000411B0000}"/>
    <cellStyle name="Normal 5 4 6 3 2" xfId="14980" xr:uid="{FFEBD0EE-2F1D-45D1-94B4-32BF59B8EA71}"/>
    <cellStyle name="Normal 5 4 6 3 2 2" xfId="51322" xr:uid="{422D283E-B4B6-4A6B-9B17-F263F7ED560D}"/>
    <cellStyle name="Normal 5 4 6 3 2 3" xfId="32726" xr:uid="{333B7FAE-2127-448F-A318-0933689A125E}"/>
    <cellStyle name="Normal 5 4 6 3 3" xfId="42025" xr:uid="{DEAD1488-9F87-4C65-A4CD-E325D0D9F50C}"/>
    <cellStyle name="Normal 5 4 6 3 4" xfId="23427" xr:uid="{681D6A9A-8E31-42D2-A7A7-B443C2B6B5DA}"/>
    <cellStyle name="Normal 5 4 6 4" xfId="10763" xr:uid="{5A5D3FE0-56C6-4A91-A085-F712E7EC86EC}"/>
    <cellStyle name="Normal 5 4 6 4 2" xfId="47105" xr:uid="{F83ACB46-DA27-4BEB-84D6-EAA615942030}"/>
    <cellStyle name="Normal 5 4 6 4 3" xfId="28509" xr:uid="{60E5D25D-28AA-49BF-9ED8-11AAC3833739}"/>
    <cellStyle name="Normal 5 4 6 5" xfId="37808" xr:uid="{2667A3CC-6D9E-4BBE-9FEF-5E453366AE0D}"/>
    <cellStyle name="Normal 5 4 6 6" xfId="19210" xr:uid="{2271CD8F-256D-44C6-BC46-C3ACB0E7A022}"/>
    <cellStyle name="Normal 5 4 7" xfId="1760" xr:uid="{00000000-0005-0000-0000-0000421B0000}"/>
    <cellStyle name="Normal 5 4 7 2" xfId="3990" xr:uid="{00000000-0005-0000-0000-0000431B0000}"/>
    <cellStyle name="Normal 5 4 7 2 2" xfId="8212" xr:uid="{00000000-0005-0000-0000-0000441B0000}"/>
    <cellStyle name="Normal 5 4 7 2 2 2" xfId="17538" xr:uid="{881B4F6E-D364-4E10-8C8A-5ACA96A0E312}"/>
    <cellStyle name="Normal 5 4 7 2 2 2 2" xfId="53880" xr:uid="{9FEE2EB8-F921-4989-8D35-762AC1822401}"/>
    <cellStyle name="Normal 5 4 7 2 2 2 3" xfId="35284" xr:uid="{2A29A466-6542-49F3-8D7D-6566C41C31BE}"/>
    <cellStyle name="Normal 5 4 7 2 2 3" xfId="44583" xr:uid="{C5A5E4A2-57B2-4F54-B7AD-E6FC4211F54C}"/>
    <cellStyle name="Normal 5 4 7 2 2 4" xfId="25985" xr:uid="{5B877C51-8141-4B7B-80B7-83406EC4BFEE}"/>
    <cellStyle name="Normal 5 4 7 2 3" xfId="13321" xr:uid="{C23C4047-9FB7-4445-8809-7F17B5B4777E}"/>
    <cellStyle name="Normal 5 4 7 2 3 2" xfId="49663" xr:uid="{26903CA6-0137-4455-8936-0C96F49771B4}"/>
    <cellStyle name="Normal 5 4 7 2 3 3" xfId="31067" xr:uid="{8A4E0744-6EBF-4FE8-9518-856A21B108DB}"/>
    <cellStyle name="Normal 5 4 7 2 4" xfId="40366" xr:uid="{E0EAF244-CA31-4135-A878-A47FE8E9EFA1}"/>
    <cellStyle name="Normal 5 4 7 2 5" xfId="21768" xr:uid="{DF9C8B96-C30E-42FF-86D8-66D98236F478}"/>
    <cellStyle name="Normal 5 4 7 3" xfId="6067" xr:uid="{00000000-0005-0000-0000-0000451B0000}"/>
    <cellStyle name="Normal 5 4 7 3 2" xfId="15393" xr:uid="{A0ACE982-1806-40A0-B1B9-9047535EEF09}"/>
    <cellStyle name="Normal 5 4 7 3 2 2" xfId="51735" xr:uid="{0C9A7775-87C4-4799-94AE-BB2BA4A4A2F9}"/>
    <cellStyle name="Normal 5 4 7 3 2 3" xfId="33139" xr:uid="{279CE0FC-6ABA-4EE4-ABC2-6224045AE174}"/>
    <cellStyle name="Normal 5 4 7 3 3" xfId="42438" xr:uid="{5D834909-BC1F-4AEA-AE8C-CD2497670691}"/>
    <cellStyle name="Normal 5 4 7 3 4" xfId="23840" xr:uid="{FE5B8A69-C944-4E4B-88EE-9563B1629B1F}"/>
    <cellStyle name="Normal 5 4 7 4" xfId="11176" xr:uid="{FD0906BB-1EA5-4E74-BB2E-6BCCE9053A0F}"/>
    <cellStyle name="Normal 5 4 7 4 2" xfId="47518" xr:uid="{10263030-97CA-448E-A6EB-AD04FF9A5127}"/>
    <cellStyle name="Normal 5 4 7 4 3" xfId="28922" xr:uid="{2193C2EE-5843-4256-BD6D-ABB97F839115}"/>
    <cellStyle name="Normal 5 4 7 5" xfId="38221" xr:uid="{E064170D-1976-48C1-8E43-2AA4CDCE9CD2}"/>
    <cellStyle name="Normal 5 4 7 6" xfId="19623" xr:uid="{B10A33D8-E04A-4DF6-AFAD-C628B852A44A}"/>
    <cellStyle name="Normal 5 4 8" xfId="2174" xr:uid="{00000000-0005-0000-0000-0000461B0000}"/>
    <cellStyle name="Normal 5 4 8 2" xfId="4403" xr:uid="{00000000-0005-0000-0000-0000471B0000}"/>
    <cellStyle name="Normal 5 4 8 2 2" xfId="8625" xr:uid="{00000000-0005-0000-0000-0000481B0000}"/>
    <cellStyle name="Normal 5 4 8 2 2 2" xfId="17951" xr:uid="{14655F87-9DA6-4AEF-8834-79921D16EB68}"/>
    <cellStyle name="Normal 5 4 8 2 2 2 2" xfId="54293" xr:uid="{A198ADF1-AC37-4CB5-82B0-8C54D18ACDA8}"/>
    <cellStyle name="Normal 5 4 8 2 2 2 3" xfId="35697" xr:uid="{56817074-3B18-4E06-B018-3B2C8EC1D3DE}"/>
    <cellStyle name="Normal 5 4 8 2 2 3" xfId="44996" xr:uid="{C3FB988C-6548-42AF-BEDA-8C26EA21A37F}"/>
    <cellStyle name="Normal 5 4 8 2 2 4" xfId="26398" xr:uid="{162E8644-8097-46BB-BC38-1E75D22D5846}"/>
    <cellStyle name="Normal 5 4 8 2 3" xfId="13734" xr:uid="{AE4B762E-DF75-42EE-8D54-C5A8B9961E42}"/>
    <cellStyle name="Normal 5 4 8 2 3 2" xfId="50076" xr:uid="{D531BB70-16FF-4D3C-8903-84BB895D9AA0}"/>
    <cellStyle name="Normal 5 4 8 2 3 3" xfId="31480" xr:uid="{AAC8F996-62EB-4B87-A63E-8B2F95AFB3F8}"/>
    <cellStyle name="Normal 5 4 8 2 4" xfId="40779" xr:uid="{CBC4EA3E-25CE-4608-AFBB-6F0FF85921CE}"/>
    <cellStyle name="Normal 5 4 8 2 5" xfId="22181" xr:uid="{402182B8-B26F-406B-BABA-C72E18584E1E}"/>
    <cellStyle name="Normal 5 4 8 3" xfId="6480" xr:uid="{00000000-0005-0000-0000-0000491B0000}"/>
    <cellStyle name="Normal 5 4 8 3 2" xfId="15806" xr:uid="{D953DDDD-10D9-4310-8307-32DD263899B2}"/>
    <cellStyle name="Normal 5 4 8 3 2 2" xfId="52148" xr:uid="{BDED11AB-CBBE-471F-A943-C8812EA80818}"/>
    <cellStyle name="Normal 5 4 8 3 2 3" xfId="33552" xr:uid="{39FF3E74-6F48-4EAF-AFDB-45ABDF614D43}"/>
    <cellStyle name="Normal 5 4 8 3 3" xfId="42851" xr:uid="{9C298A56-C382-40DA-9541-1CC0AF650459}"/>
    <cellStyle name="Normal 5 4 8 3 4" xfId="24253" xr:uid="{B43D1ABF-A5DA-4961-AEDB-EC9D57335143}"/>
    <cellStyle name="Normal 5 4 8 4" xfId="11589" xr:uid="{2E162D55-C12B-4D7C-A5AB-1C169316B1B6}"/>
    <cellStyle name="Normal 5 4 8 4 2" xfId="47931" xr:uid="{71CE5013-579D-49FF-9FA8-55D7E482E160}"/>
    <cellStyle name="Normal 5 4 8 4 3" xfId="29335" xr:uid="{0973B78F-3FCC-4EBB-8DAC-DEF0B8D0B57F}"/>
    <cellStyle name="Normal 5 4 8 5" xfId="38634" xr:uid="{10FF7CAE-5311-4058-9997-A3140841E50C}"/>
    <cellStyle name="Normal 5 4 8 6" xfId="20036" xr:uid="{B446E05B-0D73-4CA4-A550-4B7005F1C2AF}"/>
    <cellStyle name="Normal 5 4 9" xfId="2610" xr:uid="{00000000-0005-0000-0000-00004A1B0000}"/>
    <cellStyle name="Normal 5 4 9 2" xfId="6893" xr:uid="{00000000-0005-0000-0000-00004B1B0000}"/>
    <cellStyle name="Normal 5 4 9 2 2" xfId="16219" xr:uid="{3B12F556-D291-4D7A-BBD6-B4CACE0FA67A}"/>
    <cellStyle name="Normal 5 4 9 2 2 2" xfId="52561" xr:uid="{69F9E3A5-89A5-4C11-B5F0-77B8FC580C55}"/>
    <cellStyle name="Normal 5 4 9 2 2 3" xfId="33965" xr:uid="{55E9C4CC-FDD1-4821-8BDC-769756CA9F8C}"/>
    <cellStyle name="Normal 5 4 9 2 3" xfId="43264" xr:uid="{9736F843-9C40-405C-AAF5-9F2C3CAD29BF}"/>
    <cellStyle name="Normal 5 4 9 2 4" xfId="24666" xr:uid="{E8220127-3D32-4465-B797-A28FC7916545}"/>
    <cellStyle name="Normal 5 4 9 3" xfId="12002" xr:uid="{EFCA4227-7E12-442E-B8D8-89E7056A1C72}"/>
    <cellStyle name="Normal 5 4 9 3 2" xfId="48344" xr:uid="{6D608BA6-9514-4973-BD90-67C21BDA6297}"/>
    <cellStyle name="Normal 5 4 9 3 3" xfId="29748" xr:uid="{BC6DAA42-CBF3-4024-92DB-3A6674846761}"/>
    <cellStyle name="Normal 5 4 9 4" xfId="39047" xr:uid="{8C399B3B-EF8C-47AC-A797-0D0BAA05D6B2}"/>
    <cellStyle name="Normal 5 4 9 5" xfId="20449" xr:uid="{6B512C9F-DF1C-4203-B565-CF964E5DB725}"/>
    <cellStyle name="Normal 5 5" xfId="464" xr:uid="{00000000-0005-0000-0000-00004C1B0000}"/>
    <cellStyle name="Normal 5 5 10" xfId="8826" xr:uid="{5746674A-546A-44BF-97FB-6D298BF3AD61}"/>
    <cellStyle name="Normal 5 5 10 2" xfId="35896" xr:uid="{5D882AB5-A3FB-41D3-99ED-D206B5AE6B0C}"/>
    <cellStyle name="Normal 5 5 10 2 2" xfId="54491" xr:uid="{FD5E06E1-9A6D-4F49-A309-A5A24BED471F}"/>
    <cellStyle name="Normal 5 5 10 3" xfId="45194" xr:uid="{35947728-7268-4747-A7C6-5D94DBFD3B7B}"/>
    <cellStyle name="Normal 5 5 10 4" xfId="26597" xr:uid="{CDB5F5F8-9D2A-4315-AB08-FFD42171A552}"/>
    <cellStyle name="Normal 5 5 11" xfId="9945" xr:uid="{79D1C085-415B-43D0-9707-0947DE597D9D}"/>
    <cellStyle name="Normal 5 5 11 2" xfId="46287" xr:uid="{6D9BEC5E-3F5B-44B7-9CBA-908E4E2206E1}"/>
    <cellStyle name="Normal 5 5 11 3" xfId="27691" xr:uid="{4384A3DE-DB2D-493C-8EB0-0310681FCE58}"/>
    <cellStyle name="Normal 5 5 12" xfId="36990" xr:uid="{591501F0-4076-4D36-846F-133341B55487}"/>
    <cellStyle name="Normal 5 5 13" xfId="18392" xr:uid="{EAE09229-59FF-44BF-B8EE-036678245F03}"/>
    <cellStyle name="Normal 5 5 2" xfId="465" xr:uid="{00000000-0005-0000-0000-00004D1B0000}"/>
    <cellStyle name="Normal 5 5 2 10" xfId="9946" xr:uid="{B4AB4B3D-B402-4055-9571-21267EE5A2B6}"/>
    <cellStyle name="Normal 5 5 2 10 2" xfId="46288" xr:uid="{D7BC4C9A-82BB-4FB4-AE7A-FFD55CE9B1D7}"/>
    <cellStyle name="Normal 5 5 2 10 3" xfId="27692" xr:uid="{CEEDC465-509E-43EB-B04F-32173F8625DE}"/>
    <cellStyle name="Normal 5 5 2 11" xfId="36991" xr:uid="{0CAD4F00-0A96-44A2-A277-5699C76BDAF8}"/>
    <cellStyle name="Normal 5 5 2 12" xfId="18393" xr:uid="{3E94575D-15DF-43C0-9E4E-B4294E4F90F2}"/>
    <cellStyle name="Normal 5 5 2 2" xfId="466" xr:uid="{00000000-0005-0000-0000-00004E1B0000}"/>
    <cellStyle name="Normal 5 5 2 2 10" xfId="36992" xr:uid="{319ECA68-DDD7-4C95-8C0F-365B83C405DF}"/>
    <cellStyle name="Normal 5 5 2 2 11" xfId="18394" xr:uid="{C3DE9340-2712-4E93-BDA7-4243B2F0AAAB}"/>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16722" xr:uid="{C591DCFB-3778-4E9B-8915-DA6869E6E04C}"/>
    <cellStyle name="Normal 5 5 2 2 2 2 2 2 2" xfId="53064" xr:uid="{22F8F8D8-46FA-4110-B5C1-845B53676520}"/>
    <cellStyle name="Normal 5 5 2 2 2 2 2 2 3" xfId="34468" xr:uid="{A48EB2F5-E2DA-48B5-BAE6-5FAEBB27BA61}"/>
    <cellStyle name="Normal 5 5 2 2 2 2 2 3" xfId="43767" xr:uid="{C77605C6-EB89-4828-B86C-2C217988B5CE}"/>
    <cellStyle name="Normal 5 5 2 2 2 2 2 4" xfId="25169" xr:uid="{D028B46B-AF05-4C66-BB8D-C47F917048C5}"/>
    <cellStyle name="Normal 5 5 2 2 2 2 3" xfId="12505" xr:uid="{923635C4-9058-4AE3-8FD9-8EF13B7B5978}"/>
    <cellStyle name="Normal 5 5 2 2 2 2 3 2" xfId="48847" xr:uid="{2E849050-AEE0-4F6C-8C01-4A52B47E9BE7}"/>
    <cellStyle name="Normal 5 5 2 2 2 2 3 3" xfId="30251" xr:uid="{53DADE45-044B-43F0-8401-9A40D1D63C95}"/>
    <cellStyle name="Normal 5 5 2 2 2 2 4" xfId="39550" xr:uid="{6EDB3E5B-2C80-421E-8A3A-5C891D20B89F}"/>
    <cellStyle name="Normal 5 5 2 2 2 2 5" xfId="20952" xr:uid="{5F12EBFA-A86A-4315-A0A4-A46EA7E72EDA}"/>
    <cellStyle name="Normal 5 5 2 2 2 3" xfId="5251" xr:uid="{00000000-0005-0000-0000-0000521B0000}"/>
    <cellStyle name="Normal 5 5 2 2 2 3 2" xfId="14577" xr:uid="{D305E940-2164-4B5F-AA7B-57796AC933E8}"/>
    <cellStyle name="Normal 5 5 2 2 2 3 2 2" xfId="50919" xr:uid="{6EFEAEA4-FD20-4741-AE44-D30BA5F411A6}"/>
    <cellStyle name="Normal 5 5 2 2 2 3 2 3" xfId="32323" xr:uid="{940E6767-82DB-4B85-A54F-D184714492D0}"/>
    <cellStyle name="Normal 5 5 2 2 2 3 3" xfId="41622" xr:uid="{190C6188-DA7A-4372-B308-4227716E2AE0}"/>
    <cellStyle name="Normal 5 5 2 2 2 3 4" xfId="23024" xr:uid="{5DE932C1-7F8E-4ED6-A2D3-E80D35889AB8}"/>
    <cellStyle name="Normal 5 5 2 2 2 4" xfId="9561" xr:uid="{FF1EB4DD-E23E-4228-816B-D59B021F724D}"/>
    <cellStyle name="Normal 5 5 2 2 2 4 2" xfId="36622" xr:uid="{513E232F-5AB1-4366-A9C8-FD57C63CABAA}"/>
    <cellStyle name="Normal 5 5 2 2 2 4 2 2" xfId="55216" xr:uid="{906D7418-F8D9-41C8-B4A4-5E0771F14324}"/>
    <cellStyle name="Normal 5 5 2 2 2 4 3" xfId="45919" xr:uid="{4C8F9B1E-3F2D-4425-84AC-0087CBF202A1}"/>
    <cellStyle name="Normal 5 5 2 2 2 4 4" xfId="27323" xr:uid="{44F1387E-2D2E-4956-A8FB-B828472B297F}"/>
    <cellStyle name="Normal 5 5 2 2 2 5" xfId="10360" xr:uid="{6DBDA310-4428-4E0A-BD4F-A3F70CDD1DB9}"/>
    <cellStyle name="Normal 5 5 2 2 2 5 2" xfId="46702" xr:uid="{ED532592-C423-40F4-A7A4-71918BDE9F96}"/>
    <cellStyle name="Normal 5 5 2 2 2 5 3" xfId="28106" xr:uid="{F560B0A9-0089-468F-8DE0-1AF4E466172C}"/>
    <cellStyle name="Normal 5 5 2 2 2 6" xfId="37405" xr:uid="{5EB3A14E-40C2-41EF-A11A-73879AE21067}"/>
    <cellStyle name="Normal 5 5 2 2 2 7" xfId="18807" xr:uid="{B6FADC66-167E-450E-B952-FCDA998924FD}"/>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17135" xr:uid="{99EA0E74-8960-4B55-8980-667258194E5A}"/>
    <cellStyle name="Normal 5 5 2 2 3 2 2 2 2" xfId="53477" xr:uid="{2F852334-DAA6-48E9-92CC-2883E4FE4C3C}"/>
    <cellStyle name="Normal 5 5 2 2 3 2 2 2 3" xfId="34881" xr:uid="{2A8A29DB-B6E1-4EFF-877F-81E92D1E03DF}"/>
    <cellStyle name="Normal 5 5 2 2 3 2 2 3" xfId="44180" xr:uid="{29154DEC-B5D3-4FE1-9278-E923BDCA266F}"/>
    <cellStyle name="Normal 5 5 2 2 3 2 2 4" xfId="25582" xr:uid="{3F09ED2C-0B1C-4E3F-BE63-C3A6FF1C4225}"/>
    <cellStyle name="Normal 5 5 2 2 3 2 3" xfId="12918" xr:uid="{775C1476-70D7-486B-BE39-249DECE50F7C}"/>
    <cellStyle name="Normal 5 5 2 2 3 2 3 2" xfId="49260" xr:uid="{EF7BD85D-5D78-4CF5-B92B-1CAD66E26E44}"/>
    <cellStyle name="Normal 5 5 2 2 3 2 3 3" xfId="30664" xr:uid="{9E49F071-A4AF-45FE-A7D7-7F91B024AEA0}"/>
    <cellStyle name="Normal 5 5 2 2 3 2 4" xfId="39963" xr:uid="{EC9DB9E8-5F50-4C06-BD0C-3EC579A6BEEE}"/>
    <cellStyle name="Normal 5 5 2 2 3 2 5" xfId="21365" xr:uid="{50529A10-2FEB-48F3-A2B6-6313CB44065A}"/>
    <cellStyle name="Normal 5 5 2 2 3 3" xfId="5664" xr:uid="{00000000-0005-0000-0000-0000561B0000}"/>
    <cellStyle name="Normal 5 5 2 2 3 3 2" xfId="14990" xr:uid="{2BB539E9-A638-4105-887B-ECC5F2ED2D7B}"/>
    <cellStyle name="Normal 5 5 2 2 3 3 2 2" xfId="51332" xr:uid="{C171E221-DBE7-4FEF-AC61-EAE14082B27B}"/>
    <cellStyle name="Normal 5 5 2 2 3 3 2 3" xfId="32736" xr:uid="{C793EAB8-9763-4D31-B788-7D9BB3AD9E35}"/>
    <cellStyle name="Normal 5 5 2 2 3 3 3" xfId="42035" xr:uid="{33895AD6-2630-495C-9986-19F445F856F2}"/>
    <cellStyle name="Normal 5 5 2 2 3 3 4" xfId="23437" xr:uid="{A05E89F9-CF99-4180-9D5C-CE7669D9B987}"/>
    <cellStyle name="Normal 5 5 2 2 3 4" xfId="10773" xr:uid="{46E715B9-BAA7-4B60-8CEE-BF5F84617D95}"/>
    <cellStyle name="Normal 5 5 2 2 3 4 2" xfId="47115" xr:uid="{8003E5F8-C0D1-4A89-9B34-C5742CC820E7}"/>
    <cellStyle name="Normal 5 5 2 2 3 4 3" xfId="28519" xr:uid="{B08CD839-A2AC-4C27-9718-D8633A259334}"/>
    <cellStyle name="Normal 5 5 2 2 3 5" xfId="37818" xr:uid="{45AEEC5A-59AB-40DF-A508-E5DBCBA311FD}"/>
    <cellStyle name="Normal 5 5 2 2 3 6" xfId="19220" xr:uid="{0875D0B7-9F16-4E17-88B4-5AFB2E79E360}"/>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17548" xr:uid="{EE93ADD4-6898-4210-A553-68DC01414485}"/>
    <cellStyle name="Normal 5 5 2 2 4 2 2 2 2" xfId="53890" xr:uid="{08BF6161-09D7-41DC-A9CF-862028587C31}"/>
    <cellStyle name="Normal 5 5 2 2 4 2 2 2 3" xfId="35294" xr:uid="{F7DEB1D3-48F7-4B21-846A-3C53BA8A71DA}"/>
    <cellStyle name="Normal 5 5 2 2 4 2 2 3" xfId="44593" xr:uid="{BB1BD9AB-F399-4498-A4AB-18C8871B8203}"/>
    <cellStyle name="Normal 5 5 2 2 4 2 2 4" xfId="25995" xr:uid="{D954F17B-6BB1-46D9-93F1-77848A239FE5}"/>
    <cellStyle name="Normal 5 5 2 2 4 2 3" xfId="13331" xr:uid="{933676E1-84DC-4F33-9EFC-66634CDB13F9}"/>
    <cellStyle name="Normal 5 5 2 2 4 2 3 2" xfId="49673" xr:uid="{7DF5CF9E-079F-448D-B2A0-952DBA635D38}"/>
    <cellStyle name="Normal 5 5 2 2 4 2 3 3" xfId="31077" xr:uid="{9E333CAB-145D-4AE4-9717-757B617E940F}"/>
    <cellStyle name="Normal 5 5 2 2 4 2 4" xfId="40376" xr:uid="{73366FB4-61CB-4196-A449-4AD9DBBBA296}"/>
    <cellStyle name="Normal 5 5 2 2 4 2 5" xfId="21778" xr:uid="{9A9DD287-EF27-4E57-BA42-BBAF2C7B1483}"/>
    <cellStyle name="Normal 5 5 2 2 4 3" xfId="6077" xr:uid="{00000000-0005-0000-0000-00005A1B0000}"/>
    <cellStyle name="Normal 5 5 2 2 4 3 2" xfId="15403" xr:uid="{941CF29D-686C-4AC9-9C0F-175C23C67160}"/>
    <cellStyle name="Normal 5 5 2 2 4 3 2 2" xfId="51745" xr:uid="{31D9D8D5-9A75-4F8E-B811-95D64654B622}"/>
    <cellStyle name="Normal 5 5 2 2 4 3 2 3" xfId="33149" xr:uid="{DA053F45-FF96-4B59-90AB-718CCD865E51}"/>
    <cellStyle name="Normal 5 5 2 2 4 3 3" xfId="42448" xr:uid="{15D8F9E2-48FF-4285-A6AE-660FCB789FD9}"/>
    <cellStyle name="Normal 5 5 2 2 4 3 4" xfId="23850" xr:uid="{4AACAD7D-148E-470C-B81C-427AC01B2E5F}"/>
    <cellStyle name="Normal 5 5 2 2 4 4" xfId="11186" xr:uid="{7D9CF7C4-F70E-4F1C-B089-B6BADFA8DC0B}"/>
    <cellStyle name="Normal 5 5 2 2 4 4 2" xfId="47528" xr:uid="{14974372-E5D2-44D8-B5CF-158D1F4548B1}"/>
    <cellStyle name="Normal 5 5 2 2 4 4 3" xfId="28932" xr:uid="{D5F3592A-7DBC-45DA-845A-A007F1E41DAD}"/>
    <cellStyle name="Normal 5 5 2 2 4 5" xfId="38231" xr:uid="{2CA05139-B32E-4D02-BF36-09699BC06DD6}"/>
    <cellStyle name="Normal 5 5 2 2 4 6" xfId="19633" xr:uid="{7D3027EA-D390-47CE-AEFD-627738E62E18}"/>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17961" xr:uid="{B22CFF76-F2E3-4607-BB76-F7548502CB80}"/>
    <cellStyle name="Normal 5 5 2 2 5 2 2 2 2" xfId="54303" xr:uid="{22982377-F4DB-4F35-A44F-96540CD968A8}"/>
    <cellStyle name="Normal 5 5 2 2 5 2 2 2 3" xfId="35707" xr:uid="{B32E1D77-CAAA-42C4-95A7-92A5FFBCF12B}"/>
    <cellStyle name="Normal 5 5 2 2 5 2 2 3" xfId="45006" xr:uid="{DB0451BC-9180-40B9-BD48-600BF22BB288}"/>
    <cellStyle name="Normal 5 5 2 2 5 2 2 4" xfId="26408" xr:uid="{871AA10E-5E8D-44DF-A07E-0E4A64320209}"/>
    <cellStyle name="Normal 5 5 2 2 5 2 3" xfId="13744" xr:uid="{FDC00CD6-8742-4B8F-8076-FA219CB9B12D}"/>
    <cellStyle name="Normal 5 5 2 2 5 2 3 2" xfId="50086" xr:uid="{16E06B2A-6826-4065-80F6-10E7A254C457}"/>
    <cellStyle name="Normal 5 5 2 2 5 2 3 3" xfId="31490" xr:uid="{ACB14526-8CD8-46F0-B4BA-2F7F2D8BB359}"/>
    <cellStyle name="Normal 5 5 2 2 5 2 4" xfId="40789" xr:uid="{8EFBEE97-A1AF-4725-B624-DC4647268C58}"/>
    <cellStyle name="Normal 5 5 2 2 5 2 5" xfId="22191" xr:uid="{AAB58B58-132C-4BCA-A67C-5C59B593D53E}"/>
    <cellStyle name="Normal 5 5 2 2 5 3" xfId="6490" xr:uid="{00000000-0005-0000-0000-00005E1B0000}"/>
    <cellStyle name="Normal 5 5 2 2 5 3 2" xfId="15816" xr:uid="{A25F6167-80AD-4BFD-A5D9-84E47779C8CB}"/>
    <cellStyle name="Normal 5 5 2 2 5 3 2 2" xfId="52158" xr:uid="{5E8ED40F-A202-4FC5-A3BF-A74E1414B4AD}"/>
    <cellStyle name="Normal 5 5 2 2 5 3 2 3" xfId="33562" xr:uid="{E079AADD-D8E5-48AE-8220-271FF2DDB517}"/>
    <cellStyle name="Normal 5 5 2 2 5 3 3" xfId="42861" xr:uid="{356E3E88-2784-4617-BDDC-902CA83CEF5D}"/>
    <cellStyle name="Normal 5 5 2 2 5 3 4" xfId="24263" xr:uid="{8D810F18-AE30-4E89-A352-CEFF3F3F9D40}"/>
    <cellStyle name="Normal 5 5 2 2 5 4" xfId="11599" xr:uid="{7CB7B06D-427B-4B46-826E-43E75F6FA236}"/>
    <cellStyle name="Normal 5 5 2 2 5 4 2" xfId="47941" xr:uid="{7EA3FFDD-DA40-4A9E-ADD4-11DFFBCFCDE5}"/>
    <cellStyle name="Normal 5 5 2 2 5 4 3" xfId="29345" xr:uid="{B5264BB8-5A48-4BD2-91AC-C78AC2AFB244}"/>
    <cellStyle name="Normal 5 5 2 2 5 5" xfId="38644" xr:uid="{9C5B4ED2-F9E9-47EF-8857-915705B5C0A7}"/>
    <cellStyle name="Normal 5 5 2 2 5 6" xfId="20046" xr:uid="{70DDDAAC-0FE9-4A3B-BF03-76F685B8D469}"/>
    <cellStyle name="Normal 5 5 2 2 6" xfId="2620" xr:uid="{00000000-0005-0000-0000-00005F1B0000}"/>
    <cellStyle name="Normal 5 5 2 2 6 2" xfId="6903" xr:uid="{00000000-0005-0000-0000-0000601B0000}"/>
    <cellStyle name="Normal 5 5 2 2 6 2 2" xfId="16229" xr:uid="{D1551552-B297-465E-A048-68EB6CA4F408}"/>
    <cellStyle name="Normal 5 5 2 2 6 2 2 2" xfId="52571" xr:uid="{181C8857-785C-4458-803C-3537A4151BCD}"/>
    <cellStyle name="Normal 5 5 2 2 6 2 2 3" xfId="33975" xr:uid="{709B0CCE-4451-4E56-BDEA-472788287589}"/>
    <cellStyle name="Normal 5 5 2 2 6 2 3" xfId="43274" xr:uid="{B22EEF04-3218-4D53-9A58-2DFFB49E5868}"/>
    <cellStyle name="Normal 5 5 2 2 6 2 4" xfId="24676" xr:uid="{54FF2A5B-BBEB-45F3-963D-0D9F6E24917A}"/>
    <cellStyle name="Normal 5 5 2 2 6 3" xfId="12012" xr:uid="{0537C713-F9FB-4CD6-AFEA-36023C88D0B1}"/>
    <cellStyle name="Normal 5 5 2 2 6 3 2" xfId="48354" xr:uid="{AB74CFAA-62F7-40FB-846F-0BE6D38F6B58}"/>
    <cellStyle name="Normal 5 5 2 2 6 3 3" xfId="29758" xr:uid="{2FD2CD39-4974-46C4-A1D5-0AB96685FD25}"/>
    <cellStyle name="Normal 5 5 2 2 6 4" xfId="39057" xr:uid="{DC2EE0DA-B472-4A67-9746-6A07E1E6B474}"/>
    <cellStyle name="Normal 5 5 2 2 6 5" xfId="20459" xr:uid="{872E30D9-81E7-418A-AA49-6535358F41FB}"/>
    <cellStyle name="Normal 5 5 2 2 7" xfId="4838" xr:uid="{00000000-0005-0000-0000-0000611B0000}"/>
    <cellStyle name="Normal 5 5 2 2 7 2" xfId="14164" xr:uid="{7F35E25B-A265-4F3F-A886-F13905E0353F}"/>
    <cellStyle name="Normal 5 5 2 2 7 2 2" xfId="50506" xr:uid="{55BA8D2E-0861-4841-AF1C-EAA6F2EDBD44}"/>
    <cellStyle name="Normal 5 5 2 2 7 2 3" xfId="31910" xr:uid="{24BDE5B2-EEF5-4469-877B-CB002336138B}"/>
    <cellStyle name="Normal 5 5 2 2 7 3" xfId="41209" xr:uid="{3F4FEBC8-819F-4E92-82E1-1A3B8A631D90}"/>
    <cellStyle name="Normal 5 5 2 2 7 4" xfId="22611" xr:uid="{66E3AF56-79FF-4C57-AB8E-2756F186B71A}"/>
    <cellStyle name="Normal 5 5 2 2 8" xfId="9136" xr:uid="{D41453B5-3BE6-4F01-B336-45A274529844}"/>
    <cellStyle name="Normal 5 5 2 2 8 2" xfId="36206" xr:uid="{F962D1D6-AC9A-48A1-9230-81AEDEB59381}"/>
    <cellStyle name="Normal 5 5 2 2 8 2 2" xfId="54801" xr:uid="{544AFAC6-47BC-4ECC-A20F-9941BF249214}"/>
    <cellStyle name="Normal 5 5 2 2 8 3" xfId="45504" xr:uid="{15FD3A40-9DBA-4B42-A30B-BE9F1783059C}"/>
    <cellStyle name="Normal 5 5 2 2 8 4" xfId="26907" xr:uid="{843FF753-1ACF-449C-9358-2050218301E9}"/>
    <cellStyle name="Normal 5 5 2 2 9" xfId="9947" xr:uid="{DBDB8CA6-1190-4A20-83DC-FBDC1DE2CF18}"/>
    <cellStyle name="Normal 5 5 2 2 9 2" xfId="46289" xr:uid="{FCDC789F-B6FB-498A-B50A-93B41FD8EF04}"/>
    <cellStyle name="Normal 5 5 2 2 9 3" xfId="27693" xr:uid="{AACDEEE5-8AFB-41B1-848A-0095B404CCB1}"/>
    <cellStyle name="Normal 5 5 2 3" xfId="939" xr:uid="{00000000-0005-0000-0000-0000621B0000}"/>
    <cellStyle name="Normal 5 5 2 3 2" xfId="3173" xr:uid="{00000000-0005-0000-0000-0000631B0000}"/>
    <cellStyle name="Normal 5 5 2 3 2 2" xfId="7395" xr:uid="{00000000-0005-0000-0000-0000641B0000}"/>
    <cellStyle name="Normal 5 5 2 3 2 2 2" xfId="16721" xr:uid="{E8A0D5DF-CDDC-46D7-B0CA-A52D59FD4D88}"/>
    <cellStyle name="Normal 5 5 2 3 2 2 2 2" xfId="53063" xr:uid="{890EB568-E50F-466F-912F-E131655039AC}"/>
    <cellStyle name="Normal 5 5 2 3 2 2 2 3" xfId="34467" xr:uid="{A6A2F8E7-589F-4DCD-ABFE-4857911F4B83}"/>
    <cellStyle name="Normal 5 5 2 3 2 2 3" xfId="43766" xr:uid="{9FBAC429-742B-4648-9720-4011DD4805AC}"/>
    <cellStyle name="Normal 5 5 2 3 2 2 4" xfId="25168" xr:uid="{CA49CDAD-0BFC-4900-8874-EFA4438591B3}"/>
    <cellStyle name="Normal 5 5 2 3 2 3" xfId="12504" xr:uid="{ED0DFDB1-E226-4113-BEB3-CC09F929E59C}"/>
    <cellStyle name="Normal 5 5 2 3 2 3 2" xfId="48846" xr:uid="{B05CEBE0-0ECB-477B-A0D1-C8AE4FDA1FA9}"/>
    <cellStyle name="Normal 5 5 2 3 2 3 3" xfId="30250" xr:uid="{273C9838-6B83-4E75-B842-CD31E8AC2659}"/>
    <cellStyle name="Normal 5 5 2 3 2 4" xfId="39549" xr:uid="{DFF12386-1F58-4636-B4FE-1087390111C8}"/>
    <cellStyle name="Normal 5 5 2 3 2 5" xfId="20951" xr:uid="{21A4482F-7676-455A-9BFA-1E7F2079CE3F}"/>
    <cellStyle name="Normal 5 5 2 3 3" xfId="5250" xr:uid="{00000000-0005-0000-0000-0000651B0000}"/>
    <cellStyle name="Normal 5 5 2 3 3 2" xfId="14576" xr:uid="{07E27B42-2B92-4E92-A8B6-17E2C710CDC3}"/>
    <cellStyle name="Normal 5 5 2 3 3 2 2" xfId="50918" xr:uid="{7F9ED87E-1126-426A-98B2-E45A4D3D4B9E}"/>
    <cellStyle name="Normal 5 5 2 3 3 2 3" xfId="32322" xr:uid="{6EF90D28-9CA3-4629-B7FB-C9FC1140D96B}"/>
    <cellStyle name="Normal 5 5 2 3 3 3" xfId="41621" xr:uid="{76D225DE-D30C-497F-99A2-DE82E8356A80}"/>
    <cellStyle name="Normal 5 5 2 3 3 4" xfId="23023" xr:uid="{6B64FB68-5B3C-44ED-85D6-DCC5288C79F6}"/>
    <cellStyle name="Normal 5 5 2 3 4" xfId="9354" xr:uid="{3251F49D-E700-469D-9840-28045D408641}"/>
    <cellStyle name="Normal 5 5 2 3 4 2" xfId="36415" xr:uid="{84D7CBA3-E555-4D6F-8496-A529D3EE3BB3}"/>
    <cellStyle name="Normal 5 5 2 3 4 2 2" xfId="55009" xr:uid="{E9BE8C17-FA12-4EFC-A721-E0AF36EAED92}"/>
    <cellStyle name="Normal 5 5 2 3 4 3" xfId="45712" xr:uid="{5F2BE645-42CF-4AC4-A5C6-B5F263958582}"/>
    <cellStyle name="Normal 5 5 2 3 4 4" xfId="27116" xr:uid="{84C39966-86E9-4CFF-9F9C-0DA614F11557}"/>
    <cellStyle name="Normal 5 5 2 3 5" xfId="10359" xr:uid="{CA583E82-87F4-4591-8281-6EC6E646C4AF}"/>
    <cellStyle name="Normal 5 5 2 3 5 2" xfId="46701" xr:uid="{97C4AB2C-538D-4F6E-84D8-FF8F19BBDBCD}"/>
    <cellStyle name="Normal 5 5 2 3 5 3" xfId="28105" xr:uid="{CEBDBA54-6204-4409-B021-5DEF335636FC}"/>
    <cellStyle name="Normal 5 5 2 3 6" xfId="37404" xr:uid="{124DDA27-BDAA-4DFB-BA8D-F7753B2CD772}"/>
    <cellStyle name="Normal 5 5 2 3 7" xfId="18806" xr:uid="{AADF1537-6246-408D-9627-F8101478C571}"/>
    <cellStyle name="Normal 5 5 2 4" xfId="1356" xr:uid="{00000000-0005-0000-0000-0000661B0000}"/>
    <cellStyle name="Normal 5 5 2 4 2" xfId="3586" xr:uid="{00000000-0005-0000-0000-0000671B0000}"/>
    <cellStyle name="Normal 5 5 2 4 2 2" xfId="7808" xr:uid="{00000000-0005-0000-0000-0000681B0000}"/>
    <cellStyle name="Normal 5 5 2 4 2 2 2" xfId="17134" xr:uid="{FBF8C43F-4111-4F5A-9990-EBC8A54C2BD4}"/>
    <cellStyle name="Normal 5 5 2 4 2 2 2 2" xfId="53476" xr:uid="{9531C035-4F4E-422C-B8D5-ADC8E873DC96}"/>
    <cellStyle name="Normal 5 5 2 4 2 2 2 3" xfId="34880" xr:uid="{0ACDF8D6-A51B-4765-9820-2CAF8BF4AB8D}"/>
    <cellStyle name="Normal 5 5 2 4 2 2 3" xfId="44179" xr:uid="{3E0CF57D-B899-4120-AF84-044F75D460D5}"/>
    <cellStyle name="Normal 5 5 2 4 2 2 4" xfId="25581" xr:uid="{0F4BFAE0-78D1-4087-9BD8-25C6C1FEE6D1}"/>
    <cellStyle name="Normal 5 5 2 4 2 3" xfId="12917" xr:uid="{F503AF81-9615-46E9-91CC-E499A8D789FC}"/>
    <cellStyle name="Normal 5 5 2 4 2 3 2" xfId="49259" xr:uid="{8F811699-6A48-4183-97AC-DE1E3E42BFA8}"/>
    <cellStyle name="Normal 5 5 2 4 2 3 3" xfId="30663" xr:uid="{64B2121D-5F7B-47E2-AF84-65719D330FF3}"/>
    <cellStyle name="Normal 5 5 2 4 2 4" xfId="39962" xr:uid="{C6AB8E56-621D-4F4C-8739-375D4EEB26C4}"/>
    <cellStyle name="Normal 5 5 2 4 2 5" xfId="21364" xr:uid="{03EAB05C-B705-4DB1-BAD3-0DEA068E7862}"/>
    <cellStyle name="Normal 5 5 2 4 3" xfId="5663" xr:uid="{00000000-0005-0000-0000-0000691B0000}"/>
    <cellStyle name="Normal 5 5 2 4 3 2" xfId="14989" xr:uid="{383FE748-04E8-45DC-92C4-76A7BE3E37E7}"/>
    <cellStyle name="Normal 5 5 2 4 3 2 2" xfId="51331" xr:uid="{5D2C412A-8B8A-460F-8FC9-381EFB38091C}"/>
    <cellStyle name="Normal 5 5 2 4 3 2 3" xfId="32735" xr:uid="{74630BEB-8AD8-450E-9979-C784B576D64C}"/>
    <cellStyle name="Normal 5 5 2 4 3 3" xfId="42034" xr:uid="{95D3868A-8377-41B4-B688-AC0CC7817FB1}"/>
    <cellStyle name="Normal 5 5 2 4 3 4" xfId="23436" xr:uid="{F066C2C9-C147-4EF8-A8A3-D0B07F0B494B}"/>
    <cellStyle name="Normal 5 5 2 4 4" xfId="10772" xr:uid="{9439C210-148A-4CC4-B309-CF290D8D49C3}"/>
    <cellStyle name="Normal 5 5 2 4 4 2" xfId="47114" xr:uid="{E41BD0EB-EEAB-423A-8FCD-E19E793C1F3E}"/>
    <cellStyle name="Normal 5 5 2 4 4 3" xfId="28518" xr:uid="{99A558B7-1A9A-41C3-BE4A-ED8AD743BB36}"/>
    <cellStyle name="Normal 5 5 2 4 5" xfId="37817" xr:uid="{EE699644-6C8A-4F46-B2E8-06C8A6442CA9}"/>
    <cellStyle name="Normal 5 5 2 4 6" xfId="19219" xr:uid="{D2D9B5C9-9E5F-4C79-93D3-C58F90858D06}"/>
    <cellStyle name="Normal 5 5 2 5" xfId="1769" xr:uid="{00000000-0005-0000-0000-00006A1B0000}"/>
    <cellStyle name="Normal 5 5 2 5 2" xfId="3999" xr:uid="{00000000-0005-0000-0000-00006B1B0000}"/>
    <cellStyle name="Normal 5 5 2 5 2 2" xfId="8221" xr:uid="{00000000-0005-0000-0000-00006C1B0000}"/>
    <cellStyle name="Normal 5 5 2 5 2 2 2" xfId="17547" xr:uid="{046CEF4C-CC0E-4A0B-B880-FFD981DD89F5}"/>
    <cellStyle name="Normal 5 5 2 5 2 2 2 2" xfId="53889" xr:uid="{6C4EE8CB-D777-44AF-859B-1E38D6C49C36}"/>
    <cellStyle name="Normal 5 5 2 5 2 2 2 3" xfId="35293" xr:uid="{26733529-305C-4EC0-9689-91723760833A}"/>
    <cellStyle name="Normal 5 5 2 5 2 2 3" xfId="44592" xr:uid="{94A5030D-0CDE-4CB7-A6C9-F7090CE75052}"/>
    <cellStyle name="Normal 5 5 2 5 2 2 4" xfId="25994" xr:uid="{2ECC8C3A-1072-4419-A4B5-5FC776D51AE4}"/>
    <cellStyle name="Normal 5 5 2 5 2 3" xfId="13330" xr:uid="{293C0CB3-E712-4C49-AB19-24B74E17F5BA}"/>
    <cellStyle name="Normal 5 5 2 5 2 3 2" xfId="49672" xr:uid="{26E097E8-6F5A-4826-B120-2ADBF80DE694}"/>
    <cellStyle name="Normal 5 5 2 5 2 3 3" xfId="31076" xr:uid="{A07B38E4-ACEE-4FB2-AE11-FDA60D035620}"/>
    <cellStyle name="Normal 5 5 2 5 2 4" xfId="40375" xr:uid="{8099D289-984D-45A7-AFCF-41B443ED554F}"/>
    <cellStyle name="Normal 5 5 2 5 2 5" xfId="21777" xr:uid="{6D1268F7-43F4-4F1B-AE0E-852784AF6946}"/>
    <cellStyle name="Normal 5 5 2 5 3" xfId="6076" xr:uid="{00000000-0005-0000-0000-00006D1B0000}"/>
    <cellStyle name="Normal 5 5 2 5 3 2" xfId="15402" xr:uid="{ED4A778F-835F-4B3C-BD42-E0134BBD11E3}"/>
    <cellStyle name="Normal 5 5 2 5 3 2 2" xfId="51744" xr:uid="{CBEF9D3E-4774-4CD3-A6FA-2685651E7F50}"/>
    <cellStyle name="Normal 5 5 2 5 3 2 3" xfId="33148" xr:uid="{6DB134C0-7F86-48EB-9423-FD5971E2ADAF}"/>
    <cellStyle name="Normal 5 5 2 5 3 3" xfId="42447" xr:uid="{6942B784-F1C1-4D77-BD5D-AF98C7B04398}"/>
    <cellStyle name="Normal 5 5 2 5 3 4" xfId="23849" xr:uid="{BA161395-1D2F-41FF-99EC-BA22AF18B42D}"/>
    <cellStyle name="Normal 5 5 2 5 4" xfId="11185" xr:uid="{14F60E7B-EBF0-4032-AFAE-FC23C5E0CB8E}"/>
    <cellStyle name="Normal 5 5 2 5 4 2" xfId="47527" xr:uid="{06DC080E-F008-4AC6-AF49-DE8CA7A7026A}"/>
    <cellStyle name="Normal 5 5 2 5 4 3" xfId="28931" xr:uid="{26CB6BAE-D246-4D4B-BAFC-A4C22926D72A}"/>
    <cellStyle name="Normal 5 5 2 5 5" xfId="38230" xr:uid="{259F798D-5492-4561-9F1C-558EA7295264}"/>
    <cellStyle name="Normal 5 5 2 5 6" xfId="19632" xr:uid="{E0F9252F-6E4D-47E4-8A1F-9CB0DF92FA15}"/>
    <cellStyle name="Normal 5 5 2 6" xfId="2183" xr:uid="{00000000-0005-0000-0000-00006E1B0000}"/>
    <cellStyle name="Normal 5 5 2 6 2" xfId="4412" xr:uid="{00000000-0005-0000-0000-00006F1B0000}"/>
    <cellStyle name="Normal 5 5 2 6 2 2" xfId="8634" xr:uid="{00000000-0005-0000-0000-0000701B0000}"/>
    <cellStyle name="Normal 5 5 2 6 2 2 2" xfId="17960" xr:uid="{DC451B11-09AC-441B-818A-8592258C8FB8}"/>
    <cellStyle name="Normal 5 5 2 6 2 2 2 2" xfId="54302" xr:uid="{8556B130-B9EF-46C1-8CE2-DCB5B4E56E1B}"/>
    <cellStyle name="Normal 5 5 2 6 2 2 2 3" xfId="35706" xr:uid="{BA51946B-FCCD-4038-85B2-4756AD605287}"/>
    <cellStyle name="Normal 5 5 2 6 2 2 3" xfId="45005" xr:uid="{30D58E54-81FC-420C-A5BD-F0D6801A1195}"/>
    <cellStyle name="Normal 5 5 2 6 2 2 4" xfId="26407" xr:uid="{1A2AEB73-724D-497B-97C9-BE50F1A1D620}"/>
    <cellStyle name="Normal 5 5 2 6 2 3" xfId="13743" xr:uid="{80BEE70F-E6F7-4869-8CD7-A5FF0EFB8668}"/>
    <cellStyle name="Normal 5 5 2 6 2 3 2" xfId="50085" xr:uid="{C9AF63F3-34E0-4EF8-A276-43C75512D673}"/>
    <cellStyle name="Normal 5 5 2 6 2 3 3" xfId="31489" xr:uid="{6AB3E18F-C65E-470E-98E4-F182A601869E}"/>
    <cellStyle name="Normal 5 5 2 6 2 4" xfId="40788" xr:uid="{78182C3E-17CD-4AAC-9B65-B6772AF61791}"/>
    <cellStyle name="Normal 5 5 2 6 2 5" xfId="22190" xr:uid="{8AC4D0A5-F83A-4407-9966-390769226BBD}"/>
    <cellStyle name="Normal 5 5 2 6 3" xfId="6489" xr:uid="{00000000-0005-0000-0000-0000711B0000}"/>
    <cellStyle name="Normal 5 5 2 6 3 2" xfId="15815" xr:uid="{3D43E65C-1108-40CF-B67E-C3A6080D8191}"/>
    <cellStyle name="Normal 5 5 2 6 3 2 2" xfId="52157" xr:uid="{A88E19CF-8CC8-4467-8BAE-4547A4785849}"/>
    <cellStyle name="Normal 5 5 2 6 3 2 3" xfId="33561" xr:uid="{ED920CE3-73A7-48DB-89CE-4BCAFBDCECC0}"/>
    <cellStyle name="Normal 5 5 2 6 3 3" xfId="42860" xr:uid="{C3FA4E16-EC0B-40A9-9804-12E10FE9069B}"/>
    <cellStyle name="Normal 5 5 2 6 3 4" xfId="24262" xr:uid="{1C985146-8D1D-4FE4-A156-3520D7401B55}"/>
    <cellStyle name="Normal 5 5 2 6 4" xfId="11598" xr:uid="{95B0432C-C542-450C-83AD-F73A29A0CA54}"/>
    <cellStyle name="Normal 5 5 2 6 4 2" xfId="47940" xr:uid="{1EE0C814-CA61-4728-AF70-3B092ED5E95D}"/>
    <cellStyle name="Normal 5 5 2 6 4 3" xfId="29344" xr:uid="{741E75B8-0551-4B18-89EF-CC1880408708}"/>
    <cellStyle name="Normal 5 5 2 6 5" xfId="38643" xr:uid="{DB7FF434-9E71-4F4F-8D55-B4AA9F077DAA}"/>
    <cellStyle name="Normal 5 5 2 6 6" xfId="20045" xr:uid="{74FABEFF-A8BB-4889-836A-F3FEF3B18449}"/>
    <cellStyle name="Normal 5 5 2 7" xfId="2619" xr:uid="{00000000-0005-0000-0000-0000721B0000}"/>
    <cellStyle name="Normal 5 5 2 7 2" xfId="6902" xr:uid="{00000000-0005-0000-0000-0000731B0000}"/>
    <cellStyle name="Normal 5 5 2 7 2 2" xfId="16228" xr:uid="{EEA896EC-9D3F-4A94-8F62-160E6D0403CE}"/>
    <cellStyle name="Normal 5 5 2 7 2 2 2" xfId="52570" xr:uid="{2F2572D0-B9C4-42D3-9731-49DF57103FA7}"/>
    <cellStyle name="Normal 5 5 2 7 2 2 3" xfId="33974" xr:uid="{9B7534F1-83B0-4ACF-A47D-6A4879B3534C}"/>
    <cellStyle name="Normal 5 5 2 7 2 3" xfId="43273" xr:uid="{195BFBCA-E532-4F49-A6FE-49B831D4BC3D}"/>
    <cellStyle name="Normal 5 5 2 7 2 4" xfId="24675" xr:uid="{0B822E7F-C1C1-496C-8DC1-A0A411DE8034}"/>
    <cellStyle name="Normal 5 5 2 7 3" xfId="12011" xr:uid="{F75CFCDE-06C3-42AC-B1E2-123687104BB2}"/>
    <cellStyle name="Normal 5 5 2 7 3 2" xfId="48353" xr:uid="{2FB42DD4-B550-49BD-B3D4-7998CB13FD4C}"/>
    <cellStyle name="Normal 5 5 2 7 3 3" xfId="29757" xr:uid="{8EF871C0-3E96-44A4-9513-F89E9AC71AA9}"/>
    <cellStyle name="Normal 5 5 2 7 4" xfId="39056" xr:uid="{816B829B-B4E1-499E-B816-E693CA9B065F}"/>
    <cellStyle name="Normal 5 5 2 7 5" xfId="20458" xr:uid="{DA2EB229-F2D5-45EA-977B-316F0165BBA1}"/>
    <cellStyle name="Normal 5 5 2 8" xfId="4837" xr:uid="{00000000-0005-0000-0000-0000741B0000}"/>
    <cellStyle name="Normal 5 5 2 8 2" xfId="14163" xr:uid="{5A13A506-5062-4802-ADA8-40F0CF77127E}"/>
    <cellStyle name="Normal 5 5 2 8 2 2" xfId="50505" xr:uid="{F0858B9B-3582-4D4C-8D97-891DF15056C9}"/>
    <cellStyle name="Normal 5 5 2 8 2 3" xfId="31909" xr:uid="{6D8D296C-9AB6-46FF-B6E3-F78AC40BB2A9}"/>
    <cellStyle name="Normal 5 5 2 8 3" xfId="41208" xr:uid="{1B69D558-61AA-4E63-8579-E9450077BF5D}"/>
    <cellStyle name="Normal 5 5 2 8 4" xfId="22610" xr:uid="{41DA62D2-158B-4DFA-A871-F2F89CFEE9E2}"/>
    <cellStyle name="Normal 5 5 2 9" xfId="8929" xr:uid="{918246BA-1946-46D4-8BAF-6DC0C4DC8AC3}"/>
    <cellStyle name="Normal 5 5 2 9 2" xfId="35999" xr:uid="{C49B57F2-0729-4AEF-B8EE-A571508F3E2A}"/>
    <cellStyle name="Normal 5 5 2 9 2 2" xfId="54594" xr:uid="{28109CD6-D924-4340-AA6B-0EF55948A63A}"/>
    <cellStyle name="Normal 5 5 2 9 3" xfId="45297" xr:uid="{4C4F4853-58BD-41B8-985D-A77E669C666C}"/>
    <cellStyle name="Normal 5 5 2 9 4" xfId="26700" xr:uid="{26C7042F-0F9B-4433-AE97-B078428A808D}"/>
    <cellStyle name="Normal 5 5 3" xfId="467" xr:uid="{00000000-0005-0000-0000-0000751B0000}"/>
    <cellStyle name="Normal 5 5 3 10" xfId="36993" xr:uid="{6D82D842-6D48-478F-8A23-AFA537242607}"/>
    <cellStyle name="Normal 5 5 3 11" xfId="18395" xr:uid="{7C314E03-AB87-4F09-B5CB-B97EB5794C30}"/>
    <cellStyle name="Normal 5 5 3 2" xfId="941" xr:uid="{00000000-0005-0000-0000-0000761B0000}"/>
    <cellStyle name="Normal 5 5 3 2 2" xfId="3175" xr:uid="{00000000-0005-0000-0000-0000771B0000}"/>
    <cellStyle name="Normal 5 5 3 2 2 2" xfId="7397" xr:uid="{00000000-0005-0000-0000-0000781B0000}"/>
    <cellStyle name="Normal 5 5 3 2 2 2 2" xfId="16723" xr:uid="{B74F3E43-E9B5-4E62-AEA9-AF02E34F439A}"/>
    <cellStyle name="Normal 5 5 3 2 2 2 2 2" xfId="53065" xr:uid="{EA40DF8E-91CD-4FDA-BBBD-78F8652CBA42}"/>
    <cellStyle name="Normal 5 5 3 2 2 2 2 3" xfId="34469" xr:uid="{09440DAF-EF14-42FA-9162-88BCF0A98325}"/>
    <cellStyle name="Normal 5 5 3 2 2 2 3" xfId="43768" xr:uid="{0F529AB1-2724-4B16-8B9B-B5610842CE84}"/>
    <cellStyle name="Normal 5 5 3 2 2 2 4" xfId="25170" xr:uid="{4FA626C2-A58B-47DA-B251-B2CEC60EDBBE}"/>
    <cellStyle name="Normal 5 5 3 2 2 3" xfId="12506" xr:uid="{17CCBE30-ACA3-4C29-9AD3-B05767309418}"/>
    <cellStyle name="Normal 5 5 3 2 2 3 2" xfId="48848" xr:uid="{53B5C905-DE12-4B25-95A8-E39DA0EF0E86}"/>
    <cellStyle name="Normal 5 5 3 2 2 3 3" xfId="30252" xr:uid="{CBB7A67F-F959-4FA6-83F3-7753491019EF}"/>
    <cellStyle name="Normal 5 5 3 2 2 4" xfId="39551" xr:uid="{C4DF7D9F-8358-47FF-9333-51711F3D6DBD}"/>
    <cellStyle name="Normal 5 5 3 2 2 5" xfId="20953" xr:uid="{C40BF482-217F-49D7-862C-B11F4C9E0A99}"/>
    <cellStyle name="Normal 5 5 3 2 3" xfId="5252" xr:uid="{00000000-0005-0000-0000-0000791B0000}"/>
    <cellStyle name="Normal 5 5 3 2 3 2" xfId="14578" xr:uid="{131913AC-49C8-4482-A18C-7D1F3ECE4A94}"/>
    <cellStyle name="Normal 5 5 3 2 3 2 2" xfId="50920" xr:uid="{2249863C-BF30-40BF-8112-0D38D8F30713}"/>
    <cellStyle name="Normal 5 5 3 2 3 2 3" xfId="32324" xr:uid="{61B66B35-2CC2-4394-96A1-C8C4677251F8}"/>
    <cellStyle name="Normal 5 5 3 2 3 3" xfId="41623" xr:uid="{24EDF99B-C873-4B29-9C47-5199813352FB}"/>
    <cellStyle name="Normal 5 5 3 2 3 4" xfId="23025" xr:uid="{CA86D9A1-2C4E-402E-A013-98C704BB9DFB}"/>
    <cellStyle name="Normal 5 5 3 2 4" xfId="9458" xr:uid="{8AD16727-CFBF-4DB5-B58F-04D48E2B564D}"/>
    <cellStyle name="Normal 5 5 3 2 4 2" xfId="36519" xr:uid="{EB1B4DAE-570D-438C-AD3D-E0CA925047CC}"/>
    <cellStyle name="Normal 5 5 3 2 4 2 2" xfId="55113" xr:uid="{30A3AB8D-598D-4786-88DD-072F1F17BBC9}"/>
    <cellStyle name="Normal 5 5 3 2 4 3" xfId="45816" xr:uid="{4EB7E1D6-F97D-4318-9D5E-9356B47C960B}"/>
    <cellStyle name="Normal 5 5 3 2 4 4" xfId="27220" xr:uid="{9999C929-076E-4CC8-824E-AFE456F79D66}"/>
    <cellStyle name="Normal 5 5 3 2 5" xfId="10361" xr:uid="{CAAEF50B-65E6-4169-A2EE-CA34AA3B06FD}"/>
    <cellStyle name="Normal 5 5 3 2 5 2" xfId="46703" xr:uid="{7284EE17-1136-4391-8971-02AEC92F3AF6}"/>
    <cellStyle name="Normal 5 5 3 2 5 3" xfId="28107" xr:uid="{A337D959-A02D-4EE0-A444-8A154DC8638F}"/>
    <cellStyle name="Normal 5 5 3 2 6" xfId="37406" xr:uid="{0353B4DA-7821-429F-BE4F-0AAFCFA78EB8}"/>
    <cellStyle name="Normal 5 5 3 2 7" xfId="18808" xr:uid="{3874CDF7-2213-43F7-8385-C3899C1EF2E9}"/>
    <cellStyle name="Normal 5 5 3 3" xfId="1358" xr:uid="{00000000-0005-0000-0000-00007A1B0000}"/>
    <cellStyle name="Normal 5 5 3 3 2" xfId="3588" xr:uid="{00000000-0005-0000-0000-00007B1B0000}"/>
    <cellStyle name="Normal 5 5 3 3 2 2" xfId="7810" xr:uid="{00000000-0005-0000-0000-00007C1B0000}"/>
    <cellStyle name="Normal 5 5 3 3 2 2 2" xfId="17136" xr:uid="{233CC2C2-8787-4FC7-AFFC-27E38573CDA0}"/>
    <cellStyle name="Normal 5 5 3 3 2 2 2 2" xfId="53478" xr:uid="{F391557F-CCE3-469C-BF9E-055C7D61EF36}"/>
    <cellStyle name="Normal 5 5 3 3 2 2 2 3" xfId="34882" xr:uid="{9BA487D1-EF91-4A24-8B26-331D5BF07BB0}"/>
    <cellStyle name="Normal 5 5 3 3 2 2 3" xfId="44181" xr:uid="{6C6BBDA5-E7F9-471F-B482-FBAC52CFB57D}"/>
    <cellStyle name="Normal 5 5 3 3 2 2 4" xfId="25583" xr:uid="{BF51CAE9-A871-4178-930C-E0B6C50B4812}"/>
    <cellStyle name="Normal 5 5 3 3 2 3" xfId="12919" xr:uid="{F10FA856-7B06-402C-BA06-EFCBD87A35DB}"/>
    <cellStyle name="Normal 5 5 3 3 2 3 2" xfId="49261" xr:uid="{6FBBD663-1518-4118-9988-ABE4F4A0A940}"/>
    <cellStyle name="Normal 5 5 3 3 2 3 3" xfId="30665" xr:uid="{32CA8050-FF8B-4446-9878-279259873113}"/>
    <cellStyle name="Normal 5 5 3 3 2 4" xfId="39964" xr:uid="{FD0B5212-6826-4D36-AD1C-44522B84DB82}"/>
    <cellStyle name="Normal 5 5 3 3 2 5" xfId="21366" xr:uid="{34FFC4DE-BE55-4E04-A56D-621A2DF6D98C}"/>
    <cellStyle name="Normal 5 5 3 3 3" xfId="5665" xr:uid="{00000000-0005-0000-0000-00007D1B0000}"/>
    <cellStyle name="Normal 5 5 3 3 3 2" xfId="14991" xr:uid="{47115041-9AAD-40C5-BB9B-782A5D5E04A9}"/>
    <cellStyle name="Normal 5 5 3 3 3 2 2" xfId="51333" xr:uid="{9853D4CD-84BE-4B15-BD6D-F2C10DE92A29}"/>
    <cellStyle name="Normal 5 5 3 3 3 2 3" xfId="32737" xr:uid="{4F03A39C-885D-43DC-B79C-8CDBBAAF9C86}"/>
    <cellStyle name="Normal 5 5 3 3 3 3" xfId="42036" xr:uid="{D99AAABE-01BB-47F3-8DFC-189106297F66}"/>
    <cellStyle name="Normal 5 5 3 3 3 4" xfId="23438" xr:uid="{794811E9-F8BF-4666-9BF4-48FC8B1EA580}"/>
    <cellStyle name="Normal 5 5 3 3 4" xfId="10774" xr:uid="{587C518A-3DBD-487B-B5DB-1A7C71389265}"/>
    <cellStyle name="Normal 5 5 3 3 4 2" xfId="47116" xr:uid="{38618828-32A9-46C5-B65B-4AED05D9B0E1}"/>
    <cellStyle name="Normal 5 5 3 3 4 3" xfId="28520" xr:uid="{E11C8CA7-CDC9-434F-8BAF-D93D36503670}"/>
    <cellStyle name="Normal 5 5 3 3 5" xfId="37819" xr:uid="{4D240145-5FDD-453D-94E6-8FA3FBBF4947}"/>
    <cellStyle name="Normal 5 5 3 3 6" xfId="19221" xr:uid="{357AA7B9-A576-4524-8B76-3FB641462A06}"/>
    <cellStyle name="Normal 5 5 3 4" xfId="1771" xr:uid="{00000000-0005-0000-0000-00007E1B0000}"/>
    <cellStyle name="Normal 5 5 3 4 2" xfId="4001" xr:uid="{00000000-0005-0000-0000-00007F1B0000}"/>
    <cellStyle name="Normal 5 5 3 4 2 2" xfId="8223" xr:uid="{00000000-0005-0000-0000-0000801B0000}"/>
    <cellStyle name="Normal 5 5 3 4 2 2 2" xfId="17549" xr:uid="{2C3BB587-1135-42B0-B286-AE64DEFC11EA}"/>
    <cellStyle name="Normal 5 5 3 4 2 2 2 2" xfId="53891" xr:uid="{5F1D5C21-60CC-4E5C-A71E-D199BF21B6FF}"/>
    <cellStyle name="Normal 5 5 3 4 2 2 2 3" xfId="35295" xr:uid="{E2AFF41E-604C-478A-8C6E-557E8A036B0D}"/>
    <cellStyle name="Normal 5 5 3 4 2 2 3" xfId="44594" xr:uid="{A673EE04-3C68-497F-9D2D-7E6782C66141}"/>
    <cellStyle name="Normal 5 5 3 4 2 2 4" xfId="25996" xr:uid="{F344A756-8DA9-44CA-A256-D67CF93414D8}"/>
    <cellStyle name="Normal 5 5 3 4 2 3" xfId="13332" xr:uid="{013C7433-260B-492C-A59F-6B098BA46998}"/>
    <cellStyle name="Normal 5 5 3 4 2 3 2" xfId="49674" xr:uid="{A9E09C99-00D4-4735-9D4D-113851456D2E}"/>
    <cellStyle name="Normal 5 5 3 4 2 3 3" xfId="31078" xr:uid="{0BE6B987-3626-4B4A-979A-BEE52D171438}"/>
    <cellStyle name="Normal 5 5 3 4 2 4" xfId="40377" xr:uid="{F85D645F-48E2-4624-A7D8-7FE68D8A638C}"/>
    <cellStyle name="Normal 5 5 3 4 2 5" xfId="21779" xr:uid="{74AD3FE4-D124-47A4-98AF-D68B31E200DE}"/>
    <cellStyle name="Normal 5 5 3 4 3" xfId="6078" xr:uid="{00000000-0005-0000-0000-0000811B0000}"/>
    <cellStyle name="Normal 5 5 3 4 3 2" xfId="15404" xr:uid="{D94DEA36-3B53-4DFE-8560-93CA8317BE72}"/>
    <cellStyle name="Normal 5 5 3 4 3 2 2" xfId="51746" xr:uid="{2EFE2B6E-EB12-47EA-A17B-3580ADFF54BE}"/>
    <cellStyle name="Normal 5 5 3 4 3 2 3" xfId="33150" xr:uid="{56EEE2FB-BFD9-40AE-9F90-BBB4B6DB4BC0}"/>
    <cellStyle name="Normal 5 5 3 4 3 3" xfId="42449" xr:uid="{19DB918E-3CAD-422E-813D-BA4AA89777A2}"/>
    <cellStyle name="Normal 5 5 3 4 3 4" xfId="23851" xr:uid="{A6891F2E-C1B6-4A2D-973C-2DE8DE457173}"/>
    <cellStyle name="Normal 5 5 3 4 4" xfId="11187" xr:uid="{E4E74096-1E44-462C-8DA4-A94906797C4C}"/>
    <cellStyle name="Normal 5 5 3 4 4 2" xfId="47529" xr:uid="{EFA3B1F5-6ABF-4AD6-95E2-2E7CD98735D9}"/>
    <cellStyle name="Normal 5 5 3 4 4 3" xfId="28933" xr:uid="{34687C1A-9328-4D03-B770-9E8A3887465C}"/>
    <cellStyle name="Normal 5 5 3 4 5" xfId="38232" xr:uid="{A72361A3-69C6-4E91-9134-727659E1034E}"/>
    <cellStyle name="Normal 5 5 3 4 6" xfId="19634" xr:uid="{B35A4CE6-CCDE-4935-AE00-45F611031550}"/>
    <cellStyle name="Normal 5 5 3 5" xfId="2185" xr:uid="{00000000-0005-0000-0000-0000821B0000}"/>
    <cellStyle name="Normal 5 5 3 5 2" xfId="4414" xr:uid="{00000000-0005-0000-0000-0000831B0000}"/>
    <cellStyle name="Normal 5 5 3 5 2 2" xfId="8636" xr:uid="{00000000-0005-0000-0000-0000841B0000}"/>
    <cellStyle name="Normal 5 5 3 5 2 2 2" xfId="17962" xr:uid="{09844EB0-023A-478B-AAC6-4A70DE9B1624}"/>
    <cellStyle name="Normal 5 5 3 5 2 2 2 2" xfId="54304" xr:uid="{0F2F787A-A05C-4D71-98E1-A6688F37427C}"/>
    <cellStyle name="Normal 5 5 3 5 2 2 2 3" xfId="35708" xr:uid="{B9A180B4-666D-44A8-B47D-CA65F9F3D3B9}"/>
    <cellStyle name="Normal 5 5 3 5 2 2 3" xfId="45007" xr:uid="{AAF64CCC-6AA2-4EA0-B1A4-E0433A152410}"/>
    <cellStyle name="Normal 5 5 3 5 2 2 4" xfId="26409" xr:uid="{70A79373-A514-42B1-8130-FEB22892921E}"/>
    <cellStyle name="Normal 5 5 3 5 2 3" xfId="13745" xr:uid="{CB16D524-12F0-49F3-BBFC-81D583EC41E9}"/>
    <cellStyle name="Normal 5 5 3 5 2 3 2" xfId="50087" xr:uid="{8C645D1A-FE50-4794-81D5-5AEB0CE9EE1C}"/>
    <cellStyle name="Normal 5 5 3 5 2 3 3" xfId="31491" xr:uid="{810A044B-039A-4B7E-9031-CFD2AE664C7E}"/>
    <cellStyle name="Normal 5 5 3 5 2 4" xfId="40790" xr:uid="{F1AB2510-EDA0-4CA0-8557-E09A272F631B}"/>
    <cellStyle name="Normal 5 5 3 5 2 5" xfId="22192" xr:uid="{FAA26D52-0071-420A-9625-B540E5332A69}"/>
    <cellStyle name="Normal 5 5 3 5 3" xfId="6491" xr:uid="{00000000-0005-0000-0000-0000851B0000}"/>
    <cellStyle name="Normal 5 5 3 5 3 2" xfId="15817" xr:uid="{E2941383-1592-48AF-92A5-4FC108FCD897}"/>
    <cellStyle name="Normal 5 5 3 5 3 2 2" xfId="52159" xr:uid="{84CBA5B8-481B-4F2B-BE75-31E4319CA2DF}"/>
    <cellStyle name="Normal 5 5 3 5 3 2 3" xfId="33563" xr:uid="{E86B81BE-189B-4793-A8EB-34509090FF31}"/>
    <cellStyle name="Normal 5 5 3 5 3 3" xfId="42862" xr:uid="{27771A77-1E1D-46D4-B039-CEDA0E31DF44}"/>
    <cellStyle name="Normal 5 5 3 5 3 4" xfId="24264" xr:uid="{5ABF4C53-8FBC-4750-A3D4-462355FD2993}"/>
    <cellStyle name="Normal 5 5 3 5 4" xfId="11600" xr:uid="{562829C7-93F5-4E25-A0A9-3CAE6C3E76FA}"/>
    <cellStyle name="Normal 5 5 3 5 4 2" xfId="47942" xr:uid="{805E5000-8224-4F68-9085-B2E005995426}"/>
    <cellStyle name="Normal 5 5 3 5 4 3" xfId="29346" xr:uid="{42539B6F-7B85-40BF-8DDE-53FADC9692B1}"/>
    <cellStyle name="Normal 5 5 3 5 5" xfId="38645" xr:uid="{D8FB5E17-D4DE-4639-9025-065835F8A602}"/>
    <cellStyle name="Normal 5 5 3 5 6" xfId="20047" xr:uid="{75B02D00-4D91-44F9-9143-DE13992E5F48}"/>
    <cellStyle name="Normal 5 5 3 6" xfId="2621" xr:uid="{00000000-0005-0000-0000-0000861B0000}"/>
    <cellStyle name="Normal 5 5 3 6 2" xfId="6904" xr:uid="{00000000-0005-0000-0000-0000871B0000}"/>
    <cellStyle name="Normal 5 5 3 6 2 2" xfId="16230" xr:uid="{25B0F924-AE2F-4D0C-9E2E-35FF2B58851A}"/>
    <cellStyle name="Normal 5 5 3 6 2 2 2" xfId="52572" xr:uid="{58E7A814-D995-4406-A3AB-E52C18717426}"/>
    <cellStyle name="Normal 5 5 3 6 2 2 3" xfId="33976" xr:uid="{182AD2F1-52D7-4C8B-9942-BF79D5A11435}"/>
    <cellStyle name="Normal 5 5 3 6 2 3" xfId="43275" xr:uid="{EC7A65F7-494C-4776-B5BB-DA4C81D05C24}"/>
    <cellStyle name="Normal 5 5 3 6 2 4" xfId="24677" xr:uid="{685F7A88-796D-473C-A4DE-330D8FD44DB9}"/>
    <cellStyle name="Normal 5 5 3 6 3" xfId="12013" xr:uid="{145BE5C5-9415-423A-9B89-E58C3E4AEEF8}"/>
    <cellStyle name="Normal 5 5 3 6 3 2" xfId="48355" xr:uid="{801E7711-2651-4A1F-AE35-B207B1A09753}"/>
    <cellStyle name="Normal 5 5 3 6 3 3" xfId="29759" xr:uid="{66D58CB0-10CA-4B01-B3D5-51A51AE89F7F}"/>
    <cellStyle name="Normal 5 5 3 6 4" xfId="39058" xr:uid="{53722C0B-36B5-4B87-8AE7-9E674FDCC9F3}"/>
    <cellStyle name="Normal 5 5 3 6 5" xfId="20460" xr:uid="{D72EFEBE-9406-4134-AF13-27DFB5BD7DCE}"/>
    <cellStyle name="Normal 5 5 3 7" xfId="4839" xr:uid="{00000000-0005-0000-0000-0000881B0000}"/>
    <cellStyle name="Normal 5 5 3 7 2" xfId="14165" xr:uid="{B91F1184-348C-4891-966A-B2244428A282}"/>
    <cellStyle name="Normal 5 5 3 7 2 2" xfId="50507" xr:uid="{C3751D37-9B09-474F-AD80-367AA4E54E29}"/>
    <cellStyle name="Normal 5 5 3 7 2 3" xfId="31911" xr:uid="{685A2774-BB4F-48BF-8661-E49306D29987}"/>
    <cellStyle name="Normal 5 5 3 7 3" xfId="41210" xr:uid="{674A9BF2-EEE1-4001-A06E-E94EDD6D6B65}"/>
    <cellStyle name="Normal 5 5 3 7 4" xfId="22612" xr:uid="{38F42B83-364B-4053-9DA2-7846F1466336}"/>
    <cellStyle name="Normal 5 5 3 8" xfId="9033" xr:uid="{08F77EF7-8D03-42D9-B538-FE3582C4B971}"/>
    <cellStyle name="Normal 5 5 3 8 2" xfId="36103" xr:uid="{E22BD037-C558-420D-A40C-D5C687B38CB2}"/>
    <cellStyle name="Normal 5 5 3 8 2 2" xfId="54698" xr:uid="{B42C3D59-7CE1-4A27-81E0-E3CCF7A9B7D3}"/>
    <cellStyle name="Normal 5 5 3 8 3" xfId="45401" xr:uid="{05FDDB38-2877-4E1A-ACEB-775FCDE71014}"/>
    <cellStyle name="Normal 5 5 3 8 4" xfId="26804" xr:uid="{241E345B-C7A5-4AE9-8BC4-DDDAD3AADEE7}"/>
    <cellStyle name="Normal 5 5 3 9" xfId="9948" xr:uid="{6CD4804D-30F0-4C7B-AE17-1287B8E1129F}"/>
    <cellStyle name="Normal 5 5 3 9 2" xfId="46290" xr:uid="{5E07D263-BCA3-44B5-8A19-339EF2CF34B5}"/>
    <cellStyle name="Normal 5 5 3 9 3" xfId="27694" xr:uid="{3DEBACF3-4361-4350-B4EC-C26440D7B144}"/>
    <cellStyle name="Normal 5 5 4" xfId="938" xr:uid="{00000000-0005-0000-0000-0000891B0000}"/>
    <cellStyle name="Normal 5 5 4 2" xfId="3172" xr:uid="{00000000-0005-0000-0000-00008A1B0000}"/>
    <cellStyle name="Normal 5 5 4 2 2" xfId="7394" xr:uid="{00000000-0005-0000-0000-00008B1B0000}"/>
    <cellStyle name="Normal 5 5 4 2 2 2" xfId="16720" xr:uid="{F61137B8-96BF-4F48-AFEB-0DC911858F63}"/>
    <cellStyle name="Normal 5 5 4 2 2 2 2" xfId="53062" xr:uid="{F4D00E25-7FD6-4B56-A209-4E69BB034050}"/>
    <cellStyle name="Normal 5 5 4 2 2 2 3" xfId="34466" xr:uid="{E2EB3A3D-CC9C-43A5-BEBC-9BD48B8EE3D8}"/>
    <cellStyle name="Normal 5 5 4 2 2 3" xfId="43765" xr:uid="{AA7344B0-63D1-4F76-A6A2-3E700FBC4DA4}"/>
    <cellStyle name="Normal 5 5 4 2 2 4" xfId="25167" xr:uid="{C33FA91C-5E1B-401F-A5A1-78C682C474B0}"/>
    <cellStyle name="Normal 5 5 4 2 3" xfId="12503" xr:uid="{1F4CD5DE-F242-458C-9E5F-BE818648E742}"/>
    <cellStyle name="Normal 5 5 4 2 3 2" xfId="48845" xr:uid="{8CDDA810-3CFC-445B-8DAE-333FD4AEB48C}"/>
    <cellStyle name="Normal 5 5 4 2 3 3" xfId="30249" xr:uid="{09D1A2EA-132A-418F-99BE-FF7685C1D5F0}"/>
    <cellStyle name="Normal 5 5 4 2 4" xfId="39548" xr:uid="{258B0569-AFA6-4070-8917-35823898B7F3}"/>
    <cellStyle name="Normal 5 5 4 2 5" xfId="20950" xr:uid="{58F3ADFD-0128-43B0-8933-360DA89460B7}"/>
    <cellStyle name="Normal 5 5 4 3" xfId="5249" xr:uid="{00000000-0005-0000-0000-00008C1B0000}"/>
    <cellStyle name="Normal 5 5 4 3 2" xfId="14575" xr:uid="{CEF6DEF1-8954-4BC1-BDAE-A798A01F55DC}"/>
    <cellStyle name="Normal 5 5 4 3 2 2" xfId="50917" xr:uid="{0318669B-F97A-4BD0-8929-A5C5A3DFC6EA}"/>
    <cellStyle name="Normal 5 5 4 3 2 3" xfId="32321" xr:uid="{89F41F1C-F951-4BDA-BB5F-04FA0CCA897D}"/>
    <cellStyle name="Normal 5 5 4 3 3" xfId="41620" xr:uid="{6F9C7923-B0F2-4A90-A2C0-78B22BCC6B75}"/>
    <cellStyle name="Normal 5 5 4 3 4" xfId="23022" xr:uid="{2BE58A1C-B210-46BD-8FC0-A1CCF922386B}"/>
    <cellStyle name="Normal 5 5 4 4" xfId="9251" xr:uid="{4EAD9E35-D3C9-46BE-AE4D-29A1C6D5A6F7}"/>
    <cellStyle name="Normal 5 5 4 4 2" xfId="36312" xr:uid="{969C0F67-3116-4370-BEBF-42F5272D1CD1}"/>
    <cellStyle name="Normal 5 5 4 4 2 2" xfId="54906" xr:uid="{DF805490-E87D-404A-8075-752E867C994C}"/>
    <cellStyle name="Normal 5 5 4 4 3" xfId="45609" xr:uid="{0A3B541F-DABF-41FF-BF19-2B86E9E9D4CA}"/>
    <cellStyle name="Normal 5 5 4 4 4" xfId="27013" xr:uid="{D809AE01-F890-430E-8A33-3F1C9F42FD45}"/>
    <cellStyle name="Normal 5 5 4 5" xfId="10358" xr:uid="{CB7F5BDF-14CD-43C4-9E8A-5214F80D2D0F}"/>
    <cellStyle name="Normal 5 5 4 5 2" xfId="46700" xr:uid="{3CFD5487-8B81-4EDB-8A52-6B26744F5FDD}"/>
    <cellStyle name="Normal 5 5 4 5 3" xfId="28104" xr:uid="{9883EDF1-E1C4-4574-BC60-87B6373AB191}"/>
    <cellStyle name="Normal 5 5 4 6" xfId="37403" xr:uid="{21B78D35-87CF-44F0-A285-F409EC0FF302}"/>
    <cellStyle name="Normal 5 5 4 7" xfId="18805" xr:uid="{A7B74FDB-9CF4-4EA8-B113-B5FEBAA354BB}"/>
    <cellStyle name="Normal 5 5 5" xfId="1355" xr:uid="{00000000-0005-0000-0000-00008D1B0000}"/>
    <cellStyle name="Normal 5 5 5 2" xfId="3585" xr:uid="{00000000-0005-0000-0000-00008E1B0000}"/>
    <cellStyle name="Normal 5 5 5 2 2" xfId="7807" xr:uid="{00000000-0005-0000-0000-00008F1B0000}"/>
    <cellStyle name="Normal 5 5 5 2 2 2" xfId="17133" xr:uid="{6D90B70A-759A-4552-A687-7596128DAE47}"/>
    <cellStyle name="Normal 5 5 5 2 2 2 2" xfId="53475" xr:uid="{43DBB527-380C-4BB9-BD2E-ABBD69EB629D}"/>
    <cellStyle name="Normal 5 5 5 2 2 2 3" xfId="34879" xr:uid="{F4CD3346-E86B-4988-8D51-6032C638A69D}"/>
    <cellStyle name="Normal 5 5 5 2 2 3" xfId="44178" xr:uid="{60FF1F81-3F46-4C80-A8F1-1592BC5167EB}"/>
    <cellStyle name="Normal 5 5 5 2 2 4" xfId="25580" xr:uid="{B055741E-A25C-4645-B333-2570A06D468A}"/>
    <cellStyle name="Normal 5 5 5 2 3" xfId="12916" xr:uid="{D27A0C22-4A84-4831-ABDD-B03B66A26064}"/>
    <cellStyle name="Normal 5 5 5 2 3 2" xfId="49258" xr:uid="{89FAE42A-1876-4170-A97D-20F2FD8956FF}"/>
    <cellStyle name="Normal 5 5 5 2 3 3" xfId="30662" xr:uid="{CB4A4A49-C959-414A-A11B-3F575D0F9ABC}"/>
    <cellStyle name="Normal 5 5 5 2 4" xfId="39961" xr:uid="{F69B2F6E-53AE-4FF0-A702-030B6148055E}"/>
    <cellStyle name="Normal 5 5 5 2 5" xfId="21363" xr:uid="{B5A222AA-5D08-4AF5-95E0-8C46C4DB746C}"/>
    <cellStyle name="Normal 5 5 5 3" xfId="5662" xr:uid="{00000000-0005-0000-0000-0000901B0000}"/>
    <cellStyle name="Normal 5 5 5 3 2" xfId="14988" xr:uid="{086AC1EC-3EF7-4C00-AFB7-B5625C154B32}"/>
    <cellStyle name="Normal 5 5 5 3 2 2" xfId="51330" xr:uid="{2C64C06A-CAFC-442A-A486-77A4898A50D1}"/>
    <cellStyle name="Normal 5 5 5 3 2 3" xfId="32734" xr:uid="{52299D64-397F-4F3A-AEF9-197D3F4E6C00}"/>
    <cellStyle name="Normal 5 5 5 3 3" xfId="42033" xr:uid="{16B82B7C-B681-4DB8-A8E2-BDF25DE5079D}"/>
    <cellStyle name="Normal 5 5 5 3 4" xfId="23435" xr:uid="{380CCC6C-ECE5-423E-9CFA-EE5EAF2FB406}"/>
    <cellStyle name="Normal 5 5 5 4" xfId="10771" xr:uid="{0D99E1A8-02AD-4F2F-8502-B660B3E355EF}"/>
    <cellStyle name="Normal 5 5 5 4 2" xfId="47113" xr:uid="{03697B60-2D75-404D-9086-2B38A31412C8}"/>
    <cellStyle name="Normal 5 5 5 4 3" xfId="28517" xr:uid="{7D2AE590-E219-4A59-8FD3-940E3BA2B981}"/>
    <cellStyle name="Normal 5 5 5 5" xfId="37816" xr:uid="{F8473F60-651D-4FAB-9921-108891E5690E}"/>
    <cellStyle name="Normal 5 5 5 6" xfId="19218" xr:uid="{FF149C48-E453-4ECA-9A8B-7A4B94C57FA7}"/>
    <cellStyle name="Normal 5 5 6" xfId="1768" xr:uid="{00000000-0005-0000-0000-0000911B0000}"/>
    <cellStyle name="Normal 5 5 6 2" xfId="3998" xr:uid="{00000000-0005-0000-0000-0000921B0000}"/>
    <cellStyle name="Normal 5 5 6 2 2" xfId="8220" xr:uid="{00000000-0005-0000-0000-0000931B0000}"/>
    <cellStyle name="Normal 5 5 6 2 2 2" xfId="17546" xr:uid="{69D19440-0299-4232-9BF3-9F990EE76798}"/>
    <cellStyle name="Normal 5 5 6 2 2 2 2" xfId="53888" xr:uid="{D215833D-11F1-4369-AF4E-9FCB81E17F04}"/>
    <cellStyle name="Normal 5 5 6 2 2 2 3" xfId="35292" xr:uid="{C9EDB828-7F9A-4FE6-9657-7B33FF2D1AD9}"/>
    <cellStyle name="Normal 5 5 6 2 2 3" xfId="44591" xr:uid="{E4F25252-EFB4-478E-8496-83F7679092E5}"/>
    <cellStyle name="Normal 5 5 6 2 2 4" xfId="25993" xr:uid="{3ADA4810-7813-46CE-9F6A-21618A2D0CCE}"/>
    <cellStyle name="Normal 5 5 6 2 3" xfId="13329" xr:uid="{664CE0C7-9D83-4D04-AEC5-7F823DC4FF21}"/>
    <cellStyle name="Normal 5 5 6 2 3 2" xfId="49671" xr:uid="{D205B84B-D436-490E-B06E-BC7CFD3CA9AA}"/>
    <cellStyle name="Normal 5 5 6 2 3 3" xfId="31075" xr:uid="{5A726E2C-DC7B-40D0-BEB5-39B3D8A32321}"/>
    <cellStyle name="Normal 5 5 6 2 4" xfId="40374" xr:uid="{EBE25946-BFB0-45E1-B1CF-3824581817B7}"/>
    <cellStyle name="Normal 5 5 6 2 5" xfId="21776" xr:uid="{4ABDE5ED-9B17-4AA2-9AE1-FF41E2EC36B8}"/>
    <cellStyle name="Normal 5 5 6 3" xfId="6075" xr:uid="{00000000-0005-0000-0000-0000941B0000}"/>
    <cellStyle name="Normal 5 5 6 3 2" xfId="15401" xr:uid="{144E39D8-D7BB-48D4-A5E8-56D69DCBE875}"/>
    <cellStyle name="Normal 5 5 6 3 2 2" xfId="51743" xr:uid="{339C1B85-E0C7-4A0A-82D0-B2E2F6432CAE}"/>
    <cellStyle name="Normal 5 5 6 3 2 3" xfId="33147" xr:uid="{8406330E-5B3D-4C97-8DA7-9D94C53F54DA}"/>
    <cellStyle name="Normal 5 5 6 3 3" xfId="42446" xr:uid="{FDF8AEC4-2AE8-432B-8A58-0D8F126102AC}"/>
    <cellStyle name="Normal 5 5 6 3 4" xfId="23848" xr:uid="{430620A2-D1D2-4371-963A-EDE692AE5AA2}"/>
    <cellStyle name="Normal 5 5 6 4" xfId="11184" xr:uid="{C1807CEE-C210-4B7D-9433-F1A535194EA1}"/>
    <cellStyle name="Normal 5 5 6 4 2" xfId="47526" xr:uid="{16B113EF-03CC-43F2-A616-DD26BCE27063}"/>
    <cellStyle name="Normal 5 5 6 4 3" xfId="28930" xr:uid="{AEA18874-66AC-4986-8836-5F312EDE7AC7}"/>
    <cellStyle name="Normal 5 5 6 5" xfId="38229" xr:uid="{FF45898C-9BCD-4E03-B659-978585BB7835}"/>
    <cellStyle name="Normal 5 5 6 6" xfId="19631" xr:uid="{4C342730-D523-4D93-869A-9D09EB1CA4C9}"/>
    <cellStyle name="Normal 5 5 7" xfId="2182" xr:uid="{00000000-0005-0000-0000-0000951B0000}"/>
    <cellStyle name="Normal 5 5 7 2" xfId="4411" xr:uid="{00000000-0005-0000-0000-0000961B0000}"/>
    <cellStyle name="Normal 5 5 7 2 2" xfId="8633" xr:uid="{00000000-0005-0000-0000-0000971B0000}"/>
    <cellStyle name="Normal 5 5 7 2 2 2" xfId="17959" xr:uid="{63C6F81A-E726-4B87-88C9-87F3814A90E3}"/>
    <cellStyle name="Normal 5 5 7 2 2 2 2" xfId="54301" xr:uid="{606CA05C-8E3F-4C64-B4B6-1DF3BEB0C9FD}"/>
    <cellStyle name="Normal 5 5 7 2 2 2 3" xfId="35705" xr:uid="{7482E9F4-B7C4-4B41-81A9-3E2A2FBD7ABB}"/>
    <cellStyle name="Normal 5 5 7 2 2 3" xfId="45004" xr:uid="{4F9554B8-F121-465C-9204-19885844B4E5}"/>
    <cellStyle name="Normal 5 5 7 2 2 4" xfId="26406" xr:uid="{CC1AEED6-5AE1-4F9F-A1B5-DD075EAD0F5F}"/>
    <cellStyle name="Normal 5 5 7 2 3" xfId="13742" xr:uid="{527B363D-9985-4619-A14D-DE1327338170}"/>
    <cellStyle name="Normal 5 5 7 2 3 2" xfId="50084" xr:uid="{85531D5D-96C4-4611-B50B-3A1E58500AE3}"/>
    <cellStyle name="Normal 5 5 7 2 3 3" xfId="31488" xr:uid="{BA49D8E6-11EB-4B00-B02A-509B3C452B3C}"/>
    <cellStyle name="Normal 5 5 7 2 4" xfId="40787" xr:uid="{8DAB6847-EBC8-420F-B1A6-041165F630B9}"/>
    <cellStyle name="Normal 5 5 7 2 5" xfId="22189" xr:uid="{E64CCAC3-C993-45D5-8C1B-226A11582600}"/>
    <cellStyle name="Normal 5 5 7 3" xfId="6488" xr:uid="{00000000-0005-0000-0000-0000981B0000}"/>
    <cellStyle name="Normal 5 5 7 3 2" xfId="15814" xr:uid="{1E44DDDB-1376-40C6-9874-EF0917E419AC}"/>
    <cellStyle name="Normal 5 5 7 3 2 2" xfId="52156" xr:uid="{68CF4D98-BE8C-4BF8-92AC-9F8A77BCFA38}"/>
    <cellStyle name="Normal 5 5 7 3 2 3" xfId="33560" xr:uid="{A2E22E7C-CAD7-4E19-815D-2450419C2E93}"/>
    <cellStyle name="Normal 5 5 7 3 3" xfId="42859" xr:uid="{B2B8E5E6-6024-44CE-9AB7-B6656979C81A}"/>
    <cellStyle name="Normal 5 5 7 3 4" xfId="24261" xr:uid="{39C2ED27-B0E5-4ADE-8748-458424F1D736}"/>
    <cellStyle name="Normal 5 5 7 4" xfId="11597" xr:uid="{95F3DBA4-0DB7-4CE7-B0DE-2022C8369ED3}"/>
    <cellStyle name="Normal 5 5 7 4 2" xfId="47939" xr:uid="{7C064F5A-0D33-4378-A96B-3AA130F6B01D}"/>
    <cellStyle name="Normal 5 5 7 4 3" xfId="29343" xr:uid="{02609670-4601-4772-9735-46BD4E52110D}"/>
    <cellStyle name="Normal 5 5 7 5" xfId="38642" xr:uid="{E06FF0C0-332A-4237-AFC3-DCAF1F8FF2BD}"/>
    <cellStyle name="Normal 5 5 7 6" xfId="20044" xr:uid="{4F590078-AA84-479F-904C-C326058E48A3}"/>
    <cellStyle name="Normal 5 5 8" xfId="2618" xr:uid="{00000000-0005-0000-0000-0000991B0000}"/>
    <cellStyle name="Normal 5 5 8 2" xfId="6901" xr:uid="{00000000-0005-0000-0000-00009A1B0000}"/>
    <cellStyle name="Normal 5 5 8 2 2" xfId="16227" xr:uid="{27DAEFB6-A266-4EF3-B5C6-D88DEA8C77C6}"/>
    <cellStyle name="Normal 5 5 8 2 2 2" xfId="52569" xr:uid="{5B0F8297-5D2F-44A8-A7C1-2BF966A4A9F8}"/>
    <cellStyle name="Normal 5 5 8 2 2 3" xfId="33973" xr:uid="{4A50EB4D-F178-4E37-A7D6-5DC63FF153A0}"/>
    <cellStyle name="Normal 5 5 8 2 3" xfId="43272" xr:uid="{126ECEBB-8A9A-40A9-BAEF-0E526FA8CF00}"/>
    <cellStyle name="Normal 5 5 8 2 4" xfId="24674" xr:uid="{E87661E9-70E4-49E8-BAE0-6608BAC172F7}"/>
    <cellStyle name="Normal 5 5 8 3" xfId="12010" xr:uid="{BF99F64B-211D-4C64-B0D4-75942848CBCB}"/>
    <cellStyle name="Normal 5 5 8 3 2" xfId="48352" xr:uid="{F310FB6B-A151-4D46-A6C9-AAEADA155495}"/>
    <cellStyle name="Normal 5 5 8 3 3" xfId="29756" xr:uid="{1EADE7BE-3EF2-4BEA-98FC-98BA6C73CBA5}"/>
    <cellStyle name="Normal 5 5 8 4" xfId="39055" xr:uid="{F5136CBD-19E0-493A-BDA6-17F4D48EECFB}"/>
    <cellStyle name="Normal 5 5 8 5" xfId="20457" xr:uid="{DFFD050F-B2AE-49B0-B482-0D3E3394E982}"/>
    <cellStyle name="Normal 5 5 9" xfId="4836" xr:uid="{00000000-0005-0000-0000-00009B1B0000}"/>
    <cellStyle name="Normal 5 5 9 2" xfId="14162" xr:uid="{E3EDB689-830F-4912-85C0-9496AB2691D2}"/>
    <cellStyle name="Normal 5 5 9 2 2" xfId="50504" xr:uid="{316D73B5-6408-44E8-A357-4FF56EFED2D7}"/>
    <cellStyle name="Normal 5 5 9 2 3" xfId="31908" xr:uid="{DB61B84C-D1A6-40B7-A338-C681708ED0C3}"/>
    <cellStyle name="Normal 5 5 9 3" xfId="41207" xr:uid="{8BD03523-7485-48F1-9C87-663E990302F7}"/>
    <cellStyle name="Normal 5 5 9 4" xfId="22609" xr:uid="{6F445F56-B399-45AF-8CA7-7E08396A729E}"/>
    <cellStyle name="Normal 5 6" xfId="468" xr:uid="{00000000-0005-0000-0000-00009C1B0000}"/>
    <cellStyle name="Normal 5 6 10" xfId="9949" xr:uid="{020BC340-2B06-4066-802C-0B94E6E8BA93}"/>
    <cellStyle name="Normal 5 6 10 2" xfId="46291" xr:uid="{4FE033CC-D47A-4AB2-8104-07E09D2E4F49}"/>
    <cellStyle name="Normal 5 6 10 3" xfId="27695" xr:uid="{EBC00D4C-F0FC-4804-AD57-A98881B0DDE9}"/>
    <cellStyle name="Normal 5 6 11" xfId="36994" xr:uid="{E6323D6D-6C66-42DD-8529-502ADA823488}"/>
    <cellStyle name="Normal 5 6 12" xfId="18396" xr:uid="{6827DAEC-DB12-4876-A9FC-476789A6FAFA}"/>
    <cellStyle name="Normal 5 6 2" xfId="469" xr:uid="{00000000-0005-0000-0000-00009D1B0000}"/>
    <cellStyle name="Normal 5 6 2 10" xfId="36995" xr:uid="{C006153F-262B-4AF9-8234-B398638B07B8}"/>
    <cellStyle name="Normal 5 6 2 11" xfId="18397" xr:uid="{A6E3B0A1-17FB-461B-91F2-8763DC4C3112}"/>
    <cellStyle name="Normal 5 6 2 2" xfId="943" xr:uid="{00000000-0005-0000-0000-00009E1B0000}"/>
    <cellStyle name="Normal 5 6 2 2 2" xfId="3177" xr:uid="{00000000-0005-0000-0000-00009F1B0000}"/>
    <cellStyle name="Normal 5 6 2 2 2 2" xfId="7399" xr:uid="{00000000-0005-0000-0000-0000A01B0000}"/>
    <cellStyle name="Normal 5 6 2 2 2 2 2" xfId="16725" xr:uid="{5D283D01-DEAD-4A89-92BB-7EA9BA1E906C}"/>
    <cellStyle name="Normal 5 6 2 2 2 2 2 2" xfId="53067" xr:uid="{CFB4C6AB-B664-43D2-82B1-3E8D15D9DB56}"/>
    <cellStyle name="Normal 5 6 2 2 2 2 2 3" xfId="34471" xr:uid="{F178D352-150D-41D0-8AF9-02A2B4CAAEC1}"/>
    <cellStyle name="Normal 5 6 2 2 2 2 3" xfId="43770" xr:uid="{5B4770C7-04B1-453E-994B-9131EC5CBDFE}"/>
    <cellStyle name="Normal 5 6 2 2 2 2 4" xfId="25172" xr:uid="{1CA37F33-9DE2-435B-BD2B-E64C3D7AB308}"/>
    <cellStyle name="Normal 5 6 2 2 2 3" xfId="12508" xr:uid="{510E9F1E-93E3-4637-B835-9A9C58DC8BA3}"/>
    <cellStyle name="Normal 5 6 2 2 2 3 2" xfId="48850" xr:uid="{6505EA76-B555-45FD-B6E9-72C9BE394681}"/>
    <cellStyle name="Normal 5 6 2 2 2 3 3" xfId="30254" xr:uid="{2B7FD0FF-6091-4990-AA28-BBAE6D6AB16E}"/>
    <cellStyle name="Normal 5 6 2 2 2 4" xfId="39553" xr:uid="{6CE68520-F05D-4346-AACC-04B3B7A49663}"/>
    <cellStyle name="Normal 5 6 2 2 2 5" xfId="20955" xr:uid="{7AE6444B-9C96-4C7E-B79A-76FDF02BA807}"/>
    <cellStyle name="Normal 5 6 2 2 3" xfId="5254" xr:uid="{00000000-0005-0000-0000-0000A11B0000}"/>
    <cellStyle name="Normal 5 6 2 2 3 2" xfId="14580" xr:uid="{438156CF-60E9-4895-99B0-5E4847518C41}"/>
    <cellStyle name="Normal 5 6 2 2 3 2 2" xfId="50922" xr:uid="{7BA0734D-F4D4-459C-AC79-2F8376F3437C}"/>
    <cellStyle name="Normal 5 6 2 2 3 2 3" xfId="32326" xr:uid="{B4609E4D-23FE-474F-8307-EB8912C1D761}"/>
    <cellStyle name="Normal 5 6 2 2 3 3" xfId="41625" xr:uid="{DF46A75D-09BF-4CD4-9A6E-CC759C6CE68E}"/>
    <cellStyle name="Normal 5 6 2 2 3 4" xfId="23027" xr:uid="{7A530DE0-2230-4CA2-A1B1-698CCB4E7F9A}"/>
    <cellStyle name="Normal 5 6 2 2 4" xfId="9476" xr:uid="{3B3E6CA1-4D97-4B11-99D5-4F82314AA0E0}"/>
    <cellStyle name="Normal 5 6 2 2 4 2" xfId="36537" xr:uid="{D1E4297D-AA4D-4D4A-B2EB-DBA3C6519EB6}"/>
    <cellStyle name="Normal 5 6 2 2 4 2 2" xfId="55131" xr:uid="{44C67936-5848-4440-BB0F-DB0CDABFA3DE}"/>
    <cellStyle name="Normal 5 6 2 2 4 3" xfId="45834" xr:uid="{ADD08D11-71D4-451E-92A7-B354C466E9D0}"/>
    <cellStyle name="Normal 5 6 2 2 4 4" xfId="27238" xr:uid="{283728B8-85A4-4851-8FFC-B3379BE42765}"/>
    <cellStyle name="Normal 5 6 2 2 5" xfId="10363" xr:uid="{9A0BC49B-C9FB-4435-85C1-06330804ECBC}"/>
    <cellStyle name="Normal 5 6 2 2 5 2" xfId="46705" xr:uid="{4C4E5875-81DC-4473-B379-BF7E839638ED}"/>
    <cellStyle name="Normal 5 6 2 2 5 3" xfId="28109" xr:uid="{BCC8E102-0762-49F8-868E-3D74618DC93E}"/>
    <cellStyle name="Normal 5 6 2 2 6" xfId="37408" xr:uid="{1311DDC1-639A-4C2A-B22F-1A73C4959B63}"/>
    <cellStyle name="Normal 5 6 2 2 7" xfId="18810" xr:uid="{BBCF1C71-263B-45BA-BD12-D40A5D966654}"/>
    <cellStyle name="Normal 5 6 2 3" xfId="1360" xr:uid="{00000000-0005-0000-0000-0000A21B0000}"/>
    <cellStyle name="Normal 5 6 2 3 2" xfId="3590" xr:uid="{00000000-0005-0000-0000-0000A31B0000}"/>
    <cellStyle name="Normal 5 6 2 3 2 2" xfId="7812" xr:uid="{00000000-0005-0000-0000-0000A41B0000}"/>
    <cellStyle name="Normal 5 6 2 3 2 2 2" xfId="17138" xr:uid="{082D1ED9-2C57-4F58-8F32-7C66824DA1A2}"/>
    <cellStyle name="Normal 5 6 2 3 2 2 2 2" xfId="53480" xr:uid="{F9EE2D15-B429-4969-B450-9C2E347AE79E}"/>
    <cellStyle name="Normal 5 6 2 3 2 2 2 3" xfId="34884" xr:uid="{5A9F600B-FC27-4D4D-A83E-7B2D72917805}"/>
    <cellStyle name="Normal 5 6 2 3 2 2 3" xfId="44183" xr:uid="{6DB54AAC-A543-46B5-97F0-3489B8CF65E6}"/>
    <cellStyle name="Normal 5 6 2 3 2 2 4" xfId="25585" xr:uid="{C4D709FC-B874-4EF2-A425-8123319CE7B8}"/>
    <cellStyle name="Normal 5 6 2 3 2 3" xfId="12921" xr:uid="{FC03C0A4-4595-422B-B1DE-6AC238C5A351}"/>
    <cellStyle name="Normal 5 6 2 3 2 3 2" xfId="49263" xr:uid="{BE260F31-9628-477A-B607-275970EDF7D7}"/>
    <cellStyle name="Normal 5 6 2 3 2 3 3" xfId="30667" xr:uid="{1B101784-A8F0-4D8C-BB3D-106B9CED912A}"/>
    <cellStyle name="Normal 5 6 2 3 2 4" xfId="39966" xr:uid="{82FE386A-D38E-4A3D-825A-BD4EEC04A840}"/>
    <cellStyle name="Normal 5 6 2 3 2 5" xfId="21368" xr:uid="{91C3D8D1-52CD-4A5B-A56D-9504A05754BF}"/>
    <cellStyle name="Normal 5 6 2 3 3" xfId="5667" xr:uid="{00000000-0005-0000-0000-0000A51B0000}"/>
    <cellStyle name="Normal 5 6 2 3 3 2" xfId="14993" xr:uid="{21B75377-DFB1-4E31-AEF3-F5D9DCF46A03}"/>
    <cellStyle name="Normal 5 6 2 3 3 2 2" xfId="51335" xr:uid="{206EABC6-1E7C-4DDC-81A7-92CC25AA487A}"/>
    <cellStyle name="Normal 5 6 2 3 3 2 3" xfId="32739" xr:uid="{9B4DB25C-5E5C-4F2B-8C6C-0325E357D9AC}"/>
    <cellStyle name="Normal 5 6 2 3 3 3" xfId="42038" xr:uid="{CB8364D4-B6CA-4011-9C70-411B839CD9F2}"/>
    <cellStyle name="Normal 5 6 2 3 3 4" xfId="23440" xr:uid="{2D9A7CE5-449D-4B73-8435-974145A7CD26}"/>
    <cellStyle name="Normal 5 6 2 3 4" xfId="10776" xr:uid="{99B7257A-E86E-476F-A9E1-331783A7C69E}"/>
    <cellStyle name="Normal 5 6 2 3 4 2" xfId="47118" xr:uid="{F6B1CA7D-7094-43F0-A905-BCD0542D90CC}"/>
    <cellStyle name="Normal 5 6 2 3 4 3" xfId="28522" xr:uid="{B7323FAB-67C2-4620-8B8B-72AEFA7C369B}"/>
    <cellStyle name="Normal 5 6 2 3 5" xfId="37821" xr:uid="{56792C67-8539-4325-8DDD-D2442C8B4AFC}"/>
    <cellStyle name="Normal 5 6 2 3 6" xfId="19223" xr:uid="{99131530-DDFC-4942-B469-02C91E56328E}"/>
    <cellStyle name="Normal 5 6 2 4" xfId="1773" xr:uid="{00000000-0005-0000-0000-0000A61B0000}"/>
    <cellStyle name="Normal 5 6 2 4 2" xfId="4003" xr:uid="{00000000-0005-0000-0000-0000A71B0000}"/>
    <cellStyle name="Normal 5 6 2 4 2 2" xfId="8225" xr:uid="{00000000-0005-0000-0000-0000A81B0000}"/>
    <cellStyle name="Normal 5 6 2 4 2 2 2" xfId="17551" xr:uid="{62C53312-837A-4741-963C-6718DB1805E0}"/>
    <cellStyle name="Normal 5 6 2 4 2 2 2 2" xfId="53893" xr:uid="{1B33D843-48E4-404F-80C7-A436D4941254}"/>
    <cellStyle name="Normal 5 6 2 4 2 2 2 3" xfId="35297" xr:uid="{C0D0E987-D46A-4A0B-9E8B-74AB5918DF0C}"/>
    <cellStyle name="Normal 5 6 2 4 2 2 3" xfId="44596" xr:uid="{5B9160F5-BA41-4075-ACA6-EAFA96212AE2}"/>
    <cellStyle name="Normal 5 6 2 4 2 2 4" xfId="25998" xr:uid="{89FA6493-3C14-4F2A-BA56-5200046EA792}"/>
    <cellStyle name="Normal 5 6 2 4 2 3" xfId="13334" xr:uid="{BA6B53C9-65E7-4601-AE38-C875EDDFD7C7}"/>
    <cellStyle name="Normal 5 6 2 4 2 3 2" xfId="49676" xr:uid="{3C0AEFD0-E836-4829-AF63-E946853000E8}"/>
    <cellStyle name="Normal 5 6 2 4 2 3 3" xfId="31080" xr:uid="{59E8C92F-0656-4989-8778-B7F31DACC774}"/>
    <cellStyle name="Normal 5 6 2 4 2 4" xfId="40379" xr:uid="{D3B16797-CE5F-4FD3-80DC-283E2846F5A8}"/>
    <cellStyle name="Normal 5 6 2 4 2 5" xfId="21781" xr:uid="{74BBE08C-0AB7-46DC-956C-03B3E7A3C5B6}"/>
    <cellStyle name="Normal 5 6 2 4 3" xfId="6080" xr:uid="{00000000-0005-0000-0000-0000A91B0000}"/>
    <cellStyle name="Normal 5 6 2 4 3 2" xfId="15406" xr:uid="{64CC99F9-A220-4564-8F48-ED57FA1DBA8E}"/>
    <cellStyle name="Normal 5 6 2 4 3 2 2" xfId="51748" xr:uid="{ECA1CA71-F27B-4AEA-9C20-83F3B7DA3D63}"/>
    <cellStyle name="Normal 5 6 2 4 3 2 3" xfId="33152" xr:uid="{596DDCB4-943B-42E3-8F5E-B877ACE35C2D}"/>
    <cellStyle name="Normal 5 6 2 4 3 3" xfId="42451" xr:uid="{9160BBB1-73FC-4537-9AD7-1407CC9C4CEF}"/>
    <cellStyle name="Normal 5 6 2 4 3 4" xfId="23853" xr:uid="{40E9B946-5D04-4D60-BB49-797EC1E72937}"/>
    <cellStyle name="Normal 5 6 2 4 4" xfId="11189" xr:uid="{3CD11030-5D62-4606-BD05-38B05464D453}"/>
    <cellStyle name="Normal 5 6 2 4 4 2" xfId="47531" xr:uid="{3B197DC9-AF9C-423A-B45F-D8572212C75F}"/>
    <cellStyle name="Normal 5 6 2 4 4 3" xfId="28935" xr:uid="{7D75FB36-9526-483C-B1B7-1E44A61D3479}"/>
    <cellStyle name="Normal 5 6 2 4 5" xfId="38234" xr:uid="{3D43B857-59F0-44CA-AD72-B7B87D694B87}"/>
    <cellStyle name="Normal 5 6 2 4 6" xfId="19636" xr:uid="{30F8C4CD-B33A-49D8-92BE-DD758FC37BE6}"/>
    <cellStyle name="Normal 5 6 2 5" xfId="2187" xr:uid="{00000000-0005-0000-0000-0000AA1B0000}"/>
    <cellStyle name="Normal 5 6 2 5 2" xfId="4416" xr:uid="{00000000-0005-0000-0000-0000AB1B0000}"/>
    <cellStyle name="Normal 5 6 2 5 2 2" xfId="8638" xr:uid="{00000000-0005-0000-0000-0000AC1B0000}"/>
    <cellStyle name="Normal 5 6 2 5 2 2 2" xfId="17964" xr:uid="{4CD0BF9F-A45B-426F-AD31-916E31AE18B7}"/>
    <cellStyle name="Normal 5 6 2 5 2 2 2 2" xfId="54306" xr:uid="{28CFC21C-52E8-4F5A-B841-461ED6CC004A}"/>
    <cellStyle name="Normal 5 6 2 5 2 2 2 3" xfId="35710" xr:uid="{29436ECC-CB28-4F30-924B-5502B0B2B632}"/>
    <cellStyle name="Normal 5 6 2 5 2 2 3" xfId="45009" xr:uid="{A0A3E972-4979-44AC-8407-B054A2FD76B6}"/>
    <cellStyle name="Normal 5 6 2 5 2 2 4" xfId="26411" xr:uid="{70ABE208-5035-4F3D-BE5A-726041374232}"/>
    <cellStyle name="Normal 5 6 2 5 2 3" xfId="13747" xr:uid="{9FCAD26E-4EC5-48E1-86A4-FAFA8A6BF8F4}"/>
    <cellStyle name="Normal 5 6 2 5 2 3 2" xfId="50089" xr:uid="{E8BD2290-F6E5-4E26-B0D5-8D6788AB118A}"/>
    <cellStyle name="Normal 5 6 2 5 2 3 3" xfId="31493" xr:uid="{DE39B712-16E4-461A-B176-A47BCB4570C4}"/>
    <cellStyle name="Normal 5 6 2 5 2 4" xfId="40792" xr:uid="{26ACA833-321D-4BBB-A2C2-A17A29409EBE}"/>
    <cellStyle name="Normal 5 6 2 5 2 5" xfId="22194" xr:uid="{92D16B54-F905-4CE2-93D4-7346F3EFD541}"/>
    <cellStyle name="Normal 5 6 2 5 3" xfId="6493" xr:uid="{00000000-0005-0000-0000-0000AD1B0000}"/>
    <cellStyle name="Normal 5 6 2 5 3 2" xfId="15819" xr:uid="{5829138E-CBE8-4B5B-9767-669CF44CA268}"/>
    <cellStyle name="Normal 5 6 2 5 3 2 2" xfId="52161" xr:uid="{A899EB95-071A-4DC2-95B7-B4C1C8EF3244}"/>
    <cellStyle name="Normal 5 6 2 5 3 2 3" xfId="33565" xr:uid="{569554D8-70E8-42E7-9E58-A2B200C59759}"/>
    <cellStyle name="Normal 5 6 2 5 3 3" xfId="42864" xr:uid="{FAD0BC74-BC06-4FEC-98E4-5CEBD697DCE1}"/>
    <cellStyle name="Normal 5 6 2 5 3 4" xfId="24266" xr:uid="{47C5971A-94C8-46B3-994A-F446546927EF}"/>
    <cellStyle name="Normal 5 6 2 5 4" xfId="11602" xr:uid="{0281ED57-2EDB-45EB-8DA6-857439134B69}"/>
    <cellStyle name="Normal 5 6 2 5 4 2" xfId="47944" xr:uid="{BBCCE835-DDD8-46E3-A6F7-E152C2108315}"/>
    <cellStyle name="Normal 5 6 2 5 4 3" xfId="29348" xr:uid="{5C93BB6F-9F72-4C99-8CDA-FD2AD2EE73BE}"/>
    <cellStyle name="Normal 5 6 2 5 5" xfId="38647" xr:uid="{233583EF-66C8-4879-BCBA-EA5C04D99EDE}"/>
    <cellStyle name="Normal 5 6 2 5 6" xfId="20049" xr:uid="{A2DA4B3C-3BC4-4019-B3E1-76E049938FCE}"/>
    <cellStyle name="Normal 5 6 2 6" xfId="2623" xr:uid="{00000000-0005-0000-0000-0000AE1B0000}"/>
    <cellStyle name="Normal 5 6 2 6 2" xfId="6906" xr:uid="{00000000-0005-0000-0000-0000AF1B0000}"/>
    <cellStyle name="Normal 5 6 2 6 2 2" xfId="16232" xr:uid="{7F3B1A99-9B3F-45C2-87BA-262D7DFA5614}"/>
    <cellStyle name="Normal 5 6 2 6 2 2 2" xfId="52574" xr:uid="{D377954C-096B-4A29-9D08-F403A2A48765}"/>
    <cellStyle name="Normal 5 6 2 6 2 2 3" xfId="33978" xr:uid="{34127F83-4B9B-42E6-8FDE-98FBAE902CD0}"/>
    <cellStyle name="Normal 5 6 2 6 2 3" xfId="43277" xr:uid="{7C2480F7-17F5-44BF-8B76-2859D9AA09F2}"/>
    <cellStyle name="Normal 5 6 2 6 2 4" xfId="24679" xr:uid="{FA853FE9-CF50-4E2D-837C-B7EC25BD58C5}"/>
    <cellStyle name="Normal 5 6 2 6 3" xfId="12015" xr:uid="{0D41B461-6A8E-485D-B06D-BAA4DE327D2D}"/>
    <cellStyle name="Normal 5 6 2 6 3 2" xfId="48357" xr:uid="{F73BB010-6282-46E6-AA57-3F39F5902B0D}"/>
    <cellStyle name="Normal 5 6 2 6 3 3" xfId="29761" xr:uid="{BC7792F5-5980-41EA-98B2-D466BDA4E5DA}"/>
    <cellStyle name="Normal 5 6 2 6 4" xfId="39060" xr:uid="{C5140949-8A78-4383-B7DB-15543F57DE8A}"/>
    <cellStyle name="Normal 5 6 2 6 5" xfId="20462" xr:uid="{19D42615-4C7B-42E2-8B03-07F52D447DF2}"/>
    <cellStyle name="Normal 5 6 2 7" xfId="4841" xr:uid="{00000000-0005-0000-0000-0000B01B0000}"/>
    <cellStyle name="Normal 5 6 2 7 2" xfId="14167" xr:uid="{884753B9-847B-4F21-BB07-A6A40F15888A}"/>
    <cellStyle name="Normal 5 6 2 7 2 2" xfId="50509" xr:uid="{7A908D21-E80D-45F2-8154-943AB4578AF1}"/>
    <cellStyle name="Normal 5 6 2 7 2 3" xfId="31913" xr:uid="{8239284E-C52C-437B-850C-2B2D629483E6}"/>
    <cellStyle name="Normal 5 6 2 7 3" xfId="41212" xr:uid="{5AA27F87-3011-4B6E-9FBF-66FBB5C209A1}"/>
    <cellStyle name="Normal 5 6 2 7 4" xfId="22614" xr:uid="{8E437EBD-16D8-4FB3-BBEE-6054511E6D82}"/>
    <cellStyle name="Normal 5 6 2 8" xfId="9051" xr:uid="{97C72229-9AC1-4DA9-8A0B-8B4B6D970DE8}"/>
    <cellStyle name="Normal 5 6 2 8 2" xfId="36121" xr:uid="{1A959ACD-509A-41B2-9570-AE0ADFB6670D}"/>
    <cellStyle name="Normal 5 6 2 8 2 2" xfId="54716" xr:uid="{165E5646-D4C2-415B-9947-C1DBD3841CDD}"/>
    <cellStyle name="Normal 5 6 2 8 3" xfId="45419" xr:uid="{3018B990-3F9A-494D-8453-F7F97131180E}"/>
    <cellStyle name="Normal 5 6 2 8 4" xfId="26822" xr:uid="{515B015E-90C5-4A8A-ABDA-80A7ACC23B58}"/>
    <cellStyle name="Normal 5 6 2 9" xfId="9950" xr:uid="{AED7DBB1-40B0-4D82-95EB-0D5016A1C865}"/>
    <cellStyle name="Normal 5 6 2 9 2" xfId="46292" xr:uid="{DDC4A8E6-5945-4585-94AA-1D440A7F44FD}"/>
    <cellStyle name="Normal 5 6 2 9 3" xfId="27696" xr:uid="{4878FCBF-8488-46AE-9485-F844C8602E44}"/>
    <cellStyle name="Normal 5 6 3" xfId="942" xr:uid="{00000000-0005-0000-0000-0000B11B0000}"/>
    <cellStyle name="Normal 5 6 3 2" xfId="3176" xr:uid="{00000000-0005-0000-0000-0000B21B0000}"/>
    <cellStyle name="Normal 5 6 3 2 2" xfId="7398" xr:uid="{00000000-0005-0000-0000-0000B31B0000}"/>
    <cellStyle name="Normal 5 6 3 2 2 2" xfId="16724" xr:uid="{291BD26D-87F8-4083-8482-B2D1C3561CD2}"/>
    <cellStyle name="Normal 5 6 3 2 2 2 2" xfId="53066" xr:uid="{49949746-7687-4B36-B4CE-167AA4C18080}"/>
    <cellStyle name="Normal 5 6 3 2 2 2 3" xfId="34470" xr:uid="{A8253A30-D586-4FED-8B0F-19AC6B040AEC}"/>
    <cellStyle name="Normal 5 6 3 2 2 3" xfId="43769" xr:uid="{ACAADA8E-F85C-4875-8FA2-2C2985FA1E2E}"/>
    <cellStyle name="Normal 5 6 3 2 2 4" xfId="25171" xr:uid="{B8907650-C7CF-4C0D-ACB8-31D3CF91B58E}"/>
    <cellStyle name="Normal 5 6 3 2 3" xfId="12507" xr:uid="{0A3911C3-9508-4357-8C41-3F894156A0E8}"/>
    <cellStyle name="Normal 5 6 3 2 3 2" xfId="48849" xr:uid="{9DE3BBDA-8832-4B32-B619-7EF0AF358967}"/>
    <cellStyle name="Normal 5 6 3 2 3 3" xfId="30253" xr:uid="{EFE9E5A8-0D7B-443B-B4E2-8AC02F3253A4}"/>
    <cellStyle name="Normal 5 6 3 2 4" xfId="39552" xr:uid="{F350D0E3-1C45-4C26-BEBF-CA99C93395B1}"/>
    <cellStyle name="Normal 5 6 3 2 5" xfId="20954" xr:uid="{49BF3073-DFCE-49D7-8624-8A482041305B}"/>
    <cellStyle name="Normal 5 6 3 3" xfId="5253" xr:uid="{00000000-0005-0000-0000-0000B41B0000}"/>
    <cellStyle name="Normal 5 6 3 3 2" xfId="14579" xr:uid="{39CA0058-4CC6-4D26-8C2D-6E40B18D45E9}"/>
    <cellStyle name="Normal 5 6 3 3 2 2" xfId="50921" xr:uid="{F84BD753-6A32-4AE7-95FB-E13ACA6C5440}"/>
    <cellStyle name="Normal 5 6 3 3 2 3" xfId="32325" xr:uid="{3752D329-6A92-4D03-9525-C843BA4D4F7C}"/>
    <cellStyle name="Normal 5 6 3 3 3" xfId="41624" xr:uid="{F9345C51-8BAC-4293-B530-3344D3281F84}"/>
    <cellStyle name="Normal 5 6 3 3 4" xfId="23026" xr:uid="{4DD489B8-7974-4508-B361-865A3ECE30F1}"/>
    <cellStyle name="Normal 5 6 3 4" xfId="9269" xr:uid="{7D6728A0-C210-4F3F-8114-143B9AE0BFB4}"/>
    <cellStyle name="Normal 5 6 3 4 2" xfId="36330" xr:uid="{95F8ACAE-9565-48FD-BD37-77587DA77CC8}"/>
    <cellStyle name="Normal 5 6 3 4 2 2" xfId="54924" xr:uid="{1BE160DA-D9E3-4A84-A5A7-938A6566AA27}"/>
    <cellStyle name="Normal 5 6 3 4 3" xfId="45627" xr:uid="{C6700C2B-9A35-4DA7-A96D-5CEBD713A3EB}"/>
    <cellStyle name="Normal 5 6 3 4 4" xfId="27031" xr:uid="{F0689359-293C-4EBB-B7E2-486127666694}"/>
    <cellStyle name="Normal 5 6 3 5" xfId="10362" xr:uid="{D3133FDC-4F79-4538-BE24-9E6297E06606}"/>
    <cellStyle name="Normal 5 6 3 5 2" xfId="46704" xr:uid="{262329C3-7509-4409-B4E9-04248B5C108F}"/>
    <cellStyle name="Normal 5 6 3 5 3" xfId="28108" xr:uid="{1EDE2233-AB07-4D5F-A165-DAE411A24EC1}"/>
    <cellStyle name="Normal 5 6 3 6" xfId="37407" xr:uid="{3BDBE84C-A372-4C0E-8D78-122926D55FB1}"/>
    <cellStyle name="Normal 5 6 3 7" xfId="18809" xr:uid="{91020076-9589-49D1-82BB-90340ABBABC8}"/>
    <cellStyle name="Normal 5 6 4" xfId="1359" xr:uid="{00000000-0005-0000-0000-0000B51B0000}"/>
    <cellStyle name="Normal 5 6 4 2" xfId="3589" xr:uid="{00000000-0005-0000-0000-0000B61B0000}"/>
    <cellStyle name="Normal 5 6 4 2 2" xfId="7811" xr:uid="{00000000-0005-0000-0000-0000B71B0000}"/>
    <cellStyle name="Normal 5 6 4 2 2 2" xfId="17137" xr:uid="{3CB8AF2E-ACBB-45DD-9871-50C139CD43BC}"/>
    <cellStyle name="Normal 5 6 4 2 2 2 2" xfId="53479" xr:uid="{ADF82605-1E31-4579-B2A8-A2A10D2C5113}"/>
    <cellStyle name="Normal 5 6 4 2 2 2 3" xfId="34883" xr:uid="{C9CC7426-F2DD-4A70-BB10-40A5D77DD4B1}"/>
    <cellStyle name="Normal 5 6 4 2 2 3" xfId="44182" xr:uid="{39958EEE-6113-4B2C-B7BD-44C94465ED2D}"/>
    <cellStyle name="Normal 5 6 4 2 2 4" xfId="25584" xr:uid="{1AA7052B-22E5-4C6A-972C-9222DBEA299F}"/>
    <cellStyle name="Normal 5 6 4 2 3" xfId="12920" xr:uid="{78CE72B3-3E5F-4533-A072-451D09638297}"/>
    <cellStyle name="Normal 5 6 4 2 3 2" xfId="49262" xr:uid="{FA0E43A7-F4F3-407F-82BF-1F4D8FE084BE}"/>
    <cellStyle name="Normal 5 6 4 2 3 3" xfId="30666" xr:uid="{58BB9241-3A44-4995-AED0-78950689C003}"/>
    <cellStyle name="Normal 5 6 4 2 4" xfId="39965" xr:uid="{BD93AA65-26CC-4BDB-8614-A1B38DA8EC69}"/>
    <cellStyle name="Normal 5 6 4 2 5" xfId="21367" xr:uid="{403D486B-5C01-4373-B49D-62D185E0CDEA}"/>
    <cellStyle name="Normal 5 6 4 3" xfId="5666" xr:uid="{00000000-0005-0000-0000-0000B81B0000}"/>
    <cellStyle name="Normal 5 6 4 3 2" xfId="14992" xr:uid="{7BE7BE0C-5288-41CF-8372-27884EB6198E}"/>
    <cellStyle name="Normal 5 6 4 3 2 2" xfId="51334" xr:uid="{80B1F976-EFBE-4BAC-85AB-693F93774863}"/>
    <cellStyle name="Normal 5 6 4 3 2 3" xfId="32738" xr:uid="{F277839E-5A11-47B6-9606-72ACC48F4221}"/>
    <cellStyle name="Normal 5 6 4 3 3" xfId="42037" xr:uid="{0848D9C7-DC8E-4475-AE6E-C15E72C51A18}"/>
    <cellStyle name="Normal 5 6 4 3 4" xfId="23439" xr:uid="{AACAD23A-74D9-42DC-978C-C19F0D10722D}"/>
    <cellStyle name="Normal 5 6 4 4" xfId="10775" xr:uid="{661BE4A9-1677-4BCF-8437-C7418F998F39}"/>
    <cellStyle name="Normal 5 6 4 4 2" xfId="47117" xr:uid="{6309CA53-8144-4398-AF86-CE36EA33EE38}"/>
    <cellStyle name="Normal 5 6 4 4 3" xfId="28521" xr:uid="{5BD12604-C6C3-4349-95EA-A1B412FB9433}"/>
    <cellStyle name="Normal 5 6 4 5" xfId="37820" xr:uid="{E3A20C55-39F4-4AEB-B329-BC91EF450608}"/>
    <cellStyle name="Normal 5 6 4 6" xfId="19222" xr:uid="{AE37AD86-9766-489B-A308-DDB89FF655F4}"/>
    <cellStyle name="Normal 5 6 5" xfId="1772" xr:uid="{00000000-0005-0000-0000-0000B91B0000}"/>
    <cellStyle name="Normal 5 6 5 2" xfId="4002" xr:uid="{00000000-0005-0000-0000-0000BA1B0000}"/>
    <cellStyle name="Normal 5 6 5 2 2" xfId="8224" xr:uid="{00000000-0005-0000-0000-0000BB1B0000}"/>
    <cellStyle name="Normal 5 6 5 2 2 2" xfId="17550" xr:uid="{F304D7ED-198B-4486-ADC1-619B986D3BD5}"/>
    <cellStyle name="Normal 5 6 5 2 2 2 2" xfId="53892" xr:uid="{162DBC63-DAD3-4DE9-8E66-AABD3FC751A0}"/>
    <cellStyle name="Normal 5 6 5 2 2 2 3" xfId="35296" xr:uid="{80F148F9-773F-4A79-B80D-D515F5E664C3}"/>
    <cellStyle name="Normal 5 6 5 2 2 3" xfId="44595" xr:uid="{FD308EC2-39AE-42BC-A263-A4E3348E3D7F}"/>
    <cellStyle name="Normal 5 6 5 2 2 4" xfId="25997" xr:uid="{D19CF1D6-EAF2-49ED-836D-89179546D86A}"/>
    <cellStyle name="Normal 5 6 5 2 3" xfId="13333" xr:uid="{80466372-6D50-499A-A791-68E5040F5FF5}"/>
    <cellStyle name="Normal 5 6 5 2 3 2" xfId="49675" xr:uid="{EC8A5858-2BD4-4CBC-A72B-C2F6DCD2BE51}"/>
    <cellStyle name="Normal 5 6 5 2 3 3" xfId="31079" xr:uid="{6280532E-583A-4A78-81BC-44966D880CDA}"/>
    <cellStyle name="Normal 5 6 5 2 4" xfId="40378" xr:uid="{00BA3459-707C-40E4-B539-A949C9F3C4D1}"/>
    <cellStyle name="Normal 5 6 5 2 5" xfId="21780" xr:uid="{F9FEAA32-6992-4377-B8EE-319A0BFE4F41}"/>
    <cellStyle name="Normal 5 6 5 3" xfId="6079" xr:uid="{00000000-0005-0000-0000-0000BC1B0000}"/>
    <cellStyle name="Normal 5 6 5 3 2" xfId="15405" xr:uid="{C8EF2A07-5C30-4EB5-8B4A-6CD3AA7C3B5D}"/>
    <cellStyle name="Normal 5 6 5 3 2 2" xfId="51747" xr:uid="{4341F5C0-5C9C-4945-9E44-D06090A0C0C7}"/>
    <cellStyle name="Normal 5 6 5 3 2 3" xfId="33151" xr:uid="{654132F1-080C-49DD-A6F5-8AAC05083924}"/>
    <cellStyle name="Normal 5 6 5 3 3" xfId="42450" xr:uid="{27E0D553-2320-46B7-B7E8-BEBE7C8F67FE}"/>
    <cellStyle name="Normal 5 6 5 3 4" xfId="23852" xr:uid="{91D00A7A-CB05-47AA-8221-0F5F8A69E3DA}"/>
    <cellStyle name="Normal 5 6 5 4" xfId="11188" xr:uid="{3E5FC859-7619-47C3-8F59-C57D97A73389}"/>
    <cellStyle name="Normal 5 6 5 4 2" xfId="47530" xr:uid="{46F2D706-8D9D-4D1B-9FCD-3A785280C311}"/>
    <cellStyle name="Normal 5 6 5 4 3" xfId="28934" xr:uid="{330F39E0-3DD0-4E1E-A323-13711014F428}"/>
    <cellStyle name="Normal 5 6 5 5" xfId="38233" xr:uid="{675FF87A-4092-481B-B3E1-1807455C3036}"/>
    <cellStyle name="Normal 5 6 5 6" xfId="19635" xr:uid="{16D6F130-C959-41BE-B70C-8BD9B35DF84D}"/>
    <cellStyle name="Normal 5 6 6" xfId="2186" xr:uid="{00000000-0005-0000-0000-0000BD1B0000}"/>
    <cellStyle name="Normal 5 6 6 2" xfId="4415" xr:uid="{00000000-0005-0000-0000-0000BE1B0000}"/>
    <cellStyle name="Normal 5 6 6 2 2" xfId="8637" xr:uid="{00000000-0005-0000-0000-0000BF1B0000}"/>
    <cellStyle name="Normal 5 6 6 2 2 2" xfId="17963" xr:uid="{160CF4F9-2448-4C7E-9EFE-389CB89046A1}"/>
    <cellStyle name="Normal 5 6 6 2 2 2 2" xfId="54305" xr:uid="{D3D9A43F-B4D8-4E8E-83C5-4A42413B8316}"/>
    <cellStyle name="Normal 5 6 6 2 2 2 3" xfId="35709" xr:uid="{376B23A3-D988-40CC-A0AF-0B315C8FC3B4}"/>
    <cellStyle name="Normal 5 6 6 2 2 3" xfId="45008" xr:uid="{6988AC41-1F37-4F8C-908B-FB57F222E445}"/>
    <cellStyle name="Normal 5 6 6 2 2 4" xfId="26410" xr:uid="{62914875-83C0-462E-A94F-543C7DC07A92}"/>
    <cellStyle name="Normal 5 6 6 2 3" xfId="13746" xr:uid="{E913B74D-2379-4AAB-B4FA-28F584393171}"/>
    <cellStyle name="Normal 5 6 6 2 3 2" xfId="50088" xr:uid="{D9BD6156-99C0-49FF-A246-16FFC581EA3E}"/>
    <cellStyle name="Normal 5 6 6 2 3 3" xfId="31492" xr:uid="{6E3192C0-49C8-4A31-B3B3-BC15D33BC069}"/>
    <cellStyle name="Normal 5 6 6 2 4" xfId="40791" xr:uid="{64A15E61-8E11-4F9F-9E59-7B3194A12567}"/>
    <cellStyle name="Normal 5 6 6 2 5" xfId="22193" xr:uid="{102C14F0-D6D8-4C5F-B325-7D416C829402}"/>
    <cellStyle name="Normal 5 6 6 3" xfId="6492" xr:uid="{00000000-0005-0000-0000-0000C01B0000}"/>
    <cellStyle name="Normal 5 6 6 3 2" xfId="15818" xr:uid="{40734F6B-E9BA-45D0-B9FC-0502C8D6D2EA}"/>
    <cellStyle name="Normal 5 6 6 3 2 2" xfId="52160" xr:uid="{708FAA5B-6611-4A88-BDCD-2928DE2B1537}"/>
    <cellStyle name="Normal 5 6 6 3 2 3" xfId="33564" xr:uid="{7B2E9C8C-35B6-45FA-9228-7C58157FBA1A}"/>
    <cellStyle name="Normal 5 6 6 3 3" xfId="42863" xr:uid="{13D51FCB-CBE6-4AB0-A88A-437BF45CF8A9}"/>
    <cellStyle name="Normal 5 6 6 3 4" xfId="24265" xr:uid="{B1545DB7-6B98-460C-87BE-17C022FCE18E}"/>
    <cellStyle name="Normal 5 6 6 4" xfId="11601" xr:uid="{3657E3E7-1C93-4D85-954A-F230AD2AEFD2}"/>
    <cellStyle name="Normal 5 6 6 4 2" xfId="47943" xr:uid="{CD927006-51AF-4FED-B3ED-C8315623072B}"/>
    <cellStyle name="Normal 5 6 6 4 3" xfId="29347" xr:uid="{B503DD84-0B73-497E-AE7B-A2248D3E9599}"/>
    <cellStyle name="Normal 5 6 6 5" xfId="38646" xr:uid="{7DBE8134-7494-471B-8104-00537B8E1549}"/>
    <cellStyle name="Normal 5 6 6 6" xfId="20048" xr:uid="{FFF8BAF4-5149-4396-9B4B-8B953818B305}"/>
    <cellStyle name="Normal 5 6 7" xfId="2622" xr:uid="{00000000-0005-0000-0000-0000C11B0000}"/>
    <cellStyle name="Normal 5 6 7 2" xfId="6905" xr:uid="{00000000-0005-0000-0000-0000C21B0000}"/>
    <cellStyle name="Normal 5 6 7 2 2" xfId="16231" xr:uid="{497285A4-6CEE-478F-BF58-5E87490EF82A}"/>
    <cellStyle name="Normal 5 6 7 2 2 2" xfId="52573" xr:uid="{F0BABF39-9C5B-40B4-BE8B-B8C74F974E35}"/>
    <cellStyle name="Normal 5 6 7 2 2 3" xfId="33977" xr:uid="{CFF13AAF-E4FA-484A-811B-397CAF7048A6}"/>
    <cellStyle name="Normal 5 6 7 2 3" xfId="43276" xr:uid="{A7793D90-F6CA-4161-AA09-BB285110015B}"/>
    <cellStyle name="Normal 5 6 7 2 4" xfId="24678" xr:uid="{2581FC05-7033-426D-8030-D0C8C5991A12}"/>
    <cellStyle name="Normal 5 6 7 3" xfId="12014" xr:uid="{A42A9B28-31A3-4C6B-A17E-8C2F4A89E0BC}"/>
    <cellStyle name="Normal 5 6 7 3 2" xfId="48356" xr:uid="{E5D11D6B-E4BD-44EF-B4B1-29ED40DAC31D}"/>
    <cellStyle name="Normal 5 6 7 3 3" xfId="29760" xr:uid="{BEA800FC-9463-4C49-8724-10839F5E03BC}"/>
    <cellStyle name="Normal 5 6 7 4" xfId="39059" xr:uid="{56FB6153-2A7D-4242-8179-C5F73CE62549}"/>
    <cellStyle name="Normal 5 6 7 5" xfId="20461" xr:uid="{54295AC9-D377-47F7-AC57-3139D827D51E}"/>
    <cellStyle name="Normal 5 6 8" xfId="4840" xr:uid="{00000000-0005-0000-0000-0000C31B0000}"/>
    <cellStyle name="Normal 5 6 8 2" xfId="14166" xr:uid="{2B3C876B-DED0-4E2B-8790-C877D85449A3}"/>
    <cellStyle name="Normal 5 6 8 2 2" xfId="50508" xr:uid="{BD858E93-5523-4AD8-A142-D676CB7ABE40}"/>
    <cellStyle name="Normal 5 6 8 2 3" xfId="31912" xr:uid="{67C345DD-F5F0-4734-A68F-BECB6C2BFD70}"/>
    <cellStyle name="Normal 5 6 8 3" xfId="41211" xr:uid="{2116769C-7ABC-4FEE-B1A6-924696B5CD5B}"/>
    <cellStyle name="Normal 5 6 8 4" xfId="22613" xr:uid="{5BD6C338-1739-499E-BA4D-04943FCBAF79}"/>
    <cellStyle name="Normal 5 6 9" xfId="8844" xr:uid="{91B947E4-8FF0-409F-B157-688724766D9F}"/>
    <cellStyle name="Normal 5 6 9 2" xfId="35914" xr:uid="{14084A0C-0B0A-44B5-A69B-38D051EEE915}"/>
    <cellStyle name="Normal 5 6 9 2 2" xfId="54509" xr:uid="{0CAA53FC-044A-4C64-89F4-2533CB769181}"/>
    <cellStyle name="Normal 5 6 9 3" xfId="45212" xr:uid="{39C54599-FBE0-44C2-8875-8437BDA395BE}"/>
    <cellStyle name="Normal 5 6 9 4" xfId="26615" xr:uid="{E4FD9077-6467-4497-9D99-8FADDBE96FF6}"/>
    <cellStyle name="Normal 5 7" xfId="470" xr:uid="{00000000-0005-0000-0000-0000C41B0000}"/>
    <cellStyle name="Normal 5 7 10" xfId="36996" xr:uid="{0F3103DF-815A-4B88-ABB1-05D87E3CACFF}"/>
    <cellStyle name="Normal 5 7 11" xfId="18398" xr:uid="{1EBF4CD5-B15C-429E-9B69-E3AA60497E21}"/>
    <cellStyle name="Normal 5 7 2" xfId="944" xr:uid="{00000000-0005-0000-0000-0000C51B0000}"/>
    <cellStyle name="Normal 5 7 2 2" xfId="3178" xr:uid="{00000000-0005-0000-0000-0000C61B0000}"/>
    <cellStyle name="Normal 5 7 2 2 2" xfId="7400" xr:uid="{00000000-0005-0000-0000-0000C71B0000}"/>
    <cellStyle name="Normal 5 7 2 2 2 2" xfId="16726" xr:uid="{F7ACCB79-F5E3-4678-936F-CFF53F649B08}"/>
    <cellStyle name="Normal 5 7 2 2 2 2 2" xfId="53068" xr:uid="{CAD3A7DC-FAEA-4966-A327-4E07725D6E8A}"/>
    <cellStyle name="Normal 5 7 2 2 2 2 3" xfId="34472" xr:uid="{1F82EA36-216E-4E74-A9B8-2B90F098059D}"/>
    <cellStyle name="Normal 5 7 2 2 2 3" xfId="43771" xr:uid="{BE433D02-1DA4-4E41-9BFF-280FCA9E9A2B}"/>
    <cellStyle name="Normal 5 7 2 2 2 4" xfId="25173" xr:uid="{689F51E6-4852-4B34-9DEF-8DB5A83209A8}"/>
    <cellStyle name="Normal 5 7 2 2 3" xfId="12509" xr:uid="{3439E94E-456A-4310-A54B-F2AF8AAAC781}"/>
    <cellStyle name="Normal 5 7 2 2 3 2" xfId="48851" xr:uid="{CF401D36-45AB-417F-90AC-A282589D7BCE}"/>
    <cellStyle name="Normal 5 7 2 2 3 3" xfId="30255" xr:uid="{AE2BB745-A672-4BE3-938C-EA4641796208}"/>
    <cellStyle name="Normal 5 7 2 2 4" xfId="39554" xr:uid="{E29AF6EB-E61F-4F89-B346-C626BEB23D43}"/>
    <cellStyle name="Normal 5 7 2 2 5" xfId="20956" xr:uid="{EEDFE4DC-7A08-430D-A2D0-DCA7D1D5763D}"/>
    <cellStyle name="Normal 5 7 2 3" xfId="5255" xr:uid="{00000000-0005-0000-0000-0000C81B0000}"/>
    <cellStyle name="Normal 5 7 2 3 2" xfId="14581" xr:uid="{7360DFA3-AFAF-4C4C-B19C-7ED56FC9F287}"/>
    <cellStyle name="Normal 5 7 2 3 2 2" xfId="50923" xr:uid="{C9BAA02A-9F48-41CB-9187-8EC427A26DF5}"/>
    <cellStyle name="Normal 5 7 2 3 2 3" xfId="32327" xr:uid="{C835708A-EEC3-4DF3-AA91-DEBBA5700198}"/>
    <cellStyle name="Normal 5 7 2 3 3" xfId="41626" xr:uid="{C18043A4-AC6F-42A6-A3D2-538FE222F7D2}"/>
    <cellStyle name="Normal 5 7 2 3 4" xfId="23028" xr:uid="{E969EF3E-B1F0-40E7-A925-A40B6F1C7C9D}"/>
    <cellStyle name="Normal 5 7 2 4" xfId="9385" xr:uid="{2E4A3B0A-2E42-41AC-9564-09D1598995A2}"/>
    <cellStyle name="Normal 5 7 2 4 2" xfId="36446" xr:uid="{D70E4795-86DD-45BB-A4B9-C9A190B64737}"/>
    <cellStyle name="Normal 5 7 2 4 2 2" xfId="55040" xr:uid="{3DE0A531-589D-4079-9CAB-6BFA7FEFC873}"/>
    <cellStyle name="Normal 5 7 2 4 3" xfId="45743" xr:uid="{BD2C16E7-FBF0-4678-8E63-C8909CD7E292}"/>
    <cellStyle name="Normal 5 7 2 4 4" xfId="27147" xr:uid="{01DEAAE2-15B9-4558-83FF-934238C11188}"/>
    <cellStyle name="Normal 5 7 2 5" xfId="10364" xr:uid="{856B89FA-89EA-48A1-9F58-5EF006CBB67F}"/>
    <cellStyle name="Normal 5 7 2 5 2" xfId="46706" xr:uid="{C1F1C465-99CA-4EA1-837C-D85813810B35}"/>
    <cellStyle name="Normal 5 7 2 5 3" xfId="28110" xr:uid="{26D04DC6-7E0B-4345-852A-9CAE6F157D3F}"/>
    <cellStyle name="Normal 5 7 2 6" xfId="37409" xr:uid="{91FE7F4B-8FAA-4E7F-97B1-6755164D3134}"/>
    <cellStyle name="Normal 5 7 2 7" xfId="18811" xr:uid="{6A64B8F1-09B5-49D0-9076-0C3DD861ABB0}"/>
    <cellStyle name="Normal 5 7 3" xfId="1361" xr:uid="{00000000-0005-0000-0000-0000C91B0000}"/>
    <cellStyle name="Normal 5 7 3 2" xfId="3591" xr:uid="{00000000-0005-0000-0000-0000CA1B0000}"/>
    <cellStyle name="Normal 5 7 3 2 2" xfId="7813" xr:uid="{00000000-0005-0000-0000-0000CB1B0000}"/>
    <cellStyle name="Normal 5 7 3 2 2 2" xfId="17139" xr:uid="{A0CD859C-5FF0-4043-91EF-9804D00D0C04}"/>
    <cellStyle name="Normal 5 7 3 2 2 2 2" xfId="53481" xr:uid="{78F16F3F-DFA4-4191-BD3B-B17C248E4EDA}"/>
    <cellStyle name="Normal 5 7 3 2 2 2 3" xfId="34885" xr:uid="{7B7DEC0C-B939-4E3C-BB7C-4EEA1313BA93}"/>
    <cellStyle name="Normal 5 7 3 2 2 3" xfId="44184" xr:uid="{CC725D02-EDFC-4F2E-BF14-3496BF3BE79A}"/>
    <cellStyle name="Normal 5 7 3 2 2 4" xfId="25586" xr:uid="{BF183DE6-1E47-46E2-8871-E872B630D519}"/>
    <cellStyle name="Normal 5 7 3 2 3" xfId="12922" xr:uid="{7590C78C-D4A9-41BF-B9B4-69CDFB729DFC}"/>
    <cellStyle name="Normal 5 7 3 2 3 2" xfId="49264" xr:uid="{235829C7-6E88-4991-8865-541ECB72E4FA}"/>
    <cellStyle name="Normal 5 7 3 2 3 3" xfId="30668" xr:uid="{7CE37B00-87F9-40AB-BEAB-DCC3B42A1B48}"/>
    <cellStyle name="Normal 5 7 3 2 4" xfId="39967" xr:uid="{13217B2E-4CD2-46E9-91F3-E4957EEF5531}"/>
    <cellStyle name="Normal 5 7 3 2 5" xfId="21369" xr:uid="{DA1A4F3C-05CF-4575-89C3-3298424777CD}"/>
    <cellStyle name="Normal 5 7 3 3" xfId="5668" xr:uid="{00000000-0005-0000-0000-0000CC1B0000}"/>
    <cellStyle name="Normal 5 7 3 3 2" xfId="14994" xr:uid="{EA80BC68-AF2B-41DE-AA04-526E271E293F}"/>
    <cellStyle name="Normal 5 7 3 3 2 2" xfId="51336" xr:uid="{652084A4-25A3-4F6A-960F-97029CF154D4}"/>
    <cellStyle name="Normal 5 7 3 3 2 3" xfId="32740" xr:uid="{30B7CA08-DE2B-4DA8-BA1B-18473CB181CB}"/>
    <cellStyle name="Normal 5 7 3 3 3" xfId="42039" xr:uid="{F8B0B0C5-8EC0-4C7D-8F77-B45C9778697E}"/>
    <cellStyle name="Normal 5 7 3 3 4" xfId="23441" xr:uid="{BB75208F-EE35-4F11-9B5B-BA45A9319BE1}"/>
    <cellStyle name="Normal 5 7 3 4" xfId="10777" xr:uid="{70AE371F-BF8C-49A2-81C3-3D4CDEB13C29}"/>
    <cellStyle name="Normal 5 7 3 4 2" xfId="47119" xr:uid="{2F3E93F8-4E2C-4BAB-A372-0AE7F93EC42A}"/>
    <cellStyle name="Normal 5 7 3 4 3" xfId="28523" xr:uid="{331B9732-8955-4A55-84A3-AAD7D1783FEA}"/>
    <cellStyle name="Normal 5 7 3 5" xfId="37822" xr:uid="{348ECCCF-F93C-4320-BE28-151B794BAB63}"/>
    <cellStyle name="Normal 5 7 3 6" xfId="19224" xr:uid="{E61A640A-31F9-4536-AFB0-2FD5E23B70B2}"/>
    <cellStyle name="Normal 5 7 4" xfId="1774" xr:uid="{00000000-0005-0000-0000-0000CD1B0000}"/>
    <cellStyle name="Normal 5 7 4 2" xfId="4004" xr:uid="{00000000-0005-0000-0000-0000CE1B0000}"/>
    <cellStyle name="Normal 5 7 4 2 2" xfId="8226" xr:uid="{00000000-0005-0000-0000-0000CF1B0000}"/>
    <cellStyle name="Normal 5 7 4 2 2 2" xfId="17552" xr:uid="{684066F0-05E3-40BA-944C-BB29224FE25D}"/>
    <cellStyle name="Normal 5 7 4 2 2 2 2" xfId="53894" xr:uid="{4A525CA7-EDE5-493C-92E3-47DE119BE5C0}"/>
    <cellStyle name="Normal 5 7 4 2 2 2 3" xfId="35298" xr:uid="{AD48E0CA-B4B7-42A9-8CE4-B7C0C06DF2A6}"/>
    <cellStyle name="Normal 5 7 4 2 2 3" xfId="44597" xr:uid="{E7C6DC95-C5AD-4F98-8FF2-108D9C0533B5}"/>
    <cellStyle name="Normal 5 7 4 2 2 4" xfId="25999" xr:uid="{9083203E-3B11-4789-8CE5-DE80771C4A2B}"/>
    <cellStyle name="Normal 5 7 4 2 3" xfId="13335" xr:uid="{BD1FF839-54F8-4764-87CC-DA68C9DC53A8}"/>
    <cellStyle name="Normal 5 7 4 2 3 2" xfId="49677" xr:uid="{81F9F0C7-7D67-4DCD-B875-B2E6FCEAD499}"/>
    <cellStyle name="Normal 5 7 4 2 3 3" xfId="31081" xr:uid="{107CC6C1-C3C3-4322-814C-E7CA18758288}"/>
    <cellStyle name="Normal 5 7 4 2 4" xfId="40380" xr:uid="{EB82BD31-4033-4DFB-B276-B3FA9B7003E6}"/>
    <cellStyle name="Normal 5 7 4 2 5" xfId="21782" xr:uid="{49A6190F-D563-46FD-836F-E3B2AD4318FA}"/>
    <cellStyle name="Normal 5 7 4 3" xfId="6081" xr:uid="{00000000-0005-0000-0000-0000D01B0000}"/>
    <cellStyle name="Normal 5 7 4 3 2" xfId="15407" xr:uid="{A6CDAB6E-C47F-4BC8-811C-7897DD935EB7}"/>
    <cellStyle name="Normal 5 7 4 3 2 2" xfId="51749" xr:uid="{B66427FB-3FBF-46FF-AA5B-C4BB318D92D4}"/>
    <cellStyle name="Normal 5 7 4 3 2 3" xfId="33153" xr:uid="{7A9B2D02-7CA9-4C74-86B2-41AFEDDD4C13}"/>
    <cellStyle name="Normal 5 7 4 3 3" xfId="42452" xr:uid="{37FAA195-E533-48A9-834B-C6E6EAED79E9}"/>
    <cellStyle name="Normal 5 7 4 3 4" xfId="23854" xr:uid="{4946161A-0052-4403-83E9-785A698FCA70}"/>
    <cellStyle name="Normal 5 7 4 4" xfId="11190" xr:uid="{ACA97511-7A37-4A1D-A898-10BD19DC374D}"/>
    <cellStyle name="Normal 5 7 4 4 2" xfId="47532" xr:uid="{B731E537-881C-4617-BD03-A64C0E34E986}"/>
    <cellStyle name="Normal 5 7 4 4 3" xfId="28936" xr:uid="{8C4CBC30-72DE-4F01-AC74-2AA16B49BBA6}"/>
    <cellStyle name="Normal 5 7 4 5" xfId="38235" xr:uid="{5D594079-026B-4B49-B72A-8097CF29929B}"/>
    <cellStyle name="Normal 5 7 4 6" xfId="19637" xr:uid="{8A637CCE-B36C-4D74-A8A3-0589705DEC6F}"/>
    <cellStyle name="Normal 5 7 5" xfId="2188" xr:uid="{00000000-0005-0000-0000-0000D11B0000}"/>
    <cellStyle name="Normal 5 7 5 2" xfId="4417" xr:uid="{00000000-0005-0000-0000-0000D21B0000}"/>
    <cellStyle name="Normal 5 7 5 2 2" xfId="8639" xr:uid="{00000000-0005-0000-0000-0000D31B0000}"/>
    <cellStyle name="Normal 5 7 5 2 2 2" xfId="17965" xr:uid="{A45261E8-FB70-40F1-8366-32436178DDAB}"/>
    <cellStyle name="Normal 5 7 5 2 2 2 2" xfId="54307" xr:uid="{0C6C3024-6D65-4D55-BCB3-EC8147CDCDE6}"/>
    <cellStyle name="Normal 5 7 5 2 2 2 3" xfId="35711" xr:uid="{25C0D42B-A51C-456C-8F50-0A8F9C0EF7EC}"/>
    <cellStyle name="Normal 5 7 5 2 2 3" xfId="45010" xr:uid="{7D167497-0597-4E0D-A76E-78CEFBEDEEAB}"/>
    <cellStyle name="Normal 5 7 5 2 2 4" xfId="26412" xr:uid="{C80DE475-790D-4343-8F13-825DD7597D18}"/>
    <cellStyle name="Normal 5 7 5 2 3" xfId="13748" xr:uid="{8F711137-B69A-4811-A223-3375303B0F5F}"/>
    <cellStyle name="Normal 5 7 5 2 3 2" xfId="50090" xr:uid="{E2DD5AF6-7623-4136-BB9D-702EE4E3DB9B}"/>
    <cellStyle name="Normal 5 7 5 2 3 3" xfId="31494" xr:uid="{886F0CFF-C97A-41B7-8A5B-3846A73FF826}"/>
    <cellStyle name="Normal 5 7 5 2 4" xfId="40793" xr:uid="{19F1217F-2E7C-4E40-9D01-826513113680}"/>
    <cellStyle name="Normal 5 7 5 2 5" xfId="22195" xr:uid="{CEA2FE35-A2FE-4DC2-9834-252787B283B2}"/>
    <cellStyle name="Normal 5 7 5 3" xfId="6494" xr:uid="{00000000-0005-0000-0000-0000D41B0000}"/>
    <cellStyle name="Normal 5 7 5 3 2" xfId="15820" xr:uid="{FE6F88B7-6085-485E-BCA6-946C159DDDD2}"/>
    <cellStyle name="Normal 5 7 5 3 2 2" xfId="52162" xr:uid="{E03C38EE-3169-482F-8419-C7316FC5DE2B}"/>
    <cellStyle name="Normal 5 7 5 3 2 3" xfId="33566" xr:uid="{43463515-6A54-4662-9854-63A3C62C9782}"/>
    <cellStyle name="Normal 5 7 5 3 3" xfId="42865" xr:uid="{0C1DBF6A-BC12-42A4-AA0B-3B20762CEAE7}"/>
    <cellStyle name="Normal 5 7 5 3 4" xfId="24267" xr:uid="{AC91A95A-B5B2-41B5-9277-68EECDA3E2C7}"/>
    <cellStyle name="Normal 5 7 5 4" xfId="11603" xr:uid="{963F4061-BB91-4ADB-A7CB-95F21F010FE3}"/>
    <cellStyle name="Normal 5 7 5 4 2" xfId="47945" xr:uid="{843D80BB-FC9F-457F-9DE6-5CF0E169E5BF}"/>
    <cellStyle name="Normal 5 7 5 4 3" xfId="29349" xr:uid="{FE431BFB-444B-490C-AC77-B3FC96A7C95D}"/>
    <cellStyle name="Normal 5 7 5 5" xfId="38648" xr:uid="{8A922CAC-9261-4267-97F4-FC64120A8314}"/>
    <cellStyle name="Normal 5 7 5 6" xfId="20050" xr:uid="{E148D018-6E0A-4A24-91FB-003A04A46F12}"/>
    <cellStyle name="Normal 5 7 6" xfId="2624" xr:uid="{00000000-0005-0000-0000-0000D51B0000}"/>
    <cellStyle name="Normal 5 7 6 2" xfId="6907" xr:uid="{00000000-0005-0000-0000-0000D61B0000}"/>
    <cellStyle name="Normal 5 7 6 2 2" xfId="16233" xr:uid="{714FA84B-E670-4CBE-8230-364D936AE009}"/>
    <cellStyle name="Normal 5 7 6 2 2 2" xfId="52575" xr:uid="{E2D3D2E5-B612-4F95-8D0E-51D8037228F4}"/>
    <cellStyle name="Normal 5 7 6 2 2 3" xfId="33979" xr:uid="{2CF62AF6-D282-40ED-A89F-8B8D3D4FE8A6}"/>
    <cellStyle name="Normal 5 7 6 2 3" xfId="43278" xr:uid="{6E9D9B1C-B628-415D-9157-86F17B6766F1}"/>
    <cellStyle name="Normal 5 7 6 2 4" xfId="24680" xr:uid="{44E78421-F52D-4B1F-8933-D13AF5AFCA2A}"/>
    <cellStyle name="Normal 5 7 6 3" xfId="12016" xr:uid="{EB7E1115-9F7A-4B7E-B058-1564EF46D231}"/>
    <cellStyle name="Normal 5 7 6 3 2" xfId="48358" xr:uid="{5584FAB3-F51F-4221-80A5-D4E4C7B87599}"/>
    <cellStyle name="Normal 5 7 6 3 3" xfId="29762" xr:uid="{69A2D88D-35FF-49F3-9543-011B0166DD49}"/>
    <cellStyle name="Normal 5 7 6 4" xfId="39061" xr:uid="{200F127F-7A4B-4796-9038-60DF80D138D4}"/>
    <cellStyle name="Normal 5 7 6 5" xfId="20463" xr:uid="{D8B2FD02-6567-43C6-AF76-7B1E21AB81E6}"/>
    <cellStyle name="Normal 5 7 7" xfId="4842" xr:uid="{00000000-0005-0000-0000-0000D71B0000}"/>
    <cellStyle name="Normal 5 7 7 2" xfId="14168" xr:uid="{AB773E54-83E6-4533-A91A-B07C36CBD9A0}"/>
    <cellStyle name="Normal 5 7 7 2 2" xfId="50510" xr:uid="{B519F57A-D57B-4D7F-AAC2-98C6649226AB}"/>
    <cellStyle name="Normal 5 7 7 2 3" xfId="31914" xr:uid="{5B64654C-AFD1-4BD2-ABB7-DD5699B748EF}"/>
    <cellStyle name="Normal 5 7 7 3" xfId="41213" xr:uid="{7747314B-3CEE-4DD1-ADED-E3B08CB43508}"/>
    <cellStyle name="Normal 5 7 7 4" xfId="22615" xr:uid="{8523DCDF-1E2B-41C1-82C4-44D74FBACFAC}"/>
    <cellStyle name="Normal 5 7 8" xfId="8960" xr:uid="{F4BEC964-53C9-4393-B7F1-69B47FC1FF25}"/>
    <cellStyle name="Normal 5 7 8 2" xfId="36030" xr:uid="{6DE413B4-B70D-4193-B476-66E8738F7260}"/>
    <cellStyle name="Normal 5 7 8 2 2" xfId="54625" xr:uid="{E1FF7570-9E66-45A9-A37F-365B6580CB58}"/>
    <cellStyle name="Normal 5 7 8 3" xfId="45328" xr:uid="{9AE55725-7CED-43D4-A257-9CD469E2D4B5}"/>
    <cellStyle name="Normal 5 7 8 4" xfId="26731" xr:uid="{AEBFE2CE-945A-4B27-9418-2568FFE681EB}"/>
    <cellStyle name="Normal 5 7 9" xfId="9951" xr:uid="{B1D8B404-0C61-49F3-850B-21C2554F8983}"/>
    <cellStyle name="Normal 5 7 9 2" xfId="46293" xr:uid="{3B717006-38C0-4892-98C4-87F2CF196904}"/>
    <cellStyle name="Normal 5 7 9 3" xfId="27697" xr:uid="{A7B347D8-689C-499C-B85B-8B6C8746E654}"/>
    <cellStyle name="Normal 5 8" xfId="880" xr:uid="{00000000-0005-0000-0000-0000D81B0000}"/>
    <cellStyle name="Normal 5 8 2" xfId="3115" xr:uid="{00000000-0005-0000-0000-0000D91B0000}"/>
    <cellStyle name="Normal 5 8 2 2" xfId="7337" xr:uid="{00000000-0005-0000-0000-0000DA1B0000}"/>
    <cellStyle name="Normal 5 8 2 2 2" xfId="16663" xr:uid="{45AF0E87-7549-476A-95DB-F8AE22F46AB1}"/>
    <cellStyle name="Normal 5 8 2 2 2 2" xfId="53005" xr:uid="{AE5983DC-D9AF-41F7-A7D4-E9E249D44B56}"/>
    <cellStyle name="Normal 5 8 2 2 2 3" xfId="34409" xr:uid="{D81C6EB6-4122-4DE2-B546-2B74BD8C60D2}"/>
    <cellStyle name="Normal 5 8 2 2 3" xfId="43708" xr:uid="{BF7AC4D2-D142-4F83-AEA1-9DD067AF8D40}"/>
    <cellStyle name="Normal 5 8 2 2 4" xfId="25110" xr:uid="{A73BB17E-550F-4196-8BF6-72CF0D8B3AFB}"/>
    <cellStyle name="Normal 5 8 2 3" xfId="12446" xr:uid="{F677B00F-9C27-4B51-958C-4A6945424714}"/>
    <cellStyle name="Normal 5 8 2 3 2" xfId="48788" xr:uid="{74A78318-ADC6-4A60-B2EB-777C493C6FF4}"/>
    <cellStyle name="Normal 5 8 2 3 3" xfId="30192" xr:uid="{32A0C1A5-F07F-4C76-AF08-C31FB0991C5A}"/>
    <cellStyle name="Normal 5 8 2 4" xfId="39491" xr:uid="{C3E66AA0-B88F-440B-925B-5B2086453D1D}"/>
    <cellStyle name="Normal 5 8 2 5" xfId="20893" xr:uid="{6670F17E-D1B8-4A6D-9A7B-6C194295FEC4}"/>
    <cellStyle name="Normal 5 8 3" xfId="5192" xr:uid="{00000000-0005-0000-0000-0000DB1B0000}"/>
    <cellStyle name="Normal 5 8 3 2" xfId="14518" xr:uid="{2125FDA4-5716-4EEE-9EE5-9CFD8FAFCFF9}"/>
    <cellStyle name="Normal 5 8 3 2 2" xfId="50860" xr:uid="{6EF9B829-227E-4B35-8CCF-7A605D365B4A}"/>
    <cellStyle name="Normal 5 8 3 2 3" xfId="32264" xr:uid="{9C7FBC78-1A22-49CB-BA96-EABB4E12E21F}"/>
    <cellStyle name="Normal 5 8 3 3" xfId="41563" xr:uid="{95E15294-DEDA-4FF7-8D93-13C738E690AD}"/>
    <cellStyle name="Normal 5 8 3 4" xfId="22965" xr:uid="{9654B6FA-E9D6-4EF4-9A9F-0D61B8E5EB37}"/>
    <cellStyle name="Normal 5 8 4" xfId="9163" xr:uid="{44C7CAD4-DD7C-48E0-9142-8ED22123C662}"/>
    <cellStyle name="Normal 5 8 4 2" xfId="36227" xr:uid="{EE7CDAD7-23B7-4AD4-9A1C-7FE1BCF92D42}"/>
    <cellStyle name="Normal 5 8 4 2 2" xfId="54821" xr:uid="{8FB4315C-5CCD-412B-A94F-7C440DC31B0A}"/>
    <cellStyle name="Normal 5 8 4 3" xfId="45524" xr:uid="{41D193E2-AC69-4F26-89BD-8BFBD836CA6E}"/>
    <cellStyle name="Normal 5 8 4 4" xfId="26928" xr:uid="{14A1D0DD-3F2E-49B1-8532-55D17676B098}"/>
    <cellStyle name="Normal 5 8 5" xfId="10301" xr:uid="{6C842B7B-9CC3-498E-86D6-1C06C73E22AC}"/>
    <cellStyle name="Normal 5 8 5 2" xfId="46643" xr:uid="{B851BA76-F294-48EA-93F7-8DA59533A432}"/>
    <cellStyle name="Normal 5 8 5 3" xfId="28047" xr:uid="{9492E5A9-20F7-406B-ACFE-2172A5221BAB}"/>
    <cellStyle name="Normal 5 8 6" xfId="37346" xr:uid="{771236CC-E548-42FC-87BE-C30CF08C2ADA}"/>
    <cellStyle name="Normal 5 8 7" xfId="18748" xr:uid="{E3308A7C-A0DC-47BC-A17F-7627DCAC3B8E}"/>
    <cellStyle name="Normal 5 9" xfId="1298" xr:uid="{00000000-0005-0000-0000-0000DC1B0000}"/>
    <cellStyle name="Normal 5 9 2" xfId="3528" xr:uid="{00000000-0005-0000-0000-0000DD1B0000}"/>
    <cellStyle name="Normal 5 9 2 2" xfId="7750" xr:uid="{00000000-0005-0000-0000-0000DE1B0000}"/>
    <cellStyle name="Normal 5 9 2 2 2" xfId="17076" xr:uid="{0740CB90-6EA8-485C-ACC3-8BBB23BDF836}"/>
    <cellStyle name="Normal 5 9 2 2 2 2" xfId="53418" xr:uid="{9DCCD5EC-E135-40DF-B980-E33B5372A5E6}"/>
    <cellStyle name="Normal 5 9 2 2 2 3" xfId="34822" xr:uid="{68B5C7C3-4C9A-4DA1-B530-2454B7255BD6}"/>
    <cellStyle name="Normal 5 9 2 2 3" xfId="44121" xr:uid="{FE214F91-74C0-4B9C-8A05-884F19FBCC35}"/>
    <cellStyle name="Normal 5 9 2 2 4" xfId="25523" xr:uid="{4614EC3E-6B20-420F-A5D9-72427C0BBD2B}"/>
    <cellStyle name="Normal 5 9 2 3" xfId="12859" xr:uid="{F72F5FA7-99BC-4715-81F2-24DBCE14F755}"/>
    <cellStyle name="Normal 5 9 2 3 2" xfId="49201" xr:uid="{73A677DE-D053-47AB-BD18-3DC0862E0E87}"/>
    <cellStyle name="Normal 5 9 2 3 3" xfId="30605" xr:uid="{6FFA83E0-37DC-4CE9-9911-09C75E4107B7}"/>
    <cellStyle name="Normal 5 9 2 4" xfId="39904" xr:uid="{AE186029-9C4E-4B00-9BEE-2F0296699E29}"/>
    <cellStyle name="Normal 5 9 2 5" xfId="21306" xr:uid="{A2302FDF-5E19-4EF1-948B-29D36B7A0BE7}"/>
    <cellStyle name="Normal 5 9 3" xfId="5605" xr:uid="{00000000-0005-0000-0000-0000DF1B0000}"/>
    <cellStyle name="Normal 5 9 3 2" xfId="14931" xr:uid="{C6EF1499-F734-42FA-A706-7FF980502975}"/>
    <cellStyle name="Normal 5 9 3 2 2" xfId="51273" xr:uid="{CF1CABA6-94D7-4EF9-BE47-F06DC1FA1251}"/>
    <cellStyle name="Normal 5 9 3 2 3" xfId="32677" xr:uid="{1B76C5A3-A4C1-4E3F-A6D3-38653F471260}"/>
    <cellStyle name="Normal 5 9 3 3" xfId="41976" xr:uid="{E3154E3A-9704-4544-A981-7ADB208445F3}"/>
    <cellStyle name="Normal 5 9 3 4" xfId="23378" xr:uid="{6C3E92F0-816E-4AB2-BDA7-45A90295954B}"/>
    <cellStyle name="Normal 5 9 4" xfId="10714" xr:uid="{280ACAC0-DE04-46E1-9B7C-E9CD6DBCF0DD}"/>
    <cellStyle name="Normal 5 9 4 2" xfId="47056" xr:uid="{D3D33BC9-8931-403A-B35D-8A362F7B4E0D}"/>
    <cellStyle name="Normal 5 9 4 3" xfId="28460" xr:uid="{ED0FEEDB-FC4A-472B-A4B9-220B9963E46A}"/>
    <cellStyle name="Normal 5 9 5" xfId="37759" xr:uid="{82AA0563-1BEB-4470-AECE-5820CB49D41C}"/>
    <cellStyle name="Normal 5 9 6" xfId="19161" xr:uid="{7A3E8D76-5219-47A6-956E-2D5D89966B3B}"/>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17966" xr:uid="{D0C76513-E581-4028-8890-778C80A2CA57}"/>
    <cellStyle name="Normal 8 10 2 2 2 2" xfId="54308" xr:uid="{FE4B937F-0FDC-4194-94F8-CE97F061F32D}"/>
    <cellStyle name="Normal 8 10 2 2 2 3" xfId="35712" xr:uid="{C570EF0C-D0D8-45F7-A7D1-FAEB50B82E80}"/>
    <cellStyle name="Normal 8 10 2 2 3" xfId="45011" xr:uid="{91A0833D-81DD-45C3-B9DF-E7C45842A558}"/>
    <cellStyle name="Normal 8 10 2 2 4" xfId="26413" xr:uid="{AD1AFF8E-813A-4C56-9035-870C1C3D4815}"/>
    <cellStyle name="Normal 8 10 2 3" xfId="13749" xr:uid="{5CF903DC-3468-4A0A-A5CA-67A19D53CF38}"/>
    <cellStyle name="Normal 8 10 2 3 2" xfId="50091" xr:uid="{A7B4AF7E-5E4F-4F1B-8167-DDFB4B8BD0F0}"/>
    <cellStyle name="Normal 8 10 2 3 3" xfId="31495" xr:uid="{B048EBCB-1EFF-44C0-B100-1BA51731BE76}"/>
    <cellStyle name="Normal 8 10 2 4" xfId="40794" xr:uid="{FF43C68F-CFAB-44B2-A2A7-115F31CEA6ED}"/>
    <cellStyle name="Normal 8 10 2 5" xfId="22196" xr:uid="{0338C361-7D93-492D-A3AC-462CF8367C2D}"/>
    <cellStyle name="Normal 8 10 3" xfId="6495" xr:uid="{00000000-0005-0000-0000-0000EB1B0000}"/>
    <cellStyle name="Normal 8 10 3 2" xfId="15821" xr:uid="{7B4196C9-FB9C-462F-9D32-D051E2136D26}"/>
    <cellStyle name="Normal 8 10 3 2 2" xfId="52163" xr:uid="{6591FCA3-019B-4788-A80B-A0E691256C4B}"/>
    <cellStyle name="Normal 8 10 3 2 3" xfId="33567" xr:uid="{64AE34A5-0FF4-4F64-9D7D-A93D55F3E8CF}"/>
    <cellStyle name="Normal 8 10 3 3" xfId="42866" xr:uid="{C0C20653-5B83-4BE7-8E89-F0AD299385EC}"/>
    <cellStyle name="Normal 8 10 3 4" xfId="24268" xr:uid="{0089FFE8-DE18-407A-A08C-4B1C3122A033}"/>
    <cellStyle name="Normal 8 10 4" xfId="11604" xr:uid="{C808D2F0-1684-40C1-B16A-FF21283150B0}"/>
    <cellStyle name="Normal 8 10 4 2" xfId="47946" xr:uid="{A685AE7C-598E-4918-8D2A-DB4CB2AB923C}"/>
    <cellStyle name="Normal 8 10 4 3" xfId="29350" xr:uid="{732947A5-0E29-4D73-A8FD-D276DCD87AC1}"/>
    <cellStyle name="Normal 8 10 5" xfId="38649" xr:uid="{255F81AC-E4C4-4E56-992E-60066A238540}"/>
    <cellStyle name="Normal 8 10 6" xfId="20051" xr:uid="{843792E6-B1A5-40AD-BF28-C33EBBCEB475}"/>
    <cellStyle name="Normal 8 11" xfId="2625" xr:uid="{00000000-0005-0000-0000-0000EC1B0000}"/>
    <cellStyle name="Normal 8 11 2" xfId="6908" xr:uid="{00000000-0005-0000-0000-0000ED1B0000}"/>
    <cellStyle name="Normal 8 11 2 2" xfId="16234" xr:uid="{4BA5894F-3129-4CE5-BE8D-4460EC3457AB}"/>
    <cellStyle name="Normal 8 11 2 2 2" xfId="52576" xr:uid="{8EDEDE28-36E4-4DFC-BF07-D87DE2477A6C}"/>
    <cellStyle name="Normal 8 11 2 2 3" xfId="33980" xr:uid="{CC9B3403-7E20-4BB7-99CD-E06C6D4FC464}"/>
    <cellStyle name="Normal 8 11 2 3" xfId="43279" xr:uid="{DE092B8A-A204-4BAD-83F8-C3FBA8356E4F}"/>
    <cellStyle name="Normal 8 11 2 4" xfId="24681" xr:uid="{15BCF06D-BA60-4250-8B65-1E8A3B7CE1D8}"/>
    <cellStyle name="Normal 8 11 3" xfId="12017" xr:uid="{116145E9-2BBE-4662-B7B4-150D030E55B1}"/>
    <cellStyle name="Normal 8 11 3 2" xfId="48359" xr:uid="{AE5D22FB-DFBF-4011-BD0F-EAAA5C0FD95D}"/>
    <cellStyle name="Normal 8 11 3 3" xfId="29763" xr:uid="{BB842DEA-EC42-49E1-8FC9-AFEF5AD55DD0}"/>
    <cellStyle name="Normal 8 11 4" xfId="39062" xr:uid="{32709ECC-F8DD-49CD-90DE-D03EBC427EDD}"/>
    <cellStyle name="Normal 8 11 5" xfId="20464" xr:uid="{05E67B94-6E3F-4EA7-B1EE-8B53AA025319}"/>
    <cellStyle name="Normal 8 12" xfId="4843" xr:uid="{00000000-0005-0000-0000-0000EE1B0000}"/>
    <cellStyle name="Normal 8 12 2" xfId="14169" xr:uid="{14242B3F-69DB-457E-B5AD-47A8A8672EB1}"/>
    <cellStyle name="Normal 8 12 2 2" xfId="50511" xr:uid="{8AF9A2B4-5373-4465-B6E6-9A78B992FAA4}"/>
    <cellStyle name="Normal 8 12 2 3" xfId="31915" xr:uid="{AA944E9A-2954-4177-A915-E385F44F5C35}"/>
    <cellStyle name="Normal 8 12 3" xfId="41214" xr:uid="{35ABD1B9-5FA5-4590-83F4-39FEDEA0989D}"/>
    <cellStyle name="Normal 8 12 4" xfId="22616" xr:uid="{501811EC-D6F7-47C0-90B2-DCC323E3817A}"/>
    <cellStyle name="Normal 8 13" xfId="8742" xr:uid="{AF36CBBC-3EEB-4AC8-923B-65C7C2418AB0}"/>
    <cellStyle name="Normal 8 13 2" xfId="35812" xr:uid="{190028A7-39F0-4200-A450-94BE9392ADBF}"/>
    <cellStyle name="Normal 8 13 2 2" xfId="54407" xr:uid="{E3E2C0E0-A816-4048-A48B-4DF25B0A1250}"/>
    <cellStyle name="Normal 8 13 3" xfId="45110" xr:uid="{89C08807-46DF-4A63-975C-E13FA153E59E}"/>
    <cellStyle name="Normal 8 13 4" xfId="26513" xr:uid="{6423F855-3D8D-4A5E-A9E2-3E2B443824C8}"/>
    <cellStyle name="Normal 8 14" xfId="9952" xr:uid="{F76EF26D-004F-45D6-8976-82360B4BF3C7}"/>
    <cellStyle name="Normal 8 14 2" xfId="46294" xr:uid="{C65136B8-9391-4086-B15E-74E1CFD27715}"/>
    <cellStyle name="Normal 8 14 3" xfId="27698" xr:uid="{4B0A0C72-4C30-4324-9436-1A69BCC1EE0A}"/>
    <cellStyle name="Normal 8 15" xfId="36997" xr:uid="{948C5519-9CB7-4F06-B757-8DCC098BB9CA}"/>
    <cellStyle name="Normal 8 16" xfId="18399" xr:uid="{56E41F98-8103-4F73-9930-C5B03DAAB764}"/>
    <cellStyle name="Normal 8 2" xfId="479" xr:uid="{00000000-0005-0000-0000-0000EF1B0000}"/>
    <cellStyle name="Normal 8 2 10" xfId="2626" xr:uid="{00000000-0005-0000-0000-0000F01B0000}"/>
    <cellStyle name="Normal 8 2 10 2" xfId="6909" xr:uid="{00000000-0005-0000-0000-0000F11B0000}"/>
    <cellStyle name="Normal 8 2 10 2 2" xfId="16235" xr:uid="{D11D5546-2FFA-4E20-B45C-F1B4F913945A}"/>
    <cellStyle name="Normal 8 2 10 2 2 2" xfId="52577" xr:uid="{5A29ED41-4630-407C-AF28-48E6D63C6305}"/>
    <cellStyle name="Normal 8 2 10 2 2 3" xfId="33981" xr:uid="{F4C4D7D8-9D23-4FE7-94E0-C365B8C7049F}"/>
    <cellStyle name="Normal 8 2 10 2 3" xfId="43280" xr:uid="{2159A040-8B49-4C97-A833-02E9F3A497AB}"/>
    <cellStyle name="Normal 8 2 10 2 4" xfId="24682" xr:uid="{B25A697C-CE7A-43DC-B042-EAC69C26DD3B}"/>
    <cellStyle name="Normal 8 2 10 3" xfId="12018" xr:uid="{E0F95324-191C-493F-A2CB-C095168C6C46}"/>
    <cellStyle name="Normal 8 2 10 3 2" xfId="48360" xr:uid="{470CF281-4954-4828-A366-31697DA42716}"/>
    <cellStyle name="Normal 8 2 10 3 3" xfId="29764" xr:uid="{49363A96-0078-4FC0-AE0D-222F3EFABE88}"/>
    <cellStyle name="Normal 8 2 10 4" xfId="39063" xr:uid="{91272342-FF58-450D-BC14-C33A41E6A4BE}"/>
    <cellStyle name="Normal 8 2 10 5" xfId="20465" xr:uid="{3672E07A-93FF-44F3-A8DE-4A9B55306F40}"/>
    <cellStyle name="Normal 8 2 11" xfId="4844" xr:uid="{00000000-0005-0000-0000-0000F21B0000}"/>
    <cellStyle name="Normal 8 2 11 2" xfId="14170" xr:uid="{A3A3FD56-9C18-4601-82E5-DD34EE3974BA}"/>
    <cellStyle name="Normal 8 2 11 2 2" xfId="50512" xr:uid="{C4423FA0-291D-423D-95A2-DB4887AFC02E}"/>
    <cellStyle name="Normal 8 2 11 2 3" xfId="31916" xr:uid="{2622047E-F2C6-42C0-A3A4-9218929358F9}"/>
    <cellStyle name="Normal 8 2 11 3" xfId="41215" xr:uid="{FF951946-508E-4126-ADB8-E7641D803977}"/>
    <cellStyle name="Normal 8 2 11 4" xfId="22617" xr:uid="{E5010163-EA68-4737-8644-3705F4865640}"/>
    <cellStyle name="Normal 8 2 12" xfId="8751" xr:uid="{476D0553-3387-4D9F-B05B-56EC7A36F7A1}"/>
    <cellStyle name="Normal 8 2 12 2" xfId="35821" xr:uid="{81F1995A-4586-4C62-AE70-EB081D5F2A99}"/>
    <cellStyle name="Normal 8 2 12 2 2" xfId="54416" xr:uid="{B3D22245-320C-4CD3-82ED-294FD2E59A16}"/>
    <cellStyle name="Normal 8 2 12 3" xfId="45119" xr:uid="{8CF736A7-80E6-40DD-955F-B21D479ACC1F}"/>
    <cellStyle name="Normal 8 2 12 4" xfId="26522" xr:uid="{661B69BD-EC67-4915-A399-C8F60DB5BB55}"/>
    <cellStyle name="Normal 8 2 13" xfId="9953" xr:uid="{2322C5CC-C8CA-4A7A-A7E1-0E0FE694ABA7}"/>
    <cellStyle name="Normal 8 2 13 2" xfId="46295" xr:uid="{9A378394-29A8-45B0-ADC2-947AB5E59C2F}"/>
    <cellStyle name="Normal 8 2 13 3" xfId="27699" xr:uid="{14362CC6-2CC7-41A1-8FBC-96FAAC63B32A}"/>
    <cellStyle name="Normal 8 2 14" xfId="36998" xr:uid="{8AE0D595-8A13-4DDA-BDF9-52F09C2F4C66}"/>
    <cellStyle name="Normal 8 2 15" xfId="18400" xr:uid="{A6760CAD-3E92-43DC-B601-C31331E76D4D}"/>
    <cellStyle name="Normal 8 2 2" xfId="480" xr:uid="{00000000-0005-0000-0000-0000F31B0000}"/>
    <cellStyle name="Normal 8 2 2 10" xfId="4845" xr:uid="{00000000-0005-0000-0000-0000F41B0000}"/>
    <cellStyle name="Normal 8 2 2 10 2" xfId="14171" xr:uid="{FB15AD2D-2BC5-4DFC-BA2E-0A66955B2340}"/>
    <cellStyle name="Normal 8 2 2 10 2 2" xfId="50513" xr:uid="{19A66300-6B78-4A0E-AA93-456F786DD39F}"/>
    <cellStyle name="Normal 8 2 2 10 2 3" xfId="31917" xr:uid="{E8099965-6212-4D47-A716-B86B7744A961}"/>
    <cellStyle name="Normal 8 2 2 10 3" xfId="41216" xr:uid="{39B831C0-5BFA-4428-B8DE-EF44562DA3E5}"/>
    <cellStyle name="Normal 8 2 2 10 4" xfId="22618" xr:uid="{AC3D4104-5DDE-4488-8ADA-DACBCE1029F5}"/>
    <cellStyle name="Normal 8 2 2 11" xfId="8783" xr:uid="{3C426022-C415-47DA-A8EF-1D6CE72527BD}"/>
    <cellStyle name="Normal 8 2 2 11 2" xfId="35853" xr:uid="{1102E704-4004-40D0-A396-D4DBC5918F16}"/>
    <cellStyle name="Normal 8 2 2 11 2 2" xfId="54448" xr:uid="{CCEBB7AA-8EE8-44DA-87EA-B38BA1A9B852}"/>
    <cellStyle name="Normal 8 2 2 11 3" xfId="45151" xr:uid="{9E984ED0-E306-44E9-A511-7C81218644D5}"/>
    <cellStyle name="Normal 8 2 2 11 4" xfId="26554" xr:uid="{7E7C1532-DBA0-4FF9-93E6-6936667E21EF}"/>
    <cellStyle name="Normal 8 2 2 12" xfId="9954" xr:uid="{F0A232A6-B8C0-40F6-AC60-60089E7CAEE3}"/>
    <cellStyle name="Normal 8 2 2 12 2" xfId="46296" xr:uid="{CA1003CF-0E3C-492A-A5A3-506834ECFFA5}"/>
    <cellStyle name="Normal 8 2 2 12 3" xfId="27700" xr:uid="{6BB12B1B-B7AF-40BD-BCAB-BEE96DBF52DD}"/>
    <cellStyle name="Normal 8 2 2 13" xfId="36999" xr:uid="{CC3448C9-F297-4489-BD07-17F9D4C4451E}"/>
    <cellStyle name="Normal 8 2 2 14" xfId="18401" xr:uid="{F0413BF4-BB66-425F-B1FC-6417CA357D0D}"/>
    <cellStyle name="Normal 8 2 2 2" xfId="481" xr:uid="{00000000-0005-0000-0000-0000F51B0000}"/>
    <cellStyle name="Normal 8 2 2 2 10" xfId="8836" xr:uid="{870E50AF-610D-4E0C-BDE0-389D6B32A0FA}"/>
    <cellStyle name="Normal 8 2 2 2 10 2" xfId="35906" xr:uid="{30B3484F-25DF-45D6-A814-7C6F062C1FF8}"/>
    <cellStyle name="Normal 8 2 2 2 10 2 2" xfId="54501" xr:uid="{78B5BB2D-8228-4014-A8D9-884970AA13F1}"/>
    <cellStyle name="Normal 8 2 2 2 10 3" xfId="45204" xr:uid="{FCEAAB48-4B88-4B6E-BC02-F1E5040F44BB}"/>
    <cellStyle name="Normal 8 2 2 2 10 4" xfId="26607" xr:uid="{1EFC49A1-181C-428B-96AC-C0B4667BEC91}"/>
    <cellStyle name="Normal 8 2 2 2 11" xfId="9955" xr:uid="{EC3A5839-F39B-4EED-8306-6352F8694E96}"/>
    <cellStyle name="Normal 8 2 2 2 11 2" xfId="46297" xr:uid="{B1B25520-1578-415B-AEF5-9EEF7893A890}"/>
    <cellStyle name="Normal 8 2 2 2 11 3" xfId="27701" xr:uid="{29875B64-5742-49B4-A5A3-BE088335B1B8}"/>
    <cellStyle name="Normal 8 2 2 2 12" xfId="37000" xr:uid="{FE65B48D-6ABB-40CC-A536-01EBE38E8729}"/>
    <cellStyle name="Normal 8 2 2 2 13" xfId="18402" xr:uid="{B34855F2-DD67-4E18-A412-05B79D99C34D}"/>
    <cellStyle name="Normal 8 2 2 2 2" xfId="482" xr:uid="{00000000-0005-0000-0000-0000F61B0000}"/>
    <cellStyle name="Normal 8 2 2 2 2 10" xfId="9956" xr:uid="{6779982E-8AA6-4232-BA15-540F9136A1FE}"/>
    <cellStyle name="Normal 8 2 2 2 2 10 2" xfId="46298" xr:uid="{9612E77A-6406-4D1D-B01C-F3022BC58E30}"/>
    <cellStyle name="Normal 8 2 2 2 2 10 3" xfId="27702" xr:uid="{84D285CF-1896-4C60-9B1A-AD3AA3612BE8}"/>
    <cellStyle name="Normal 8 2 2 2 2 11" xfId="37001" xr:uid="{C581A08C-591C-4E7F-B905-4EB2ECE060ED}"/>
    <cellStyle name="Normal 8 2 2 2 2 12" xfId="18403" xr:uid="{7FB1676C-96F1-46C4-8E32-8ACE9D534466}"/>
    <cellStyle name="Normal 8 2 2 2 2 2" xfId="483" xr:uid="{00000000-0005-0000-0000-0000F71B0000}"/>
    <cellStyle name="Normal 8 2 2 2 2 2 10" xfId="37002" xr:uid="{D31C6BB8-70B4-408B-A014-4618020D6286}"/>
    <cellStyle name="Normal 8 2 2 2 2 2 11" xfId="18404" xr:uid="{6AFD4E6F-C39A-4C0F-9683-142C2F4962D9}"/>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16732" xr:uid="{B6517518-C08E-42EF-9129-E3ECB75A0BC9}"/>
    <cellStyle name="Normal 8 2 2 2 2 2 2 2 2 2 2" xfId="53074" xr:uid="{1A42D6C8-FBA1-4734-9EED-BB9EEFC4B4C6}"/>
    <cellStyle name="Normal 8 2 2 2 2 2 2 2 2 2 3" xfId="34478" xr:uid="{E4214CCE-893C-452F-A745-2449C0BA8708}"/>
    <cellStyle name="Normal 8 2 2 2 2 2 2 2 2 3" xfId="43777" xr:uid="{0B024E80-1A0D-44BB-BBAB-62627F29B6A3}"/>
    <cellStyle name="Normal 8 2 2 2 2 2 2 2 2 4" xfId="25179" xr:uid="{164F45CA-C6D4-4015-B820-255D6AE4DE4E}"/>
    <cellStyle name="Normal 8 2 2 2 2 2 2 2 3" xfId="12515" xr:uid="{93D4D405-04AD-4E94-8E6C-BFC45B63595F}"/>
    <cellStyle name="Normal 8 2 2 2 2 2 2 2 3 2" xfId="48857" xr:uid="{23C0DD02-B710-43EE-A4ED-9B9A63D9AF13}"/>
    <cellStyle name="Normal 8 2 2 2 2 2 2 2 3 3" xfId="30261" xr:uid="{C566A522-E56A-4558-B05A-E7A76EAF9993}"/>
    <cellStyle name="Normal 8 2 2 2 2 2 2 2 4" xfId="39560" xr:uid="{B52037ED-A873-4D7C-A971-47151CC2EE8A}"/>
    <cellStyle name="Normal 8 2 2 2 2 2 2 2 5" xfId="20962" xr:uid="{0A3C1E23-D93E-4512-838F-64DDF7A8C3F2}"/>
    <cellStyle name="Normal 8 2 2 2 2 2 2 3" xfId="5261" xr:uid="{00000000-0005-0000-0000-0000FB1B0000}"/>
    <cellStyle name="Normal 8 2 2 2 2 2 2 3 2" xfId="14587" xr:uid="{29FECDFD-D6FE-487D-9194-468FAC1380E8}"/>
    <cellStyle name="Normal 8 2 2 2 2 2 2 3 2 2" xfId="50929" xr:uid="{49F8F93C-D451-49FC-B94D-2EE974CEE69C}"/>
    <cellStyle name="Normal 8 2 2 2 2 2 2 3 2 3" xfId="32333" xr:uid="{4E465BD3-D8A3-4257-BAD2-86B3EC8AD18C}"/>
    <cellStyle name="Normal 8 2 2 2 2 2 2 3 3" xfId="41632" xr:uid="{D7B9A689-79E5-4CA3-B704-859898DC1604}"/>
    <cellStyle name="Normal 8 2 2 2 2 2 2 3 4" xfId="23034" xr:uid="{EABC5EEB-04F6-423A-B358-7A485A6049D6}"/>
    <cellStyle name="Normal 8 2 2 2 2 2 2 4" xfId="9571" xr:uid="{B467C179-FE08-45F9-B1E6-E66379D80EBC}"/>
    <cellStyle name="Normal 8 2 2 2 2 2 2 4 2" xfId="36632" xr:uid="{A0CF4079-36F8-4EAB-8CB6-2E46730B8673}"/>
    <cellStyle name="Normal 8 2 2 2 2 2 2 4 2 2" xfId="55226" xr:uid="{66495120-DA37-40E0-BD55-ADC43462D458}"/>
    <cellStyle name="Normal 8 2 2 2 2 2 2 4 3" xfId="45929" xr:uid="{40FC2360-CBA6-4D06-9586-17CF129931A8}"/>
    <cellStyle name="Normal 8 2 2 2 2 2 2 4 4" xfId="27333" xr:uid="{36D9117D-0848-42D0-ACC4-DD6EB60B9505}"/>
    <cellStyle name="Normal 8 2 2 2 2 2 2 5" xfId="10370" xr:uid="{B784089E-02F6-47B9-B77F-C5F5765DE5A6}"/>
    <cellStyle name="Normal 8 2 2 2 2 2 2 5 2" xfId="46712" xr:uid="{A5405B56-E5EA-47E4-855F-F25197986755}"/>
    <cellStyle name="Normal 8 2 2 2 2 2 2 5 3" xfId="28116" xr:uid="{36A94603-D8FE-4677-A020-EBB06A8F70B9}"/>
    <cellStyle name="Normal 8 2 2 2 2 2 2 6" xfId="37415" xr:uid="{DA20A6E3-414B-4E86-A1BC-34FFD94F6C10}"/>
    <cellStyle name="Normal 8 2 2 2 2 2 2 7" xfId="18817" xr:uid="{6B121C2F-BA95-4630-A1A9-D9F85C26E1C7}"/>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17145" xr:uid="{C2A8827C-4728-439A-B061-98B6C05F25D3}"/>
    <cellStyle name="Normal 8 2 2 2 2 2 3 2 2 2 2" xfId="53487" xr:uid="{CDC474C5-F364-4180-809B-AD4DC08D4196}"/>
    <cellStyle name="Normal 8 2 2 2 2 2 3 2 2 2 3" xfId="34891" xr:uid="{3D3A349A-8594-4F30-9352-549B73A03820}"/>
    <cellStyle name="Normal 8 2 2 2 2 2 3 2 2 3" xfId="44190" xr:uid="{02CD38A4-A3EC-4CD7-8EBB-1AAD52C28023}"/>
    <cellStyle name="Normal 8 2 2 2 2 2 3 2 2 4" xfId="25592" xr:uid="{EFD8023C-6BF1-4EC5-A92E-6A1EC3B3234F}"/>
    <cellStyle name="Normal 8 2 2 2 2 2 3 2 3" xfId="12928" xr:uid="{C6DEDEB4-0E21-4BCF-98B3-19A8C2837A9C}"/>
    <cellStyle name="Normal 8 2 2 2 2 2 3 2 3 2" xfId="49270" xr:uid="{2DE19FAA-55AB-470F-9C56-198A4F29DB5B}"/>
    <cellStyle name="Normal 8 2 2 2 2 2 3 2 3 3" xfId="30674" xr:uid="{E593C00B-5EC9-4659-91FE-14A1F1356158}"/>
    <cellStyle name="Normal 8 2 2 2 2 2 3 2 4" xfId="39973" xr:uid="{E5A8A7FD-2ABF-4CFA-B80A-01173A7C4C49}"/>
    <cellStyle name="Normal 8 2 2 2 2 2 3 2 5" xfId="21375" xr:uid="{B6C0734C-0317-455B-8E85-CF2C6843390D}"/>
    <cellStyle name="Normal 8 2 2 2 2 2 3 3" xfId="5674" xr:uid="{00000000-0005-0000-0000-0000FF1B0000}"/>
    <cellStyle name="Normal 8 2 2 2 2 2 3 3 2" xfId="15000" xr:uid="{AC355F3E-3FF5-4004-AF16-0AC92352319F}"/>
    <cellStyle name="Normal 8 2 2 2 2 2 3 3 2 2" xfId="51342" xr:uid="{1BEB29D2-FBAD-498C-BE3A-50F3ADBDD741}"/>
    <cellStyle name="Normal 8 2 2 2 2 2 3 3 2 3" xfId="32746" xr:uid="{AE3AF946-6815-436E-87EA-7FF35F43E2B5}"/>
    <cellStyle name="Normal 8 2 2 2 2 2 3 3 3" xfId="42045" xr:uid="{ECE35FD7-FC54-4C01-AB50-2B8FA34DF9EB}"/>
    <cellStyle name="Normal 8 2 2 2 2 2 3 3 4" xfId="23447" xr:uid="{B432C4E0-731B-4568-9B86-E5F60A533F0A}"/>
    <cellStyle name="Normal 8 2 2 2 2 2 3 4" xfId="10783" xr:uid="{A3805AC5-EA24-46CD-A6B2-9283DABE299A}"/>
    <cellStyle name="Normal 8 2 2 2 2 2 3 4 2" xfId="47125" xr:uid="{0FD3EB25-DCFE-4CDA-BCBA-28F7AEDB4BD0}"/>
    <cellStyle name="Normal 8 2 2 2 2 2 3 4 3" xfId="28529" xr:uid="{BE9E21A0-89E4-444C-AD14-BC9FA22830C6}"/>
    <cellStyle name="Normal 8 2 2 2 2 2 3 5" xfId="37828" xr:uid="{53EFCD58-CF9A-41AD-8D4A-36C5A89DC49A}"/>
    <cellStyle name="Normal 8 2 2 2 2 2 3 6" xfId="19230" xr:uid="{22B3F159-9DAE-46F0-83A6-8A5DDD46908E}"/>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17558" xr:uid="{D8F2CD8B-29F4-4909-BA25-28FDCB1660C6}"/>
    <cellStyle name="Normal 8 2 2 2 2 2 4 2 2 2 2" xfId="53900" xr:uid="{353E08E6-A76B-462C-BDF8-F3678D26E0BC}"/>
    <cellStyle name="Normal 8 2 2 2 2 2 4 2 2 2 3" xfId="35304" xr:uid="{8B0653E7-A9DE-4142-9CFE-812325D8AF72}"/>
    <cellStyle name="Normal 8 2 2 2 2 2 4 2 2 3" xfId="44603" xr:uid="{E66B5D68-0E0A-43FB-82D7-0F0D69014EF2}"/>
    <cellStyle name="Normal 8 2 2 2 2 2 4 2 2 4" xfId="26005" xr:uid="{E04891C8-D908-461A-9F3C-3E373222F68C}"/>
    <cellStyle name="Normal 8 2 2 2 2 2 4 2 3" xfId="13341" xr:uid="{BBD86CCC-9206-49EB-A9A1-03F586541F5A}"/>
    <cellStyle name="Normal 8 2 2 2 2 2 4 2 3 2" xfId="49683" xr:uid="{8C591655-7F66-4C46-90FC-99BC0AFE7D67}"/>
    <cellStyle name="Normal 8 2 2 2 2 2 4 2 3 3" xfId="31087" xr:uid="{E6D3AB97-EA99-411B-B45A-10E5B61AE405}"/>
    <cellStyle name="Normal 8 2 2 2 2 2 4 2 4" xfId="40386" xr:uid="{0CAC80F7-DDFC-4020-9892-0B75C9CECEA8}"/>
    <cellStyle name="Normal 8 2 2 2 2 2 4 2 5" xfId="21788" xr:uid="{52509CD7-87B9-406A-82AD-3D4D2DC46D19}"/>
    <cellStyle name="Normal 8 2 2 2 2 2 4 3" xfId="6087" xr:uid="{00000000-0005-0000-0000-0000031C0000}"/>
    <cellStyle name="Normal 8 2 2 2 2 2 4 3 2" xfId="15413" xr:uid="{734A72D3-95BB-4A50-9AAC-452E9F309F5B}"/>
    <cellStyle name="Normal 8 2 2 2 2 2 4 3 2 2" xfId="51755" xr:uid="{6E1C12CF-F563-48B3-9FC3-9FED4E375235}"/>
    <cellStyle name="Normal 8 2 2 2 2 2 4 3 2 3" xfId="33159" xr:uid="{21FD79B0-5417-4026-825B-117DC9D4133C}"/>
    <cellStyle name="Normal 8 2 2 2 2 2 4 3 3" xfId="42458" xr:uid="{3198CE9A-68FF-4D66-B2D3-873721A644FD}"/>
    <cellStyle name="Normal 8 2 2 2 2 2 4 3 4" xfId="23860" xr:uid="{303B05DF-032D-44D6-BBE8-ACD6A3967324}"/>
    <cellStyle name="Normal 8 2 2 2 2 2 4 4" xfId="11196" xr:uid="{B5E086C6-CE1D-4025-A712-D22F48159F6E}"/>
    <cellStyle name="Normal 8 2 2 2 2 2 4 4 2" xfId="47538" xr:uid="{51367CB4-BEB2-41C7-95DD-517944DDCBB2}"/>
    <cellStyle name="Normal 8 2 2 2 2 2 4 4 3" xfId="28942" xr:uid="{8E829CAE-01A5-4ACF-A60E-37C72280CB0F}"/>
    <cellStyle name="Normal 8 2 2 2 2 2 4 5" xfId="38241" xr:uid="{B78CACD0-6A1A-4915-B057-2A2C6D439CA4}"/>
    <cellStyle name="Normal 8 2 2 2 2 2 4 6" xfId="19643" xr:uid="{31CA1EAA-EDE6-4CD3-BBA9-6B74D6019C08}"/>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17971" xr:uid="{4C43891B-F144-4D41-A87E-01B45712435D}"/>
    <cellStyle name="Normal 8 2 2 2 2 2 5 2 2 2 2" xfId="54313" xr:uid="{6C40F288-5136-43A8-979A-3448BAD089F3}"/>
    <cellStyle name="Normal 8 2 2 2 2 2 5 2 2 2 3" xfId="35717" xr:uid="{2EEF43BA-72C6-469F-9D3D-02547507369B}"/>
    <cellStyle name="Normal 8 2 2 2 2 2 5 2 2 3" xfId="45016" xr:uid="{B1D79FA9-33D4-4769-802D-781D4F38E4C6}"/>
    <cellStyle name="Normal 8 2 2 2 2 2 5 2 2 4" xfId="26418" xr:uid="{57EB310C-804C-4317-BE68-15A68A078F0F}"/>
    <cellStyle name="Normal 8 2 2 2 2 2 5 2 3" xfId="13754" xr:uid="{BA4BFEF2-4C58-4391-86EE-6CB38CCF36BF}"/>
    <cellStyle name="Normal 8 2 2 2 2 2 5 2 3 2" xfId="50096" xr:uid="{048E7A53-6CD4-49ED-91CF-1618369207B0}"/>
    <cellStyle name="Normal 8 2 2 2 2 2 5 2 3 3" xfId="31500" xr:uid="{8093AA5B-F7C8-4687-87DB-64254261B5E9}"/>
    <cellStyle name="Normal 8 2 2 2 2 2 5 2 4" xfId="40799" xr:uid="{FDBAAC64-E767-4AEF-A974-04DEF4968316}"/>
    <cellStyle name="Normal 8 2 2 2 2 2 5 2 5" xfId="22201" xr:uid="{35A250D9-409E-48C3-841B-4C39C847D99F}"/>
    <cellStyle name="Normal 8 2 2 2 2 2 5 3" xfId="6500" xr:uid="{00000000-0005-0000-0000-0000071C0000}"/>
    <cellStyle name="Normal 8 2 2 2 2 2 5 3 2" xfId="15826" xr:uid="{9E75BFF3-278C-474F-9949-A893FE787F56}"/>
    <cellStyle name="Normal 8 2 2 2 2 2 5 3 2 2" xfId="52168" xr:uid="{E009A3D7-6A3D-4C82-8CBC-4520D0C4BA17}"/>
    <cellStyle name="Normal 8 2 2 2 2 2 5 3 2 3" xfId="33572" xr:uid="{6DAE3629-E304-4948-8AEA-8C2E0E7EF2C4}"/>
    <cellStyle name="Normal 8 2 2 2 2 2 5 3 3" xfId="42871" xr:uid="{E832445B-EE6E-4CF8-886F-DD4DEC28D2B3}"/>
    <cellStyle name="Normal 8 2 2 2 2 2 5 3 4" xfId="24273" xr:uid="{B8E30B3F-E7C1-40DC-BBCB-FC6498CDE762}"/>
    <cellStyle name="Normal 8 2 2 2 2 2 5 4" xfId="11609" xr:uid="{7C578CCA-E9E1-4AF7-A437-932AFAD8DF38}"/>
    <cellStyle name="Normal 8 2 2 2 2 2 5 4 2" xfId="47951" xr:uid="{86964D7C-ABE8-4D52-B9A2-AAA4276725F2}"/>
    <cellStyle name="Normal 8 2 2 2 2 2 5 4 3" xfId="29355" xr:uid="{1F5F406E-F954-497A-997D-F47C368D4CDD}"/>
    <cellStyle name="Normal 8 2 2 2 2 2 5 5" xfId="38654" xr:uid="{A1E61E17-3F93-4E85-BDFB-2EEB709DB289}"/>
    <cellStyle name="Normal 8 2 2 2 2 2 5 6" xfId="20056" xr:uid="{CE1E2A86-970D-4503-8FCD-BF8C2ACC7AB3}"/>
    <cellStyle name="Normal 8 2 2 2 2 2 6" xfId="2630" xr:uid="{00000000-0005-0000-0000-0000081C0000}"/>
    <cellStyle name="Normal 8 2 2 2 2 2 6 2" xfId="6913" xr:uid="{00000000-0005-0000-0000-0000091C0000}"/>
    <cellStyle name="Normal 8 2 2 2 2 2 6 2 2" xfId="16239" xr:uid="{88B4B604-1F0C-418F-83D9-656F1B9ECC76}"/>
    <cellStyle name="Normal 8 2 2 2 2 2 6 2 2 2" xfId="52581" xr:uid="{EF886AC7-75DB-42E3-8DE8-7FB02F1961F2}"/>
    <cellStyle name="Normal 8 2 2 2 2 2 6 2 2 3" xfId="33985" xr:uid="{485BCF45-F3A6-49E2-A0C4-4119A18F7FAF}"/>
    <cellStyle name="Normal 8 2 2 2 2 2 6 2 3" xfId="43284" xr:uid="{190C540E-C65A-4389-8527-56B9257C2296}"/>
    <cellStyle name="Normal 8 2 2 2 2 2 6 2 4" xfId="24686" xr:uid="{C4861FB9-5320-42D4-89A1-086DD1EF126A}"/>
    <cellStyle name="Normal 8 2 2 2 2 2 6 3" xfId="12022" xr:uid="{9C85B16F-3936-40A3-BA0F-F94A71F68216}"/>
    <cellStyle name="Normal 8 2 2 2 2 2 6 3 2" xfId="48364" xr:uid="{A72C1924-007C-4B5D-A31E-A6D4C4DB5F41}"/>
    <cellStyle name="Normal 8 2 2 2 2 2 6 3 3" xfId="29768" xr:uid="{CE372EF9-824F-4AA5-8A94-ED83814B2136}"/>
    <cellStyle name="Normal 8 2 2 2 2 2 6 4" xfId="39067" xr:uid="{1AC5025B-7FCD-488F-A817-BE2F1E4A46DD}"/>
    <cellStyle name="Normal 8 2 2 2 2 2 6 5" xfId="20469" xr:uid="{58F2A57B-21CA-4137-9B1F-A3D31D686C48}"/>
    <cellStyle name="Normal 8 2 2 2 2 2 7" xfId="4848" xr:uid="{00000000-0005-0000-0000-00000A1C0000}"/>
    <cellStyle name="Normal 8 2 2 2 2 2 7 2" xfId="14174" xr:uid="{968F1606-BDF6-4872-B2B0-D63880377A1F}"/>
    <cellStyle name="Normal 8 2 2 2 2 2 7 2 2" xfId="50516" xr:uid="{BE2A4A46-DC41-4834-B874-E7EA21C8FF57}"/>
    <cellStyle name="Normal 8 2 2 2 2 2 7 2 3" xfId="31920" xr:uid="{EC9DE323-32E1-4441-9189-951BB3E7B822}"/>
    <cellStyle name="Normal 8 2 2 2 2 2 7 3" xfId="41219" xr:uid="{AD7B2EEC-6F74-4315-A51D-DA508440A3B5}"/>
    <cellStyle name="Normal 8 2 2 2 2 2 7 4" xfId="22621" xr:uid="{FC172AF5-72D1-4499-9DA1-DAC213DF3042}"/>
    <cellStyle name="Normal 8 2 2 2 2 2 8" xfId="9146" xr:uid="{0E570703-055D-406D-8BD9-575AF6037A75}"/>
    <cellStyle name="Normal 8 2 2 2 2 2 8 2" xfId="36216" xr:uid="{213D194D-94AB-43C8-8F64-7BDD3CDF26C8}"/>
    <cellStyle name="Normal 8 2 2 2 2 2 8 2 2" xfId="54811" xr:uid="{535665A3-FE15-4615-81AA-13C1DE569CEC}"/>
    <cellStyle name="Normal 8 2 2 2 2 2 8 3" xfId="45514" xr:uid="{BA8C93DD-17CC-41B9-AF51-4D3B00A0E461}"/>
    <cellStyle name="Normal 8 2 2 2 2 2 8 4" xfId="26917" xr:uid="{19479923-1369-48B1-BE7A-4B5A47EF07A0}"/>
    <cellStyle name="Normal 8 2 2 2 2 2 9" xfId="9957" xr:uid="{B7431956-E15C-4071-8740-F5E69EEAD41D}"/>
    <cellStyle name="Normal 8 2 2 2 2 2 9 2" xfId="46299" xr:uid="{438D7DEA-3EC0-4640-A114-A0DF2EE8023C}"/>
    <cellStyle name="Normal 8 2 2 2 2 2 9 3" xfId="27703" xr:uid="{5545BF3A-83CC-4073-A956-A9F4B3BD746F}"/>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16731" xr:uid="{48329650-7CC6-4BB2-BB64-62C4208687DF}"/>
    <cellStyle name="Normal 8 2 2 2 2 3 2 2 2 2" xfId="53073" xr:uid="{DD5827E2-AF26-4C21-9DC0-A886DC8CFCB4}"/>
    <cellStyle name="Normal 8 2 2 2 2 3 2 2 2 3" xfId="34477" xr:uid="{AB463B17-7D36-46E3-9980-A58A75BE9A71}"/>
    <cellStyle name="Normal 8 2 2 2 2 3 2 2 3" xfId="43776" xr:uid="{8F591223-BAA3-47E3-B873-EE8BC9895F6A}"/>
    <cellStyle name="Normal 8 2 2 2 2 3 2 2 4" xfId="25178" xr:uid="{2A1D4D65-349F-4203-A1FA-66E9379D17CA}"/>
    <cellStyle name="Normal 8 2 2 2 2 3 2 3" xfId="12514" xr:uid="{3250BDDD-1E25-4570-88F2-ADE6F6090C1B}"/>
    <cellStyle name="Normal 8 2 2 2 2 3 2 3 2" xfId="48856" xr:uid="{62A8C0F1-FD9D-4AA3-8776-B883C1853188}"/>
    <cellStyle name="Normal 8 2 2 2 2 3 2 3 3" xfId="30260" xr:uid="{C6770081-0BD9-4D35-9CCB-D747FC6C2C9F}"/>
    <cellStyle name="Normal 8 2 2 2 2 3 2 4" xfId="39559" xr:uid="{4D691E66-6029-4A4E-A7A3-060A9D602642}"/>
    <cellStyle name="Normal 8 2 2 2 2 3 2 5" xfId="20961" xr:uid="{593A4EEE-9A25-44B9-83B7-46371648D113}"/>
    <cellStyle name="Normal 8 2 2 2 2 3 3" xfId="5260" xr:uid="{00000000-0005-0000-0000-00000E1C0000}"/>
    <cellStyle name="Normal 8 2 2 2 2 3 3 2" xfId="14586" xr:uid="{D7B610EA-4A97-422E-B3E8-19367CA6527F}"/>
    <cellStyle name="Normal 8 2 2 2 2 3 3 2 2" xfId="50928" xr:uid="{DDD2DBE7-8B42-499A-8872-D3E90ABBF3A4}"/>
    <cellStyle name="Normal 8 2 2 2 2 3 3 2 3" xfId="32332" xr:uid="{B57D80E4-8472-4C7A-864D-1F809E082990}"/>
    <cellStyle name="Normal 8 2 2 2 2 3 3 3" xfId="41631" xr:uid="{A7F08DB6-FC02-4DD4-9BE5-3872569DF1EB}"/>
    <cellStyle name="Normal 8 2 2 2 2 3 3 4" xfId="23033" xr:uid="{0DC7ABF6-7FEB-4210-8307-2C8AB3919B56}"/>
    <cellStyle name="Normal 8 2 2 2 2 3 4" xfId="9364" xr:uid="{21426B7C-FC96-483C-B560-AC4767107497}"/>
    <cellStyle name="Normal 8 2 2 2 2 3 4 2" xfId="36425" xr:uid="{516AF0C5-271D-4CAB-9F23-9C043EC0C808}"/>
    <cellStyle name="Normal 8 2 2 2 2 3 4 2 2" xfId="55019" xr:uid="{B503B857-8671-4894-A9D7-BB1144A62CEE}"/>
    <cellStyle name="Normal 8 2 2 2 2 3 4 3" xfId="45722" xr:uid="{415EC05C-E08D-470C-8489-C438AEC2F213}"/>
    <cellStyle name="Normal 8 2 2 2 2 3 4 4" xfId="27126" xr:uid="{4B5DEA88-0C60-40BC-AD85-57F423B8F6B6}"/>
    <cellStyle name="Normal 8 2 2 2 2 3 5" xfId="10369" xr:uid="{A106179C-1E2A-4227-8F04-70014CE66557}"/>
    <cellStyle name="Normal 8 2 2 2 2 3 5 2" xfId="46711" xr:uid="{C635F77A-D71D-4862-937D-920A33485D94}"/>
    <cellStyle name="Normal 8 2 2 2 2 3 5 3" xfId="28115" xr:uid="{DC57B06B-613E-4C97-96CB-80FC5E8C0D0B}"/>
    <cellStyle name="Normal 8 2 2 2 2 3 6" xfId="37414" xr:uid="{12F32950-0659-4590-B5F5-DA0047F70558}"/>
    <cellStyle name="Normal 8 2 2 2 2 3 7" xfId="18816" xr:uid="{021E8789-922C-4E6E-A7DD-1A364F5CBB96}"/>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17144" xr:uid="{280BC6DF-8A41-461D-BDFB-C610AA96E486}"/>
    <cellStyle name="Normal 8 2 2 2 2 4 2 2 2 2" xfId="53486" xr:uid="{50C942FF-3E14-4E6C-8EC6-F25EBDF333F5}"/>
    <cellStyle name="Normal 8 2 2 2 2 4 2 2 2 3" xfId="34890" xr:uid="{44D20E3B-2B42-44B0-9DC8-DDCDD065FBF9}"/>
    <cellStyle name="Normal 8 2 2 2 2 4 2 2 3" xfId="44189" xr:uid="{5678F876-5B5C-4DF2-A0AB-F22B9D1215A5}"/>
    <cellStyle name="Normal 8 2 2 2 2 4 2 2 4" xfId="25591" xr:uid="{01B2785F-F751-4593-A697-E733075536EC}"/>
    <cellStyle name="Normal 8 2 2 2 2 4 2 3" xfId="12927" xr:uid="{7DE6E0D7-999B-4EF6-BB74-CDF6BC701AC9}"/>
    <cellStyle name="Normal 8 2 2 2 2 4 2 3 2" xfId="49269" xr:uid="{B99E3121-87FE-4C67-BD7B-BA76CE66B4AA}"/>
    <cellStyle name="Normal 8 2 2 2 2 4 2 3 3" xfId="30673" xr:uid="{382FC2FA-4E9D-495F-86FB-203C8D41CDF3}"/>
    <cellStyle name="Normal 8 2 2 2 2 4 2 4" xfId="39972" xr:uid="{18FD7E3E-75EE-43CA-9B4D-4587F1EEE3FE}"/>
    <cellStyle name="Normal 8 2 2 2 2 4 2 5" xfId="21374" xr:uid="{11C62887-FF91-40BC-A629-3DE5F0A81554}"/>
    <cellStyle name="Normal 8 2 2 2 2 4 3" xfId="5673" xr:uid="{00000000-0005-0000-0000-0000121C0000}"/>
    <cellStyle name="Normal 8 2 2 2 2 4 3 2" xfId="14999" xr:uid="{6B5A187C-EADC-4F1E-A66D-0EB6706588DB}"/>
    <cellStyle name="Normal 8 2 2 2 2 4 3 2 2" xfId="51341" xr:uid="{303E7052-BD2C-47B3-ABE8-07685967000C}"/>
    <cellStyle name="Normal 8 2 2 2 2 4 3 2 3" xfId="32745" xr:uid="{DA33D5EF-85E9-44AB-A534-02BF07545F12}"/>
    <cellStyle name="Normal 8 2 2 2 2 4 3 3" xfId="42044" xr:uid="{D2DE29BE-E6D1-4BD5-86AB-5611817A33B9}"/>
    <cellStyle name="Normal 8 2 2 2 2 4 3 4" xfId="23446" xr:uid="{01723D5D-0238-46C1-BEF4-3C81CDD6F1CB}"/>
    <cellStyle name="Normal 8 2 2 2 2 4 4" xfId="10782" xr:uid="{416A60AB-9C45-4F49-B5C4-D7918C9922F6}"/>
    <cellStyle name="Normal 8 2 2 2 2 4 4 2" xfId="47124" xr:uid="{E29FD15A-3E1B-47EE-B70F-D50C83559603}"/>
    <cellStyle name="Normal 8 2 2 2 2 4 4 3" xfId="28528" xr:uid="{091C90B3-8480-4DFB-BC94-49F0FBB7CEB9}"/>
    <cellStyle name="Normal 8 2 2 2 2 4 5" xfId="37827" xr:uid="{C78F211F-3708-4CA5-9DDE-B29BF19DF726}"/>
    <cellStyle name="Normal 8 2 2 2 2 4 6" xfId="19229" xr:uid="{5C5C1531-D14D-4B6F-B21F-85D6CDEB4AEA}"/>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17557" xr:uid="{A8CE9E96-8DB6-4E64-8C4F-66491344DE4D}"/>
    <cellStyle name="Normal 8 2 2 2 2 5 2 2 2 2" xfId="53899" xr:uid="{3D7937CD-1FC3-4E38-AC41-80B46CBD2590}"/>
    <cellStyle name="Normal 8 2 2 2 2 5 2 2 2 3" xfId="35303" xr:uid="{C162580F-736D-4B57-99F2-8C3E84182CBA}"/>
    <cellStyle name="Normal 8 2 2 2 2 5 2 2 3" xfId="44602" xr:uid="{39D4F346-CC5F-420D-AF70-251D137503C6}"/>
    <cellStyle name="Normal 8 2 2 2 2 5 2 2 4" xfId="26004" xr:uid="{5056629A-6218-4CDA-BA6D-3FDA3CBC9E01}"/>
    <cellStyle name="Normal 8 2 2 2 2 5 2 3" xfId="13340" xr:uid="{24A7BD4B-8C87-4850-B3A8-8AA208B9EB36}"/>
    <cellStyle name="Normal 8 2 2 2 2 5 2 3 2" xfId="49682" xr:uid="{6ADF656C-DF7B-416B-B126-157B931E9178}"/>
    <cellStyle name="Normal 8 2 2 2 2 5 2 3 3" xfId="31086" xr:uid="{099B7376-0B26-48A1-8E56-512F895388AE}"/>
    <cellStyle name="Normal 8 2 2 2 2 5 2 4" xfId="40385" xr:uid="{A32C5D9D-91DA-4CC9-A979-BF69ED8AE1EC}"/>
    <cellStyle name="Normal 8 2 2 2 2 5 2 5" xfId="21787" xr:uid="{D55F0E1E-1B90-4D03-AD4F-415124777CB4}"/>
    <cellStyle name="Normal 8 2 2 2 2 5 3" xfId="6086" xr:uid="{00000000-0005-0000-0000-0000161C0000}"/>
    <cellStyle name="Normal 8 2 2 2 2 5 3 2" xfId="15412" xr:uid="{76C09E65-0253-47B5-B287-8F2FCBEF6489}"/>
    <cellStyle name="Normal 8 2 2 2 2 5 3 2 2" xfId="51754" xr:uid="{92FA87CB-9E00-4694-B63C-0E3BC0171391}"/>
    <cellStyle name="Normal 8 2 2 2 2 5 3 2 3" xfId="33158" xr:uid="{239BB70D-7EF5-4F25-9072-71E27C820969}"/>
    <cellStyle name="Normal 8 2 2 2 2 5 3 3" xfId="42457" xr:uid="{21CCA3AC-32D9-41A7-8BD0-35A3DAB2C3C3}"/>
    <cellStyle name="Normal 8 2 2 2 2 5 3 4" xfId="23859" xr:uid="{1D4C67FE-B7F3-4F9F-98D2-8AC32A910FBE}"/>
    <cellStyle name="Normal 8 2 2 2 2 5 4" xfId="11195" xr:uid="{6C63CAF3-B703-490E-9865-726372D83560}"/>
    <cellStyle name="Normal 8 2 2 2 2 5 4 2" xfId="47537" xr:uid="{FE444585-33E7-43C8-9233-A10635E88FA3}"/>
    <cellStyle name="Normal 8 2 2 2 2 5 4 3" xfId="28941" xr:uid="{F9611661-0999-4C5C-AE0E-7C6B3ADC28E8}"/>
    <cellStyle name="Normal 8 2 2 2 2 5 5" xfId="38240" xr:uid="{C4798993-064D-40EE-9AA7-1393BA5DE38F}"/>
    <cellStyle name="Normal 8 2 2 2 2 5 6" xfId="19642" xr:uid="{A9CA5C79-E37C-4545-9C13-815376B59BD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17970" xr:uid="{D8EF5B50-FC16-49E8-ACF8-7ED76C4265A4}"/>
    <cellStyle name="Normal 8 2 2 2 2 6 2 2 2 2" xfId="54312" xr:uid="{5D2E4819-EC23-46C8-8295-86C4F5CA2CC3}"/>
    <cellStyle name="Normal 8 2 2 2 2 6 2 2 2 3" xfId="35716" xr:uid="{A0F30861-BE21-4FA5-8E4D-F8E8A71CC429}"/>
    <cellStyle name="Normal 8 2 2 2 2 6 2 2 3" xfId="45015" xr:uid="{F62E35D4-CEB5-49F6-89CE-25574547D7DF}"/>
    <cellStyle name="Normal 8 2 2 2 2 6 2 2 4" xfId="26417" xr:uid="{11DF30E6-A78A-4951-B078-CE7EDAE0DC57}"/>
    <cellStyle name="Normal 8 2 2 2 2 6 2 3" xfId="13753" xr:uid="{AC180709-BA2C-41BD-8AE8-02968FF31EEF}"/>
    <cellStyle name="Normal 8 2 2 2 2 6 2 3 2" xfId="50095" xr:uid="{4E2DE235-61F0-44B6-9122-8E5BDDA99E3F}"/>
    <cellStyle name="Normal 8 2 2 2 2 6 2 3 3" xfId="31499" xr:uid="{4CD1B5E3-E785-4FF0-931A-AB0983E73B2E}"/>
    <cellStyle name="Normal 8 2 2 2 2 6 2 4" xfId="40798" xr:uid="{96D3A836-D234-4BBE-A2E8-ED32250BF590}"/>
    <cellStyle name="Normal 8 2 2 2 2 6 2 5" xfId="22200" xr:uid="{A4AE4F70-8C82-4AEA-BE2E-06BB245611ED}"/>
    <cellStyle name="Normal 8 2 2 2 2 6 3" xfId="6499" xr:uid="{00000000-0005-0000-0000-00001A1C0000}"/>
    <cellStyle name="Normal 8 2 2 2 2 6 3 2" xfId="15825" xr:uid="{0382B9D7-C6F4-41A2-AF8D-B75284F70DEF}"/>
    <cellStyle name="Normal 8 2 2 2 2 6 3 2 2" xfId="52167" xr:uid="{40EAFC86-1E20-4029-BACE-76EE55DA93A3}"/>
    <cellStyle name="Normal 8 2 2 2 2 6 3 2 3" xfId="33571" xr:uid="{82FEE25A-53E4-40E9-B671-1B081AB2AA3C}"/>
    <cellStyle name="Normal 8 2 2 2 2 6 3 3" xfId="42870" xr:uid="{849139DC-A55D-4939-863A-53DF456F1AE1}"/>
    <cellStyle name="Normal 8 2 2 2 2 6 3 4" xfId="24272" xr:uid="{957C9BE3-B766-44CF-A3CC-0B0411AC94BB}"/>
    <cellStyle name="Normal 8 2 2 2 2 6 4" xfId="11608" xr:uid="{A75369E0-275A-4B53-B082-A6FB0EEA4E90}"/>
    <cellStyle name="Normal 8 2 2 2 2 6 4 2" xfId="47950" xr:uid="{EC0000DA-540C-4180-A559-06F0B51E95BA}"/>
    <cellStyle name="Normal 8 2 2 2 2 6 4 3" xfId="29354" xr:uid="{15205EDB-53B4-44A2-A16D-2B0A57B2805F}"/>
    <cellStyle name="Normal 8 2 2 2 2 6 5" xfId="38653" xr:uid="{B7D0B003-87F4-478E-9E79-6631FA900748}"/>
    <cellStyle name="Normal 8 2 2 2 2 6 6" xfId="20055" xr:uid="{3A075F74-693B-4975-B90A-8660A1B78210}"/>
    <cellStyle name="Normal 8 2 2 2 2 7" xfId="2629" xr:uid="{00000000-0005-0000-0000-00001B1C0000}"/>
    <cellStyle name="Normal 8 2 2 2 2 7 2" xfId="6912" xr:uid="{00000000-0005-0000-0000-00001C1C0000}"/>
    <cellStyle name="Normal 8 2 2 2 2 7 2 2" xfId="16238" xr:uid="{B7CDB104-7B62-4F74-B915-3DE5B9018F21}"/>
    <cellStyle name="Normal 8 2 2 2 2 7 2 2 2" xfId="52580" xr:uid="{2A5617EF-F386-48C8-832D-2F021D17E4EE}"/>
    <cellStyle name="Normal 8 2 2 2 2 7 2 2 3" xfId="33984" xr:uid="{412A5426-715F-4599-A51F-2F87BE335C98}"/>
    <cellStyle name="Normal 8 2 2 2 2 7 2 3" xfId="43283" xr:uid="{8B14060B-3472-48B7-B504-8E41625ADF16}"/>
    <cellStyle name="Normal 8 2 2 2 2 7 2 4" xfId="24685" xr:uid="{6FEFBE6E-A2D6-4F37-B6B4-F2D54A9033C7}"/>
    <cellStyle name="Normal 8 2 2 2 2 7 3" xfId="12021" xr:uid="{A1F9F690-3A67-4426-9BD9-72E36A5EF652}"/>
    <cellStyle name="Normal 8 2 2 2 2 7 3 2" xfId="48363" xr:uid="{3D5679DD-721A-4E06-B55A-DBA99F42B741}"/>
    <cellStyle name="Normal 8 2 2 2 2 7 3 3" xfId="29767" xr:uid="{8FDB4A10-4D56-4F0A-BDEB-4BB2F34AA7AA}"/>
    <cellStyle name="Normal 8 2 2 2 2 7 4" xfId="39066" xr:uid="{B59712E8-3916-4EB5-93B6-5DADD31799B7}"/>
    <cellStyle name="Normal 8 2 2 2 2 7 5" xfId="20468" xr:uid="{CB003F4A-686B-41B1-A0D2-F6609C255EDF}"/>
    <cellStyle name="Normal 8 2 2 2 2 8" xfId="4847" xr:uid="{00000000-0005-0000-0000-00001D1C0000}"/>
    <cellStyle name="Normal 8 2 2 2 2 8 2" xfId="14173" xr:uid="{5C1B1386-1D54-41DF-AE1D-D7F511FE83B2}"/>
    <cellStyle name="Normal 8 2 2 2 2 8 2 2" xfId="50515" xr:uid="{27C056D9-05DE-4597-B14B-E2FCA155526D}"/>
    <cellStyle name="Normal 8 2 2 2 2 8 2 3" xfId="31919" xr:uid="{CCD1E1D9-49BD-4015-AB03-96EBF8EB39E2}"/>
    <cellStyle name="Normal 8 2 2 2 2 8 3" xfId="41218" xr:uid="{6F109EC0-E679-46FE-B400-05C9474FACA7}"/>
    <cellStyle name="Normal 8 2 2 2 2 8 4" xfId="22620" xr:uid="{EA5DCB95-7DF6-4758-BE7C-C132210A41EE}"/>
    <cellStyle name="Normal 8 2 2 2 2 9" xfId="8939" xr:uid="{385BAC75-25D1-414A-8E33-9B6DCCA130DE}"/>
    <cellStyle name="Normal 8 2 2 2 2 9 2" xfId="36009" xr:uid="{B53573E8-2550-435A-8839-16728E506DF0}"/>
    <cellStyle name="Normal 8 2 2 2 2 9 2 2" xfId="54604" xr:uid="{EE835156-A9A0-4FAC-BB5F-9B1DCE00A1AD}"/>
    <cellStyle name="Normal 8 2 2 2 2 9 3" xfId="45307" xr:uid="{F1668ABA-6D84-40AD-A3B5-4D909BE83E0D}"/>
    <cellStyle name="Normal 8 2 2 2 2 9 4" xfId="26710" xr:uid="{E44B3BDC-A682-4C38-B811-CF89BBEF4A6C}"/>
    <cellStyle name="Normal 8 2 2 2 3" xfId="484" xr:uid="{00000000-0005-0000-0000-00001E1C0000}"/>
    <cellStyle name="Normal 8 2 2 2 3 10" xfId="37003" xr:uid="{DB5F4B23-A989-46D3-8C36-5508700F2A59}"/>
    <cellStyle name="Normal 8 2 2 2 3 11" xfId="18405" xr:uid="{0550F2A1-A871-49F1-B9CE-EAA53DD23661}"/>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16733" xr:uid="{505F662E-2579-4552-BDEB-D17ECD845097}"/>
    <cellStyle name="Normal 8 2 2 2 3 2 2 2 2 2" xfId="53075" xr:uid="{8BFC7DFF-22F7-46C0-8773-AA3A0054980F}"/>
    <cellStyle name="Normal 8 2 2 2 3 2 2 2 2 3" xfId="34479" xr:uid="{8B958D30-C27E-4BE7-AAA5-E37813B31907}"/>
    <cellStyle name="Normal 8 2 2 2 3 2 2 2 3" xfId="43778" xr:uid="{564AA99E-1141-44CA-92C5-1D46FF9F5A7E}"/>
    <cellStyle name="Normal 8 2 2 2 3 2 2 2 4" xfId="25180" xr:uid="{EEED79EA-BF03-4B2F-8B88-75505E902046}"/>
    <cellStyle name="Normal 8 2 2 2 3 2 2 3" xfId="12516" xr:uid="{431DB2CF-D524-4EB8-8C51-25E833593EA1}"/>
    <cellStyle name="Normal 8 2 2 2 3 2 2 3 2" xfId="48858" xr:uid="{E78322EF-7E5E-4BE2-B801-543A776EB192}"/>
    <cellStyle name="Normal 8 2 2 2 3 2 2 3 3" xfId="30262" xr:uid="{32E6A170-A4B0-4460-8846-7B62515F2EBB}"/>
    <cellStyle name="Normal 8 2 2 2 3 2 2 4" xfId="39561" xr:uid="{DD2C231E-B418-4D32-A0A6-38DBF3321323}"/>
    <cellStyle name="Normal 8 2 2 2 3 2 2 5" xfId="20963" xr:uid="{B35D15F9-DA76-4980-A650-217EC74CD7DC}"/>
    <cellStyle name="Normal 8 2 2 2 3 2 3" xfId="5262" xr:uid="{00000000-0005-0000-0000-0000221C0000}"/>
    <cellStyle name="Normal 8 2 2 2 3 2 3 2" xfId="14588" xr:uid="{B2CD370C-1BEE-4ACC-B4F2-ABB2537BBCFA}"/>
    <cellStyle name="Normal 8 2 2 2 3 2 3 2 2" xfId="50930" xr:uid="{EAFDBE2A-A74C-415A-9A9A-27CAD726C1DF}"/>
    <cellStyle name="Normal 8 2 2 2 3 2 3 2 3" xfId="32334" xr:uid="{3EC5FB97-51EF-4156-9FED-DDFB42C02CE4}"/>
    <cellStyle name="Normal 8 2 2 2 3 2 3 3" xfId="41633" xr:uid="{FB12A1B6-3C1C-40C9-80AB-1E79B04DFCAB}"/>
    <cellStyle name="Normal 8 2 2 2 3 2 3 4" xfId="23035" xr:uid="{119F2C44-7727-4147-BBB3-8BE5276FDFB3}"/>
    <cellStyle name="Normal 8 2 2 2 3 2 4" xfId="9468" xr:uid="{8CC4AD0E-72B4-4935-8967-B171D7B5EF8D}"/>
    <cellStyle name="Normal 8 2 2 2 3 2 4 2" xfId="36529" xr:uid="{662FD69E-474C-43F7-AC7D-43E1C212CA7D}"/>
    <cellStyle name="Normal 8 2 2 2 3 2 4 2 2" xfId="55123" xr:uid="{1933BF38-4F03-46C3-88E2-68EF11B3A1E6}"/>
    <cellStyle name="Normal 8 2 2 2 3 2 4 3" xfId="45826" xr:uid="{D1C16A53-06B3-44AF-ACC7-DD9E046FA7EE}"/>
    <cellStyle name="Normal 8 2 2 2 3 2 4 4" xfId="27230" xr:uid="{95EACBD6-21C6-424D-9BF6-93DDB8A0BA27}"/>
    <cellStyle name="Normal 8 2 2 2 3 2 5" xfId="10371" xr:uid="{12474CB0-6D57-49EF-89CD-3E2242194709}"/>
    <cellStyle name="Normal 8 2 2 2 3 2 5 2" xfId="46713" xr:uid="{4D6C2275-3C50-4B8B-A868-7F72C106EDCE}"/>
    <cellStyle name="Normal 8 2 2 2 3 2 5 3" xfId="28117" xr:uid="{3A8069ED-E2B2-41A2-9817-8F4FAD5E9331}"/>
    <cellStyle name="Normal 8 2 2 2 3 2 6" xfId="37416" xr:uid="{07276AEF-D38A-4E47-96A7-95512C723EB6}"/>
    <cellStyle name="Normal 8 2 2 2 3 2 7" xfId="18818" xr:uid="{DC880FA2-037E-43AC-B029-DD5807374C15}"/>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17146" xr:uid="{FA1276B3-EC19-4ED3-9DA8-27554512140B}"/>
    <cellStyle name="Normal 8 2 2 2 3 3 2 2 2 2" xfId="53488" xr:uid="{FC9DEEC1-CB3C-42CD-8D3D-84C5069FDAA5}"/>
    <cellStyle name="Normal 8 2 2 2 3 3 2 2 2 3" xfId="34892" xr:uid="{62E138FA-618B-43EB-A1B1-011618ECB3E8}"/>
    <cellStyle name="Normal 8 2 2 2 3 3 2 2 3" xfId="44191" xr:uid="{6533C09B-A02A-4C27-BC82-7A85659EE256}"/>
    <cellStyle name="Normal 8 2 2 2 3 3 2 2 4" xfId="25593" xr:uid="{6A9C6521-6742-4A5F-B122-605AF3D50A3C}"/>
    <cellStyle name="Normal 8 2 2 2 3 3 2 3" xfId="12929" xr:uid="{45C41AF1-19E3-4AEB-98C9-5274E46FF73A}"/>
    <cellStyle name="Normal 8 2 2 2 3 3 2 3 2" xfId="49271" xr:uid="{11FDAB3C-5194-4119-821A-D7C33F98C282}"/>
    <cellStyle name="Normal 8 2 2 2 3 3 2 3 3" xfId="30675" xr:uid="{944295A9-6FA4-4D7A-8DF4-F291E1C66F70}"/>
    <cellStyle name="Normal 8 2 2 2 3 3 2 4" xfId="39974" xr:uid="{63073016-2B29-4BCE-80C6-851F686DD228}"/>
    <cellStyle name="Normal 8 2 2 2 3 3 2 5" xfId="21376" xr:uid="{E16796AE-246F-4069-BB8E-CCADD662FF0A}"/>
    <cellStyle name="Normal 8 2 2 2 3 3 3" xfId="5675" xr:uid="{00000000-0005-0000-0000-0000261C0000}"/>
    <cellStyle name="Normal 8 2 2 2 3 3 3 2" xfId="15001" xr:uid="{99F01461-C7C9-4D19-81CE-A4AF638120FE}"/>
    <cellStyle name="Normal 8 2 2 2 3 3 3 2 2" xfId="51343" xr:uid="{FEBCC52E-9B54-4E4A-87D1-5A59F959190F}"/>
    <cellStyle name="Normal 8 2 2 2 3 3 3 2 3" xfId="32747" xr:uid="{F04B3141-400F-47D6-B74D-A2125549F98E}"/>
    <cellStyle name="Normal 8 2 2 2 3 3 3 3" xfId="42046" xr:uid="{0D421553-8AE7-4B90-9051-F0419FD5CF45}"/>
    <cellStyle name="Normal 8 2 2 2 3 3 3 4" xfId="23448" xr:uid="{FF5154BE-C7CE-4102-94F0-81F281A5B8E9}"/>
    <cellStyle name="Normal 8 2 2 2 3 3 4" xfId="10784" xr:uid="{FC7A096F-F060-415B-AA4E-FF11B05F6CB5}"/>
    <cellStyle name="Normal 8 2 2 2 3 3 4 2" xfId="47126" xr:uid="{7980364E-C2F4-4546-B887-504B49CF0F96}"/>
    <cellStyle name="Normal 8 2 2 2 3 3 4 3" xfId="28530" xr:uid="{369611A0-611D-424D-9A60-3FDFBAFA073F}"/>
    <cellStyle name="Normal 8 2 2 2 3 3 5" xfId="37829" xr:uid="{48055166-D5A3-4682-8226-99F1E263350F}"/>
    <cellStyle name="Normal 8 2 2 2 3 3 6" xfId="19231" xr:uid="{1FF01B8D-09CB-4A12-AA5D-42081BF6B1E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17559" xr:uid="{D8EC4AB6-00F7-468E-A37E-7E21BD24EBF6}"/>
    <cellStyle name="Normal 8 2 2 2 3 4 2 2 2 2" xfId="53901" xr:uid="{4A1B569E-249D-4103-BE2C-61DCBF20935E}"/>
    <cellStyle name="Normal 8 2 2 2 3 4 2 2 2 3" xfId="35305" xr:uid="{A845B477-9823-4D83-AE5A-5765F2F21DE4}"/>
    <cellStyle name="Normal 8 2 2 2 3 4 2 2 3" xfId="44604" xr:uid="{39BBC8D4-75B3-4CEA-82B0-AE156204C92F}"/>
    <cellStyle name="Normal 8 2 2 2 3 4 2 2 4" xfId="26006" xr:uid="{DF64C168-3F4E-4855-B183-396CBA127731}"/>
    <cellStyle name="Normal 8 2 2 2 3 4 2 3" xfId="13342" xr:uid="{78A0EBDF-D7E7-4C37-8F93-80E444478540}"/>
    <cellStyle name="Normal 8 2 2 2 3 4 2 3 2" xfId="49684" xr:uid="{1BA80FED-E005-402F-9B87-D056A84EB4C3}"/>
    <cellStyle name="Normal 8 2 2 2 3 4 2 3 3" xfId="31088" xr:uid="{B4ACFEA2-EB83-41B7-AB65-44E94ACF958A}"/>
    <cellStyle name="Normal 8 2 2 2 3 4 2 4" xfId="40387" xr:uid="{DBADFA81-B069-49C8-AE0E-6F4B24CAFDD6}"/>
    <cellStyle name="Normal 8 2 2 2 3 4 2 5" xfId="21789" xr:uid="{B1371878-157D-466A-9DC7-7C9AB4B54426}"/>
    <cellStyle name="Normal 8 2 2 2 3 4 3" xfId="6088" xr:uid="{00000000-0005-0000-0000-00002A1C0000}"/>
    <cellStyle name="Normal 8 2 2 2 3 4 3 2" xfId="15414" xr:uid="{4035CF03-E156-4B89-8380-9AE1F9A86841}"/>
    <cellStyle name="Normal 8 2 2 2 3 4 3 2 2" xfId="51756" xr:uid="{8AE962B9-F568-433E-876D-C55762156E39}"/>
    <cellStyle name="Normal 8 2 2 2 3 4 3 2 3" xfId="33160" xr:uid="{5643A48B-6C09-4D3C-A61C-48D35E2DE9A9}"/>
    <cellStyle name="Normal 8 2 2 2 3 4 3 3" xfId="42459" xr:uid="{EA63EB09-7EC5-4CC3-85BC-CEEF36D0295F}"/>
    <cellStyle name="Normal 8 2 2 2 3 4 3 4" xfId="23861" xr:uid="{BB0AA34F-A10C-4070-9684-B735CA3C6BA3}"/>
    <cellStyle name="Normal 8 2 2 2 3 4 4" xfId="11197" xr:uid="{35207E0A-1435-42D0-BD43-13A4933A7465}"/>
    <cellStyle name="Normal 8 2 2 2 3 4 4 2" xfId="47539" xr:uid="{1CF148E6-A370-4393-9CB0-486F9A30EEF5}"/>
    <cellStyle name="Normal 8 2 2 2 3 4 4 3" xfId="28943" xr:uid="{C8572E88-D509-4BC6-BE40-73186F4F0FCE}"/>
    <cellStyle name="Normal 8 2 2 2 3 4 5" xfId="38242" xr:uid="{6BA6DCB3-DE77-44C3-9937-399EF0413BBC}"/>
    <cellStyle name="Normal 8 2 2 2 3 4 6" xfId="19644" xr:uid="{A5D4F0D2-AB71-47F9-A5B9-B571519D54F6}"/>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17972" xr:uid="{9F3B499C-23B0-4AEB-82A9-188D90392B39}"/>
    <cellStyle name="Normal 8 2 2 2 3 5 2 2 2 2" xfId="54314" xr:uid="{18E2224B-18FA-413F-9395-D6CB3BF1B0DF}"/>
    <cellStyle name="Normal 8 2 2 2 3 5 2 2 2 3" xfId="35718" xr:uid="{AA6DB7E9-3FBE-4B66-ACC9-873CA1F6DF10}"/>
    <cellStyle name="Normal 8 2 2 2 3 5 2 2 3" xfId="45017" xr:uid="{A336787B-305E-4006-9DD6-BE5494B02D81}"/>
    <cellStyle name="Normal 8 2 2 2 3 5 2 2 4" xfId="26419" xr:uid="{B48645CF-9AF0-4CDE-A8B1-810ED764F086}"/>
    <cellStyle name="Normal 8 2 2 2 3 5 2 3" xfId="13755" xr:uid="{0D775B03-9EA0-4E6E-A096-CDAE40A03673}"/>
    <cellStyle name="Normal 8 2 2 2 3 5 2 3 2" xfId="50097" xr:uid="{A555637E-68BB-4AB0-9CAB-B34B2084AE38}"/>
    <cellStyle name="Normal 8 2 2 2 3 5 2 3 3" xfId="31501" xr:uid="{0A21FF25-BC08-492D-BA74-65015A5DFCD3}"/>
    <cellStyle name="Normal 8 2 2 2 3 5 2 4" xfId="40800" xr:uid="{D551A864-3B59-4FCD-9B54-E68F8D2A038C}"/>
    <cellStyle name="Normal 8 2 2 2 3 5 2 5" xfId="22202" xr:uid="{3A3D0351-D250-4F26-A0A7-547A2F14BFFE}"/>
    <cellStyle name="Normal 8 2 2 2 3 5 3" xfId="6501" xr:uid="{00000000-0005-0000-0000-00002E1C0000}"/>
    <cellStyle name="Normal 8 2 2 2 3 5 3 2" xfId="15827" xr:uid="{0DD27AE5-A741-499F-9FA2-C47E8DE23B0F}"/>
    <cellStyle name="Normal 8 2 2 2 3 5 3 2 2" xfId="52169" xr:uid="{245D34DA-FA0E-4E8D-A0D3-3AC1D884032C}"/>
    <cellStyle name="Normal 8 2 2 2 3 5 3 2 3" xfId="33573" xr:uid="{728CFD45-9132-4A20-9111-545837DDA96B}"/>
    <cellStyle name="Normal 8 2 2 2 3 5 3 3" xfId="42872" xr:uid="{5C19A18F-0367-4E3A-9053-A9904A73BC53}"/>
    <cellStyle name="Normal 8 2 2 2 3 5 3 4" xfId="24274" xr:uid="{A216CFBC-DDDF-46CD-A29C-2A33DF9D9766}"/>
    <cellStyle name="Normal 8 2 2 2 3 5 4" xfId="11610" xr:uid="{68972D46-B454-4CC6-B41B-8B80A3ACD9A3}"/>
    <cellStyle name="Normal 8 2 2 2 3 5 4 2" xfId="47952" xr:uid="{F59543C1-3C65-4185-9E30-0D3342F88578}"/>
    <cellStyle name="Normal 8 2 2 2 3 5 4 3" xfId="29356" xr:uid="{E7909DFA-9499-4FDA-8732-5FEDB122EC0A}"/>
    <cellStyle name="Normal 8 2 2 2 3 5 5" xfId="38655" xr:uid="{039F15F1-9618-40E8-8315-8A7519525513}"/>
    <cellStyle name="Normal 8 2 2 2 3 5 6" xfId="20057" xr:uid="{F8ECF719-8521-4838-8247-E96F3DF6CC0E}"/>
    <cellStyle name="Normal 8 2 2 2 3 6" xfId="2631" xr:uid="{00000000-0005-0000-0000-00002F1C0000}"/>
    <cellStyle name="Normal 8 2 2 2 3 6 2" xfId="6914" xr:uid="{00000000-0005-0000-0000-0000301C0000}"/>
    <cellStyle name="Normal 8 2 2 2 3 6 2 2" xfId="16240" xr:uid="{8FC25B76-92C0-4306-B978-D6DCA14C83F0}"/>
    <cellStyle name="Normal 8 2 2 2 3 6 2 2 2" xfId="52582" xr:uid="{34137F06-5CA2-4BB3-A80C-D532A41B7050}"/>
    <cellStyle name="Normal 8 2 2 2 3 6 2 2 3" xfId="33986" xr:uid="{F52783E5-28D6-4B43-A05E-A3FB6B63A830}"/>
    <cellStyle name="Normal 8 2 2 2 3 6 2 3" xfId="43285" xr:uid="{4E6841C4-885B-4F4B-B3F7-3C0D123CD035}"/>
    <cellStyle name="Normal 8 2 2 2 3 6 2 4" xfId="24687" xr:uid="{21CE11B0-DA73-4601-BFF4-1E9DD176B4B4}"/>
    <cellStyle name="Normal 8 2 2 2 3 6 3" xfId="12023" xr:uid="{5E8A34B4-E7B9-4153-9124-54FE418AC9AF}"/>
    <cellStyle name="Normal 8 2 2 2 3 6 3 2" xfId="48365" xr:uid="{150C77BF-C4E2-4ED8-9D84-D3CBD383612F}"/>
    <cellStyle name="Normal 8 2 2 2 3 6 3 3" xfId="29769" xr:uid="{8E22B5CA-F615-4BF4-95AF-EDB92623367B}"/>
    <cellStyle name="Normal 8 2 2 2 3 6 4" xfId="39068" xr:uid="{C1072600-464B-4F57-A294-C3A7A6014E5D}"/>
    <cellStyle name="Normal 8 2 2 2 3 6 5" xfId="20470" xr:uid="{D13AECA7-7509-408D-AFA5-F9CF29C866BD}"/>
    <cellStyle name="Normal 8 2 2 2 3 7" xfId="4849" xr:uid="{00000000-0005-0000-0000-0000311C0000}"/>
    <cellStyle name="Normal 8 2 2 2 3 7 2" xfId="14175" xr:uid="{BC9CBD6F-BE7F-49C9-BEB8-2B7A5B069BA6}"/>
    <cellStyle name="Normal 8 2 2 2 3 7 2 2" xfId="50517" xr:uid="{8C0FEDAB-8025-48D2-9B2F-A068F669C049}"/>
    <cellStyle name="Normal 8 2 2 2 3 7 2 3" xfId="31921" xr:uid="{7DE5F2B4-7EB5-4E89-A470-DEB065008892}"/>
    <cellStyle name="Normal 8 2 2 2 3 7 3" xfId="41220" xr:uid="{DBBA6FCB-9209-4187-810B-150657C1EB48}"/>
    <cellStyle name="Normal 8 2 2 2 3 7 4" xfId="22622" xr:uid="{E7C213C0-EEF5-4F55-A774-AA0143F9B78A}"/>
    <cellStyle name="Normal 8 2 2 2 3 8" xfId="9043" xr:uid="{BAC463DF-40A7-4F07-ADD3-7274E57F505C}"/>
    <cellStyle name="Normal 8 2 2 2 3 8 2" xfId="36113" xr:uid="{FCD73D34-B9EA-4D9A-A7E3-B3D9A38DBE9C}"/>
    <cellStyle name="Normal 8 2 2 2 3 8 2 2" xfId="54708" xr:uid="{AA517158-A54D-46B8-84D8-14E13EF4B4EB}"/>
    <cellStyle name="Normal 8 2 2 2 3 8 3" xfId="45411" xr:uid="{5AB45349-D27E-47BE-B487-53F9F39296B6}"/>
    <cellStyle name="Normal 8 2 2 2 3 8 4" xfId="26814" xr:uid="{B92B4316-0AF4-4D85-A8F6-EE10D9020F5E}"/>
    <cellStyle name="Normal 8 2 2 2 3 9" xfId="9958" xr:uid="{9153C0EB-5C45-48FB-B158-8775513F6AA4}"/>
    <cellStyle name="Normal 8 2 2 2 3 9 2" xfId="46300" xr:uid="{E09FFB3C-0E22-41F7-8579-290A6A3F5742}"/>
    <cellStyle name="Normal 8 2 2 2 3 9 3" xfId="27704" xr:uid="{AB2098FA-409D-4658-957F-244D8E52E9A6}"/>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16730" xr:uid="{E0E2B986-77A6-41DA-BC1D-EE142671215F}"/>
    <cellStyle name="Normal 8 2 2 2 4 2 2 2 2" xfId="53072" xr:uid="{3B44EE05-2471-44FB-A317-1504F367E21C}"/>
    <cellStyle name="Normal 8 2 2 2 4 2 2 2 3" xfId="34476" xr:uid="{9ACF7064-51CB-41B1-9161-CF27005F1D3A}"/>
    <cellStyle name="Normal 8 2 2 2 4 2 2 3" xfId="43775" xr:uid="{6008B97D-5C2A-42B9-AC7A-35967AF88B8D}"/>
    <cellStyle name="Normal 8 2 2 2 4 2 2 4" xfId="25177" xr:uid="{D8B6E581-A18D-413E-8FDF-2F0DAB8B9AA3}"/>
    <cellStyle name="Normal 8 2 2 2 4 2 3" xfId="12513" xr:uid="{602B2A33-95B1-4F46-899C-973CCB67F458}"/>
    <cellStyle name="Normal 8 2 2 2 4 2 3 2" xfId="48855" xr:uid="{01F9F309-F182-425C-A165-C6F52BC5F243}"/>
    <cellStyle name="Normal 8 2 2 2 4 2 3 3" xfId="30259" xr:uid="{3D18DF56-22AF-494B-9B97-50DB9B484CA7}"/>
    <cellStyle name="Normal 8 2 2 2 4 2 4" xfId="39558" xr:uid="{73436BE8-A38E-4EE2-9A03-B3E65441393F}"/>
    <cellStyle name="Normal 8 2 2 2 4 2 5" xfId="20960" xr:uid="{8FA8E34B-F97C-47C9-90AE-ADC2B7DCDC6F}"/>
    <cellStyle name="Normal 8 2 2 2 4 3" xfId="5259" xr:uid="{00000000-0005-0000-0000-0000351C0000}"/>
    <cellStyle name="Normal 8 2 2 2 4 3 2" xfId="14585" xr:uid="{214C65E8-D796-4D79-9F67-341FE8B188D5}"/>
    <cellStyle name="Normal 8 2 2 2 4 3 2 2" xfId="50927" xr:uid="{C8A08B52-2A1A-49FB-8ED8-496136BADE66}"/>
    <cellStyle name="Normal 8 2 2 2 4 3 2 3" xfId="32331" xr:uid="{30ACFE63-912E-4881-9DC1-1D8AAB08A20E}"/>
    <cellStyle name="Normal 8 2 2 2 4 3 3" xfId="41630" xr:uid="{37850426-49F4-43C3-8819-A847B63309B4}"/>
    <cellStyle name="Normal 8 2 2 2 4 3 4" xfId="23032" xr:uid="{30288E7D-83C9-49E9-9ECC-0B05A2A186BF}"/>
    <cellStyle name="Normal 8 2 2 2 4 4" xfId="9261" xr:uid="{70C29865-A6DE-4682-9EB1-83E4E07FD0A7}"/>
    <cellStyle name="Normal 8 2 2 2 4 4 2" xfId="36322" xr:uid="{3EB64C23-DDBD-4ACF-A610-282166FD9ABD}"/>
    <cellStyle name="Normal 8 2 2 2 4 4 2 2" xfId="54916" xr:uid="{1A902050-D291-4E24-B576-CB0C5E144E55}"/>
    <cellStyle name="Normal 8 2 2 2 4 4 3" xfId="45619" xr:uid="{EF6BED84-2538-4855-BBE4-B6B235905840}"/>
    <cellStyle name="Normal 8 2 2 2 4 4 4" xfId="27023" xr:uid="{E63D04F9-48F4-4EB5-807F-24B3F4B9C392}"/>
    <cellStyle name="Normal 8 2 2 2 4 5" xfId="10368" xr:uid="{AC767E44-BABA-4CFB-B8DC-56C72E01E004}"/>
    <cellStyle name="Normal 8 2 2 2 4 5 2" xfId="46710" xr:uid="{1EFCA026-E0DD-45F2-B3CA-C510550B5C5B}"/>
    <cellStyle name="Normal 8 2 2 2 4 5 3" xfId="28114" xr:uid="{99B27AE5-53FB-49CD-BC9D-4BEC15A8BEE0}"/>
    <cellStyle name="Normal 8 2 2 2 4 6" xfId="37413" xr:uid="{CF041596-09E7-4774-8605-E1A3DB09451A}"/>
    <cellStyle name="Normal 8 2 2 2 4 7" xfId="18815" xr:uid="{7FE8C3CE-3F75-4C03-A99C-579FFF3A6101}"/>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17143" xr:uid="{6808931F-FA4C-4FD9-AEE3-6C71B8CB361C}"/>
    <cellStyle name="Normal 8 2 2 2 5 2 2 2 2" xfId="53485" xr:uid="{AE3CDB38-D99C-4F50-9198-A08231068391}"/>
    <cellStyle name="Normal 8 2 2 2 5 2 2 2 3" xfId="34889" xr:uid="{F1529EB7-0901-4F72-9BB1-ED4A5A0F7B13}"/>
    <cellStyle name="Normal 8 2 2 2 5 2 2 3" xfId="44188" xr:uid="{38D8811E-3603-460D-A3B5-5AA95F45E01E}"/>
    <cellStyle name="Normal 8 2 2 2 5 2 2 4" xfId="25590" xr:uid="{555CF3C4-3A4B-4620-9017-D8716CF9C675}"/>
    <cellStyle name="Normal 8 2 2 2 5 2 3" xfId="12926" xr:uid="{AA67B625-3536-4D75-A1C8-1563E360F909}"/>
    <cellStyle name="Normal 8 2 2 2 5 2 3 2" xfId="49268" xr:uid="{E7F7E6D6-5EAE-437D-9E52-740B957AE2AF}"/>
    <cellStyle name="Normal 8 2 2 2 5 2 3 3" xfId="30672" xr:uid="{FBAC4E96-A792-4DE2-9F6C-63CC17571F0B}"/>
    <cellStyle name="Normal 8 2 2 2 5 2 4" xfId="39971" xr:uid="{5960CEFE-E17C-4BA5-BD73-9DD9D5BB3A6E}"/>
    <cellStyle name="Normal 8 2 2 2 5 2 5" xfId="21373" xr:uid="{D1216570-4C4B-45A6-A6FB-44CDCE508D68}"/>
    <cellStyle name="Normal 8 2 2 2 5 3" xfId="5672" xr:uid="{00000000-0005-0000-0000-0000391C0000}"/>
    <cellStyle name="Normal 8 2 2 2 5 3 2" xfId="14998" xr:uid="{A9C136CD-78A2-43EA-A5E9-58C0E1139CC1}"/>
    <cellStyle name="Normal 8 2 2 2 5 3 2 2" xfId="51340" xr:uid="{B3430717-ACB6-470C-AA8E-9F456FA3B2C8}"/>
    <cellStyle name="Normal 8 2 2 2 5 3 2 3" xfId="32744" xr:uid="{E978DB1B-7741-446B-809B-BA00022942FE}"/>
    <cellStyle name="Normal 8 2 2 2 5 3 3" xfId="42043" xr:uid="{6900D30A-C82B-488F-8545-896E08740998}"/>
    <cellStyle name="Normal 8 2 2 2 5 3 4" xfId="23445" xr:uid="{CEFB7D73-AEE2-4F19-9CC5-FCEA94D9FE1C}"/>
    <cellStyle name="Normal 8 2 2 2 5 4" xfId="10781" xr:uid="{D4587376-2114-4653-9599-BB7353EEBC87}"/>
    <cellStyle name="Normal 8 2 2 2 5 4 2" xfId="47123" xr:uid="{FD5F7C9A-6F39-4FEF-8B33-5B72CC2FC53C}"/>
    <cellStyle name="Normal 8 2 2 2 5 4 3" xfId="28527" xr:uid="{5E7609A6-985D-44C3-A27D-4B2C1AC1A2F8}"/>
    <cellStyle name="Normal 8 2 2 2 5 5" xfId="37826" xr:uid="{13CC7B73-F33A-43DB-970D-72554B92C356}"/>
    <cellStyle name="Normal 8 2 2 2 5 6" xfId="19228" xr:uid="{D1991615-B782-44E0-9E31-0238948E4708}"/>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17556" xr:uid="{97E730F4-10A9-4B2C-852B-00D45CA4B744}"/>
    <cellStyle name="Normal 8 2 2 2 6 2 2 2 2" xfId="53898" xr:uid="{89DC45AA-9BC0-4A70-95D4-703FC65ECFD5}"/>
    <cellStyle name="Normal 8 2 2 2 6 2 2 2 3" xfId="35302" xr:uid="{A296BEFB-B528-4855-B386-23544BB45D3E}"/>
    <cellStyle name="Normal 8 2 2 2 6 2 2 3" xfId="44601" xr:uid="{D4718AED-3F20-421D-B1AB-8D98FD08A097}"/>
    <cellStyle name="Normal 8 2 2 2 6 2 2 4" xfId="26003" xr:uid="{415ED0C0-CFC3-4705-9663-6AF0C7A89320}"/>
    <cellStyle name="Normal 8 2 2 2 6 2 3" xfId="13339" xr:uid="{5C239AE1-41BA-4109-B56C-6D66E40107EB}"/>
    <cellStyle name="Normal 8 2 2 2 6 2 3 2" xfId="49681" xr:uid="{5A2A5929-A9CD-40CC-A39D-1BE8C1EDA9F4}"/>
    <cellStyle name="Normal 8 2 2 2 6 2 3 3" xfId="31085" xr:uid="{C5BE35B2-BE7A-4D53-9655-79FA8D91887B}"/>
    <cellStyle name="Normal 8 2 2 2 6 2 4" xfId="40384" xr:uid="{C4129631-AD74-4286-8802-B474765734EE}"/>
    <cellStyle name="Normal 8 2 2 2 6 2 5" xfId="21786" xr:uid="{E135DC84-4806-4874-865B-C8E13441CE2F}"/>
    <cellStyle name="Normal 8 2 2 2 6 3" xfId="6085" xr:uid="{00000000-0005-0000-0000-00003D1C0000}"/>
    <cellStyle name="Normal 8 2 2 2 6 3 2" xfId="15411" xr:uid="{60ED0AFB-A2C5-4087-8E44-A496A905AE41}"/>
    <cellStyle name="Normal 8 2 2 2 6 3 2 2" xfId="51753" xr:uid="{2D463534-A834-499F-A4E0-7C1B3AAC8078}"/>
    <cellStyle name="Normal 8 2 2 2 6 3 2 3" xfId="33157" xr:uid="{E3EE9B52-F043-4D87-A58F-3BBCA03F1BEB}"/>
    <cellStyle name="Normal 8 2 2 2 6 3 3" xfId="42456" xr:uid="{A7F16712-539D-481F-843A-C15955DCD5E8}"/>
    <cellStyle name="Normal 8 2 2 2 6 3 4" xfId="23858" xr:uid="{E06EC31B-3B31-43F1-90C3-DD6FDA912458}"/>
    <cellStyle name="Normal 8 2 2 2 6 4" xfId="11194" xr:uid="{3C349241-5B22-4270-AB16-31C936DE14F2}"/>
    <cellStyle name="Normal 8 2 2 2 6 4 2" xfId="47536" xr:uid="{CC90F84C-550D-4796-916B-2B6DC719B2D6}"/>
    <cellStyle name="Normal 8 2 2 2 6 4 3" xfId="28940" xr:uid="{EB90D372-92A3-40E7-A2D6-1754D43B2778}"/>
    <cellStyle name="Normal 8 2 2 2 6 5" xfId="38239" xr:uid="{D41031E3-FF5A-46D5-AD1A-48395F62E9CB}"/>
    <cellStyle name="Normal 8 2 2 2 6 6" xfId="19641" xr:uid="{B775FBFE-C830-48D5-BBFA-52A7684F56DB}"/>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17969" xr:uid="{6304D848-DEA1-45F5-A6EF-6FA31266E5BD}"/>
    <cellStyle name="Normal 8 2 2 2 7 2 2 2 2" xfId="54311" xr:uid="{40608356-5283-49DB-9F26-C29D3A5E1FAF}"/>
    <cellStyle name="Normal 8 2 2 2 7 2 2 2 3" xfId="35715" xr:uid="{98894968-CD01-4748-BD28-9836043FC73F}"/>
    <cellStyle name="Normal 8 2 2 2 7 2 2 3" xfId="45014" xr:uid="{2B260D80-8AA3-408B-BF33-6B92AD7EFD32}"/>
    <cellStyle name="Normal 8 2 2 2 7 2 2 4" xfId="26416" xr:uid="{376B6B66-AD94-4F97-939E-2E905CEFB2F9}"/>
    <cellStyle name="Normal 8 2 2 2 7 2 3" xfId="13752" xr:uid="{4CF3631F-1EDA-4498-B5A6-70ECB1E5E3A3}"/>
    <cellStyle name="Normal 8 2 2 2 7 2 3 2" xfId="50094" xr:uid="{5A320810-D203-4DFC-A61D-90F78C5A6E27}"/>
    <cellStyle name="Normal 8 2 2 2 7 2 3 3" xfId="31498" xr:uid="{4D7C6EE7-7327-43C2-B554-E0D5AE9F27ED}"/>
    <cellStyle name="Normal 8 2 2 2 7 2 4" xfId="40797" xr:uid="{5DB3F6C0-5219-4400-9F41-E0A6EE5B6D19}"/>
    <cellStyle name="Normal 8 2 2 2 7 2 5" xfId="22199" xr:uid="{88604A71-6CFC-4266-BA41-9A9BE27023C6}"/>
    <cellStyle name="Normal 8 2 2 2 7 3" xfId="6498" xr:uid="{00000000-0005-0000-0000-0000411C0000}"/>
    <cellStyle name="Normal 8 2 2 2 7 3 2" xfId="15824" xr:uid="{F40BB12B-611A-4847-A53E-FF812D135519}"/>
    <cellStyle name="Normal 8 2 2 2 7 3 2 2" xfId="52166" xr:uid="{D27FE62C-FC2D-4E54-8926-F41E314D96BA}"/>
    <cellStyle name="Normal 8 2 2 2 7 3 2 3" xfId="33570" xr:uid="{9286E789-3BD9-4470-9AC2-35EDC83AABB7}"/>
    <cellStyle name="Normal 8 2 2 2 7 3 3" xfId="42869" xr:uid="{F4E85578-5C2D-4076-B2A6-04FCDDE73ADA}"/>
    <cellStyle name="Normal 8 2 2 2 7 3 4" xfId="24271" xr:uid="{6A377098-C562-4D36-A044-4FE4DF46C35B}"/>
    <cellStyle name="Normal 8 2 2 2 7 4" xfId="11607" xr:uid="{CA01E75D-FD23-49C7-809B-DDDA649DB52E}"/>
    <cellStyle name="Normal 8 2 2 2 7 4 2" xfId="47949" xr:uid="{693C22E6-F0C4-4EF7-9D4D-CD38A7E18DD9}"/>
    <cellStyle name="Normal 8 2 2 2 7 4 3" xfId="29353" xr:uid="{9236430D-8E15-40A5-9703-223EDDF2F70B}"/>
    <cellStyle name="Normal 8 2 2 2 7 5" xfId="38652" xr:uid="{6A99AD95-1B73-452A-A111-03A7310885F7}"/>
    <cellStyle name="Normal 8 2 2 2 7 6" xfId="20054" xr:uid="{37F09297-0C1E-4244-A8A5-6334AC191294}"/>
    <cellStyle name="Normal 8 2 2 2 8" xfId="2628" xr:uid="{00000000-0005-0000-0000-0000421C0000}"/>
    <cellStyle name="Normal 8 2 2 2 8 2" xfId="6911" xr:uid="{00000000-0005-0000-0000-0000431C0000}"/>
    <cellStyle name="Normal 8 2 2 2 8 2 2" xfId="16237" xr:uid="{244714DF-F921-449D-AA9B-CC5895231A0E}"/>
    <cellStyle name="Normal 8 2 2 2 8 2 2 2" xfId="52579" xr:uid="{B05EB437-68E3-4EFE-819F-CFF215F608BC}"/>
    <cellStyle name="Normal 8 2 2 2 8 2 2 3" xfId="33983" xr:uid="{52A8DFC8-BD17-459A-9A40-2631D20288FA}"/>
    <cellStyle name="Normal 8 2 2 2 8 2 3" xfId="43282" xr:uid="{5E73B7D7-BB5F-41F4-ACB0-395AF6E796F8}"/>
    <cellStyle name="Normal 8 2 2 2 8 2 4" xfId="24684" xr:uid="{392D7FE7-6F81-497E-99F2-03524D977325}"/>
    <cellStyle name="Normal 8 2 2 2 8 3" xfId="12020" xr:uid="{74E9E8ED-9B06-4E52-B947-690023FD0F55}"/>
    <cellStyle name="Normal 8 2 2 2 8 3 2" xfId="48362" xr:uid="{34FD39C2-5448-4BDC-8299-0BB68E5DBD16}"/>
    <cellStyle name="Normal 8 2 2 2 8 3 3" xfId="29766" xr:uid="{6E16E7AA-1421-4DF6-8B87-9454F125E3BC}"/>
    <cellStyle name="Normal 8 2 2 2 8 4" xfId="39065" xr:uid="{F7741C15-9F61-4636-B16D-132A9413C7C5}"/>
    <cellStyle name="Normal 8 2 2 2 8 5" xfId="20467" xr:uid="{77935C48-D4C3-4328-878E-60B396B926C0}"/>
    <cellStyle name="Normal 8 2 2 2 9" xfId="4846" xr:uid="{00000000-0005-0000-0000-0000441C0000}"/>
    <cellStyle name="Normal 8 2 2 2 9 2" xfId="14172" xr:uid="{F95076E3-17E5-45F0-90BF-7535D3D864B1}"/>
    <cellStyle name="Normal 8 2 2 2 9 2 2" xfId="50514" xr:uid="{71CE36D8-5172-4C4D-80CC-837C6F5576DD}"/>
    <cellStyle name="Normal 8 2 2 2 9 2 3" xfId="31918" xr:uid="{FC17C4D5-4D57-46E4-BA08-BC774A3D789D}"/>
    <cellStyle name="Normal 8 2 2 2 9 3" xfId="41217" xr:uid="{47EE9CB0-0B07-43A0-9151-84E8CEA448B4}"/>
    <cellStyle name="Normal 8 2 2 2 9 4" xfId="22619" xr:uid="{B3FB2261-E59A-4FD6-A2A8-EA2582EC76A8}"/>
    <cellStyle name="Normal 8 2 2 3" xfId="485" xr:uid="{00000000-0005-0000-0000-0000451C0000}"/>
    <cellStyle name="Normal 8 2 2 3 10" xfId="9959" xr:uid="{CC61F882-29CF-4494-9CF3-C2399881587A}"/>
    <cellStyle name="Normal 8 2 2 3 10 2" xfId="46301" xr:uid="{9AE36692-EF59-41BA-BDD8-1FD62254D831}"/>
    <cellStyle name="Normal 8 2 2 3 10 3" xfId="27705" xr:uid="{3FAD4485-1AB6-4F7C-A7FB-0E21FA7F19EB}"/>
    <cellStyle name="Normal 8 2 2 3 11" xfId="37004" xr:uid="{CB06A4ED-7D5A-4B0C-8B67-D85A6C08494A}"/>
    <cellStyle name="Normal 8 2 2 3 12" xfId="18406" xr:uid="{40A03314-FFA4-4A95-9997-FE942D7063CB}"/>
    <cellStyle name="Normal 8 2 2 3 2" xfId="486" xr:uid="{00000000-0005-0000-0000-0000461C0000}"/>
    <cellStyle name="Normal 8 2 2 3 2 10" xfId="37005" xr:uid="{5F1EA7A3-771C-4B0F-B83A-FA6B246DEE81}"/>
    <cellStyle name="Normal 8 2 2 3 2 11" xfId="18407" xr:uid="{787BF7DF-B1DA-411F-8F3A-0452EB825CE1}"/>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16735" xr:uid="{195536B6-A41F-4CE8-BCD7-83B14DB2CC0C}"/>
    <cellStyle name="Normal 8 2 2 3 2 2 2 2 2 2" xfId="53077" xr:uid="{DA184B7C-5EA1-4FB9-A460-95CEEC722070}"/>
    <cellStyle name="Normal 8 2 2 3 2 2 2 2 2 3" xfId="34481" xr:uid="{CFBCBE24-A4C1-4A6D-BA11-BAD296FABD87}"/>
    <cellStyle name="Normal 8 2 2 3 2 2 2 2 3" xfId="43780" xr:uid="{40B8EFDC-159A-4C7F-B520-91B5E6504DD9}"/>
    <cellStyle name="Normal 8 2 2 3 2 2 2 2 4" xfId="25182" xr:uid="{45D56555-7CA2-4177-BF47-17886C1104EE}"/>
    <cellStyle name="Normal 8 2 2 3 2 2 2 3" xfId="12518" xr:uid="{118CAD57-0FF3-4726-9201-CC3D22A8989F}"/>
    <cellStyle name="Normal 8 2 2 3 2 2 2 3 2" xfId="48860" xr:uid="{0A20A964-7A7D-42CD-86F8-ED225C474AAD}"/>
    <cellStyle name="Normal 8 2 2 3 2 2 2 3 3" xfId="30264" xr:uid="{A8416154-6741-49F7-A0DF-B62066365D2F}"/>
    <cellStyle name="Normal 8 2 2 3 2 2 2 4" xfId="39563" xr:uid="{F3C751E8-22F7-49D5-B702-5B1705C9D1D5}"/>
    <cellStyle name="Normal 8 2 2 3 2 2 2 5" xfId="20965" xr:uid="{02F23BF8-1938-4DA0-A2D1-E792304AD335}"/>
    <cellStyle name="Normal 8 2 2 3 2 2 3" xfId="5264" xr:uid="{00000000-0005-0000-0000-00004A1C0000}"/>
    <cellStyle name="Normal 8 2 2 3 2 2 3 2" xfId="14590" xr:uid="{61D429B7-31C5-45F4-B7FC-C8616F3E9336}"/>
    <cellStyle name="Normal 8 2 2 3 2 2 3 2 2" xfId="50932" xr:uid="{001370E5-B83D-4AA2-BB8E-9C42275DE954}"/>
    <cellStyle name="Normal 8 2 2 3 2 2 3 2 3" xfId="32336" xr:uid="{53A1C4F5-AD04-4AB1-9514-78A1D51302FC}"/>
    <cellStyle name="Normal 8 2 2 3 2 2 3 3" xfId="41635" xr:uid="{AC9934E5-C9BF-4362-A34B-220128AE74D4}"/>
    <cellStyle name="Normal 8 2 2 3 2 2 3 4" xfId="23037" xr:uid="{7BBE9D47-B42A-4607-AF9C-76F712C21FE9}"/>
    <cellStyle name="Normal 8 2 2 3 2 2 4" xfId="9518" xr:uid="{FDE93D5E-A6D1-456B-8726-FC2AB8FD16A4}"/>
    <cellStyle name="Normal 8 2 2 3 2 2 4 2" xfId="36579" xr:uid="{7C8EFC01-6F8C-4B8E-9725-F6CF5E53AD73}"/>
    <cellStyle name="Normal 8 2 2 3 2 2 4 2 2" xfId="55173" xr:uid="{AB78F455-DBB5-4D7A-8CBF-D7C5214A04D2}"/>
    <cellStyle name="Normal 8 2 2 3 2 2 4 3" xfId="45876" xr:uid="{20CBB929-F661-4911-91BC-1987D56CDA62}"/>
    <cellStyle name="Normal 8 2 2 3 2 2 4 4" xfId="27280" xr:uid="{239804B6-7B99-4469-A7C4-4B3EF190FEAE}"/>
    <cellStyle name="Normal 8 2 2 3 2 2 5" xfId="10373" xr:uid="{83EAE5DF-D294-4D08-BF6D-F0CA35D175F1}"/>
    <cellStyle name="Normal 8 2 2 3 2 2 5 2" xfId="46715" xr:uid="{6E7AF66B-3C63-4620-AF7E-FA321836708F}"/>
    <cellStyle name="Normal 8 2 2 3 2 2 5 3" xfId="28119" xr:uid="{510D41DB-CE19-419A-A3E1-D13AF110D2B5}"/>
    <cellStyle name="Normal 8 2 2 3 2 2 6" xfId="37418" xr:uid="{4D56D931-B922-4327-8F72-51099D97E270}"/>
    <cellStyle name="Normal 8 2 2 3 2 2 7" xfId="18820" xr:uid="{29295B15-BA76-4D51-A717-573961C4D0B6}"/>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17148" xr:uid="{1A8A0051-8511-40FC-B866-A5FBE7A23021}"/>
    <cellStyle name="Normal 8 2 2 3 2 3 2 2 2 2" xfId="53490" xr:uid="{F37A4E17-8371-4FAC-BECE-3A307D6C9CB6}"/>
    <cellStyle name="Normal 8 2 2 3 2 3 2 2 2 3" xfId="34894" xr:uid="{69FB030C-B8A0-4B81-AE99-D0464B2D00B2}"/>
    <cellStyle name="Normal 8 2 2 3 2 3 2 2 3" xfId="44193" xr:uid="{6AB09A5B-8D84-4F94-968A-D1EBB7711D87}"/>
    <cellStyle name="Normal 8 2 2 3 2 3 2 2 4" xfId="25595" xr:uid="{5529C45A-3D26-4710-AA62-644B184C85A6}"/>
    <cellStyle name="Normal 8 2 2 3 2 3 2 3" xfId="12931" xr:uid="{D0AAA54C-2C60-484A-961E-436B7DE131BA}"/>
    <cellStyle name="Normal 8 2 2 3 2 3 2 3 2" xfId="49273" xr:uid="{917252D1-01D7-48FB-8169-6E37C26FACA5}"/>
    <cellStyle name="Normal 8 2 2 3 2 3 2 3 3" xfId="30677" xr:uid="{9A3CC75D-3979-4413-85E7-24B1DC0EE807}"/>
    <cellStyle name="Normal 8 2 2 3 2 3 2 4" xfId="39976" xr:uid="{4E9EA83A-00F7-41DB-84D1-68C353352C54}"/>
    <cellStyle name="Normal 8 2 2 3 2 3 2 5" xfId="21378" xr:uid="{082AFA7E-1F45-48BD-8DFB-BD97F38FFEB4}"/>
    <cellStyle name="Normal 8 2 2 3 2 3 3" xfId="5677" xr:uid="{00000000-0005-0000-0000-00004E1C0000}"/>
    <cellStyle name="Normal 8 2 2 3 2 3 3 2" xfId="15003" xr:uid="{03144D51-5337-4EB7-8E97-A4754B8AB994}"/>
    <cellStyle name="Normal 8 2 2 3 2 3 3 2 2" xfId="51345" xr:uid="{5B935806-BEAC-4998-81F0-99E3CF3CAD4D}"/>
    <cellStyle name="Normal 8 2 2 3 2 3 3 2 3" xfId="32749" xr:uid="{038E09E1-3DAD-4959-960D-740356943E4E}"/>
    <cellStyle name="Normal 8 2 2 3 2 3 3 3" xfId="42048" xr:uid="{D5DD64E0-900C-4CF3-9E11-510D8C0DFF2D}"/>
    <cellStyle name="Normal 8 2 2 3 2 3 3 4" xfId="23450" xr:uid="{24DC6F39-F869-4EB7-9507-6829F0D36CF1}"/>
    <cellStyle name="Normal 8 2 2 3 2 3 4" xfId="10786" xr:uid="{5EB049F1-708E-4A8A-8D58-6B287B37A073}"/>
    <cellStyle name="Normal 8 2 2 3 2 3 4 2" xfId="47128" xr:uid="{8BF9806F-E59F-455E-87A7-9854338BE93D}"/>
    <cellStyle name="Normal 8 2 2 3 2 3 4 3" xfId="28532" xr:uid="{FEB230E6-E381-43F2-9C76-35C89BDF2E18}"/>
    <cellStyle name="Normal 8 2 2 3 2 3 5" xfId="37831" xr:uid="{2B25975D-6F64-47D3-8715-74251830E4ED}"/>
    <cellStyle name="Normal 8 2 2 3 2 3 6" xfId="19233" xr:uid="{6CA81508-8839-442A-B782-4126B826BB69}"/>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17561" xr:uid="{08F54A17-FE8D-4FD4-9EE5-5776A27DD5E0}"/>
    <cellStyle name="Normal 8 2 2 3 2 4 2 2 2 2" xfId="53903" xr:uid="{B677E48B-F2ED-47F9-AE26-83723CD86BD9}"/>
    <cellStyle name="Normal 8 2 2 3 2 4 2 2 2 3" xfId="35307" xr:uid="{EF16665B-4029-4F1E-A86C-1FB6FCC512C2}"/>
    <cellStyle name="Normal 8 2 2 3 2 4 2 2 3" xfId="44606" xr:uid="{9BC38E99-D601-4E3D-BF43-28E33C6087CF}"/>
    <cellStyle name="Normal 8 2 2 3 2 4 2 2 4" xfId="26008" xr:uid="{B21127D8-5845-4FA7-BE1C-33DF25183F28}"/>
    <cellStyle name="Normal 8 2 2 3 2 4 2 3" xfId="13344" xr:uid="{7CEB29BC-5735-485C-A41C-AFABB7D55E83}"/>
    <cellStyle name="Normal 8 2 2 3 2 4 2 3 2" xfId="49686" xr:uid="{121B8BCA-0BEE-4655-B288-4E647BAD8DFA}"/>
    <cellStyle name="Normal 8 2 2 3 2 4 2 3 3" xfId="31090" xr:uid="{7D122AC7-7828-45C9-A5DD-9AC9EB9A8585}"/>
    <cellStyle name="Normal 8 2 2 3 2 4 2 4" xfId="40389" xr:uid="{637EA8FC-FC95-45C2-B6E4-CA1D3B57CC65}"/>
    <cellStyle name="Normal 8 2 2 3 2 4 2 5" xfId="21791" xr:uid="{AC84D5D6-9608-4B04-990F-59E7158D3467}"/>
    <cellStyle name="Normal 8 2 2 3 2 4 3" xfId="6090" xr:uid="{00000000-0005-0000-0000-0000521C0000}"/>
    <cellStyle name="Normal 8 2 2 3 2 4 3 2" xfId="15416" xr:uid="{BF8A8581-BB63-4A29-9B9D-32A9E1021820}"/>
    <cellStyle name="Normal 8 2 2 3 2 4 3 2 2" xfId="51758" xr:uid="{933715FF-487B-4C89-9B77-5131B97F6B40}"/>
    <cellStyle name="Normal 8 2 2 3 2 4 3 2 3" xfId="33162" xr:uid="{731AD682-B0F4-4092-B9E2-62D87E0B40C2}"/>
    <cellStyle name="Normal 8 2 2 3 2 4 3 3" xfId="42461" xr:uid="{0E4636B5-61A2-47D7-80A3-8384A6DFF56B}"/>
    <cellStyle name="Normal 8 2 2 3 2 4 3 4" xfId="23863" xr:uid="{A3EE0A25-9534-4E02-A8B6-441E276AD859}"/>
    <cellStyle name="Normal 8 2 2 3 2 4 4" xfId="11199" xr:uid="{C4DFE664-E50A-493C-BFEB-A3C3E06CBEC7}"/>
    <cellStyle name="Normal 8 2 2 3 2 4 4 2" xfId="47541" xr:uid="{AE1B52E5-006D-4DBF-B7C9-06FB9D6468EA}"/>
    <cellStyle name="Normal 8 2 2 3 2 4 4 3" xfId="28945" xr:uid="{8D52FD82-C4D4-4B72-BC0B-E00EE1900586}"/>
    <cellStyle name="Normal 8 2 2 3 2 4 5" xfId="38244" xr:uid="{CBFFBF99-63E8-4ABE-9DDF-7623833FA626}"/>
    <cellStyle name="Normal 8 2 2 3 2 4 6" xfId="19646" xr:uid="{3C40F6A8-9ABA-4C5A-90B4-3081BAF8977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17974" xr:uid="{85A46541-4117-4E7B-BC17-3F4A28994BDB}"/>
    <cellStyle name="Normal 8 2 2 3 2 5 2 2 2 2" xfId="54316" xr:uid="{F54051D7-41AC-4DB0-9612-14691D450BD5}"/>
    <cellStyle name="Normal 8 2 2 3 2 5 2 2 2 3" xfId="35720" xr:uid="{E7D7CCBB-1873-428F-8A31-7D855087D32A}"/>
    <cellStyle name="Normal 8 2 2 3 2 5 2 2 3" xfId="45019" xr:uid="{8362BEBC-DAB3-43EB-A387-C5CC28246266}"/>
    <cellStyle name="Normal 8 2 2 3 2 5 2 2 4" xfId="26421" xr:uid="{2BBBE674-84DB-415A-B285-B8B63CD10A59}"/>
    <cellStyle name="Normal 8 2 2 3 2 5 2 3" xfId="13757" xr:uid="{6892FF14-D649-4888-9372-6DE1813791AA}"/>
    <cellStyle name="Normal 8 2 2 3 2 5 2 3 2" xfId="50099" xr:uid="{AF2826AC-B36C-4B62-920A-2A60470FA946}"/>
    <cellStyle name="Normal 8 2 2 3 2 5 2 3 3" xfId="31503" xr:uid="{8647706C-FD1C-4A63-8A23-01D6767F2A2B}"/>
    <cellStyle name="Normal 8 2 2 3 2 5 2 4" xfId="40802" xr:uid="{D92147BE-3863-4239-A75A-0C0AF3FF3269}"/>
    <cellStyle name="Normal 8 2 2 3 2 5 2 5" xfId="22204" xr:uid="{2C14ECF9-48E5-4811-A19E-8E0B93CC0AA5}"/>
    <cellStyle name="Normal 8 2 2 3 2 5 3" xfId="6503" xr:uid="{00000000-0005-0000-0000-0000561C0000}"/>
    <cellStyle name="Normal 8 2 2 3 2 5 3 2" xfId="15829" xr:uid="{B0E6B042-1085-44C1-9F86-4ED9E1D6F2F2}"/>
    <cellStyle name="Normal 8 2 2 3 2 5 3 2 2" xfId="52171" xr:uid="{DC758A73-7136-4B5D-AAE5-7BF3FA108C9B}"/>
    <cellStyle name="Normal 8 2 2 3 2 5 3 2 3" xfId="33575" xr:uid="{26F2F6CB-F8DB-4900-B671-7427C23F50FA}"/>
    <cellStyle name="Normal 8 2 2 3 2 5 3 3" xfId="42874" xr:uid="{7469F4C9-3018-49AF-9216-D97015027CA6}"/>
    <cellStyle name="Normal 8 2 2 3 2 5 3 4" xfId="24276" xr:uid="{543A1C6C-4F66-4BA4-AF5B-02C9779722C0}"/>
    <cellStyle name="Normal 8 2 2 3 2 5 4" xfId="11612" xr:uid="{653A2D9E-CF0A-419E-ACE5-06FD1FD89EFB}"/>
    <cellStyle name="Normal 8 2 2 3 2 5 4 2" xfId="47954" xr:uid="{7FF6D516-CD5C-421F-8613-CD6E4E4F8ABC}"/>
    <cellStyle name="Normal 8 2 2 3 2 5 4 3" xfId="29358" xr:uid="{D57452D1-C639-48F3-9E60-8987FC990E71}"/>
    <cellStyle name="Normal 8 2 2 3 2 5 5" xfId="38657" xr:uid="{6ACAC703-78CC-49EA-B704-A885D6C5ACAC}"/>
    <cellStyle name="Normal 8 2 2 3 2 5 6" xfId="20059" xr:uid="{934E04D4-22DC-4360-BB83-828A5B9214BC}"/>
    <cellStyle name="Normal 8 2 2 3 2 6" xfId="2633" xr:uid="{00000000-0005-0000-0000-0000571C0000}"/>
    <cellStyle name="Normal 8 2 2 3 2 6 2" xfId="6916" xr:uid="{00000000-0005-0000-0000-0000581C0000}"/>
    <cellStyle name="Normal 8 2 2 3 2 6 2 2" xfId="16242" xr:uid="{AF291C1E-A736-48F3-8C04-8BE1FEC15433}"/>
    <cellStyle name="Normal 8 2 2 3 2 6 2 2 2" xfId="52584" xr:uid="{0F67A50F-C7BA-40B1-AE02-FE44EC4B901B}"/>
    <cellStyle name="Normal 8 2 2 3 2 6 2 2 3" xfId="33988" xr:uid="{CADBE815-A61B-4235-86ED-D3849922EB2B}"/>
    <cellStyle name="Normal 8 2 2 3 2 6 2 3" xfId="43287" xr:uid="{FB7CC732-D5B3-4E35-92BA-AB38F47F1CFE}"/>
    <cellStyle name="Normal 8 2 2 3 2 6 2 4" xfId="24689" xr:uid="{853BBDFA-7C17-48FA-AB0F-014F88120F64}"/>
    <cellStyle name="Normal 8 2 2 3 2 6 3" xfId="12025" xr:uid="{85BA4FF1-91E0-4A50-AEC9-105374C881D2}"/>
    <cellStyle name="Normal 8 2 2 3 2 6 3 2" xfId="48367" xr:uid="{323BDBC0-CD4F-4A1A-AC65-1D881B1F89A1}"/>
    <cellStyle name="Normal 8 2 2 3 2 6 3 3" xfId="29771" xr:uid="{65CFDE9B-38B5-45C1-84C2-3FDFC9974811}"/>
    <cellStyle name="Normal 8 2 2 3 2 6 4" xfId="39070" xr:uid="{EDFCA8E7-250F-4ADE-B4F1-A4156123E35F}"/>
    <cellStyle name="Normal 8 2 2 3 2 6 5" xfId="20472" xr:uid="{AB2ACFB4-311A-47F9-8157-337C2B26E279}"/>
    <cellStyle name="Normal 8 2 2 3 2 7" xfId="4851" xr:uid="{00000000-0005-0000-0000-0000591C0000}"/>
    <cellStyle name="Normal 8 2 2 3 2 7 2" xfId="14177" xr:uid="{E3617576-19C1-4C02-8E81-3423EFA4BA58}"/>
    <cellStyle name="Normal 8 2 2 3 2 7 2 2" xfId="50519" xr:uid="{13275523-D5E7-4003-B4FD-C99944AE717B}"/>
    <cellStyle name="Normal 8 2 2 3 2 7 2 3" xfId="31923" xr:uid="{CA683235-16BB-4670-B299-99A3785EF3C2}"/>
    <cellStyle name="Normal 8 2 2 3 2 7 3" xfId="41222" xr:uid="{9BC0D671-2AE2-4606-B3C7-4F92182592C1}"/>
    <cellStyle name="Normal 8 2 2 3 2 7 4" xfId="22624" xr:uid="{5A71F963-4678-4B38-AD8D-2976AD3BE509}"/>
    <cellStyle name="Normal 8 2 2 3 2 8" xfId="9093" xr:uid="{ADE34C72-BCCB-477C-B66A-BE7159CEB281}"/>
    <cellStyle name="Normal 8 2 2 3 2 8 2" xfId="36163" xr:uid="{9D508474-43C6-4496-B06D-6E08C6756C33}"/>
    <cellStyle name="Normal 8 2 2 3 2 8 2 2" xfId="54758" xr:uid="{38365EEF-197D-4AFE-A495-4111DC50759D}"/>
    <cellStyle name="Normal 8 2 2 3 2 8 3" xfId="45461" xr:uid="{55BAC24B-E76F-4A82-857E-847547CBBBE6}"/>
    <cellStyle name="Normal 8 2 2 3 2 8 4" xfId="26864" xr:uid="{DE04F84F-784F-4A00-BD66-07907DFE1995}"/>
    <cellStyle name="Normal 8 2 2 3 2 9" xfId="9960" xr:uid="{FEF90F4A-3EAA-4C2E-B681-CAF0704B1661}"/>
    <cellStyle name="Normal 8 2 2 3 2 9 2" xfId="46302" xr:uid="{408ED5DD-5E38-431D-BD98-846674A1F052}"/>
    <cellStyle name="Normal 8 2 2 3 2 9 3" xfId="27706" xr:uid="{903037FF-858A-4E2B-9E4A-97AB11322530}"/>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16734" xr:uid="{67B12F7C-7EFE-4547-918B-F79963CC4DAF}"/>
    <cellStyle name="Normal 8 2 2 3 3 2 2 2 2" xfId="53076" xr:uid="{E291F4D6-5D7E-4ECC-B37B-413318427925}"/>
    <cellStyle name="Normal 8 2 2 3 3 2 2 2 3" xfId="34480" xr:uid="{9F18AE7E-B41E-4B66-8572-D65DA7FA14D2}"/>
    <cellStyle name="Normal 8 2 2 3 3 2 2 3" xfId="43779" xr:uid="{D54CA39D-D27C-4A61-9D1E-C42FAE8E0A05}"/>
    <cellStyle name="Normal 8 2 2 3 3 2 2 4" xfId="25181" xr:uid="{91EAD922-0C77-49F4-97C0-108E740A7329}"/>
    <cellStyle name="Normal 8 2 2 3 3 2 3" xfId="12517" xr:uid="{201EB479-BAF9-4CB0-81F0-9CDA189418D4}"/>
    <cellStyle name="Normal 8 2 2 3 3 2 3 2" xfId="48859" xr:uid="{49C8CBFB-AA45-48B0-9BD5-D0E64F03CB88}"/>
    <cellStyle name="Normal 8 2 2 3 3 2 3 3" xfId="30263" xr:uid="{01D12B7A-D394-46AF-A21D-DDC590302A4A}"/>
    <cellStyle name="Normal 8 2 2 3 3 2 4" xfId="39562" xr:uid="{91D81E69-99F6-497D-AADF-B96C8AEA36F4}"/>
    <cellStyle name="Normal 8 2 2 3 3 2 5" xfId="20964" xr:uid="{B2AAE2E4-43D7-4C83-9CF3-76470A48CAD2}"/>
    <cellStyle name="Normal 8 2 2 3 3 3" xfId="5263" xr:uid="{00000000-0005-0000-0000-00005D1C0000}"/>
    <cellStyle name="Normal 8 2 2 3 3 3 2" xfId="14589" xr:uid="{04EA28C5-196F-4A3F-9C83-BE5859C12AFC}"/>
    <cellStyle name="Normal 8 2 2 3 3 3 2 2" xfId="50931" xr:uid="{76A52D4E-F2DE-4C33-B9A2-00222C74AF00}"/>
    <cellStyle name="Normal 8 2 2 3 3 3 2 3" xfId="32335" xr:uid="{32D99A0E-8173-4D03-BFCA-6D72D3F3A80A}"/>
    <cellStyle name="Normal 8 2 2 3 3 3 3" xfId="41634" xr:uid="{07A7DE8F-9032-47B7-95F0-C5CAF68087F9}"/>
    <cellStyle name="Normal 8 2 2 3 3 3 4" xfId="23036" xr:uid="{80AD197B-574F-4773-941B-635A6307CDAF}"/>
    <cellStyle name="Normal 8 2 2 3 3 4" xfId="9311" xr:uid="{F4618F1E-1235-4269-B5C6-B09BE5034F6C}"/>
    <cellStyle name="Normal 8 2 2 3 3 4 2" xfId="36372" xr:uid="{5CBBB2D3-929F-42F5-BCDD-DD7D208F6FCB}"/>
    <cellStyle name="Normal 8 2 2 3 3 4 2 2" xfId="54966" xr:uid="{A87BCE26-F22C-4A68-919A-B63A4BDDC154}"/>
    <cellStyle name="Normal 8 2 2 3 3 4 3" xfId="45669" xr:uid="{4F42D383-AF42-4D21-ACDB-2B1CF48A4FB6}"/>
    <cellStyle name="Normal 8 2 2 3 3 4 4" xfId="27073" xr:uid="{CAA6C10E-BA1B-4FBC-971A-C2BACEABAE4F}"/>
    <cellStyle name="Normal 8 2 2 3 3 5" xfId="10372" xr:uid="{4C6D2741-6461-4144-A137-BA4A8AF3AB1A}"/>
    <cellStyle name="Normal 8 2 2 3 3 5 2" xfId="46714" xr:uid="{3430EE84-5CDF-4B6F-A16D-DFF0F29678A6}"/>
    <cellStyle name="Normal 8 2 2 3 3 5 3" xfId="28118" xr:uid="{14D9E6A8-A745-478B-ADAD-E39328DA1C70}"/>
    <cellStyle name="Normal 8 2 2 3 3 6" xfId="37417" xr:uid="{FD901B0C-004E-4B48-B9B4-39719B2D628C}"/>
    <cellStyle name="Normal 8 2 2 3 3 7" xfId="18819" xr:uid="{64B6BF7E-140E-459E-948D-F855DF49E933}"/>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17147" xr:uid="{7ABF2B27-A30E-4C76-9D1D-7682F3DEC22D}"/>
    <cellStyle name="Normal 8 2 2 3 4 2 2 2 2" xfId="53489" xr:uid="{0D587D41-0B60-4F0F-B02F-50617A6C065C}"/>
    <cellStyle name="Normal 8 2 2 3 4 2 2 2 3" xfId="34893" xr:uid="{EB38DFC8-B9C4-4B65-A07F-37EA8A00F9FD}"/>
    <cellStyle name="Normal 8 2 2 3 4 2 2 3" xfId="44192" xr:uid="{EAAF8D99-457D-4AB5-A5F5-CA804F39B0F6}"/>
    <cellStyle name="Normal 8 2 2 3 4 2 2 4" xfId="25594" xr:uid="{5A3375CA-D8D8-41E5-9E59-C14E27250724}"/>
    <cellStyle name="Normal 8 2 2 3 4 2 3" xfId="12930" xr:uid="{332279E5-48FC-4FF1-9F64-6074E9D52C06}"/>
    <cellStyle name="Normal 8 2 2 3 4 2 3 2" xfId="49272" xr:uid="{AD7C971D-6ACF-440B-B329-B30D54DC93AA}"/>
    <cellStyle name="Normal 8 2 2 3 4 2 3 3" xfId="30676" xr:uid="{9000781E-DA3C-4712-AFF2-8F13949ED74C}"/>
    <cellStyle name="Normal 8 2 2 3 4 2 4" xfId="39975" xr:uid="{517881F8-8B37-4B20-AA94-7F0834B676F9}"/>
    <cellStyle name="Normal 8 2 2 3 4 2 5" xfId="21377" xr:uid="{C7E0A57D-D14E-47C4-B4FC-FB09B619A612}"/>
    <cellStyle name="Normal 8 2 2 3 4 3" xfId="5676" xr:uid="{00000000-0005-0000-0000-0000611C0000}"/>
    <cellStyle name="Normal 8 2 2 3 4 3 2" xfId="15002" xr:uid="{D840761B-17F3-42C7-8930-7298392D31EA}"/>
    <cellStyle name="Normal 8 2 2 3 4 3 2 2" xfId="51344" xr:uid="{918AFDEB-C065-45AA-B262-EB9AD280FA01}"/>
    <cellStyle name="Normal 8 2 2 3 4 3 2 3" xfId="32748" xr:uid="{F3F6F80E-DA11-4DA7-BE69-7E367910511C}"/>
    <cellStyle name="Normal 8 2 2 3 4 3 3" xfId="42047" xr:uid="{D7C088C3-91ED-421D-A669-C4FCBA1DE832}"/>
    <cellStyle name="Normal 8 2 2 3 4 3 4" xfId="23449" xr:uid="{22B9C9C8-A7AE-46AF-9985-DA1F140EEEE3}"/>
    <cellStyle name="Normal 8 2 2 3 4 4" xfId="10785" xr:uid="{AA1472C7-B9D5-4BFC-A0BD-A042793E503D}"/>
    <cellStyle name="Normal 8 2 2 3 4 4 2" xfId="47127" xr:uid="{D3B3DB1B-FC1C-44AC-A1FC-A64E764E27F0}"/>
    <cellStyle name="Normal 8 2 2 3 4 4 3" xfId="28531" xr:uid="{5BC34827-E6CD-4CAF-99B1-F65D78B35B47}"/>
    <cellStyle name="Normal 8 2 2 3 4 5" xfId="37830" xr:uid="{E6B4CAE0-E720-45EE-83C9-E840A77963F7}"/>
    <cellStyle name="Normal 8 2 2 3 4 6" xfId="19232" xr:uid="{429987B7-63A8-450C-8E96-B59A52D522E2}"/>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17560" xr:uid="{F9B3383F-F8B9-4F9A-AD65-B4CB5A10298E}"/>
    <cellStyle name="Normal 8 2 2 3 5 2 2 2 2" xfId="53902" xr:uid="{A911E8CC-ABD8-40C1-A158-2233BB177497}"/>
    <cellStyle name="Normal 8 2 2 3 5 2 2 2 3" xfId="35306" xr:uid="{AC43EECB-7C8C-441F-BF76-03638A97A3B3}"/>
    <cellStyle name="Normal 8 2 2 3 5 2 2 3" xfId="44605" xr:uid="{D0DF2AC0-0F5D-4646-A8F1-A772F345AC15}"/>
    <cellStyle name="Normal 8 2 2 3 5 2 2 4" xfId="26007" xr:uid="{F2512DD1-2DBD-42AD-B534-92EA6F3E8E9A}"/>
    <cellStyle name="Normal 8 2 2 3 5 2 3" xfId="13343" xr:uid="{0962FD7B-4BA9-418A-B209-ABE886AB8E2E}"/>
    <cellStyle name="Normal 8 2 2 3 5 2 3 2" xfId="49685" xr:uid="{AF1F65EC-B7D9-4AA7-B08C-ECC785F81D65}"/>
    <cellStyle name="Normal 8 2 2 3 5 2 3 3" xfId="31089" xr:uid="{50BA95B3-C84A-4980-9940-D02E9369E900}"/>
    <cellStyle name="Normal 8 2 2 3 5 2 4" xfId="40388" xr:uid="{8BDAA97C-2734-413B-A1DC-C4594A566868}"/>
    <cellStyle name="Normal 8 2 2 3 5 2 5" xfId="21790" xr:uid="{B358874F-6670-4A63-B575-E89FE09C01CB}"/>
    <cellStyle name="Normal 8 2 2 3 5 3" xfId="6089" xr:uid="{00000000-0005-0000-0000-0000651C0000}"/>
    <cellStyle name="Normal 8 2 2 3 5 3 2" xfId="15415" xr:uid="{4ABC115B-AE55-44F5-A011-5AE6EF380FD2}"/>
    <cellStyle name="Normal 8 2 2 3 5 3 2 2" xfId="51757" xr:uid="{4D10218D-681E-455F-9871-B39AF83C2AC5}"/>
    <cellStyle name="Normal 8 2 2 3 5 3 2 3" xfId="33161" xr:uid="{1DBF849A-BFBC-4E7D-A49F-BD0F04DC105A}"/>
    <cellStyle name="Normal 8 2 2 3 5 3 3" xfId="42460" xr:uid="{05FC08FA-8D48-499A-8FF6-10FDEEDF004B}"/>
    <cellStyle name="Normal 8 2 2 3 5 3 4" xfId="23862" xr:uid="{49DDAAE0-CAF0-429F-B021-7430345A4890}"/>
    <cellStyle name="Normal 8 2 2 3 5 4" xfId="11198" xr:uid="{CC948061-CBEF-4AE8-ACBA-F9F1C00F6261}"/>
    <cellStyle name="Normal 8 2 2 3 5 4 2" xfId="47540" xr:uid="{A16098F1-C79B-4F1E-B174-1ABDCD1ABF58}"/>
    <cellStyle name="Normal 8 2 2 3 5 4 3" xfId="28944" xr:uid="{D8ABFE21-2F00-4FDE-92B7-6AD360CE8DD4}"/>
    <cellStyle name="Normal 8 2 2 3 5 5" xfId="38243" xr:uid="{B8452B35-3E64-4F69-A5F7-BC6E4FD154DE}"/>
    <cellStyle name="Normal 8 2 2 3 5 6" xfId="19645" xr:uid="{2B6370FC-9A87-46BE-AE17-BC24C3019A34}"/>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17973" xr:uid="{0B753113-6979-4017-ABCE-CFC78694CA6D}"/>
    <cellStyle name="Normal 8 2 2 3 6 2 2 2 2" xfId="54315" xr:uid="{54CBCD92-18D1-4F62-B2BB-00E7B1B9DE47}"/>
    <cellStyle name="Normal 8 2 2 3 6 2 2 2 3" xfId="35719" xr:uid="{2F95D7FA-4CD3-4D08-B6BE-CBF406B90DE4}"/>
    <cellStyle name="Normal 8 2 2 3 6 2 2 3" xfId="45018" xr:uid="{3CBF89B3-B8E5-4241-9375-855F8B8C5462}"/>
    <cellStyle name="Normal 8 2 2 3 6 2 2 4" xfId="26420" xr:uid="{07D79C53-7C30-4A9A-A6D1-B00DFBEF770B}"/>
    <cellStyle name="Normal 8 2 2 3 6 2 3" xfId="13756" xr:uid="{593E2F9C-3F52-44B3-95A7-C99B1D137568}"/>
    <cellStyle name="Normal 8 2 2 3 6 2 3 2" xfId="50098" xr:uid="{CD16A882-5B62-4EF3-A791-34AC5DE17E7D}"/>
    <cellStyle name="Normal 8 2 2 3 6 2 3 3" xfId="31502" xr:uid="{786071CC-B79C-4C03-B741-E64221942519}"/>
    <cellStyle name="Normal 8 2 2 3 6 2 4" xfId="40801" xr:uid="{ED2D0BCF-8ADD-4E03-AC4D-F61CC47F7BFE}"/>
    <cellStyle name="Normal 8 2 2 3 6 2 5" xfId="22203" xr:uid="{F292F1E5-DF85-4543-9B51-6843FA2292C2}"/>
    <cellStyle name="Normal 8 2 2 3 6 3" xfId="6502" xr:uid="{00000000-0005-0000-0000-0000691C0000}"/>
    <cellStyle name="Normal 8 2 2 3 6 3 2" xfId="15828" xr:uid="{1F54D5D6-49E6-4B95-A116-9C827A4F38A5}"/>
    <cellStyle name="Normal 8 2 2 3 6 3 2 2" xfId="52170" xr:uid="{7C568D17-BFFD-40D6-8606-CD96FDDFE767}"/>
    <cellStyle name="Normal 8 2 2 3 6 3 2 3" xfId="33574" xr:uid="{D596324E-3090-4F0D-9039-658C6ECEAEB3}"/>
    <cellStyle name="Normal 8 2 2 3 6 3 3" xfId="42873" xr:uid="{6F1DD306-FDC5-4738-AAAF-BCF67A86F4EC}"/>
    <cellStyle name="Normal 8 2 2 3 6 3 4" xfId="24275" xr:uid="{B3BA2CF1-6945-4BE6-8168-F1343879C1FB}"/>
    <cellStyle name="Normal 8 2 2 3 6 4" xfId="11611" xr:uid="{A16F6754-743E-458E-A757-B66FBC28F547}"/>
    <cellStyle name="Normal 8 2 2 3 6 4 2" xfId="47953" xr:uid="{DF5BE281-A996-424C-B9F7-55F28C12A6AD}"/>
    <cellStyle name="Normal 8 2 2 3 6 4 3" xfId="29357" xr:uid="{B91873B5-8B88-40DD-AF14-82DC30C5EC69}"/>
    <cellStyle name="Normal 8 2 2 3 6 5" xfId="38656" xr:uid="{43A19554-AE8F-47B5-A1B3-FAC5480EEEE3}"/>
    <cellStyle name="Normal 8 2 2 3 6 6" xfId="20058" xr:uid="{3C6FC4F6-9FC2-467C-BB61-A83FFA12F9E7}"/>
    <cellStyle name="Normal 8 2 2 3 7" xfId="2632" xr:uid="{00000000-0005-0000-0000-00006A1C0000}"/>
    <cellStyle name="Normal 8 2 2 3 7 2" xfId="6915" xr:uid="{00000000-0005-0000-0000-00006B1C0000}"/>
    <cellStyle name="Normal 8 2 2 3 7 2 2" xfId="16241" xr:uid="{9A059B12-8469-4A65-A3AC-BB8FD8D679DF}"/>
    <cellStyle name="Normal 8 2 2 3 7 2 2 2" xfId="52583" xr:uid="{C6B58BB5-EB78-4B0B-8FFF-4266686BA50E}"/>
    <cellStyle name="Normal 8 2 2 3 7 2 2 3" xfId="33987" xr:uid="{3F1BCD85-EF69-4695-8B79-1B639A0645A8}"/>
    <cellStyle name="Normal 8 2 2 3 7 2 3" xfId="43286" xr:uid="{304F393A-E685-4F1D-9CA3-AECE7917B966}"/>
    <cellStyle name="Normal 8 2 2 3 7 2 4" xfId="24688" xr:uid="{86BEAB56-3201-433F-9878-93A91C288FF4}"/>
    <cellStyle name="Normal 8 2 2 3 7 3" xfId="12024" xr:uid="{3422B875-D44D-4AF6-BE0B-C6E498A28EA2}"/>
    <cellStyle name="Normal 8 2 2 3 7 3 2" xfId="48366" xr:uid="{B768F180-80A0-46BC-9A47-5EF9DF727398}"/>
    <cellStyle name="Normal 8 2 2 3 7 3 3" xfId="29770" xr:uid="{5FA8EA20-6D71-4548-B641-5837DDCFC699}"/>
    <cellStyle name="Normal 8 2 2 3 7 4" xfId="39069" xr:uid="{8F9FEB89-137A-4263-BBA3-8CF147923B71}"/>
    <cellStyle name="Normal 8 2 2 3 7 5" xfId="20471" xr:uid="{FAC2AD31-85C3-4F77-8915-E0754FCF4ED9}"/>
    <cellStyle name="Normal 8 2 2 3 8" xfId="4850" xr:uid="{00000000-0005-0000-0000-00006C1C0000}"/>
    <cellStyle name="Normal 8 2 2 3 8 2" xfId="14176" xr:uid="{91E04633-A1F0-4CB3-9498-18D223B86882}"/>
    <cellStyle name="Normal 8 2 2 3 8 2 2" xfId="50518" xr:uid="{E1BD774D-6D8F-4370-BF19-D9C261449C5F}"/>
    <cellStyle name="Normal 8 2 2 3 8 2 3" xfId="31922" xr:uid="{2B2B7BA3-0904-4714-9FAC-73AE48952132}"/>
    <cellStyle name="Normal 8 2 2 3 8 3" xfId="41221" xr:uid="{28152C5A-F807-42F8-A9DF-584B9BA166FE}"/>
    <cellStyle name="Normal 8 2 2 3 8 4" xfId="22623" xr:uid="{72DE8FAC-31EE-4819-A856-C3FC24939075}"/>
    <cellStyle name="Normal 8 2 2 3 9" xfId="8886" xr:uid="{B2A45ACA-2377-4A40-A818-E7106AD46E30}"/>
    <cellStyle name="Normal 8 2 2 3 9 2" xfId="35956" xr:uid="{299978A6-31A0-42CD-9A22-FF427AC73A41}"/>
    <cellStyle name="Normal 8 2 2 3 9 2 2" xfId="54551" xr:uid="{12992342-0674-4F3B-B6A4-4C6F53DF18E5}"/>
    <cellStyle name="Normal 8 2 2 3 9 3" xfId="45254" xr:uid="{B65432C2-342A-47A6-B05F-844BEF6A9E49}"/>
    <cellStyle name="Normal 8 2 2 3 9 4" xfId="26657" xr:uid="{2455AA74-8368-458F-9724-BEF419B2EE3C}"/>
    <cellStyle name="Normal 8 2 2 4" xfId="487" xr:uid="{00000000-0005-0000-0000-00006D1C0000}"/>
    <cellStyle name="Normal 8 2 2 4 10" xfId="37006" xr:uid="{1E323286-F0DD-451A-8A22-F0B0E47AFB44}"/>
    <cellStyle name="Normal 8 2 2 4 11" xfId="18408" xr:uid="{6B797EAB-30C1-4A71-9CF3-6DB7CAB23065}"/>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16736" xr:uid="{8F3262F9-31A1-4E6F-92A7-DFC0F82A6486}"/>
    <cellStyle name="Normal 8 2 2 4 2 2 2 2 2" xfId="53078" xr:uid="{6EBEBDB2-7523-425A-9BE3-C7297C64F742}"/>
    <cellStyle name="Normal 8 2 2 4 2 2 2 2 3" xfId="34482" xr:uid="{8AB8C550-7DD8-4F34-9590-70C6C2C98853}"/>
    <cellStyle name="Normal 8 2 2 4 2 2 2 3" xfId="43781" xr:uid="{343E77EF-F3BE-4DAF-A937-98EE6C82F350}"/>
    <cellStyle name="Normal 8 2 2 4 2 2 2 4" xfId="25183" xr:uid="{764DBF70-2C9C-4CBC-8FFA-7841E08E68F0}"/>
    <cellStyle name="Normal 8 2 2 4 2 2 3" xfId="12519" xr:uid="{87939737-EFC2-41FE-A9AD-591580011F80}"/>
    <cellStyle name="Normal 8 2 2 4 2 2 3 2" xfId="48861" xr:uid="{587E3B36-DC93-45AD-AC9D-940F72CA5E1B}"/>
    <cellStyle name="Normal 8 2 2 4 2 2 3 3" xfId="30265" xr:uid="{8A488613-21F6-495C-8FA9-5FB09CE6BCED}"/>
    <cellStyle name="Normal 8 2 2 4 2 2 4" xfId="39564" xr:uid="{C9B81BCC-6DBF-41ED-B2B8-098DD36634EA}"/>
    <cellStyle name="Normal 8 2 2 4 2 2 5" xfId="20966" xr:uid="{2617C0ED-EC4B-4CFE-8ED3-BAB43F812C03}"/>
    <cellStyle name="Normal 8 2 2 4 2 3" xfId="5265" xr:uid="{00000000-0005-0000-0000-0000711C0000}"/>
    <cellStyle name="Normal 8 2 2 4 2 3 2" xfId="14591" xr:uid="{90942F6F-469A-4241-8E74-13708B007C22}"/>
    <cellStyle name="Normal 8 2 2 4 2 3 2 2" xfId="50933" xr:uid="{6997FBD7-9005-47A5-9920-339B2622272B}"/>
    <cellStyle name="Normal 8 2 2 4 2 3 2 3" xfId="32337" xr:uid="{05895853-C110-4C40-B986-9C4197E6E151}"/>
    <cellStyle name="Normal 8 2 2 4 2 3 3" xfId="41636" xr:uid="{563C1256-9C8C-4160-A522-0AFD2B19FBD7}"/>
    <cellStyle name="Normal 8 2 2 4 2 3 4" xfId="23038" xr:uid="{10E2128C-E8F1-47D4-BA2B-5EC8017DAF07}"/>
    <cellStyle name="Normal 8 2 2 4 2 4" xfId="9415" xr:uid="{88D7FF95-DEA9-4369-BE01-487FC7B2B7E8}"/>
    <cellStyle name="Normal 8 2 2 4 2 4 2" xfId="36476" xr:uid="{BEC525E0-4426-4CFA-9266-B5D828EF72D5}"/>
    <cellStyle name="Normal 8 2 2 4 2 4 2 2" xfId="55070" xr:uid="{49A33CB3-F0FD-4B90-AB05-E3515F0FED81}"/>
    <cellStyle name="Normal 8 2 2 4 2 4 3" xfId="45773" xr:uid="{C3597AEE-830A-48EE-BA2B-B3F68902C75A}"/>
    <cellStyle name="Normal 8 2 2 4 2 4 4" xfId="27177" xr:uid="{0F3202FC-7A32-41C2-B085-CD90B3075BE0}"/>
    <cellStyle name="Normal 8 2 2 4 2 5" xfId="10374" xr:uid="{14FCCF52-133C-4733-9209-5CBC73C8D7CD}"/>
    <cellStyle name="Normal 8 2 2 4 2 5 2" xfId="46716" xr:uid="{2005A251-7498-4C2D-BF95-54FD222973F0}"/>
    <cellStyle name="Normal 8 2 2 4 2 5 3" xfId="28120" xr:uid="{2A588B35-F4EF-4445-A12D-D53B57D04C51}"/>
    <cellStyle name="Normal 8 2 2 4 2 6" xfId="37419" xr:uid="{11C88431-C29A-4976-854B-6CDAAD790C4E}"/>
    <cellStyle name="Normal 8 2 2 4 2 7" xfId="18821" xr:uid="{55E7A973-E761-404A-BA35-01208FFFE474}"/>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17149" xr:uid="{059E127A-AE39-48A2-BA87-336EF316461D}"/>
    <cellStyle name="Normal 8 2 2 4 3 2 2 2 2" xfId="53491" xr:uid="{ACF78B64-501A-423F-AF7F-4912AAC29382}"/>
    <cellStyle name="Normal 8 2 2 4 3 2 2 2 3" xfId="34895" xr:uid="{968C604B-8D9E-421A-A510-3E6E18FC80BB}"/>
    <cellStyle name="Normal 8 2 2 4 3 2 2 3" xfId="44194" xr:uid="{DFA37308-4BD4-4FE7-AF60-C81C4651A7CF}"/>
    <cellStyle name="Normal 8 2 2 4 3 2 2 4" xfId="25596" xr:uid="{3A4F3207-727D-4936-BC74-906B974B91B6}"/>
    <cellStyle name="Normal 8 2 2 4 3 2 3" xfId="12932" xr:uid="{78C1B1B2-A008-4501-87A7-ABD6A1CA845D}"/>
    <cellStyle name="Normal 8 2 2 4 3 2 3 2" xfId="49274" xr:uid="{04765ED5-5E88-46C7-BC7C-F0F02CF6AE88}"/>
    <cellStyle name="Normal 8 2 2 4 3 2 3 3" xfId="30678" xr:uid="{5A8FB0FB-7665-4226-B513-A25249E2B654}"/>
    <cellStyle name="Normal 8 2 2 4 3 2 4" xfId="39977" xr:uid="{7518F4A0-A224-4D18-A8B9-F7D66CB4BA29}"/>
    <cellStyle name="Normal 8 2 2 4 3 2 5" xfId="21379" xr:uid="{7CD2A8D3-1FB8-4095-BB1D-B558115DE415}"/>
    <cellStyle name="Normal 8 2 2 4 3 3" xfId="5678" xr:uid="{00000000-0005-0000-0000-0000751C0000}"/>
    <cellStyle name="Normal 8 2 2 4 3 3 2" xfId="15004" xr:uid="{B24E6E9B-2F71-4B49-9B90-3B0937CB2C31}"/>
    <cellStyle name="Normal 8 2 2 4 3 3 2 2" xfId="51346" xr:uid="{49158498-07D8-43B6-B766-F8398065094D}"/>
    <cellStyle name="Normal 8 2 2 4 3 3 2 3" xfId="32750" xr:uid="{DCA4337E-2EA5-4357-9919-F8007B9E70B0}"/>
    <cellStyle name="Normal 8 2 2 4 3 3 3" xfId="42049" xr:uid="{39BAA44C-E795-4084-8829-BC8D58B144D8}"/>
    <cellStyle name="Normal 8 2 2 4 3 3 4" xfId="23451" xr:uid="{9FCF4AE0-E78C-4E99-96F2-67216A69DE14}"/>
    <cellStyle name="Normal 8 2 2 4 3 4" xfId="10787" xr:uid="{6259F5EB-789C-4A74-B12D-FAC6EEEC4E48}"/>
    <cellStyle name="Normal 8 2 2 4 3 4 2" xfId="47129" xr:uid="{65310B3B-AC1A-4ECE-A1C3-44D8E55EA1A7}"/>
    <cellStyle name="Normal 8 2 2 4 3 4 3" xfId="28533" xr:uid="{ECED6EAC-0E98-4645-92BF-185450548B04}"/>
    <cellStyle name="Normal 8 2 2 4 3 5" xfId="37832" xr:uid="{E7928A65-45E6-4EA0-85FA-B32CF15EFAFF}"/>
    <cellStyle name="Normal 8 2 2 4 3 6" xfId="19234" xr:uid="{02DA6A23-D17E-4E57-AAE3-FE8A5EDDA3C6}"/>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17562" xr:uid="{ECF08DF5-26E6-4998-A69B-EB4CF3EC3493}"/>
    <cellStyle name="Normal 8 2 2 4 4 2 2 2 2" xfId="53904" xr:uid="{40A15F3B-FFAF-42D7-BB12-3161AB04CDB2}"/>
    <cellStyle name="Normal 8 2 2 4 4 2 2 2 3" xfId="35308" xr:uid="{01D74382-A40E-41BB-8D48-BA08269BA580}"/>
    <cellStyle name="Normal 8 2 2 4 4 2 2 3" xfId="44607" xr:uid="{E0D5BA85-3D87-46F7-BEAE-6D7E13BBF6EF}"/>
    <cellStyle name="Normal 8 2 2 4 4 2 2 4" xfId="26009" xr:uid="{EA40F379-6EB2-40EE-9A4F-0928843B12E2}"/>
    <cellStyle name="Normal 8 2 2 4 4 2 3" xfId="13345" xr:uid="{6B29D66D-790B-487E-81C1-76C06C894F41}"/>
    <cellStyle name="Normal 8 2 2 4 4 2 3 2" xfId="49687" xr:uid="{2369432B-C06D-4C3B-96CE-DB9DF9183762}"/>
    <cellStyle name="Normal 8 2 2 4 4 2 3 3" xfId="31091" xr:uid="{975F60EA-A144-47EB-966E-5C7FB0216B06}"/>
    <cellStyle name="Normal 8 2 2 4 4 2 4" xfId="40390" xr:uid="{F3F95EFE-A3B2-4A33-A4E0-40CA23A2736A}"/>
    <cellStyle name="Normal 8 2 2 4 4 2 5" xfId="21792" xr:uid="{14A6C806-2A0C-4ACC-8991-AE4D5A3A6EE5}"/>
    <cellStyle name="Normal 8 2 2 4 4 3" xfId="6091" xr:uid="{00000000-0005-0000-0000-0000791C0000}"/>
    <cellStyle name="Normal 8 2 2 4 4 3 2" xfId="15417" xr:uid="{D931B929-67CE-448E-A8EA-7D3505842238}"/>
    <cellStyle name="Normal 8 2 2 4 4 3 2 2" xfId="51759" xr:uid="{4C2A2ECE-3284-4872-8648-9ED33AEF941C}"/>
    <cellStyle name="Normal 8 2 2 4 4 3 2 3" xfId="33163" xr:uid="{05A211DE-4E7B-47DE-8D88-4DE264CE96C0}"/>
    <cellStyle name="Normal 8 2 2 4 4 3 3" xfId="42462" xr:uid="{105AC334-3BDA-483E-BAE2-B1154C0952B8}"/>
    <cellStyle name="Normal 8 2 2 4 4 3 4" xfId="23864" xr:uid="{83C0D669-BA84-4590-B292-26B92FE98832}"/>
    <cellStyle name="Normal 8 2 2 4 4 4" xfId="11200" xr:uid="{9C9B75D3-1F51-45CF-821F-FC5A562B5753}"/>
    <cellStyle name="Normal 8 2 2 4 4 4 2" xfId="47542" xr:uid="{4D93F72F-410F-4D94-9C7B-4E1432AC6C48}"/>
    <cellStyle name="Normal 8 2 2 4 4 4 3" xfId="28946" xr:uid="{794FD219-70C4-42A5-A271-3B70C046C93B}"/>
    <cellStyle name="Normal 8 2 2 4 4 5" xfId="38245" xr:uid="{37BECD1A-AC98-4933-9A67-5871C770F1BA}"/>
    <cellStyle name="Normal 8 2 2 4 4 6" xfId="19647" xr:uid="{3EB85237-21D4-4603-BAAA-942AC6D74270}"/>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17975" xr:uid="{F9D56444-CCFB-4B7A-AF8C-641D286F1531}"/>
    <cellStyle name="Normal 8 2 2 4 5 2 2 2 2" xfId="54317" xr:uid="{FF11C7A6-7940-4636-A76A-35025BDD615F}"/>
    <cellStyle name="Normal 8 2 2 4 5 2 2 2 3" xfId="35721" xr:uid="{222F5928-D418-4CF3-B703-E434EBD9F909}"/>
    <cellStyle name="Normal 8 2 2 4 5 2 2 3" xfId="45020" xr:uid="{14D02586-DE6B-47B7-A856-8F3D52683097}"/>
    <cellStyle name="Normal 8 2 2 4 5 2 2 4" xfId="26422" xr:uid="{480CC4DF-CDBE-4B9B-A5D6-ECF5EB5F3922}"/>
    <cellStyle name="Normal 8 2 2 4 5 2 3" xfId="13758" xr:uid="{0FD216B1-1249-4304-ACB0-234B4042D63A}"/>
    <cellStyle name="Normal 8 2 2 4 5 2 3 2" xfId="50100" xr:uid="{F8137721-1409-4C40-BBA7-9071F04A380A}"/>
    <cellStyle name="Normal 8 2 2 4 5 2 3 3" xfId="31504" xr:uid="{EA5656F3-1837-4CC9-A0BE-70E5E485DC80}"/>
    <cellStyle name="Normal 8 2 2 4 5 2 4" xfId="40803" xr:uid="{249D2C53-4D50-4291-B9E4-41DFDE64EB7B}"/>
    <cellStyle name="Normal 8 2 2 4 5 2 5" xfId="22205" xr:uid="{28F3C37C-A3D2-4359-A72E-CD58D874CEEF}"/>
    <cellStyle name="Normal 8 2 2 4 5 3" xfId="6504" xr:uid="{00000000-0005-0000-0000-00007D1C0000}"/>
    <cellStyle name="Normal 8 2 2 4 5 3 2" xfId="15830" xr:uid="{8305EADE-7910-4836-8156-84580E990CEA}"/>
    <cellStyle name="Normal 8 2 2 4 5 3 2 2" xfId="52172" xr:uid="{9B83BE3B-A082-40AD-9EEA-A926ED456A0F}"/>
    <cellStyle name="Normal 8 2 2 4 5 3 2 3" xfId="33576" xr:uid="{F44CF7A7-E876-4536-958F-4BB2B8FC56C0}"/>
    <cellStyle name="Normal 8 2 2 4 5 3 3" xfId="42875" xr:uid="{8102D5BE-61C1-4734-AAD4-B201301CEC66}"/>
    <cellStyle name="Normal 8 2 2 4 5 3 4" xfId="24277" xr:uid="{8D15704F-1A26-4F0C-954A-151EC615AC07}"/>
    <cellStyle name="Normal 8 2 2 4 5 4" xfId="11613" xr:uid="{43D134B0-65B0-42DC-9825-BF0782BD97ED}"/>
    <cellStyle name="Normal 8 2 2 4 5 4 2" xfId="47955" xr:uid="{C3A921BD-DFD4-4B2D-8502-B5CB69CD7DBA}"/>
    <cellStyle name="Normal 8 2 2 4 5 4 3" xfId="29359" xr:uid="{2A0DF9BF-527F-424B-A364-D18928FBC597}"/>
    <cellStyle name="Normal 8 2 2 4 5 5" xfId="38658" xr:uid="{85C1BDFA-D7AB-4BCC-89AB-94473C30506F}"/>
    <cellStyle name="Normal 8 2 2 4 5 6" xfId="20060" xr:uid="{B89884C7-B909-44AE-9DC9-858EF003DBE5}"/>
    <cellStyle name="Normal 8 2 2 4 6" xfId="2634" xr:uid="{00000000-0005-0000-0000-00007E1C0000}"/>
    <cellStyle name="Normal 8 2 2 4 6 2" xfId="6917" xr:uid="{00000000-0005-0000-0000-00007F1C0000}"/>
    <cellStyle name="Normal 8 2 2 4 6 2 2" xfId="16243" xr:uid="{52DD1C1D-552A-4704-BED8-E86A362303E5}"/>
    <cellStyle name="Normal 8 2 2 4 6 2 2 2" xfId="52585" xr:uid="{1A5D0FE9-6672-4B83-AB4E-FC986A380AC9}"/>
    <cellStyle name="Normal 8 2 2 4 6 2 2 3" xfId="33989" xr:uid="{DF89AA03-E9C4-4FA9-A38E-01B2FB212C39}"/>
    <cellStyle name="Normal 8 2 2 4 6 2 3" xfId="43288" xr:uid="{3FE22348-2926-4108-819B-405BEF6D6EFE}"/>
    <cellStyle name="Normal 8 2 2 4 6 2 4" xfId="24690" xr:uid="{93F1F937-939B-47B6-A056-80F217FA0566}"/>
    <cellStyle name="Normal 8 2 2 4 6 3" xfId="12026" xr:uid="{8BCD8D22-9E59-4405-BCBC-152BB04B8E6D}"/>
    <cellStyle name="Normal 8 2 2 4 6 3 2" xfId="48368" xr:uid="{DBE2E09B-5CDB-4451-8678-54B1092B0EFC}"/>
    <cellStyle name="Normal 8 2 2 4 6 3 3" xfId="29772" xr:uid="{4D09DDA5-7429-4E8F-9674-5FBA63E57467}"/>
    <cellStyle name="Normal 8 2 2 4 6 4" xfId="39071" xr:uid="{1CAB61D8-CFD6-404C-9D2F-08ADDA7CF726}"/>
    <cellStyle name="Normal 8 2 2 4 6 5" xfId="20473" xr:uid="{BFF9578C-ACAC-4C47-B95B-81349AB0F997}"/>
    <cellStyle name="Normal 8 2 2 4 7" xfId="4852" xr:uid="{00000000-0005-0000-0000-0000801C0000}"/>
    <cellStyle name="Normal 8 2 2 4 7 2" xfId="14178" xr:uid="{5A9E6CA6-3133-4741-9D78-7830CBF83D61}"/>
    <cellStyle name="Normal 8 2 2 4 7 2 2" xfId="50520" xr:uid="{C612936B-D9BC-4EFA-9A9C-4E1A19B7358E}"/>
    <cellStyle name="Normal 8 2 2 4 7 2 3" xfId="31924" xr:uid="{D1E4D10F-39A3-4149-A3E6-9A2D04C9F826}"/>
    <cellStyle name="Normal 8 2 2 4 7 3" xfId="41223" xr:uid="{117FC33B-F54F-4938-BC02-8CFD8FE2ADDD}"/>
    <cellStyle name="Normal 8 2 2 4 7 4" xfId="22625" xr:uid="{3D7E22BC-AADC-4AAD-A214-3C1699CA1686}"/>
    <cellStyle name="Normal 8 2 2 4 8" xfId="8990" xr:uid="{F08D85C9-EB04-4227-BEA0-1B51DDB63DFA}"/>
    <cellStyle name="Normal 8 2 2 4 8 2" xfId="36060" xr:uid="{6B6B69A7-1C0D-454D-AC88-5CC8FC2D0CF2}"/>
    <cellStyle name="Normal 8 2 2 4 8 2 2" xfId="54655" xr:uid="{E2EE678C-2D87-4522-8240-B78D78E32EF4}"/>
    <cellStyle name="Normal 8 2 2 4 8 3" xfId="45358" xr:uid="{F51FFEEF-0293-4A5F-BCCD-2945CC353FE6}"/>
    <cellStyle name="Normal 8 2 2 4 8 4" xfId="26761" xr:uid="{CE60DEA6-95CF-47C1-8B93-9E6EBCE02470}"/>
    <cellStyle name="Normal 8 2 2 4 9" xfId="9961" xr:uid="{D6DDC572-A87A-4A99-B89A-9F11837AE2F6}"/>
    <cellStyle name="Normal 8 2 2 4 9 2" xfId="46303" xr:uid="{9F8BACE6-BF8E-414B-BF96-4F26EEF3997E}"/>
    <cellStyle name="Normal 8 2 2 4 9 3" xfId="27707" xr:uid="{36F2A4E0-3F21-4272-98E2-42C408A76B05}"/>
    <cellStyle name="Normal 8 2 2 5" xfId="947" xr:uid="{00000000-0005-0000-0000-0000811C0000}"/>
    <cellStyle name="Normal 8 2 2 5 2" xfId="3181" xr:uid="{00000000-0005-0000-0000-0000821C0000}"/>
    <cellStyle name="Normal 8 2 2 5 2 2" xfId="7403" xr:uid="{00000000-0005-0000-0000-0000831C0000}"/>
    <cellStyle name="Normal 8 2 2 5 2 2 2" xfId="16729" xr:uid="{BF0D1B82-949D-4385-A737-EE0D93BBDD10}"/>
    <cellStyle name="Normal 8 2 2 5 2 2 2 2" xfId="53071" xr:uid="{C71A2B8F-A760-43E4-8762-69DDCA5049DC}"/>
    <cellStyle name="Normal 8 2 2 5 2 2 2 3" xfId="34475" xr:uid="{6578E994-57C1-4669-A4D5-582B26381FD9}"/>
    <cellStyle name="Normal 8 2 2 5 2 2 3" xfId="43774" xr:uid="{81632C4E-B997-4AA9-8D67-37955FDDE0D6}"/>
    <cellStyle name="Normal 8 2 2 5 2 2 4" xfId="25176" xr:uid="{2AA496BE-C769-4CA1-8A95-D4661EF9508A}"/>
    <cellStyle name="Normal 8 2 2 5 2 3" xfId="12512" xr:uid="{118A2BEC-B855-490F-82A6-119CB12F6D59}"/>
    <cellStyle name="Normal 8 2 2 5 2 3 2" xfId="48854" xr:uid="{A735C003-80A1-4D21-9576-AA626092D6F9}"/>
    <cellStyle name="Normal 8 2 2 5 2 3 3" xfId="30258" xr:uid="{A59123CC-B1CA-42C4-B6E5-A5C72B177046}"/>
    <cellStyle name="Normal 8 2 2 5 2 4" xfId="39557" xr:uid="{7AF0E3E9-CF54-457C-920D-0C2466BACA5C}"/>
    <cellStyle name="Normal 8 2 2 5 2 5" xfId="20959" xr:uid="{6D7D1A49-EC4C-4F8D-8EF9-7EBAA395ABB9}"/>
    <cellStyle name="Normal 8 2 2 5 3" xfId="5258" xr:uid="{00000000-0005-0000-0000-0000841C0000}"/>
    <cellStyle name="Normal 8 2 2 5 3 2" xfId="14584" xr:uid="{D50EA9CE-0A01-434E-B6BB-C5348806FFC3}"/>
    <cellStyle name="Normal 8 2 2 5 3 2 2" xfId="50926" xr:uid="{CD259B66-A389-4903-8199-84DFF0BBC7BB}"/>
    <cellStyle name="Normal 8 2 2 5 3 2 3" xfId="32330" xr:uid="{31972CFD-87C6-4E94-BCDD-B5CDB011C0B7}"/>
    <cellStyle name="Normal 8 2 2 5 3 3" xfId="41629" xr:uid="{2BD445CD-0C77-4427-964B-7976CBA8C225}"/>
    <cellStyle name="Normal 8 2 2 5 3 4" xfId="23031" xr:uid="{1D60B184-0DFC-4EF0-BF02-D6649610DE71}"/>
    <cellStyle name="Normal 8 2 2 5 4" xfId="9207" xr:uid="{D4CDC4D2-5794-400F-B850-1B259D26C1FE}"/>
    <cellStyle name="Normal 8 2 2 5 4 2" xfId="36269" xr:uid="{A2FDAE30-DBA7-4B00-AC18-ADB164411916}"/>
    <cellStyle name="Normal 8 2 2 5 4 2 2" xfId="54863" xr:uid="{E30ED4AA-4CE2-4FB2-90D4-DF2EE8062042}"/>
    <cellStyle name="Normal 8 2 2 5 4 3" xfId="45566" xr:uid="{F4984B88-6BAE-4C70-96DA-DA3AEFFDFE15}"/>
    <cellStyle name="Normal 8 2 2 5 4 4" xfId="26970" xr:uid="{6F28D6A2-F681-427E-ACAE-2439A366B2DE}"/>
    <cellStyle name="Normal 8 2 2 5 5" xfId="10367" xr:uid="{2EA13E8F-E4E8-4674-99AE-42BA66300C81}"/>
    <cellStyle name="Normal 8 2 2 5 5 2" xfId="46709" xr:uid="{2130DFA5-0AB7-46BC-AECC-CFF72412F04D}"/>
    <cellStyle name="Normal 8 2 2 5 5 3" xfId="28113" xr:uid="{EFB290BD-08C7-4583-8FDB-C2D88527469B}"/>
    <cellStyle name="Normal 8 2 2 5 6" xfId="37412" xr:uid="{B300440B-C5B6-4390-918F-CE93040E0ADE}"/>
    <cellStyle name="Normal 8 2 2 5 7" xfId="18814" xr:uid="{D786FDF7-DF5A-429F-B237-E78A0F8940BB}"/>
    <cellStyle name="Normal 8 2 2 6" xfId="1364" xr:uid="{00000000-0005-0000-0000-0000851C0000}"/>
    <cellStyle name="Normal 8 2 2 6 2" xfId="3594" xr:uid="{00000000-0005-0000-0000-0000861C0000}"/>
    <cellStyle name="Normal 8 2 2 6 2 2" xfId="7816" xr:uid="{00000000-0005-0000-0000-0000871C0000}"/>
    <cellStyle name="Normal 8 2 2 6 2 2 2" xfId="17142" xr:uid="{A2FE97E4-7DB4-4D69-A9D1-1BAF184A839B}"/>
    <cellStyle name="Normal 8 2 2 6 2 2 2 2" xfId="53484" xr:uid="{FCB3E9EC-373B-429F-83D5-88F19A4203FC}"/>
    <cellStyle name="Normal 8 2 2 6 2 2 2 3" xfId="34888" xr:uid="{E441A0D2-5871-4EE4-B912-F202B4FB33AD}"/>
    <cellStyle name="Normal 8 2 2 6 2 2 3" xfId="44187" xr:uid="{FCF8081A-3F95-441E-8213-C4476FFC9286}"/>
    <cellStyle name="Normal 8 2 2 6 2 2 4" xfId="25589" xr:uid="{D16E8897-EDF7-4B19-B2E1-90A4DB71B8FB}"/>
    <cellStyle name="Normal 8 2 2 6 2 3" xfId="12925" xr:uid="{7D4B6F81-3593-4D6D-B540-907CD5EE2D10}"/>
    <cellStyle name="Normal 8 2 2 6 2 3 2" xfId="49267" xr:uid="{DE213184-0572-459F-829B-B8F92D3D7371}"/>
    <cellStyle name="Normal 8 2 2 6 2 3 3" xfId="30671" xr:uid="{32EA85E5-87F8-421B-9CFD-D950F3A4B106}"/>
    <cellStyle name="Normal 8 2 2 6 2 4" xfId="39970" xr:uid="{DD6C5645-957F-4A7E-B5BD-BE4BD8C74202}"/>
    <cellStyle name="Normal 8 2 2 6 2 5" xfId="21372" xr:uid="{C517AE3E-56B1-42FA-8247-FDD21ACB3CF6}"/>
    <cellStyle name="Normal 8 2 2 6 3" xfId="5671" xr:uid="{00000000-0005-0000-0000-0000881C0000}"/>
    <cellStyle name="Normal 8 2 2 6 3 2" xfId="14997" xr:uid="{1068104B-C8C5-4B47-8BB1-9622D430B453}"/>
    <cellStyle name="Normal 8 2 2 6 3 2 2" xfId="51339" xr:uid="{A76490A6-D36B-4C9E-8375-F9F0B0A81C91}"/>
    <cellStyle name="Normal 8 2 2 6 3 2 3" xfId="32743" xr:uid="{5871612C-4437-4A73-9A58-5AA9876DBC4A}"/>
    <cellStyle name="Normal 8 2 2 6 3 3" xfId="42042" xr:uid="{0E428809-3A7A-40B3-99B4-23FE721DBC84}"/>
    <cellStyle name="Normal 8 2 2 6 3 4" xfId="23444" xr:uid="{D387C066-195D-46F1-99D2-2BE230782FFC}"/>
    <cellStyle name="Normal 8 2 2 6 4" xfId="10780" xr:uid="{AE593376-4A87-41E5-995C-613768709C1D}"/>
    <cellStyle name="Normal 8 2 2 6 4 2" xfId="47122" xr:uid="{E99E12C1-53AF-4DFC-A5F1-5D63A75799C9}"/>
    <cellStyle name="Normal 8 2 2 6 4 3" xfId="28526" xr:uid="{E0DF44E0-6B83-4AB8-9CEF-E179E8D7EA0C}"/>
    <cellStyle name="Normal 8 2 2 6 5" xfId="37825" xr:uid="{2E0E0723-ECC3-4EA6-90AA-25776F1A7820}"/>
    <cellStyle name="Normal 8 2 2 6 6" xfId="19227" xr:uid="{E922F78E-A23A-4A1F-8E22-D111E62F2A47}"/>
    <cellStyle name="Normal 8 2 2 7" xfId="1777" xr:uid="{00000000-0005-0000-0000-0000891C0000}"/>
    <cellStyle name="Normal 8 2 2 7 2" xfId="4007" xr:uid="{00000000-0005-0000-0000-00008A1C0000}"/>
    <cellStyle name="Normal 8 2 2 7 2 2" xfId="8229" xr:uid="{00000000-0005-0000-0000-00008B1C0000}"/>
    <cellStyle name="Normal 8 2 2 7 2 2 2" xfId="17555" xr:uid="{D6DD51E1-E30F-499C-9931-29CBDC778EF4}"/>
    <cellStyle name="Normal 8 2 2 7 2 2 2 2" xfId="53897" xr:uid="{867EC41A-7F4C-4B62-828B-06318F8E7D6A}"/>
    <cellStyle name="Normal 8 2 2 7 2 2 2 3" xfId="35301" xr:uid="{216311B5-6B65-4473-9BCA-FABA0B808B73}"/>
    <cellStyle name="Normal 8 2 2 7 2 2 3" xfId="44600" xr:uid="{627C2F89-A1F9-49F8-95FE-A13A5D82A10D}"/>
    <cellStyle name="Normal 8 2 2 7 2 2 4" xfId="26002" xr:uid="{4AA37FBF-253F-48FE-903E-836CF5FB3AB8}"/>
    <cellStyle name="Normal 8 2 2 7 2 3" xfId="13338" xr:uid="{7A669EE3-01D0-41F0-80D3-6E287555E8B0}"/>
    <cellStyle name="Normal 8 2 2 7 2 3 2" xfId="49680" xr:uid="{30AC84F1-20C5-44D6-8C99-9C311878C0C7}"/>
    <cellStyle name="Normal 8 2 2 7 2 3 3" xfId="31084" xr:uid="{78B86283-7B1D-4968-90EA-29248588F9F2}"/>
    <cellStyle name="Normal 8 2 2 7 2 4" xfId="40383" xr:uid="{E4BC447D-668E-4246-86F5-3982C224249C}"/>
    <cellStyle name="Normal 8 2 2 7 2 5" xfId="21785" xr:uid="{00D4C225-94A7-4E14-938E-56F5FD3F049B}"/>
    <cellStyle name="Normal 8 2 2 7 3" xfId="6084" xr:uid="{00000000-0005-0000-0000-00008C1C0000}"/>
    <cellStyle name="Normal 8 2 2 7 3 2" xfId="15410" xr:uid="{3F3F0932-8307-453C-87A3-84D6C09A2B44}"/>
    <cellStyle name="Normal 8 2 2 7 3 2 2" xfId="51752" xr:uid="{6A17E08B-EA0C-4A43-86F3-2B2708ACB3DA}"/>
    <cellStyle name="Normal 8 2 2 7 3 2 3" xfId="33156" xr:uid="{558A6943-E9E7-4296-83A2-6EA50471B6BF}"/>
    <cellStyle name="Normal 8 2 2 7 3 3" xfId="42455" xr:uid="{E1A463C0-2DE1-420D-8548-F3B2D4548D24}"/>
    <cellStyle name="Normal 8 2 2 7 3 4" xfId="23857" xr:uid="{BA8536EA-5959-44E0-90EA-DD8ADB572750}"/>
    <cellStyle name="Normal 8 2 2 7 4" xfId="11193" xr:uid="{25DD229D-4BC2-4668-9A9E-02A8F972A1BE}"/>
    <cellStyle name="Normal 8 2 2 7 4 2" xfId="47535" xr:uid="{BAF73E6D-704E-4648-8A8A-A7C01AB19B19}"/>
    <cellStyle name="Normal 8 2 2 7 4 3" xfId="28939" xr:uid="{B973B3EF-D4E5-4DAA-B074-A8CAE4F1FE01}"/>
    <cellStyle name="Normal 8 2 2 7 5" xfId="38238" xr:uid="{8DEDA206-BC61-4128-8E73-358C50B11468}"/>
    <cellStyle name="Normal 8 2 2 7 6" xfId="19640" xr:uid="{46567235-D13C-4C34-B043-167C1E1CA265}"/>
    <cellStyle name="Normal 8 2 2 8" xfId="2191" xr:uid="{00000000-0005-0000-0000-00008D1C0000}"/>
    <cellStyle name="Normal 8 2 2 8 2" xfId="4420" xr:uid="{00000000-0005-0000-0000-00008E1C0000}"/>
    <cellStyle name="Normal 8 2 2 8 2 2" xfId="8642" xr:uid="{00000000-0005-0000-0000-00008F1C0000}"/>
    <cellStyle name="Normal 8 2 2 8 2 2 2" xfId="17968" xr:uid="{92102E13-5789-45D9-A0DA-46C3A62B1BF1}"/>
    <cellStyle name="Normal 8 2 2 8 2 2 2 2" xfId="54310" xr:uid="{B960417C-633A-41E9-82C9-F0EDDF409731}"/>
    <cellStyle name="Normal 8 2 2 8 2 2 2 3" xfId="35714" xr:uid="{EAEEA514-E264-4A84-B5B0-AF9D9CE418E2}"/>
    <cellStyle name="Normal 8 2 2 8 2 2 3" xfId="45013" xr:uid="{42FBC4B2-121D-4EAF-AE87-9523D415E0C8}"/>
    <cellStyle name="Normal 8 2 2 8 2 2 4" xfId="26415" xr:uid="{2EEEE256-294F-43D3-87E3-CFE1CDBEF771}"/>
    <cellStyle name="Normal 8 2 2 8 2 3" xfId="13751" xr:uid="{77CEA78C-B15D-47EC-95A4-B2A61A564C6D}"/>
    <cellStyle name="Normal 8 2 2 8 2 3 2" xfId="50093" xr:uid="{06845323-3B57-47CA-9621-B051E9E592DC}"/>
    <cellStyle name="Normal 8 2 2 8 2 3 3" xfId="31497" xr:uid="{C9788CB0-AE73-4C55-A7C5-62DA79EE7C2E}"/>
    <cellStyle name="Normal 8 2 2 8 2 4" xfId="40796" xr:uid="{DD9A147A-BD81-462D-9FE4-4C99FCFC974F}"/>
    <cellStyle name="Normal 8 2 2 8 2 5" xfId="22198" xr:uid="{D3C940B7-B745-428D-8D6E-6E72D57300E2}"/>
    <cellStyle name="Normal 8 2 2 8 3" xfId="6497" xr:uid="{00000000-0005-0000-0000-0000901C0000}"/>
    <cellStyle name="Normal 8 2 2 8 3 2" xfId="15823" xr:uid="{8769FF71-0673-4A9D-9F0D-6A38434E551A}"/>
    <cellStyle name="Normal 8 2 2 8 3 2 2" xfId="52165" xr:uid="{07810120-55BB-479E-A482-FD71B406884D}"/>
    <cellStyle name="Normal 8 2 2 8 3 2 3" xfId="33569" xr:uid="{8AFA1272-E464-4C7A-BD49-4F34E33395AF}"/>
    <cellStyle name="Normal 8 2 2 8 3 3" xfId="42868" xr:uid="{450EDDE6-366B-41AE-94C4-B0228D8EBB3F}"/>
    <cellStyle name="Normal 8 2 2 8 3 4" xfId="24270" xr:uid="{2670D8FE-2F8C-4D31-96FD-F02B561FF906}"/>
    <cellStyle name="Normal 8 2 2 8 4" xfId="11606" xr:uid="{A0D061EE-0AA6-400D-B7F1-B8210D3BFFB5}"/>
    <cellStyle name="Normal 8 2 2 8 4 2" xfId="47948" xr:uid="{293311DB-087D-4111-9879-7F31E2135EA4}"/>
    <cellStyle name="Normal 8 2 2 8 4 3" xfId="29352" xr:uid="{33C25A25-4409-438B-9DBD-EE78C7E81CD7}"/>
    <cellStyle name="Normal 8 2 2 8 5" xfId="38651" xr:uid="{B0C9B22A-28FD-44D5-B568-CAFF6BD72F5F}"/>
    <cellStyle name="Normal 8 2 2 8 6" xfId="20053" xr:uid="{215FEDA1-AD1F-49DE-938A-B396BC560D2A}"/>
    <cellStyle name="Normal 8 2 2 9" xfId="2627" xr:uid="{00000000-0005-0000-0000-0000911C0000}"/>
    <cellStyle name="Normal 8 2 2 9 2" xfId="6910" xr:uid="{00000000-0005-0000-0000-0000921C0000}"/>
    <cellStyle name="Normal 8 2 2 9 2 2" xfId="16236" xr:uid="{37D0DAA0-EC8A-40CB-AC3B-EA21609B9FAE}"/>
    <cellStyle name="Normal 8 2 2 9 2 2 2" xfId="52578" xr:uid="{D543E62D-3D84-48CA-A1C3-CD8569B5BFDE}"/>
    <cellStyle name="Normal 8 2 2 9 2 2 3" xfId="33982" xr:uid="{E088A12C-EACD-4E25-93BE-B6DDAEB31FB6}"/>
    <cellStyle name="Normal 8 2 2 9 2 3" xfId="43281" xr:uid="{F2048937-8C39-4326-8A83-0DC2837B3F48}"/>
    <cellStyle name="Normal 8 2 2 9 2 4" xfId="24683" xr:uid="{DD183862-4B80-46F7-A1FF-80A71B54353D}"/>
    <cellStyle name="Normal 8 2 2 9 3" xfId="12019" xr:uid="{C1A4331F-B7EB-4C01-B2CF-66ADE0226FF5}"/>
    <cellStyle name="Normal 8 2 2 9 3 2" xfId="48361" xr:uid="{C86D831B-D5E2-4250-BB2A-158062F65A29}"/>
    <cellStyle name="Normal 8 2 2 9 3 3" xfId="29765" xr:uid="{0E7BC4D5-8D11-4D1E-A622-7FC98D668217}"/>
    <cellStyle name="Normal 8 2 2 9 4" xfId="39064" xr:uid="{73754FE8-D072-4FD1-9A7A-04228ADF52CC}"/>
    <cellStyle name="Normal 8 2 2 9 5" xfId="20466" xr:uid="{4B1CCC43-550D-4312-9C3E-B855053D3FAE}"/>
    <cellStyle name="Normal 8 2 3" xfId="488" xr:uid="{00000000-0005-0000-0000-0000931C0000}"/>
    <cellStyle name="Normal 8 2 3 10" xfId="8835" xr:uid="{2F0FB8B3-D08B-41EB-93AB-2D83A1BD6036}"/>
    <cellStyle name="Normal 8 2 3 10 2" xfId="35905" xr:uid="{C446A583-7730-452C-A4AE-9528CBBBBDA0}"/>
    <cellStyle name="Normal 8 2 3 10 2 2" xfId="54500" xr:uid="{470D36BE-DC56-44D6-9E43-A4978538D732}"/>
    <cellStyle name="Normal 8 2 3 10 3" xfId="45203" xr:uid="{2CFC213B-E5CA-41AD-9399-50995EA630B6}"/>
    <cellStyle name="Normal 8 2 3 10 4" xfId="26606" xr:uid="{C703A775-3733-4EFD-9CD3-151936F9AF22}"/>
    <cellStyle name="Normal 8 2 3 11" xfId="9962" xr:uid="{22E10CAA-FC95-4BC6-BD2C-39B69AC772F4}"/>
    <cellStyle name="Normal 8 2 3 11 2" xfId="46304" xr:uid="{C735FAC8-6661-453B-86D3-5358BFEF0AC2}"/>
    <cellStyle name="Normal 8 2 3 11 3" xfId="27708" xr:uid="{4AADD2D4-B59E-4B3B-83C9-D4089F7627ED}"/>
    <cellStyle name="Normal 8 2 3 12" xfId="37007" xr:uid="{81A2459C-D9F6-4A69-A98C-899D61CCCEDD}"/>
    <cellStyle name="Normal 8 2 3 13" xfId="18409" xr:uid="{317DACC8-F7FE-413F-8A9E-C32214262902}"/>
    <cellStyle name="Normal 8 2 3 2" xfId="489" xr:uid="{00000000-0005-0000-0000-0000941C0000}"/>
    <cellStyle name="Normal 8 2 3 2 10" xfId="9963" xr:uid="{F8BE1D62-6CBF-45AE-8403-827D452FD390}"/>
    <cellStyle name="Normal 8 2 3 2 10 2" xfId="46305" xr:uid="{83D0CD59-F54F-4C03-A9C2-A0902C1DAD19}"/>
    <cellStyle name="Normal 8 2 3 2 10 3" xfId="27709" xr:uid="{03E4AACA-5A35-4464-B47A-6EC1BB3DCC9C}"/>
    <cellStyle name="Normal 8 2 3 2 11" xfId="37008" xr:uid="{D89FF2A3-6764-4BD2-B11E-C10213734D91}"/>
    <cellStyle name="Normal 8 2 3 2 12" xfId="18410" xr:uid="{9929BC8A-F89F-4420-A718-9DD9E0C6C7B1}"/>
    <cellStyle name="Normal 8 2 3 2 2" xfId="490" xr:uid="{00000000-0005-0000-0000-0000951C0000}"/>
    <cellStyle name="Normal 8 2 3 2 2 10" xfId="37009" xr:uid="{EEC2098C-BC65-4C36-A033-D88892B66C40}"/>
    <cellStyle name="Normal 8 2 3 2 2 11" xfId="18411" xr:uid="{39CC9379-22DC-4F2B-A0AD-DE33BC696863}"/>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16739" xr:uid="{A28EBB03-67D6-4AA9-88A1-B95392566017}"/>
    <cellStyle name="Normal 8 2 3 2 2 2 2 2 2 2" xfId="53081" xr:uid="{48B35892-9802-41CF-84B5-5B5E5708D10B}"/>
    <cellStyle name="Normal 8 2 3 2 2 2 2 2 2 3" xfId="34485" xr:uid="{911E2F1B-4EEE-4493-87E8-1CF953C94EBE}"/>
    <cellStyle name="Normal 8 2 3 2 2 2 2 2 3" xfId="43784" xr:uid="{D73BCD6C-0E1C-4827-99CF-B42E04986D15}"/>
    <cellStyle name="Normal 8 2 3 2 2 2 2 2 4" xfId="25186" xr:uid="{4A3ED8B7-91CE-476A-9941-604238AC8772}"/>
    <cellStyle name="Normal 8 2 3 2 2 2 2 3" xfId="12522" xr:uid="{6FC3BF7A-FFF9-4559-A479-FD964B60D631}"/>
    <cellStyle name="Normal 8 2 3 2 2 2 2 3 2" xfId="48864" xr:uid="{5EF3B47F-FB83-4FB4-94A3-859D38345961}"/>
    <cellStyle name="Normal 8 2 3 2 2 2 2 3 3" xfId="30268" xr:uid="{0EDD5B97-A84D-4D8E-BA56-E7047F8156B4}"/>
    <cellStyle name="Normal 8 2 3 2 2 2 2 4" xfId="39567" xr:uid="{123DBDC1-8DC9-4669-91A6-036700BFB623}"/>
    <cellStyle name="Normal 8 2 3 2 2 2 2 5" xfId="20969" xr:uid="{2A0AB476-B437-460D-B6BF-5C17DCE96344}"/>
    <cellStyle name="Normal 8 2 3 2 2 2 3" xfId="5268" xr:uid="{00000000-0005-0000-0000-0000991C0000}"/>
    <cellStyle name="Normal 8 2 3 2 2 2 3 2" xfId="14594" xr:uid="{9791E537-0BD4-40BB-AB68-275F1D28F5F3}"/>
    <cellStyle name="Normal 8 2 3 2 2 2 3 2 2" xfId="50936" xr:uid="{58C3C3C4-639D-4D04-87D2-247B0B94B041}"/>
    <cellStyle name="Normal 8 2 3 2 2 2 3 2 3" xfId="32340" xr:uid="{FE6533C8-FD21-4DFD-9412-7EFEA2BF4513}"/>
    <cellStyle name="Normal 8 2 3 2 2 2 3 3" xfId="41639" xr:uid="{D00EF32A-C938-48E7-A598-5A8170B0C83A}"/>
    <cellStyle name="Normal 8 2 3 2 2 2 3 4" xfId="23041" xr:uid="{80414A1F-B99A-4545-86DE-599D65375F94}"/>
    <cellStyle name="Normal 8 2 3 2 2 2 4" xfId="9570" xr:uid="{BA9732E0-D9E4-47DB-882D-D871A821FA55}"/>
    <cellStyle name="Normal 8 2 3 2 2 2 4 2" xfId="36631" xr:uid="{2492315D-634E-4586-AEA6-E01F2DCD9E0A}"/>
    <cellStyle name="Normal 8 2 3 2 2 2 4 2 2" xfId="55225" xr:uid="{76268506-BF12-49D2-BA34-8FBE14DFBBE3}"/>
    <cellStyle name="Normal 8 2 3 2 2 2 4 3" xfId="45928" xr:uid="{CCE9F68D-BA4A-4F1A-825B-7C384435D060}"/>
    <cellStyle name="Normal 8 2 3 2 2 2 4 4" xfId="27332" xr:uid="{ECB7E704-23D9-4844-803B-9C27C314E1DE}"/>
    <cellStyle name="Normal 8 2 3 2 2 2 5" xfId="10377" xr:uid="{1747857D-8898-4DC1-9B31-8414B68856CF}"/>
    <cellStyle name="Normal 8 2 3 2 2 2 5 2" xfId="46719" xr:uid="{4B63D3A0-6631-4300-8703-5D32C4CF2879}"/>
    <cellStyle name="Normal 8 2 3 2 2 2 5 3" xfId="28123" xr:uid="{9A6F2C6A-0445-4426-87B0-33C105FDA09B}"/>
    <cellStyle name="Normal 8 2 3 2 2 2 6" xfId="37422" xr:uid="{64166DC7-9700-4560-B03D-E70CF22859FF}"/>
    <cellStyle name="Normal 8 2 3 2 2 2 7" xfId="18824" xr:uid="{C35D5714-4387-4FC1-A624-93BF3CE53946}"/>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17152" xr:uid="{9D415288-23C3-4B86-8E32-6C7DCCE21020}"/>
    <cellStyle name="Normal 8 2 3 2 2 3 2 2 2 2" xfId="53494" xr:uid="{D8C0269B-E76F-4C16-955D-409635AE1AA6}"/>
    <cellStyle name="Normal 8 2 3 2 2 3 2 2 2 3" xfId="34898" xr:uid="{45913A85-E3D0-4B28-9E5C-2490F9D5EFC9}"/>
    <cellStyle name="Normal 8 2 3 2 2 3 2 2 3" xfId="44197" xr:uid="{AE543D3D-06E8-41BB-A06A-B2C2AFA858AB}"/>
    <cellStyle name="Normal 8 2 3 2 2 3 2 2 4" xfId="25599" xr:uid="{8364E15B-680A-490C-BD61-CD25E5025792}"/>
    <cellStyle name="Normal 8 2 3 2 2 3 2 3" xfId="12935" xr:uid="{F5AFB6B7-EF52-42F2-885C-8B740B74EB77}"/>
    <cellStyle name="Normal 8 2 3 2 2 3 2 3 2" xfId="49277" xr:uid="{E0BB809C-36FC-48D2-9788-298492E6BE05}"/>
    <cellStyle name="Normal 8 2 3 2 2 3 2 3 3" xfId="30681" xr:uid="{77F9E1B5-E04D-4DB6-8043-BC55D6FBE2B1}"/>
    <cellStyle name="Normal 8 2 3 2 2 3 2 4" xfId="39980" xr:uid="{F6716CDE-E15F-4C79-81CC-045334E93198}"/>
    <cellStyle name="Normal 8 2 3 2 2 3 2 5" xfId="21382" xr:uid="{0015DC5A-CA9C-4AC2-8D0D-D733DAF7EFD9}"/>
    <cellStyle name="Normal 8 2 3 2 2 3 3" xfId="5681" xr:uid="{00000000-0005-0000-0000-00009D1C0000}"/>
    <cellStyle name="Normal 8 2 3 2 2 3 3 2" xfId="15007" xr:uid="{97547433-3100-492F-A13F-7B32E31BE0CC}"/>
    <cellStyle name="Normal 8 2 3 2 2 3 3 2 2" xfId="51349" xr:uid="{B3357840-0038-47A9-8F85-3DA3876443B6}"/>
    <cellStyle name="Normal 8 2 3 2 2 3 3 2 3" xfId="32753" xr:uid="{35F48089-14E9-4DB9-8642-C6CF75D89667}"/>
    <cellStyle name="Normal 8 2 3 2 2 3 3 3" xfId="42052" xr:uid="{E8326FE3-CA39-4FF9-8969-AC9A06897D1F}"/>
    <cellStyle name="Normal 8 2 3 2 2 3 3 4" xfId="23454" xr:uid="{661AB182-3123-4D3C-AFFC-EEC12F20BCE7}"/>
    <cellStyle name="Normal 8 2 3 2 2 3 4" xfId="10790" xr:uid="{4B55CAA7-EF75-4737-8C07-1A6417C81F32}"/>
    <cellStyle name="Normal 8 2 3 2 2 3 4 2" xfId="47132" xr:uid="{C45B4711-7782-4D8E-B4F4-25B6D297765C}"/>
    <cellStyle name="Normal 8 2 3 2 2 3 4 3" xfId="28536" xr:uid="{50BC9AAB-E3D8-4A09-B99B-E6043625FF5F}"/>
    <cellStyle name="Normal 8 2 3 2 2 3 5" xfId="37835" xr:uid="{C37CE18F-D17D-49F8-9742-B511630207EF}"/>
    <cellStyle name="Normal 8 2 3 2 2 3 6" xfId="19237" xr:uid="{B3808D43-9CBE-4421-9FFB-04FFDC951911}"/>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17565" xr:uid="{F40A28C6-9A33-4DD8-A1E0-61EA5BF71B3B}"/>
    <cellStyle name="Normal 8 2 3 2 2 4 2 2 2 2" xfId="53907" xr:uid="{FA6566A8-2E21-43D8-89FC-EDFFC0EB488B}"/>
    <cellStyle name="Normal 8 2 3 2 2 4 2 2 2 3" xfId="35311" xr:uid="{36C4C85B-D4A1-4FE3-B83F-5B8C7AF2EE28}"/>
    <cellStyle name="Normal 8 2 3 2 2 4 2 2 3" xfId="44610" xr:uid="{1B2A8BFC-1865-4E9E-A46B-32BC340EF196}"/>
    <cellStyle name="Normal 8 2 3 2 2 4 2 2 4" xfId="26012" xr:uid="{9A0E9B9C-630B-489B-BC09-C1A41C6ED819}"/>
    <cellStyle name="Normal 8 2 3 2 2 4 2 3" xfId="13348" xr:uid="{2CC2BE9E-45D7-4CEB-A047-BCA1B908A422}"/>
    <cellStyle name="Normal 8 2 3 2 2 4 2 3 2" xfId="49690" xr:uid="{0059EEE7-EF9E-422A-B9F6-03D593C51623}"/>
    <cellStyle name="Normal 8 2 3 2 2 4 2 3 3" xfId="31094" xr:uid="{5A95BD76-7846-4F37-983F-1F2452DB87C1}"/>
    <cellStyle name="Normal 8 2 3 2 2 4 2 4" xfId="40393" xr:uid="{678E6F8F-C578-4FBD-A594-D92504BACB30}"/>
    <cellStyle name="Normal 8 2 3 2 2 4 2 5" xfId="21795" xr:uid="{1E694884-3C51-44CF-B651-2CBC9EAC18D0}"/>
    <cellStyle name="Normal 8 2 3 2 2 4 3" xfId="6094" xr:uid="{00000000-0005-0000-0000-0000A11C0000}"/>
    <cellStyle name="Normal 8 2 3 2 2 4 3 2" xfId="15420" xr:uid="{2CA5AA2A-00A9-40C3-BD16-F41001BDD7B1}"/>
    <cellStyle name="Normal 8 2 3 2 2 4 3 2 2" xfId="51762" xr:uid="{12E7F916-4AC3-416A-9929-76D1449C126D}"/>
    <cellStyle name="Normal 8 2 3 2 2 4 3 2 3" xfId="33166" xr:uid="{B7D336DE-BDEB-4202-8F85-1C091A0EB070}"/>
    <cellStyle name="Normal 8 2 3 2 2 4 3 3" xfId="42465" xr:uid="{106A3768-7F54-4AAF-8871-CEE4E67D98BF}"/>
    <cellStyle name="Normal 8 2 3 2 2 4 3 4" xfId="23867" xr:uid="{D89AE722-CEEE-4D49-B7FC-A57018042C39}"/>
    <cellStyle name="Normal 8 2 3 2 2 4 4" xfId="11203" xr:uid="{0EFF8752-F9FD-4F92-A51F-53EBC601757E}"/>
    <cellStyle name="Normal 8 2 3 2 2 4 4 2" xfId="47545" xr:uid="{F4D0E017-4102-481B-B946-1C03494BDE2D}"/>
    <cellStyle name="Normal 8 2 3 2 2 4 4 3" xfId="28949" xr:uid="{0120A2BC-CED4-4C96-B414-45D88A9B9873}"/>
    <cellStyle name="Normal 8 2 3 2 2 4 5" xfId="38248" xr:uid="{DF3F61EA-1D6A-4DD7-A3C1-2B1D5A5DD369}"/>
    <cellStyle name="Normal 8 2 3 2 2 4 6" xfId="19650" xr:uid="{8BE461D5-94BB-494F-91F4-23BF3EE39507}"/>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17978" xr:uid="{21ED530A-C8ED-4102-BECC-BFF74EA74716}"/>
    <cellStyle name="Normal 8 2 3 2 2 5 2 2 2 2" xfId="54320" xr:uid="{35BAA65E-0DAB-4679-8220-C05197002441}"/>
    <cellStyle name="Normal 8 2 3 2 2 5 2 2 2 3" xfId="35724" xr:uid="{A6BA2716-48E7-43A1-863D-575CBB186010}"/>
    <cellStyle name="Normal 8 2 3 2 2 5 2 2 3" xfId="45023" xr:uid="{94C61615-66F6-42E0-B16A-D0735A216A2A}"/>
    <cellStyle name="Normal 8 2 3 2 2 5 2 2 4" xfId="26425" xr:uid="{50F2B40F-A5D4-4218-B16E-284F4152F75A}"/>
    <cellStyle name="Normal 8 2 3 2 2 5 2 3" xfId="13761" xr:uid="{13213AD7-E4DA-4D33-B0A1-A260F364094C}"/>
    <cellStyle name="Normal 8 2 3 2 2 5 2 3 2" xfId="50103" xr:uid="{6FDE17F4-11DA-4833-8995-904E85CE859E}"/>
    <cellStyle name="Normal 8 2 3 2 2 5 2 3 3" xfId="31507" xr:uid="{83389644-3B33-4A7C-BD47-0A50B85C002C}"/>
    <cellStyle name="Normal 8 2 3 2 2 5 2 4" xfId="40806" xr:uid="{8A5D3DE7-D758-4967-983A-C2893784FDCD}"/>
    <cellStyle name="Normal 8 2 3 2 2 5 2 5" xfId="22208" xr:uid="{88ABC035-F9EA-47C3-97E0-028F50CA5DF3}"/>
    <cellStyle name="Normal 8 2 3 2 2 5 3" xfId="6507" xr:uid="{00000000-0005-0000-0000-0000A51C0000}"/>
    <cellStyle name="Normal 8 2 3 2 2 5 3 2" xfId="15833" xr:uid="{45AFCF86-89A1-4A5D-8870-0E0DB7A64949}"/>
    <cellStyle name="Normal 8 2 3 2 2 5 3 2 2" xfId="52175" xr:uid="{349EA541-3AD0-4A01-BAB5-D9CD8ABCE8B5}"/>
    <cellStyle name="Normal 8 2 3 2 2 5 3 2 3" xfId="33579" xr:uid="{2911C60B-D292-4CF6-8A49-7F0E8497FF50}"/>
    <cellStyle name="Normal 8 2 3 2 2 5 3 3" xfId="42878" xr:uid="{3AC99BF6-15C4-4184-8844-C5DFCC0C1811}"/>
    <cellStyle name="Normal 8 2 3 2 2 5 3 4" xfId="24280" xr:uid="{AB782E9A-E774-4598-946E-4A96B964ADC7}"/>
    <cellStyle name="Normal 8 2 3 2 2 5 4" xfId="11616" xr:uid="{96B87C03-D461-406F-B7D8-B4F0FA61ED52}"/>
    <cellStyle name="Normal 8 2 3 2 2 5 4 2" xfId="47958" xr:uid="{7323A749-EDC9-4B1B-9EF0-1CFC50943F5F}"/>
    <cellStyle name="Normal 8 2 3 2 2 5 4 3" xfId="29362" xr:uid="{E44D786D-BBF6-4D89-BB84-FC8089E2E688}"/>
    <cellStyle name="Normal 8 2 3 2 2 5 5" xfId="38661" xr:uid="{AB8B97EE-4AF6-4564-939D-CF924DBE5AC6}"/>
    <cellStyle name="Normal 8 2 3 2 2 5 6" xfId="20063" xr:uid="{DFA1D4BB-27A3-431A-98C6-CCAF8D36D7BD}"/>
    <cellStyle name="Normal 8 2 3 2 2 6" xfId="2637" xr:uid="{00000000-0005-0000-0000-0000A61C0000}"/>
    <cellStyle name="Normal 8 2 3 2 2 6 2" xfId="6920" xr:uid="{00000000-0005-0000-0000-0000A71C0000}"/>
    <cellStyle name="Normal 8 2 3 2 2 6 2 2" xfId="16246" xr:uid="{9B8C5A0A-3603-4B88-BCC6-52024640ABEE}"/>
    <cellStyle name="Normal 8 2 3 2 2 6 2 2 2" xfId="52588" xr:uid="{33B66110-8A36-4E0E-A568-07D02E25FF71}"/>
    <cellStyle name="Normal 8 2 3 2 2 6 2 2 3" xfId="33992" xr:uid="{8FBF8342-669A-4F92-9610-334FA998304F}"/>
    <cellStyle name="Normal 8 2 3 2 2 6 2 3" xfId="43291" xr:uid="{544AFEDC-61D3-4C88-8198-8914BE4461A3}"/>
    <cellStyle name="Normal 8 2 3 2 2 6 2 4" xfId="24693" xr:uid="{B6DF04C4-743B-410E-BF51-BA3A65FADB6C}"/>
    <cellStyle name="Normal 8 2 3 2 2 6 3" xfId="12029" xr:uid="{01DA3F2C-EE66-440F-9ADB-D5199BBB72FE}"/>
    <cellStyle name="Normal 8 2 3 2 2 6 3 2" xfId="48371" xr:uid="{8FC5422A-078A-4B96-B3B7-37697FAD58E1}"/>
    <cellStyle name="Normal 8 2 3 2 2 6 3 3" xfId="29775" xr:uid="{9CE58087-8A6D-4324-91C9-112BB59A0731}"/>
    <cellStyle name="Normal 8 2 3 2 2 6 4" xfId="39074" xr:uid="{F44B975D-7A1B-4F65-8AE2-F13FF583EF59}"/>
    <cellStyle name="Normal 8 2 3 2 2 6 5" xfId="20476" xr:uid="{D15D9991-3CC4-4DCE-A8B8-C0D1179E064C}"/>
    <cellStyle name="Normal 8 2 3 2 2 7" xfId="4855" xr:uid="{00000000-0005-0000-0000-0000A81C0000}"/>
    <cellStyle name="Normal 8 2 3 2 2 7 2" xfId="14181" xr:uid="{DCB10610-9D8F-419E-888C-629A9CB16299}"/>
    <cellStyle name="Normal 8 2 3 2 2 7 2 2" xfId="50523" xr:uid="{6ED7432A-E73E-4F00-858F-2E275654C219}"/>
    <cellStyle name="Normal 8 2 3 2 2 7 2 3" xfId="31927" xr:uid="{017BB2E5-EEB8-44C7-AB47-87E50A85FC9F}"/>
    <cellStyle name="Normal 8 2 3 2 2 7 3" xfId="41226" xr:uid="{06723E59-E7E0-4235-8DDC-65F3C3EC53E3}"/>
    <cellStyle name="Normal 8 2 3 2 2 7 4" xfId="22628" xr:uid="{8D6F6DBA-6E56-4CF0-A747-872B7D573A65}"/>
    <cellStyle name="Normal 8 2 3 2 2 8" xfId="9145" xr:uid="{C71E6005-187D-4837-92B4-619AF06B3A3B}"/>
    <cellStyle name="Normal 8 2 3 2 2 8 2" xfId="36215" xr:uid="{4F2FD79D-897E-447D-9D19-4BE86BA83C07}"/>
    <cellStyle name="Normal 8 2 3 2 2 8 2 2" xfId="54810" xr:uid="{E5243263-4B49-4271-B076-9B3838C86267}"/>
    <cellStyle name="Normal 8 2 3 2 2 8 3" xfId="45513" xr:uid="{6CC32C3B-B5CF-459F-8C8B-0FA458F38102}"/>
    <cellStyle name="Normal 8 2 3 2 2 8 4" xfId="26916" xr:uid="{AF2CB5AE-06E3-4267-9908-5CD9D01955CA}"/>
    <cellStyle name="Normal 8 2 3 2 2 9" xfId="9964" xr:uid="{3A60DFAE-2D27-4E29-B084-E060266BA280}"/>
    <cellStyle name="Normal 8 2 3 2 2 9 2" xfId="46306" xr:uid="{9E657AC2-2E92-4FB7-BBF0-143632FB0782}"/>
    <cellStyle name="Normal 8 2 3 2 2 9 3" xfId="27710" xr:uid="{AFC60655-121D-4C8C-A312-65F169268BF7}"/>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16738" xr:uid="{B006888F-6ED7-4D00-A2E1-80172870AC35}"/>
    <cellStyle name="Normal 8 2 3 2 3 2 2 2 2" xfId="53080" xr:uid="{DBC62468-01FD-4674-B0B1-377C8A924EE6}"/>
    <cellStyle name="Normal 8 2 3 2 3 2 2 2 3" xfId="34484" xr:uid="{76CE28B2-5CBF-4CA0-90A8-17FCDD861D60}"/>
    <cellStyle name="Normal 8 2 3 2 3 2 2 3" xfId="43783" xr:uid="{A6C21A11-2193-4A46-A1D8-7829E9DAA9FD}"/>
    <cellStyle name="Normal 8 2 3 2 3 2 2 4" xfId="25185" xr:uid="{FC8D921F-22BF-4266-8A32-8770132129FA}"/>
    <cellStyle name="Normal 8 2 3 2 3 2 3" xfId="12521" xr:uid="{B86418DB-839C-4D5B-A771-7BD79BF46289}"/>
    <cellStyle name="Normal 8 2 3 2 3 2 3 2" xfId="48863" xr:uid="{700FFBE5-7E1C-40D6-ADB6-FEF5A42F8D76}"/>
    <cellStyle name="Normal 8 2 3 2 3 2 3 3" xfId="30267" xr:uid="{1FE4B3E1-F6C9-4D02-BC49-94148B575DC7}"/>
    <cellStyle name="Normal 8 2 3 2 3 2 4" xfId="39566" xr:uid="{85CD6DB6-569A-4E72-863A-13A21E804959}"/>
    <cellStyle name="Normal 8 2 3 2 3 2 5" xfId="20968" xr:uid="{4132A72D-5BAF-4DCA-9B61-746577F58726}"/>
    <cellStyle name="Normal 8 2 3 2 3 3" xfId="5267" xr:uid="{00000000-0005-0000-0000-0000AC1C0000}"/>
    <cellStyle name="Normal 8 2 3 2 3 3 2" xfId="14593" xr:uid="{9BEB4468-EEEF-4B4D-824B-412D29DC3893}"/>
    <cellStyle name="Normal 8 2 3 2 3 3 2 2" xfId="50935" xr:uid="{4194C004-30C2-4BDB-9FB1-6B0D0A00A0C6}"/>
    <cellStyle name="Normal 8 2 3 2 3 3 2 3" xfId="32339" xr:uid="{A2349402-DD10-47F8-987C-8394E33B6FED}"/>
    <cellStyle name="Normal 8 2 3 2 3 3 3" xfId="41638" xr:uid="{557426EE-CD23-4EE4-A512-D424081EE081}"/>
    <cellStyle name="Normal 8 2 3 2 3 3 4" xfId="23040" xr:uid="{8E7A965C-DAAB-45E5-A548-56C6DE26EB67}"/>
    <cellStyle name="Normal 8 2 3 2 3 4" xfId="9363" xr:uid="{C94C6C98-A8BC-4AC9-B084-0D2219E89AA8}"/>
    <cellStyle name="Normal 8 2 3 2 3 4 2" xfId="36424" xr:uid="{E48D0616-89C2-4705-9133-0C8A72F2893A}"/>
    <cellStyle name="Normal 8 2 3 2 3 4 2 2" xfId="55018" xr:uid="{8E179D99-A108-44CC-AC99-C0455499B54B}"/>
    <cellStyle name="Normal 8 2 3 2 3 4 3" xfId="45721" xr:uid="{D7852EA1-7C02-4360-8689-F95909F46AF7}"/>
    <cellStyle name="Normal 8 2 3 2 3 4 4" xfId="27125" xr:uid="{0B3152BA-8A80-4202-8C21-96828DFEBCC8}"/>
    <cellStyle name="Normal 8 2 3 2 3 5" xfId="10376" xr:uid="{49CE7F13-9570-4383-8DE1-6906151CE29E}"/>
    <cellStyle name="Normal 8 2 3 2 3 5 2" xfId="46718" xr:uid="{EB9638FA-E03D-4B43-B54C-90E1CA0477C5}"/>
    <cellStyle name="Normal 8 2 3 2 3 5 3" xfId="28122" xr:uid="{ECC5EF08-5F2D-4F98-A863-E268D9469B0F}"/>
    <cellStyle name="Normal 8 2 3 2 3 6" xfId="37421" xr:uid="{00ED4E8A-0456-4152-AC64-B0B61244C97C}"/>
    <cellStyle name="Normal 8 2 3 2 3 7" xfId="18823" xr:uid="{AB6C1A01-D59D-4DF6-B8D7-1B5E167A4A87}"/>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17151" xr:uid="{177DD87A-B929-4157-BE03-21491B2ACEB4}"/>
    <cellStyle name="Normal 8 2 3 2 4 2 2 2 2" xfId="53493" xr:uid="{B9D3090F-D8BE-45E2-AADB-15790E71DE05}"/>
    <cellStyle name="Normal 8 2 3 2 4 2 2 2 3" xfId="34897" xr:uid="{BE25BE71-256A-4326-A3BF-41CB5AD767DB}"/>
    <cellStyle name="Normal 8 2 3 2 4 2 2 3" xfId="44196" xr:uid="{DAD5F3EC-65FC-4758-8BB0-F8C9CF79611C}"/>
    <cellStyle name="Normal 8 2 3 2 4 2 2 4" xfId="25598" xr:uid="{C3B00AA1-6EA5-4886-8446-BA45CB50C458}"/>
    <cellStyle name="Normal 8 2 3 2 4 2 3" xfId="12934" xr:uid="{14735529-B923-47CD-BBC5-4371C9ED999E}"/>
    <cellStyle name="Normal 8 2 3 2 4 2 3 2" xfId="49276" xr:uid="{FBC5B2D2-BE53-4EA2-9AEE-EEA36E7B081D}"/>
    <cellStyle name="Normal 8 2 3 2 4 2 3 3" xfId="30680" xr:uid="{BAFD824A-E70E-40C5-8574-153DCB8218BE}"/>
    <cellStyle name="Normal 8 2 3 2 4 2 4" xfId="39979" xr:uid="{1F104AD5-E782-4A78-9083-F8537DE99320}"/>
    <cellStyle name="Normal 8 2 3 2 4 2 5" xfId="21381" xr:uid="{DEFA28B1-C7E4-4D2B-AB73-F9BCA77DCB23}"/>
    <cellStyle name="Normal 8 2 3 2 4 3" xfId="5680" xr:uid="{00000000-0005-0000-0000-0000B01C0000}"/>
    <cellStyle name="Normal 8 2 3 2 4 3 2" xfId="15006" xr:uid="{599D9E8C-887E-4FA4-951A-9EB57DA32757}"/>
    <cellStyle name="Normal 8 2 3 2 4 3 2 2" xfId="51348" xr:uid="{18A03F8E-B595-4D95-9E8A-3977F94FBF57}"/>
    <cellStyle name="Normal 8 2 3 2 4 3 2 3" xfId="32752" xr:uid="{F47D0F63-F871-4CF9-8E20-07F3AEB378D1}"/>
    <cellStyle name="Normal 8 2 3 2 4 3 3" xfId="42051" xr:uid="{985A734F-899E-4AA3-AFEC-8A537E64CCB2}"/>
    <cellStyle name="Normal 8 2 3 2 4 3 4" xfId="23453" xr:uid="{9FBE0753-6462-442A-948D-DB36629A0465}"/>
    <cellStyle name="Normal 8 2 3 2 4 4" xfId="10789" xr:uid="{60FB4A1B-F83A-4A6D-B35B-E9F677825408}"/>
    <cellStyle name="Normal 8 2 3 2 4 4 2" xfId="47131" xr:uid="{E10E11F6-313E-4F11-9FDD-5A45CABBEF0A}"/>
    <cellStyle name="Normal 8 2 3 2 4 4 3" xfId="28535" xr:uid="{4C60C027-0F98-44E5-BA02-DC083B095A3C}"/>
    <cellStyle name="Normal 8 2 3 2 4 5" xfId="37834" xr:uid="{E3810DA9-AC4B-444A-9A5C-26AFE9676ACF}"/>
    <cellStyle name="Normal 8 2 3 2 4 6" xfId="19236" xr:uid="{D47ED0DE-7810-477C-987D-E0D6AB8D3F56}"/>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17564" xr:uid="{865556D6-B162-4EBE-AF18-CB7B4613E814}"/>
    <cellStyle name="Normal 8 2 3 2 5 2 2 2 2" xfId="53906" xr:uid="{F5C28BC2-AD10-44E1-969E-13576790CA52}"/>
    <cellStyle name="Normal 8 2 3 2 5 2 2 2 3" xfId="35310" xr:uid="{0416CB6D-6BC7-4A35-90E0-95F713B4FBB2}"/>
    <cellStyle name="Normal 8 2 3 2 5 2 2 3" xfId="44609" xr:uid="{A5ED2D73-1364-4D81-89CF-3DE38FAD7D93}"/>
    <cellStyle name="Normal 8 2 3 2 5 2 2 4" xfId="26011" xr:uid="{5708316B-E37A-4DDA-A418-467BA133CE6C}"/>
    <cellStyle name="Normal 8 2 3 2 5 2 3" xfId="13347" xr:uid="{E7516C4E-FBD8-4CFB-A26D-5E3C241E27C0}"/>
    <cellStyle name="Normal 8 2 3 2 5 2 3 2" xfId="49689" xr:uid="{F8BA5782-6BF6-4D36-AFF7-94DD85CF9C74}"/>
    <cellStyle name="Normal 8 2 3 2 5 2 3 3" xfId="31093" xr:uid="{0E9DAEDD-F70F-4FC8-BFE6-9FA3B70EB3EA}"/>
    <cellStyle name="Normal 8 2 3 2 5 2 4" xfId="40392" xr:uid="{A337305F-1EEC-49F3-91E2-0B7B9B18478F}"/>
    <cellStyle name="Normal 8 2 3 2 5 2 5" xfId="21794" xr:uid="{3AD8C141-036C-4335-9D6B-AE3DEE57D18F}"/>
    <cellStyle name="Normal 8 2 3 2 5 3" xfId="6093" xr:uid="{00000000-0005-0000-0000-0000B41C0000}"/>
    <cellStyle name="Normal 8 2 3 2 5 3 2" xfId="15419" xr:uid="{9430F90C-E7F1-4032-9378-4162A8F84D0E}"/>
    <cellStyle name="Normal 8 2 3 2 5 3 2 2" xfId="51761" xr:uid="{AECDD278-C657-4DAF-87D4-F1641C141ADA}"/>
    <cellStyle name="Normal 8 2 3 2 5 3 2 3" xfId="33165" xr:uid="{139C9E65-B6E2-40D0-A15E-DDD717391255}"/>
    <cellStyle name="Normal 8 2 3 2 5 3 3" xfId="42464" xr:uid="{80F81708-E01D-49A1-A97C-89DBFADBC974}"/>
    <cellStyle name="Normal 8 2 3 2 5 3 4" xfId="23866" xr:uid="{5E2122D4-95E2-47EC-8D5B-B2331325D52A}"/>
    <cellStyle name="Normal 8 2 3 2 5 4" xfId="11202" xr:uid="{60375AE2-777D-4D75-AA1F-08438ABAE4AD}"/>
    <cellStyle name="Normal 8 2 3 2 5 4 2" xfId="47544" xr:uid="{794D04A4-BBEB-4FC7-BB39-591C3CCF01B1}"/>
    <cellStyle name="Normal 8 2 3 2 5 4 3" xfId="28948" xr:uid="{692FB151-C8A8-4A65-803E-BC643823F2FD}"/>
    <cellStyle name="Normal 8 2 3 2 5 5" xfId="38247" xr:uid="{D1E509AB-DAD6-4619-8575-FD777A53E75B}"/>
    <cellStyle name="Normal 8 2 3 2 5 6" xfId="19649" xr:uid="{5D570FDC-B90E-46B7-9255-B84A92E0A55E}"/>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17977" xr:uid="{EF723D62-A62A-4D01-8825-FADA14CD2D1E}"/>
    <cellStyle name="Normal 8 2 3 2 6 2 2 2 2" xfId="54319" xr:uid="{0E78919D-F06A-489A-9F76-9BF84653075E}"/>
    <cellStyle name="Normal 8 2 3 2 6 2 2 2 3" xfId="35723" xr:uid="{CCC0AF34-B05E-402D-B91F-6C89EBC9FFCB}"/>
    <cellStyle name="Normal 8 2 3 2 6 2 2 3" xfId="45022" xr:uid="{A7DBC898-A064-4CAD-97F1-B7290B241B39}"/>
    <cellStyle name="Normal 8 2 3 2 6 2 2 4" xfId="26424" xr:uid="{812BD023-C038-42B4-92DF-7835A614513C}"/>
    <cellStyle name="Normal 8 2 3 2 6 2 3" xfId="13760" xr:uid="{0A88203D-8A05-4D3A-A91C-4D8B33DD2303}"/>
    <cellStyle name="Normal 8 2 3 2 6 2 3 2" xfId="50102" xr:uid="{83441C8C-5AB5-4285-AA93-68BA1A4DAF80}"/>
    <cellStyle name="Normal 8 2 3 2 6 2 3 3" xfId="31506" xr:uid="{4CD4C382-3173-4E81-8738-EB6EC86CFCE1}"/>
    <cellStyle name="Normal 8 2 3 2 6 2 4" xfId="40805" xr:uid="{4407B351-8F17-4E3D-A8F1-594F70AD38A0}"/>
    <cellStyle name="Normal 8 2 3 2 6 2 5" xfId="22207" xr:uid="{502121CF-926F-4413-841D-BFE2C9B2139D}"/>
    <cellStyle name="Normal 8 2 3 2 6 3" xfId="6506" xr:uid="{00000000-0005-0000-0000-0000B81C0000}"/>
    <cellStyle name="Normal 8 2 3 2 6 3 2" xfId="15832" xr:uid="{03675BF7-E5EB-4534-BA75-E8631A5E5819}"/>
    <cellStyle name="Normal 8 2 3 2 6 3 2 2" xfId="52174" xr:uid="{224AD540-B5C5-47C3-B493-32A77E659A33}"/>
    <cellStyle name="Normal 8 2 3 2 6 3 2 3" xfId="33578" xr:uid="{60A3EC4F-AD11-463E-BD71-BAD1ACBC0B08}"/>
    <cellStyle name="Normal 8 2 3 2 6 3 3" xfId="42877" xr:uid="{391E7EE6-A30E-4E32-A87E-951F51771406}"/>
    <cellStyle name="Normal 8 2 3 2 6 3 4" xfId="24279" xr:uid="{6E453062-845D-4102-B4BB-626EE9B560C4}"/>
    <cellStyle name="Normal 8 2 3 2 6 4" xfId="11615" xr:uid="{A38ECF09-2A9B-4C90-BCFF-F042C98E99A4}"/>
    <cellStyle name="Normal 8 2 3 2 6 4 2" xfId="47957" xr:uid="{170F5CE9-C120-47A1-9EF0-35A7CFF0AD03}"/>
    <cellStyle name="Normal 8 2 3 2 6 4 3" xfId="29361" xr:uid="{1CEE6545-4DC3-4EE1-BE1D-4DEAE45DB8D9}"/>
    <cellStyle name="Normal 8 2 3 2 6 5" xfId="38660" xr:uid="{7ECE7AE1-69A8-4CDC-AEDF-DE3E5B3FF454}"/>
    <cellStyle name="Normal 8 2 3 2 6 6" xfId="20062" xr:uid="{FBF9C2E9-4095-4FB1-AEDD-9A46D4ABE8C1}"/>
    <cellStyle name="Normal 8 2 3 2 7" xfId="2636" xr:uid="{00000000-0005-0000-0000-0000B91C0000}"/>
    <cellStyle name="Normal 8 2 3 2 7 2" xfId="6919" xr:uid="{00000000-0005-0000-0000-0000BA1C0000}"/>
    <cellStyle name="Normal 8 2 3 2 7 2 2" xfId="16245" xr:uid="{B144807C-470C-439E-BA73-7471915D286C}"/>
    <cellStyle name="Normal 8 2 3 2 7 2 2 2" xfId="52587" xr:uid="{D22B4B02-BE40-4CDF-BF67-020C8A35AA91}"/>
    <cellStyle name="Normal 8 2 3 2 7 2 2 3" xfId="33991" xr:uid="{2AE9B430-A17B-4FB2-9E17-AC12BFB54270}"/>
    <cellStyle name="Normal 8 2 3 2 7 2 3" xfId="43290" xr:uid="{DF349D6E-E865-4CC2-8AAE-8A51BD2881A4}"/>
    <cellStyle name="Normal 8 2 3 2 7 2 4" xfId="24692" xr:uid="{078A8261-CA15-486C-AB02-0425A6CE64D1}"/>
    <cellStyle name="Normal 8 2 3 2 7 3" xfId="12028" xr:uid="{EB8144F3-5192-47A3-B8ED-C9D78D70F15C}"/>
    <cellStyle name="Normal 8 2 3 2 7 3 2" xfId="48370" xr:uid="{3C125EDE-BD83-4D67-9D26-78B010AEBB9C}"/>
    <cellStyle name="Normal 8 2 3 2 7 3 3" xfId="29774" xr:uid="{B78FE44F-D51C-4A69-9118-37F757255337}"/>
    <cellStyle name="Normal 8 2 3 2 7 4" xfId="39073" xr:uid="{FD8D049D-BEA8-420B-95FB-CB8B1A089800}"/>
    <cellStyle name="Normal 8 2 3 2 7 5" xfId="20475" xr:uid="{9ACD02E6-04FD-4642-8B78-69E823D111AC}"/>
    <cellStyle name="Normal 8 2 3 2 8" xfId="4854" xr:uid="{00000000-0005-0000-0000-0000BB1C0000}"/>
    <cellStyle name="Normal 8 2 3 2 8 2" xfId="14180" xr:uid="{B658C6BF-01B1-4133-83B8-021671C5FD17}"/>
    <cellStyle name="Normal 8 2 3 2 8 2 2" xfId="50522" xr:uid="{828C02AA-378E-4CF9-AE03-910F0FB6CDC5}"/>
    <cellStyle name="Normal 8 2 3 2 8 2 3" xfId="31926" xr:uid="{CDC77D7C-2788-4CDA-B684-885BAD3C54EE}"/>
    <cellStyle name="Normal 8 2 3 2 8 3" xfId="41225" xr:uid="{BA470D9C-A95A-4024-BAB8-CB5D9E856646}"/>
    <cellStyle name="Normal 8 2 3 2 8 4" xfId="22627" xr:uid="{BEFC0B87-87CB-464B-ADFE-3CB697E1AE38}"/>
    <cellStyle name="Normal 8 2 3 2 9" xfId="8938" xr:uid="{1EAF77CE-4DC3-40DC-AA9D-31320D478EE9}"/>
    <cellStyle name="Normal 8 2 3 2 9 2" xfId="36008" xr:uid="{8FB0E891-C380-4EB6-AF01-3780FB008BDC}"/>
    <cellStyle name="Normal 8 2 3 2 9 2 2" xfId="54603" xr:uid="{50274678-EA78-4138-9CCC-A66FF8DAF7B5}"/>
    <cellStyle name="Normal 8 2 3 2 9 3" xfId="45306" xr:uid="{2B938725-E373-492D-98A6-91204BCE0AEB}"/>
    <cellStyle name="Normal 8 2 3 2 9 4" xfId="26709" xr:uid="{9AFE1BF4-5336-48A9-826B-1BF4742A4E53}"/>
    <cellStyle name="Normal 8 2 3 3" xfId="491" xr:uid="{00000000-0005-0000-0000-0000BC1C0000}"/>
    <cellStyle name="Normal 8 2 3 3 10" xfId="37010" xr:uid="{BB183914-FE4B-4493-8AAF-D6145E02CCD9}"/>
    <cellStyle name="Normal 8 2 3 3 11" xfId="18412" xr:uid="{811E2963-94F1-4858-B6AB-1EEA62D6173C}"/>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16740" xr:uid="{03A6B5FE-28A5-41BE-89B0-17B970AB53C6}"/>
    <cellStyle name="Normal 8 2 3 3 2 2 2 2 2" xfId="53082" xr:uid="{949B2667-70CF-4C8E-B2E4-EB7D07E01FE3}"/>
    <cellStyle name="Normal 8 2 3 3 2 2 2 2 3" xfId="34486" xr:uid="{3C37DBD9-69F9-402A-8CF0-E1079FA65C39}"/>
    <cellStyle name="Normal 8 2 3 3 2 2 2 3" xfId="43785" xr:uid="{73020E31-078A-4899-853C-A07DD7D92252}"/>
    <cellStyle name="Normal 8 2 3 3 2 2 2 4" xfId="25187" xr:uid="{23E67855-61E8-4554-BE51-2AB3BADD1744}"/>
    <cellStyle name="Normal 8 2 3 3 2 2 3" xfId="12523" xr:uid="{93D1C05D-56D6-40E5-9947-50BBE7B6AC03}"/>
    <cellStyle name="Normal 8 2 3 3 2 2 3 2" xfId="48865" xr:uid="{ABFAAA37-E8FD-4131-B010-9627DFCB8678}"/>
    <cellStyle name="Normal 8 2 3 3 2 2 3 3" xfId="30269" xr:uid="{3BFD7CA1-DB00-4D53-86D4-EE2E773B23E8}"/>
    <cellStyle name="Normal 8 2 3 3 2 2 4" xfId="39568" xr:uid="{8B8ECF56-8B76-448D-97E4-57518BFE4485}"/>
    <cellStyle name="Normal 8 2 3 3 2 2 5" xfId="20970" xr:uid="{76AC61A8-B88C-412F-B94E-80AEEB18919D}"/>
    <cellStyle name="Normal 8 2 3 3 2 3" xfId="5269" xr:uid="{00000000-0005-0000-0000-0000C01C0000}"/>
    <cellStyle name="Normal 8 2 3 3 2 3 2" xfId="14595" xr:uid="{75F047B5-CA15-4160-ABB3-CD404F2A5E2E}"/>
    <cellStyle name="Normal 8 2 3 3 2 3 2 2" xfId="50937" xr:uid="{EB0B37F0-3B5B-4B26-8E21-F36E45D3E8D9}"/>
    <cellStyle name="Normal 8 2 3 3 2 3 2 3" xfId="32341" xr:uid="{3025C1E5-5C94-46B2-AA21-212FCDFE9BF6}"/>
    <cellStyle name="Normal 8 2 3 3 2 3 3" xfId="41640" xr:uid="{05895E15-41F3-481B-9903-75DFAC7A55CF}"/>
    <cellStyle name="Normal 8 2 3 3 2 3 4" xfId="23042" xr:uid="{5DD09098-1531-4C22-82EA-039BD5239B00}"/>
    <cellStyle name="Normal 8 2 3 3 2 4" xfId="9467" xr:uid="{C16001D7-8508-4511-808F-E990F8EA0FE3}"/>
    <cellStyle name="Normal 8 2 3 3 2 4 2" xfId="36528" xr:uid="{5EF8264B-2F4B-4524-9A22-4BF978062A26}"/>
    <cellStyle name="Normal 8 2 3 3 2 4 2 2" xfId="55122" xr:uid="{9A167D33-396F-4BA5-9FBA-D12381F477CD}"/>
    <cellStyle name="Normal 8 2 3 3 2 4 3" xfId="45825" xr:uid="{BC4721E1-0BE7-4AFD-A158-F865D3679320}"/>
    <cellStyle name="Normal 8 2 3 3 2 4 4" xfId="27229" xr:uid="{C32D53AD-8505-4984-94F6-92E0D9A915DC}"/>
    <cellStyle name="Normal 8 2 3 3 2 5" xfId="10378" xr:uid="{0CE25FB4-D0D7-48FD-B62C-6719EEA1030F}"/>
    <cellStyle name="Normal 8 2 3 3 2 5 2" xfId="46720" xr:uid="{FECC7BB5-29B4-46D0-A7B3-1DB56C4E1407}"/>
    <cellStyle name="Normal 8 2 3 3 2 5 3" xfId="28124" xr:uid="{B76C12F4-E4AB-4B45-8058-1FF338435932}"/>
    <cellStyle name="Normal 8 2 3 3 2 6" xfId="37423" xr:uid="{5B9C935E-2909-4387-B962-A96653E9610A}"/>
    <cellStyle name="Normal 8 2 3 3 2 7" xfId="18825" xr:uid="{70C7AD0B-CBCB-4A29-90F1-FBA9760ADAEF}"/>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17153" xr:uid="{DF9577F1-BFBC-4B60-8E0E-B232C07A168A}"/>
    <cellStyle name="Normal 8 2 3 3 3 2 2 2 2" xfId="53495" xr:uid="{08CED13F-BEE7-4319-B6E8-4998522F862E}"/>
    <cellStyle name="Normal 8 2 3 3 3 2 2 2 3" xfId="34899" xr:uid="{5D8B93AD-0829-4B3D-BAB0-6E9039935241}"/>
    <cellStyle name="Normal 8 2 3 3 3 2 2 3" xfId="44198" xr:uid="{AFCA5BCD-189F-44CD-8CBC-83366716F78E}"/>
    <cellStyle name="Normal 8 2 3 3 3 2 2 4" xfId="25600" xr:uid="{04FD427B-9DF8-4E9C-88BD-D60827EF8CE0}"/>
    <cellStyle name="Normal 8 2 3 3 3 2 3" xfId="12936" xr:uid="{BF47EFB6-C456-4779-93A9-0F2EA8E34BD8}"/>
    <cellStyle name="Normal 8 2 3 3 3 2 3 2" xfId="49278" xr:uid="{8198C860-C52C-45F7-9CBD-672BF8896525}"/>
    <cellStyle name="Normal 8 2 3 3 3 2 3 3" xfId="30682" xr:uid="{D89047BC-0CC7-4EC7-96B3-7FC8E5631E19}"/>
    <cellStyle name="Normal 8 2 3 3 3 2 4" xfId="39981" xr:uid="{C4D4ED72-0C53-426E-900C-45E9A3D3612B}"/>
    <cellStyle name="Normal 8 2 3 3 3 2 5" xfId="21383" xr:uid="{8156B449-2DE1-480D-B021-C4EB3167C5FA}"/>
    <cellStyle name="Normal 8 2 3 3 3 3" xfId="5682" xr:uid="{00000000-0005-0000-0000-0000C41C0000}"/>
    <cellStyle name="Normal 8 2 3 3 3 3 2" xfId="15008" xr:uid="{D6181BC9-6B07-4168-9F2D-1C498A77B452}"/>
    <cellStyle name="Normal 8 2 3 3 3 3 2 2" xfId="51350" xr:uid="{8E5FA1E6-07E5-4047-BC67-D78FA820C55E}"/>
    <cellStyle name="Normal 8 2 3 3 3 3 2 3" xfId="32754" xr:uid="{0D6EB589-3A08-4FD0-9CB3-4FA9F96E1322}"/>
    <cellStyle name="Normal 8 2 3 3 3 3 3" xfId="42053" xr:uid="{C904CA3F-64D4-496D-8241-D360C04D689F}"/>
    <cellStyle name="Normal 8 2 3 3 3 3 4" xfId="23455" xr:uid="{26EEAA24-3131-4CB2-8615-A5D20746C5BA}"/>
    <cellStyle name="Normal 8 2 3 3 3 4" xfId="10791" xr:uid="{2E85C4C1-8C53-42E8-828F-51D2011CABB7}"/>
    <cellStyle name="Normal 8 2 3 3 3 4 2" xfId="47133" xr:uid="{58C3A00D-575D-4919-8FD8-5F2462AA20A1}"/>
    <cellStyle name="Normal 8 2 3 3 3 4 3" xfId="28537" xr:uid="{4EAC2152-347F-4DBE-8EF3-BE3D8FB11778}"/>
    <cellStyle name="Normal 8 2 3 3 3 5" xfId="37836" xr:uid="{F82C3D9C-3D64-40E6-91D9-7E1FF485323A}"/>
    <cellStyle name="Normal 8 2 3 3 3 6" xfId="19238" xr:uid="{BEAC0588-F2F0-4C70-B678-674DA305467A}"/>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17566" xr:uid="{CD04F278-FF99-4AD4-8C03-846E13EF9A58}"/>
    <cellStyle name="Normal 8 2 3 3 4 2 2 2 2" xfId="53908" xr:uid="{72CFA1FC-0E27-4136-8CF4-C187B7C3D336}"/>
    <cellStyle name="Normal 8 2 3 3 4 2 2 2 3" xfId="35312" xr:uid="{50B8190D-68D0-4279-990F-5B4A45D4F991}"/>
    <cellStyle name="Normal 8 2 3 3 4 2 2 3" xfId="44611" xr:uid="{424EDEF1-654C-4F6E-94D6-8A0AAF424DF3}"/>
    <cellStyle name="Normal 8 2 3 3 4 2 2 4" xfId="26013" xr:uid="{AFD3D2AC-B45A-4759-8672-8BD827C8238F}"/>
    <cellStyle name="Normal 8 2 3 3 4 2 3" xfId="13349" xr:uid="{08BF88E0-25B3-4542-AFB9-1537B237D94F}"/>
    <cellStyle name="Normal 8 2 3 3 4 2 3 2" xfId="49691" xr:uid="{4438DD4C-B9C4-40D5-8EE9-3D753D4A6ECB}"/>
    <cellStyle name="Normal 8 2 3 3 4 2 3 3" xfId="31095" xr:uid="{00E14904-CBB8-4E8E-8795-B8457151790B}"/>
    <cellStyle name="Normal 8 2 3 3 4 2 4" xfId="40394" xr:uid="{C28CFC9E-C159-4CBB-87FC-B55589CEBA9D}"/>
    <cellStyle name="Normal 8 2 3 3 4 2 5" xfId="21796" xr:uid="{EEB5AB3C-D04B-49F5-A156-2C003E6D82DB}"/>
    <cellStyle name="Normal 8 2 3 3 4 3" xfId="6095" xr:uid="{00000000-0005-0000-0000-0000C81C0000}"/>
    <cellStyle name="Normal 8 2 3 3 4 3 2" xfId="15421" xr:uid="{5541A3D2-4667-4B3D-A8A9-19207AD8CFF9}"/>
    <cellStyle name="Normal 8 2 3 3 4 3 2 2" xfId="51763" xr:uid="{4733E2BF-A61F-41D7-9724-DA756E3A63F6}"/>
    <cellStyle name="Normal 8 2 3 3 4 3 2 3" xfId="33167" xr:uid="{BCA4D9C1-2007-43D2-B1AD-CA0ADD26D42E}"/>
    <cellStyle name="Normal 8 2 3 3 4 3 3" xfId="42466" xr:uid="{F27EEF49-89C3-45A2-A850-45C1D39392B5}"/>
    <cellStyle name="Normal 8 2 3 3 4 3 4" xfId="23868" xr:uid="{9E6E1006-D2B1-4999-8B98-A99A13F8245A}"/>
    <cellStyle name="Normal 8 2 3 3 4 4" xfId="11204" xr:uid="{7442B4FF-3038-48CD-9339-7700CE9F6BAD}"/>
    <cellStyle name="Normal 8 2 3 3 4 4 2" xfId="47546" xr:uid="{140EEE54-F5E3-445C-9DDE-447337B2D515}"/>
    <cellStyle name="Normal 8 2 3 3 4 4 3" xfId="28950" xr:uid="{35FEF3BB-A597-4EE4-83A6-FFF7BA911234}"/>
    <cellStyle name="Normal 8 2 3 3 4 5" xfId="38249" xr:uid="{F2697FF9-FF1B-4D8A-ABB7-3FBFF504CCC5}"/>
    <cellStyle name="Normal 8 2 3 3 4 6" xfId="19651" xr:uid="{6C9A8E45-D8FB-4B87-806C-41C6336B3F67}"/>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17979" xr:uid="{4634461D-4FE3-4BE8-9FF9-5B3FA2341EE7}"/>
    <cellStyle name="Normal 8 2 3 3 5 2 2 2 2" xfId="54321" xr:uid="{6EF17159-4E1A-4EFA-A2F8-CB47E5AE3F1E}"/>
    <cellStyle name="Normal 8 2 3 3 5 2 2 2 3" xfId="35725" xr:uid="{7F50924C-0387-48A3-BB9C-04ADBBB6A10C}"/>
    <cellStyle name="Normal 8 2 3 3 5 2 2 3" xfId="45024" xr:uid="{60A57F31-9FDB-4E2F-8F45-9F0FA0486368}"/>
    <cellStyle name="Normal 8 2 3 3 5 2 2 4" xfId="26426" xr:uid="{E6098040-64F6-4C85-BD24-0B8891CEF8EC}"/>
    <cellStyle name="Normal 8 2 3 3 5 2 3" xfId="13762" xr:uid="{795107D2-14BD-4371-BCDF-E732370FA9DC}"/>
    <cellStyle name="Normal 8 2 3 3 5 2 3 2" xfId="50104" xr:uid="{06DB5F70-E15A-498C-8AAE-EDF123C4E962}"/>
    <cellStyle name="Normal 8 2 3 3 5 2 3 3" xfId="31508" xr:uid="{CD769043-1B41-40A2-9D37-829BAAAADC8F}"/>
    <cellStyle name="Normal 8 2 3 3 5 2 4" xfId="40807" xr:uid="{5BF19975-1267-462C-A423-94EF72944F27}"/>
    <cellStyle name="Normal 8 2 3 3 5 2 5" xfId="22209" xr:uid="{7D43E163-4B84-45E7-9B71-FC0678BB9D11}"/>
    <cellStyle name="Normal 8 2 3 3 5 3" xfId="6508" xr:uid="{00000000-0005-0000-0000-0000CC1C0000}"/>
    <cellStyle name="Normal 8 2 3 3 5 3 2" xfId="15834" xr:uid="{6BC4841C-1AB7-4943-B796-284548C556FC}"/>
    <cellStyle name="Normal 8 2 3 3 5 3 2 2" xfId="52176" xr:uid="{7D6A044F-AEFE-4C32-8473-7A18AE7273F2}"/>
    <cellStyle name="Normal 8 2 3 3 5 3 2 3" xfId="33580" xr:uid="{A2DFFD18-5601-4A77-8DA9-CDBB0EB80B50}"/>
    <cellStyle name="Normal 8 2 3 3 5 3 3" xfId="42879" xr:uid="{BA9F1314-C1CB-4915-92B0-A0078C4D0D16}"/>
    <cellStyle name="Normal 8 2 3 3 5 3 4" xfId="24281" xr:uid="{A330D5A3-BD74-4FC6-87D1-60429C087917}"/>
    <cellStyle name="Normal 8 2 3 3 5 4" xfId="11617" xr:uid="{C0D0084E-E1B4-414E-9662-4AF2DD7F43A4}"/>
    <cellStyle name="Normal 8 2 3 3 5 4 2" xfId="47959" xr:uid="{E28E48C1-8C9C-49D5-8C7E-0CA76284153C}"/>
    <cellStyle name="Normal 8 2 3 3 5 4 3" xfId="29363" xr:uid="{26271115-6C04-4C70-A7A6-C1D4749FBC4F}"/>
    <cellStyle name="Normal 8 2 3 3 5 5" xfId="38662" xr:uid="{ADAE0565-0873-4953-892A-94E0F4EEE482}"/>
    <cellStyle name="Normal 8 2 3 3 5 6" xfId="20064" xr:uid="{0200BC7C-172D-491B-A5CE-E9014458B292}"/>
    <cellStyle name="Normal 8 2 3 3 6" xfId="2638" xr:uid="{00000000-0005-0000-0000-0000CD1C0000}"/>
    <cellStyle name="Normal 8 2 3 3 6 2" xfId="6921" xr:uid="{00000000-0005-0000-0000-0000CE1C0000}"/>
    <cellStyle name="Normal 8 2 3 3 6 2 2" xfId="16247" xr:uid="{E61471B5-8594-47BF-BE16-8CC53B4A0861}"/>
    <cellStyle name="Normal 8 2 3 3 6 2 2 2" xfId="52589" xr:uid="{EBD3928B-9E4A-4BED-949D-B66D5D570D6B}"/>
    <cellStyle name="Normal 8 2 3 3 6 2 2 3" xfId="33993" xr:uid="{A2D6228D-7DD3-4381-924B-EDA84EC7D58A}"/>
    <cellStyle name="Normal 8 2 3 3 6 2 3" xfId="43292" xr:uid="{44EF83A6-814B-46F5-A751-E639A65778E2}"/>
    <cellStyle name="Normal 8 2 3 3 6 2 4" xfId="24694" xr:uid="{4F1E01B1-02F5-4CE8-83D1-0E6A756D3ACD}"/>
    <cellStyle name="Normal 8 2 3 3 6 3" xfId="12030" xr:uid="{3D62FFD4-B518-4451-9EE4-509E847A2536}"/>
    <cellStyle name="Normal 8 2 3 3 6 3 2" xfId="48372" xr:uid="{E38F2413-1CC4-4A5B-962D-2C859441E704}"/>
    <cellStyle name="Normal 8 2 3 3 6 3 3" xfId="29776" xr:uid="{815FB411-D62D-4E56-AFB5-5578CB5D9BA6}"/>
    <cellStyle name="Normal 8 2 3 3 6 4" xfId="39075" xr:uid="{C2AFB212-4DF0-4390-BD06-68544CC9AE10}"/>
    <cellStyle name="Normal 8 2 3 3 6 5" xfId="20477" xr:uid="{675AD51A-3D04-4211-B70C-B2518CE08966}"/>
    <cellStyle name="Normal 8 2 3 3 7" xfId="4856" xr:uid="{00000000-0005-0000-0000-0000CF1C0000}"/>
    <cellStyle name="Normal 8 2 3 3 7 2" xfId="14182" xr:uid="{F97485DA-5E3D-4EC7-9249-4E845AD20B95}"/>
    <cellStyle name="Normal 8 2 3 3 7 2 2" xfId="50524" xr:uid="{206255D0-1728-479A-B400-8952D61C738D}"/>
    <cellStyle name="Normal 8 2 3 3 7 2 3" xfId="31928" xr:uid="{9CB9ABC9-4DD2-4A43-8FA9-5F6B1123EA62}"/>
    <cellStyle name="Normal 8 2 3 3 7 3" xfId="41227" xr:uid="{75CC3731-839A-4107-8258-81F43F85B58A}"/>
    <cellStyle name="Normal 8 2 3 3 7 4" xfId="22629" xr:uid="{6530075F-2AA0-4152-B4C4-F01B8F7E5877}"/>
    <cellStyle name="Normal 8 2 3 3 8" xfId="9042" xr:uid="{D820ED39-BAB1-48C1-A68D-2017E247E432}"/>
    <cellStyle name="Normal 8 2 3 3 8 2" xfId="36112" xr:uid="{BFB34521-9B0A-413A-A19D-2558B75FAAA9}"/>
    <cellStyle name="Normal 8 2 3 3 8 2 2" xfId="54707" xr:uid="{62B61EC4-5FFE-41E6-A1C3-2A40B3AFA00A}"/>
    <cellStyle name="Normal 8 2 3 3 8 3" xfId="45410" xr:uid="{D26696AF-5E2E-4698-9E22-0469E8CC60C0}"/>
    <cellStyle name="Normal 8 2 3 3 8 4" xfId="26813" xr:uid="{3490748F-6785-49D0-A357-8E5368A60843}"/>
    <cellStyle name="Normal 8 2 3 3 9" xfId="9965" xr:uid="{C5C8E3F8-0465-4334-BE6E-3A9C07131A50}"/>
    <cellStyle name="Normal 8 2 3 3 9 2" xfId="46307" xr:uid="{BFAEF41E-D3CD-4C13-A895-43B6606D8314}"/>
    <cellStyle name="Normal 8 2 3 3 9 3" xfId="27711" xr:uid="{DE81C408-7ABB-48B4-96AA-ABD9C872CD29}"/>
    <cellStyle name="Normal 8 2 3 4" xfId="955" xr:uid="{00000000-0005-0000-0000-0000D01C0000}"/>
    <cellStyle name="Normal 8 2 3 4 2" xfId="3189" xr:uid="{00000000-0005-0000-0000-0000D11C0000}"/>
    <cellStyle name="Normal 8 2 3 4 2 2" xfId="7411" xr:uid="{00000000-0005-0000-0000-0000D21C0000}"/>
    <cellStyle name="Normal 8 2 3 4 2 2 2" xfId="16737" xr:uid="{23787B78-85E4-4CE4-9BC3-C7E999F02670}"/>
    <cellStyle name="Normal 8 2 3 4 2 2 2 2" xfId="53079" xr:uid="{F907060F-302F-4C70-9ECB-30973E6627EF}"/>
    <cellStyle name="Normal 8 2 3 4 2 2 2 3" xfId="34483" xr:uid="{2BA013BE-6E97-49C5-A114-A144D8BD5F49}"/>
    <cellStyle name="Normal 8 2 3 4 2 2 3" xfId="43782" xr:uid="{D1832BC7-9573-47BA-A9F0-2179DBF337F8}"/>
    <cellStyle name="Normal 8 2 3 4 2 2 4" xfId="25184" xr:uid="{1F51C23F-013A-495B-8DEF-7ECD753558CE}"/>
    <cellStyle name="Normal 8 2 3 4 2 3" xfId="12520" xr:uid="{7A535D90-960E-426D-9098-49237A502229}"/>
    <cellStyle name="Normal 8 2 3 4 2 3 2" xfId="48862" xr:uid="{7B4E29B0-0B3B-401D-9AD4-3270B2D6B873}"/>
    <cellStyle name="Normal 8 2 3 4 2 3 3" xfId="30266" xr:uid="{2A67ED8E-36D6-4D91-8487-3282D6A5746A}"/>
    <cellStyle name="Normal 8 2 3 4 2 4" xfId="39565" xr:uid="{A06DD2C8-CFD1-484E-BA7D-7924AF120AB4}"/>
    <cellStyle name="Normal 8 2 3 4 2 5" xfId="20967" xr:uid="{12E85EB4-87F4-43F8-BDFE-AC2D14FF9011}"/>
    <cellStyle name="Normal 8 2 3 4 3" xfId="5266" xr:uid="{00000000-0005-0000-0000-0000D31C0000}"/>
    <cellStyle name="Normal 8 2 3 4 3 2" xfId="14592" xr:uid="{415FE002-FE9B-46BB-9731-A0A19DB9FA78}"/>
    <cellStyle name="Normal 8 2 3 4 3 2 2" xfId="50934" xr:uid="{6C56D1E2-3F0C-44BD-BD61-0CF719E8AA01}"/>
    <cellStyle name="Normal 8 2 3 4 3 2 3" xfId="32338" xr:uid="{B35E7EA6-F846-4732-AE60-176ED3078577}"/>
    <cellStyle name="Normal 8 2 3 4 3 3" xfId="41637" xr:uid="{09FD2445-1BD8-475B-A8C6-865778F61E72}"/>
    <cellStyle name="Normal 8 2 3 4 3 4" xfId="23039" xr:uid="{B4942DBF-3510-443B-BC73-4725B846FACF}"/>
    <cellStyle name="Normal 8 2 3 4 4" xfId="9260" xr:uid="{70FF5A16-C89A-42B7-A603-E23A7C2F443C}"/>
    <cellStyle name="Normal 8 2 3 4 4 2" xfId="36321" xr:uid="{B29ECFCA-2303-44AD-92D9-1E6D9A5F55DC}"/>
    <cellStyle name="Normal 8 2 3 4 4 2 2" xfId="54915" xr:uid="{953E5DE5-43F7-443C-B89B-0409B90B3DA9}"/>
    <cellStyle name="Normal 8 2 3 4 4 3" xfId="45618" xr:uid="{96FD4E6A-A55F-4F4D-A306-299AF3A3620E}"/>
    <cellStyle name="Normal 8 2 3 4 4 4" xfId="27022" xr:uid="{DF145D36-C966-4322-AA71-8E452C6E54E8}"/>
    <cellStyle name="Normal 8 2 3 4 5" xfId="10375" xr:uid="{8BC9E2C8-B447-4174-9CE8-92D9CA1393B7}"/>
    <cellStyle name="Normal 8 2 3 4 5 2" xfId="46717" xr:uid="{F7A78B6F-9EC5-44A4-ADD4-FB91921A80E1}"/>
    <cellStyle name="Normal 8 2 3 4 5 3" xfId="28121" xr:uid="{A8446DFF-1227-4D28-9CB5-20DA19FF97DA}"/>
    <cellStyle name="Normal 8 2 3 4 6" xfId="37420" xr:uid="{C8E35DE4-2390-4C03-8732-2B820190002A}"/>
    <cellStyle name="Normal 8 2 3 4 7" xfId="18822" xr:uid="{B975737D-DE9C-465A-AE4C-90320A43E039}"/>
    <cellStyle name="Normal 8 2 3 5" xfId="1372" xr:uid="{00000000-0005-0000-0000-0000D41C0000}"/>
    <cellStyle name="Normal 8 2 3 5 2" xfId="3602" xr:uid="{00000000-0005-0000-0000-0000D51C0000}"/>
    <cellStyle name="Normal 8 2 3 5 2 2" xfId="7824" xr:uid="{00000000-0005-0000-0000-0000D61C0000}"/>
    <cellStyle name="Normal 8 2 3 5 2 2 2" xfId="17150" xr:uid="{92BC6EE6-018B-4373-B2E7-73C5B533E763}"/>
    <cellStyle name="Normal 8 2 3 5 2 2 2 2" xfId="53492" xr:uid="{76A63557-FD27-4DB7-BDD1-BD74F90014F9}"/>
    <cellStyle name="Normal 8 2 3 5 2 2 2 3" xfId="34896" xr:uid="{E06EA767-5D27-4832-A032-FD5D3F21A3AB}"/>
    <cellStyle name="Normal 8 2 3 5 2 2 3" xfId="44195" xr:uid="{FA56E39A-78EB-458A-9492-72F588860990}"/>
    <cellStyle name="Normal 8 2 3 5 2 2 4" xfId="25597" xr:uid="{C9301B09-F48C-433D-A4B5-5E1969646E5B}"/>
    <cellStyle name="Normal 8 2 3 5 2 3" xfId="12933" xr:uid="{EB839FAA-184E-4760-87A9-F4A61710F100}"/>
    <cellStyle name="Normal 8 2 3 5 2 3 2" xfId="49275" xr:uid="{607A7A2B-2E34-489C-BDC6-B4D743CEE4EF}"/>
    <cellStyle name="Normal 8 2 3 5 2 3 3" xfId="30679" xr:uid="{328D1079-4121-4F45-A43A-21B9A09F66A9}"/>
    <cellStyle name="Normal 8 2 3 5 2 4" xfId="39978" xr:uid="{3B4FBABB-1F8A-48CF-A212-C75A0B47D87C}"/>
    <cellStyle name="Normal 8 2 3 5 2 5" xfId="21380" xr:uid="{59D6F348-4FB7-4F82-AFEC-DC85135CE57E}"/>
    <cellStyle name="Normal 8 2 3 5 3" xfId="5679" xr:uid="{00000000-0005-0000-0000-0000D71C0000}"/>
    <cellStyle name="Normal 8 2 3 5 3 2" xfId="15005" xr:uid="{F0D6E4A0-1125-4B79-B4BD-E8B5FF27838A}"/>
    <cellStyle name="Normal 8 2 3 5 3 2 2" xfId="51347" xr:uid="{3985612B-3820-4C54-8942-3D0EA354366F}"/>
    <cellStyle name="Normal 8 2 3 5 3 2 3" xfId="32751" xr:uid="{9082E11E-2631-4E13-A729-517EEC5B64F5}"/>
    <cellStyle name="Normal 8 2 3 5 3 3" xfId="42050" xr:uid="{41D70D39-38B1-4962-9DFF-0168A580DDA0}"/>
    <cellStyle name="Normal 8 2 3 5 3 4" xfId="23452" xr:uid="{DE9A43B3-B596-47BA-9730-CC28CC1D0F1E}"/>
    <cellStyle name="Normal 8 2 3 5 4" xfId="10788" xr:uid="{5450DC4E-9D6F-45E6-8100-7BC32552D160}"/>
    <cellStyle name="Normal 8 2 3 5 4 2" xfId="47130" xr:uid="{B69D0AC6-E26E-4E78-9A4B-7F5C4C652987}"/>
    <cellStyle name="Normal 8 2 3 5 4 3" xfId="28534" xr:uid="{C2A850EF-9DB8-4563-A8F8-B369D777A1A8}"/>
    <cellStyle name="Normal 8 2 3 5 5" xfId="37833" xr:uid="{B7489B1C-8F05-44BE-973D-B837CFE04CA6}"/>
    <cellStyle name="Normal 8 2 3 5 6" xfId="19235" xr:uid="{CB912DEF-675F-4417-A938-B664AB837291}"/>
    <cellStyle name="Normal 8 2 3 6" xfId="1785" xr:uid="{00000000-0005-0000-0000-0000D81C0000}"/>
    <cellStyle name="Normal 8 2 3 6 2" xfId="4015" xr:uid="{00000000-0005-0000-0000-0000D91C0000}"/>
    <cellStyle name="Normal 8 2 3 6 2 2" xfId="8237" xr:uid="{00000000-0005-0000-0000-0000DA1C0000}"/>
    <cellStyle name="Normal 8 2 3 6 2 2 2" xfId="17563" xr:uid="{081543D2-A79B-45A3-9901-AA202CDE440A}"/>
    <cellStyle name="Normal 8 2 3 6 2 2 2 2" xfId="53905" xr:uid="{C2CD4A23-4C14-478C-BC1E-831DD1EA6EA3}"/>
    <cellStyle name="Normal 8 2 3 6 2 2 2 3" xfId="35309" xr:uid="{49E0CE61-693F-4711-B5E8-63F6856B0554}"/>
    <cellStyle name="Normal 8 2 3 6 2 2 3" xfId="44608" xr:uid="{A5F176D7-C996-4853-B1DC-F2688EDCA200}"/>
    <cellStyle name="Normal 8 2 3 6 2 2 4" xfId="26010" xr:uid="{50758454-14A5-4015-8FFD-D56B97A31A96}"/>
    <cellStyle name="Normal 8 2 3 6 2 3" xfId="13346" xr:uid="{81322CD6-10F2-4AF0-916B-196C3E101006}"/>
    <cellStyle name="Normal 8 2 3 6 2 3 2" xfId="49688" xr:uid="{98CB0D4A-CCAA-4451-B894-6E7B8CAA7FC7}"/>
    <cellStyle name="Normal 8 2 3 6 2 3 3" xfId="31092" xr:uid="{1381CBD4-9658-4C98-9BD2-757364CCF176}"/>
    <cellStyle name="Normal 8 2 3 6 2 4" xfId="40391" xr:uid="{9B9EAFAC-E5A6-432C-9877-5155735232B6}"/>
    <cellStyle name="Normal 8 2 3 6 2 5" xfId="21793" xr:uid="{8CB68D69-A24F-4AC1-BE7A-C43269DE2965}"/>
    <cellStyle name="Normal 8 2 3 6 3" xfId="6092" xr:uid="{00000000-0005-0000-0000-0000DB1C0000}"/>
    <cellStyle name="Normal 8 2 3 6 3 2" xfId="15418" xr:uid="{C1847210-EFB1-40F3-91B9-D9E56A7DF55B}"/>
    <cellStyle name="Normal 8 2 3 6 3 2 2" xfId="51760" xr:uid="{362507BA-2933-4D26-BC29-8BD23A6C3D6E}"/>
    <cellStyle name="Normal 8 2 3 6 3 2 3" xfId="33164" xr:uid="{8E6C18B9-D5E2-4E21-AAB4-3DE8D10445B8}"/>
    <cellStyle name="Normal 8 2 3 6 3 3" xfId="42463" xr:uid="{37110868-7B12-406F-B9A1-B2CFF26479CC}"/>
    <cellStyle name="Normal 8 2 3 6 3 4" xfId="23865" xr:uid="{DFA9E4B6-E924-4485-B2FF-9238C4FB305B}"/>
    <cellStyle name="Normal 8 2 3 6 4" xfId="11201" xr:uid="{F56B02D5-F24D-490F-B36B-EC7A2EC0F1AE}"/>
    <cellStyle name="Normal 8 2 3 6 4 2" xfId="47543" xr:uid="{323F5138-A36F-4DCF-B746-053E441AE97E}"/>
    <cellStyle name="Normal 8 2 3 6 4 3" xfId="28947" xr:uid="{D0BD5432-BEAB-41C6-984F-3146301F8245}"/>
    <cellStyle name="Normal 8 2 3 6 5" xfId="38246" xr:uid="{0AA75A95-3FA8-4EAF-837A-D233F518DF0D}"/>
    <cellStyle name="Normal 8 2 3 6 6" xfId="19648" xr:uid="{00E30F97-8828-4808-8CC2-A186F8F9590E}"/>
    <cellStyle name="Normal 8 2 3 7" xfId="2199" xr:uid="{00000000-0005-0000-0000-0000DC1C0000}"/>
    <cellStyle name="Normal 8 2 3 7 2" xfId="4428" xr:uid="{00000000-0005-0000-0000-0000DD1C0000}"/>
    <cellStyle name="Normal 8 2 3 7 2 2" xfId="8650" xr:uid="{00000000-0005-0000-0000-0000DE1C0000}"/>
    <cellStyle name="Normal 8 2 3 7 2 2 2" xfId="17976" xr:uid="{315E1A44-045E-472D-90EA-C825856441D5}"/>
    <cellStyle name="Normal 8 2 3 7 2 2 2 2" xfId="54318" xr:uid="{EBC86468-8C03-4BF6-8C7D-E739EC8BC1F6}"/>
    <cellStyle name="Normal 8 2 3 7 2 2 2 3" xfId="35722" xr:uid="{6AE1D1A4-B6CB-4511-ABF2-37FDD6691525}"/>
    <cellStyle name="Normal 8 2 3 7 2 2 3" xfId="45021" xr:uid="{B8D1E67F-EA27-4306-B575-776C377505EE}"/>
    <cellStyle name="Normal 8 2 3 7 2 2 4" xfId="26423" xr:uid="{60F9E00B-ECFF-467A-A51D-394D074BA08B}"/>
    <cellStyle name="Normal 8 2 3 7 2 3" xfId="13759" xr:uid="{746BB66B-3398-4F63-89FE-217CDE64ECE9}"/>
    <cellStyle name="Normal 8 2 3 7 2 3 2" xfId="50101" xr:uid="{5DA3C4BA-C1F6-439C-A604-6B65E84E68DF}"/>
    <cellStyle name="Normal 8 2 3 7 2 3 3" xfId="31505" xr:uid="{7FEF0B51-0F56-4790-9C31-1938D7FF9484}"/>
    <cellStyle name="Normal 8 2 3 7 2 4" xfId="40804" xr:uid="{D1A754C1-DB0C-4E70-A729-B8BA0A40FE39}"/>
    <cellStyle name="Normal 8 2 3 7 2 5" xfId="22206" xr:uid="{07409319-66F5-4DC3-8D14-A224B6AE3057}"/>
    <cellStyle name="Normal 8 2 3 7 3" xfId="6505" xr:uid="{00000000-0005-0000-0000-0000DF1C0000}"/>
    <cellStyle name="Normal 8 2 3 7 3 2" xfId="15831" xr:uid="{DDB2D28B-1A4F-4C69-BDCC-96125FF4DC7E}"/>
    <cellStyle name="Normal 8 2 3 7 3 2 2" xfId="52173" xr:uid="{EA895A6E-4EA3-4732-9AA2-2D60D1DDD734}"/>
    <cellStyle name="Normal 8 2 3 7 3 2 3" xfId="33577" xr:uid="{1C3A9F46-0800-4E39-B02D-523055673692}"/>
    <cellStyle name="Normal 8 2 3 7 3 3" xfId="42876" xr:uid="{1E244F13-4916-481B-A4F9-6F7132B5BCC6}"/>
    <cellStyle name="Normal 8 2 3 7 3 4" xfId="24278" xr:uid="{007B0972-3EAA-4582-A34A-64D384EBAE57}"/>
    <cellStyle name="Normal 8 2 3 7 4" xfId="11614" xr:uid="{A11B4AB9-35AB-4A17-B88A-AFFFF00F73B9}"/>
    <cellStyle name="Normal 8 2 3 7 4 2" xfId="47956" xr:uid="{C2737955-4774-4D82-93E1-4C7574005066}"/>
    <cellStyle name="Normal 8 2 3 7 4 3" xfId="29360" xr:uid="{7C846E5D-1784-4893-9E76-4178FB2D1C96}"/>
    <cellStyle name="Normal 8 2 3 7 5" xfId="38659" xr:uid="{C040B450-8276-4D8E-8D22-767560DB2F7D}"/>
    <cellStyle name="Normal 8 2 3 7 6" xfId="20061" xr:uid="{1E332785-D447-4ABF-A6E0-C7E14EBD5BF9}"/>
    <cellStyle name="Normal 8 2 3 8" xfId="2635" xr:uid="{00000000-0005-0000-0000-0000E01C0000}"/>
    <cellStyle name="Normal 8 2 3 8 2" xfId="6918" xr:uid="{00000000-0005-0000-0000-0000E11C0000}"/>
    <cellStyle name="Normal 8 2 3 8 2 2" xfId="16244" xr:uid="{836EA524-88C5-4615-89BB-633AE9B7A2DF}"/>
    <cellStyle name="Normal 8 2 3 8 2 2 2" xfId="52586" xr:uid="{DADE5546-7668-4A93-A2E4-050E818A346B}"/>
    <cellStyle name="Normal 8 2 3 8 2 2 3" xfId="33990" xr:uid="{3D34FAA5-BEBA-4ACA-AD48-4AE6C973B55E}"/>
    <cellStyle name="Normal 8 2 3 8 2 3" xfId="43289" xr:uid="{F3819C52-EFB8-4A83-B886-C77D766E63C5}"/>
    <cellStyle name="Normal 8 2 3 8 2 4" xfId="24691" xr:uid="{48D1895E-D9B8-4413-A4F8-7F8AB7DB0295}"/>
    <cellStyle name="Normal 8 2 3 8 3" xfId="12027" xr:uid="{A3629C60-B8D1-4835-AFD6-0534549BF71E}"/>
    <cellStyle name="Normal 8 2 3 8 3 2" xfId="48369" xr:uid="{410DFB74-32A1-4A9C-A704-5708B6DABC2D}"/>
    <cellStyle name="Normal 8 2 3 8 3 3" xfId="29773" xr:uid="{964B6139-E8FE-4A12-BE83-6D48AD4224C6}"/>
    <cellStyle name="Normal 8 2 3 8 4" xfId="39072" xr:uid="{320C6997-51D1-4F79-ACF2-9B719DB425FF}"/>
    <cellStyle name="Normal 8 2 3 8 5" xfId="20474" xr:uid="{8D1261E1-6A38-4999-9E64-43FFF14BD179}"/>
    <cellStyle name="Normal 8 2 3 9" xfId="4853" xr:uid="{00000000-0005-0000-0000-0000E21C0000}"/>
    <cellStyle name="Normal 8 2 3 9 2" xfId="14179" xr:uid="{DCB64836-E68F-4A76-8FA7-012C202E0CC6}"/>
    <cellStyle name="Normal 8 2 3 9 2 2" xfId="50521" xr:uid="{808BCEB7-CB6C-4493-A2E9-45E1B4F4251C}"/>
    <cellStyle name="Normal 8 2 3 9 2 3" xfId="31925" xr:uid="{44026048-DE73-4390-87B0-71F800742DEA}"/>
    <cellStyle name="Normal 8 2 3 9 3" xfId="41224" xr:uid="{1E9572F8-B301-4851-B710-2E3FB21C9EAE}"/>
    <cellStyle name="Normal 8 2 3 9 4" xfId="22626" xr:uid="{34C4F388-3222-40BA-AA10-C60D078CB352}"/>
    <cellStyle name="Normal 8 2 4" xfId="492" xr:uid="{00000000-0005-0000-0000-0000E31C0000}"/>
    <cellStyle name="Normal 8 2 4 10" xfId="9966" xr:uid="{596F55E8-6255-4DDC-84D5-35CDA3D45ECC}"/>
    <cellStyle name="Normal 8 2 4 10 2" xfId="46308" xr:uid="{2EDEF842-05D4-46E2-9D71-E33A868DD81C}"/>
    <cellStyle name="Normal 8 2 4 10 3" xfId="27712" xr:uid="{CBD0A83A-0D00-43BD-B52E-A76CAAA7D0C3}"/>
    <cellStyle name="Normal 8 2 4 11" xfId="37011" xr:uid="{C701E325-3151-40CC-AF6D-DC7CCD45B7BD}"/>
    <cellStyle name="Normal 8 2 4 12" xfId="18413" xr:uid="{7D1797BE-EEAA-4B1D-9198-58254E2908F7}"/>
    <cellStyle name="Normal 8 2 4 2" xfId="493" xr:uid="{00000000-0005-0000-0000-0000E41C0000}"/>
    <cellStyle name="Normal 8 2 4 2 10" xfId="37012" xr:uid="{008D6AF1-B0E1-4D18-A9A0-FBA9E77018BE}"/>
    <cellStyle name="Normal 8 2 4 2 11" xfId="18414" xr:uid="{7FA1DCF8-A0A9-4169-AD56-7E8E37EB53AB}"/>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16742" xr:uid="{45503987-FE19-48D2-8885-C40A9B4EE504}"/>
    <cellStyle name="Normal 8 2 4 2 2 2 2 2 2" xfId="53084" xr:uid="{C9D4CF87-0E9B-4878-B178-776B08847FAA}"/>
    <cellStyle name="Normal 8 2 4 2 2 2 2 2 3" xfId="34488" xr:uid="{25C90346-18D2-4C3C-BE53-7DCA1291FA94}"/>
    <cellStyle name="Normal 8 2 4 2 2 2 2 3" xfId="43787" xr:uid="{436F3571-B511-4659-AE86-B8C563BA0700}"/>
    <cellStyle name="Normal 8 2 4 2 2 2 2 4" xfId="25189" xr:uid="{B632F135-A23D-4194-A8CA-0AD45C16F30D}"/>
    <cellStyle name="Normal 8 2 4 2 2 2 3" xfId="12525" xr:uid="{15D96CC2-3A93-46BB-B7EB-28B3126E1743}"/>
    <cellStyle name="Normal 8 2 4 2 2 2 3 2" xfId="48867" xr:uid="{76C87A9D-E4FA-4961-BD6C-AB101315BBDC}"/>
    <cellStyle name="Normal 8 2 4 2 2 2 3 3" xfId="30271" xr:uid="{B37923F9-8B40-499A-9138-2911EF8703E3}"/>
    <cellStyle name="Normal 8 2 4 2 2 2 4" xfId="39570" xr:uid="{E143A067-4A5A-4FDB-8784-15D3F3E5AD4D}"/>
    <cellStyle name="Normal 8 2 4 2 2 2 5" xfId="20972" xr:uid="{C46F97E6-772B-47C0-A840-B6A2994EAC8A}"/>
    <cellStyle name="Normal 8 2 4 2 2 3" xfId="5271" xr:uid="{00000000-0005-0000-0000-0000E81C0000}"/>
    <cellStyle name="Normal 8 2 4 2 2 3 2" xfId="14597" xr:uid="{5A86C107-0AE5-47ED-8D49-EF8A2D1516BC}"/>
    <cellStyle name="Normal 8 2 4 2 2 3 2 2" xfId="50939" xr:uid="{25D1DA70-924F-459E-878C-3D2014A72A28}"/>
    <cellStyle name="Normal 8 2 4 2 2 3 2 3" xfId="32343" xr:uid="{0C783F67-D18B-4923-A727-42D4B1C25D28}"/>
    <cellStyle name="Normal 8 2 4 2 2 3 3" xfId="41642" xr:uid="{4DEBDB00-3DFC-4D01-BA08-29A23047F25A}"/>
    <cellStyle name="Normal 8 2 4 2 2 3 4" xfId="23044" xr:uid="{091214AB-3503-4495-A19A-2C4C70F5E10D}"/>
    <cellStyle name="Normal 8 2 4 2 2 4" xfId="9486" xr:uid="{9F6EBE4C-F02F-43A6-A388-D5EACB1B3099}"/>
    <cellStyle name="Normal 8 2 4 2 2 4 2" xfId="36547" xr:uid="{F4785542-9D21-40AB-BC25-0DA8F3C207DC}"/>
    <cellStyle name="Normal 8 2 4 2 2 4 2 2" xfId="55141" xr:uid="{0CD90396-6663-4B70-AAA1-CD34FAF2066B}"/>
    <cellStyle name="Normal 8 2 4 2 2 4 3" xfId="45844" xr:uid="{4044F4C8-5F09-48E0-8182-F5B36D91FCBF}"/>
    <cellStyle name="Normal 8 2 4 2 2 4 4" xfId="27248" xr:uid="{F32A8191-3AB8-4027-83C3-B8E63B044B06}"/>
    <cellStyle name="Normal 8 2 4 2 2 5" xfId="10380" xr:uid="{DA945653-2324-49AB-9FFF-B8EF1EBBD951}"/>
    <cellStyle name="Normal 8 2 4 2 2 5 2" xfId="46722" xr:uid="{4433779B-A2C7-403A-9906-4DF90469F6BB}"/>
    <cellStyle name="Normal 8 2 4 2 2 5 3" xfId="28126" xr:uid="{EEDDFAE1-5050-46B7-AC14-5B94A99773FC}"/>
    <cellStyle name="Normal 8 2 4 2 2 6" xfId="37425" xr:uid="{18E5019C-3EAC-49A1-884E-AD7305025662}"/>
    <cellStyle name="Normal 8 2 4 2 2 7" xfId="18827" xr:uid="{4BF3E667-417B-48AD-AACF-10A467B53C36}"/>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17155" xr:uid="{45BF70C8-CFEC-4F27-AF37-CE93C28B9060}"/>
    <cellStyle name="Normal 8 2 4 2 3 2 2 2 2" xfId="53497" xr:uid="{94D0B155-7AB6-49F0-8FC7-7B130E47B34A}"/>
    <cellStyle name="Normal 8 2 4 2 3 2 2 2 3" xfId="34901" xr:uid="{418E50D7-617E-4807-B187-5234A2CDCFAE}"/>
    <cellStyle name="Normal 8 2 4 2 3 2 2 3" xfId="44200" xr:uid="{EFC0FCA5-5A94-4F80-A1EE-71C263D6C633}"/>
    <cellStyle name="Normal 8 2 4 2 3 2 2 4" xfId="25602" xr:uid="{C842360C-8C50-46A4-B3AE-4190E1CE4E47}"/>
    <cellStyle name="Normal 8 2 4 2 3 2 3" xfId="12938" xr:uid="{1ABAE0AB-69CF-49DC-A38E-0B8CF52943BA}"/>
    <cellStyle name="Normal 8 2 4 2 3 2 3 2" xfId="49280" xr:uid="{A327AC51-2EDE-4DD1-BC24-44155D2040AB}"/>
    <cellStyle name="Normal 8 2 4 2 3 2 3 3" xfId="30684" xr:uid="{9B93EAC0-C6B1-4621-A60A-A304B2CCAD70}"/>
    <cellStyle name="Normal 8 2 4 2 3 2 4" xfId="39983" xr:uid="{A8083F5E-AED2-45ED-AE57-1B02ED97CBB9}"/>
    <cellStyle name="Normal 8 2 4 2 3 2 5" xfId="21385" xr:uid="{471895D2-5E25-4931-9F42-07A645A679AA}"/>
    <cellStyle name="Normal 8 2 4 2 3 3" xfId="5684" xr:uid="{00000000-0005-0000-0000-0000EC1C0000}"/>
    <cellStyle name="Normal 8 2 4 2 3 3 2" xfId="15010" xr:uid="{99AA6DE7-197D-4D96-9976-D1154391F91E}"/>
    <cellStyle name="Normal 8 2 4 2 3 3 2 2" xfId="51352" xr:uid="{D6D63E9C-B525-4375-84B2-0B2A5BEE3C70}"/>
    <cellStyle name="Normal 8 2 4 2 3 3 2 3" xfId="32756" xr:uid="{79FCF023-4C78-43B3-B138-E196F81AF7E8}"/>
    <cellStyle name="Normal 8 2 4 2 3 3 3" xfId="42055" xr:uid="{23681C72-D8B4-4DE7-A0AB-FC3AD6291AC4}"/>
    <cellStyle name="Normal 8 2 4 2 3 3 4" xfId="23457" xr:uid="{D0FEE56F-C2CF-4B26-A865-4ADA7B04BF6D}"/>
    <cellStyle name="Normal 8 2 4 2 3 4" xfId="10793" xr:uid="{5BDE8D4F-8A77-45EC-B9D4-C48961300F9D}"/>
    <cellStyle name="Normal 8 2 4 2 3 4 2" xfId="47135" xr:uid="{FD55D6D4-AF61-4C15-9E2B-64C3E24A0313}"/>
    <cellStyle name="Normal 8 2 4 2 3 4 3" xfId="28539" xr:uid="{1178D199-B9AB-4161-B980-935F1F841CC8}"/>
    <cellStyle name="Normal 8 2 4 2 3 5" xfId="37838" xr:uid="{36603EC9-0C24-4F18-B51D-053EC9D885D5}"/>
    <cellStyle name="Normal 8 2 4 2 3 6" xfId="19240" xr:uid="{F07C6B0D-8794-4538-99C6-73528B78E449}"/>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17568" xr:uid="{4C852FFE-24D7-49FA-9A65-1CED6A27847A}"/>
    <cellStyle name="Normal 8 2 4 2 4 2 2 2 2" xfId="53910" xr:uid="{7E8E60E4-7FC5-47EB-BD7D-A25605BCE9FC}"/>
    <cellStyle name="Normal 8 2 4 2 4 2 2 2 3" xfId="35314" xr:uid="{6BC88676-A295-4B5A-BECF-77939E8DEFAB}"/>
    <cellStyle name="Normal 8 2 4 2 4 2 2 3" xfId="44613" xr:uid="{0DABAAE0-6EE6-4EE1-934E-6FC8AA9423D0}"/>
    <cellStyle name="Normal 8 2 4 2 4 2 2 4" xfId="26015" xr:uid="{81739BA5-66EC-483B-9DCD-B3279F21B4E9}"/>
    <cellStyle name="Normal 8 2 4 2 4 2 3" xfId="13351" xr:uid="{520CF21E-BFE4-4F75-9361-AF300AE268FA}"/>
    <cellStyle name="Normal 8 2 4 2 4 2 3 2" xfId="49693" xr:uid="{4C49DA40-FB14-4CC8-8AA9-B1722EA27A6C}"/>
    <cellStyle name="Normal 8 2 4 2 4 2 3 3" xfId="31097" xr:uid="{781C685E-2AE3-4814-AC47-2D0DC5E0754F}"/>
    <cellStyle name="Normal 8 2 4 2 4 2 4" xfId="40396" xr:uid="{407A8FD9-688B-4980-8EB5-E32FDCBEA392}"/>
    <cellStyle name="Normal 8 2 4 2 4 2 5" xfId="21798" xr:uid="{00A38594-B463-4E16-A8EA-D4E5E37BC9F4}"/>
    <cellStyle name="Normal 8 2 4 2 4 3" xfId="6097" xr:uid="{00000000-0005-0000-0000-0000F01C0000}"/>
    <cellStyle name="Normal 8 2 4 2 4 3 2" xfId="15423" xr:uid="{5F6A9CFF-DB6E-44C6-A8BD-3808A68F6324}"/>
    <cellStyle name="Normal 8 2 4 2 4 3 2 2" xfId="51765" xr:uid="{A385884A-13C4-4456-893E-32C38D4DE744}"/>
    <cellStyle name="Normal 8 2 4 2 4 3 2 3" xfId="33169" xr:uid="{E2A7C1AD-8C18-4EBF-9EF7-8239F784DBDF}"/>
    <cellStyle name="Normal 8 2 4 2 4 3 3" xfId="42468" xr:uid="{1E075DFA-789F-4C7D-8F0D-3FDC4DBE0816}"/>
    <cellStyle name="Normal 8 2 4 2 4 3 4" xfId="23870" xr:uid="{AFD878DF-CB64-4B95-86D5-B9822B5298A0}"/>
    <cellStyle name="Normal 8 2 4 2 4 4" xfId="11206" xr:uid="{DC1F3FF8-3DE4-41A1-8785-824A999AF320}"/>
    <cellStyle name="Normal 8 2 4 2 4 4 2" xfId="47548" xr:uid="{0F5B68F2-2802-4E8C-BA88-AA36B3640D26}"/>
    <cellStyle name="Normal 8 2 4 2 4 4 3" xfId="28952" xr:uid="{A54B9FDD-33F9-4F73-A74C-E328075206F4}"/>
    <cellStyle name="Normal 8 2 4 2 4 5" xfId="38251" xr:uid="{3B1BFDA0-7AFA-43BE-9835-AFAB50784C4B}"/>
    <cellStyle name="Normal 8 2 4 2 4 6" xfId="19653" xr:uid="{8E136E55-13FA-46B4-B34C-EA83A35E9169}"/>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17981" xr:uid="{1F67CCA0-36E0-49FE-AC08-0451EFAEC15A}"/>
    <cellStyle name="Normal 8 2 4 2 5 2 2 2 2" xfId="54323" xr:uid="{F320EEAA-9817-4BFD-AAC6-790D63BBA43D}"/>
    <cellStyle name="Normal 8 2 4 2 5 2 2 2 3" xfId="35727" xr:uid="{A9AE871D-ED77-487E-AC54-B1F08B967975}"/>
    <cellStyle name="Normal 8 2 4 2 5 2 2 3" xfId="45026" xr:uid="{6F364250-7B53-4A7B-B779-D52D6C19CF94}"/>
    <cellStyle name="Normal 8 2 4 2 5 2 2 4" xfId="26428" xr:uid="{331AE5D8-CA98-4493-A669-B9B0D7A6DCF2}"/>
    <cellStyle name="Normal 8 2 4 2 5 2 3" xfId="13764" xr:uid="{4DD18C3D-1E37-4820-A962-3620ADC9AD98}"/>
    <cellStyle name="Normal 8 2 4 2 5 2 3 2" xfId="50106" xr:uid="{20EB76C5-026F-48B4-B3E5-F353AB21BD38}"/>
    <cellStyle name="Normal 8 2 4 2 5 2 3 3" xfId="31510" xr:uid="{1B14DF8B-A881-44F4-B241-9116FD5F5B2C}"/>
    <cellStyle name="Normal 8 2 4 2 5 2 4" xfId="40809" xr:uid="{A0CA2AA6-F069-4759-9AE6-88D748FE7ABB}"/>
    <cellStyle name="Normal 8 2 4 2 5 2 5" xfId="22211" xr:uid="{807AE6A1-4B5B-486D-BC7D-28329405CBF6}"/>
    <cellStyle name="Normal 8 2 4 2 5 3" xfId="6510" xr:uid="{00000000-0005-0000-0000-0000F41C0000}"/>
    <cellStyle name="Normal 8 2 4 2 5 3 2" xfId="15836" xr:uid="{EF8F0A76-BD58-45A8-A818-B63ACBEA2A9C}"/>
    <cellStyle name="Normal 8 2 4 2 5 3 2 2" xfId="52178" xr:uid="{8F28E771-ECDF-4C11-B7A1-BD1F3B9007EA}"/>
    <cellStyle name="Normal 8 2 4 2 5 3 2 3" xfId="33582" xr:uid="{7D3852C6-E495-4566-92A3-273C952C0A6B}"/>
    <cellStyle name="Normal 8 2 4 2 5 3 3" xfId="42881" xr:uid="{855DE3D4-89B4-47E0-B3AC-A21E83E906D1}"/>
    <cellStyle name="Normal 8 2 4 2 5 3 4" xfId="24283" xr:uid="{AD609BD1-51B1-4C1A-90E9-B9586A522F52}"/>
    <cellStyle name="Normal 8 2 4 2 5 4" xfId="11619" xr:uid="{8BA9108E-3432-469B-8BE5-06CF4664E747}"/>
    <cellStyle name="Normal 8 2 4 2 5 4 2" xfId="47961" xr:uid="{7FE667E1-C628-48A9-A805-F80CE104734E}"/>
    <cellStyle name="Normal 8 2 4 2 5 4 3" xfId="29365" xr:uid="{2876870A-CC65-4C8B-87C1-715FCF20B3B2}"/>
    <cellStyle name="Normal 8 2 4 2 5 5" xfId="38664" xr:uid="{7BD342CD-E2E2-474F-BAD2-6638CA5EB409}"/>
    <cellStyle name="Normal 8 2 4 2 5 6" xfId="20066" xr:uid="{DDFFA8FF-07B9-4C84-BE26-E44F4EAA16E9}"/>
    <cellStyle name="Normal 8 2 4 2 6" xfId="2640" xr:uid="{00000000-0005-0000-0000-0000F51C0000}"/>
    <cellStyle name="Normal 8 2 4 2 6 2" xfId="6923" xr:uid="{00000000-0005-0000-0000-0000F61C0000}"/>
    <cellStyle name="Normal 8 2 4 2 6 2 2" xfId="16249" xr:uid="{729711FD-60A8-4277-823D-611CCF9C93C3}"/>
    <cellStyle name="Normal 8 2 4 2 6 2 2 2" xfId="52591" xr:uid="{B57F00F6-D101-42AC-B84A-D2F17302836B}"/>
    <cellStyle name="Normal 8 2 4 2 6 2 2 3" xfId="33995" xr:uid="{CBAF02EE-A2EA-4163-8CCD-B2DF79FF52A4}"/>
    <cellStyle name="Normal 8 2 4 2 6 2 3" xfId="43294" xr:uid="{9D334424-A802-4B86-A21F-BA8010A6D4EA}"/>
    <cellStyle name="Normal 8 2 4 2 6 2 4" xfId="24696" xr:uid="{14A296B8-A481-4880-B7E7-C88237D9A1F9}"/>
    <cellStyle name="Normal 8 2 4 2 6 3" xfId="12032" xr:uid="{48B712C5-30A4-4498-8D65-0079E49A91DB}"/>
    <cellStyle name="Normal 8 2 4 2 6 3 2" xfId="48374" xr:uid="{096F6462-89CB-4100-8C19-A9CF19096962}"/>
    <cellStyle name="Normal 8 2 4 2 6 3 3" xfId="29778" xr:uid="{233AA20F-2A36-4C46-A277-46411E2036FF}"/>
    <cellStyle name="Normal 8 2 4 2 6 4" xfId="39077" xr:uid="{B0FAC31A-6167-45A5-AFAC-FBDA08718B9B}"/>
    <cellStyle name="Normal 8 2 4 2 6 5" xfId="20479" xr:uid="{3564A235-E7B0-43C8-BC27-DA1C01159D84}"/>
    <cellStyle name="Normal 8 2 4 2 7" xfId="4858" xr:uid="{00000000-0005-0000-0000-0000F71C0000}"/>
    <cellStyle name="Normal 8 2 4 2 7 2" xfId="14184" xr:uid="{D687A19E-A4ED-4FF9-806C-118511A07D2E}"/>
    <cellStyle name="Normal 8 2 4 2 7 2 2" xfId="50526" xr:uid="{708E9BEB-7CE6-492E-BBA3-F6D600375B29}"/>
    <cellStyle name="Normal 8 2 4 2 7 2 3" xfId="31930" xr:uid="{B71137F8-E973-44F8-B92A-399F908ECD6E}"/>
    <cellStyle name="Normal 8 2 4 2 7 3" xfId="41229" xr:uid="{EB2B42E7-AB64-42E9-8A4A-75E9B28BF4B2}"/>
    <cellStyle name="Normal 8 2 4 2 7 4" xfId="22631" xr:uid="{2AB9D600-CC8D-4F57-9D5A-738B1A7F7587}"/>
    <cellStyle name="Normal 8 2 4 2 8" xfId="9061" xr:uid="{7295DB82-9441-436C-AA3E-91B68F6E59B3}"/>
    <cellStyle name="Normal 8 2 4 2 8 2" xfId="36131" xr:uid="{22E6D861-2174-4B29-8E95-3D71A6A38267}"/>
    <cellStyle name="Normal 8 2 4 2 8 2 2" xfId="54726" xr:uid="{DE9281B3-834E-430D-A619-EDDE4BD6DBF8}"/>
    <cellStyle name="Normal 8 2 4 2 8 3" xfId="45429" xr:uid="{74CE0DF4-E2BD-4C03-BD97-99941B03CAB1}"/>
    <cellStyle name="Normal 8 2 4 2 8 4" xfId="26832" xr:uid="{9713C13E-9B6C-41CA-BCF2-4F7D41EF7DE2}"/>
    <cellStyle name="Normal 8 2 4 2 9" xfId="9967" xr:uid="{D404B848-3FBA-4467-88B3-7471394ED8AA}"/>
    <cellStyle name="Normal 8 2 4 2 9 2" xfId="46309" xr:uid="{0E78215C-8D3C-4348-B3E1-9ACB715C8B55}"/>
    <cellStyle name="Normal 8 2 4 2 9 3" xfId="27713" xr:uid="{DAF765B7-7D29-4B53-8D14-020561DFC17F}"/>
    <cellStyle name="Normal 8 2 4 3" xfId="959" xr:uid="{00000000-0005-0000-0000-0000F81C0000}"/>
    <cellStyle name="Normal 8 2 4 3 2" xfId="3193" xr:uid="{00000000-0005-0000-0000-0000F91C0000}"/>
    <cellStyle name="Normal 8 2 4 3 2 2" xfId="7415" xr:uid="{00000000-0005-0000-0000-0000FA1C0000}"/>
    <cellStyle name="Normal 8 2 4 3 2 2 2" xfId="16741" xr:uid="{63D8415E-99A5-4B53-8D9D-BB68EE10675E}"/>
    <cellStyle name="Normal 8 2 4 3 2 2 2 2" xfId="53083" xr:uid="{B440F802-7263-4A10-A48F-2F604DD1B038}"/>
    <cellStyle name="Normal 8 2 4 3 2 2 2 3" xfId="34487" xr:uid="{58A1083D-437F-406B-B27B-F3670D2BF1A7}"/>
    <cellStyle name="Normal 8 2 4 3 2 2 3" xfId="43786" xr:uid="{BCE6BE82-BFD2-431B-A10F-3AE9CF564DFF}"/>
    <cellStyle name="Normal 8 2 4 3 2 2 4" xfId="25188" xr:uid="{7DDA5E91-297D-4E42-A222-9FCC4237AF76}"/>
    <cellStyle name="Normal 8 2 4 3 2 3" xfId="12524" xr:uid="{81DE5ED1-33CE-4A65-B0DA-A4B91AD23D1C}"/>
    <cellStyle name="Normal 8 2 4 3 2 3 2" xfId="48866" xr:uid="{BD616CC0-A3E9-4724-B506-21BC8ED39E8B}"/>
    <cellStyle name="Normal 8 2 4 3 2 3 3" xfId="30270" xr:uid="{1EFAADF1-D10C-4B29-858C-301F6D880FDC}"/>
    <cellStyle name="Normal 8 2 4 3 2 4" xfId="39569" xr:uid="{01796FCC-9400-4305-A230-8B9BD1D33B7B}"/>
    <cellStyle name="Normal 8 2 4 3 2 5" xfId="20971" xr:uid="{B3E76867-D095-4F2D-A524-1BEC9A6BD67B}"/>
    <cellStyle name="Normal 8 2 4 3 3" xfId="5270" xr:uid="{00000000-0005-0000-0000-0000FB1C0000}"/>
    <cellStyle name="Normal 8 2 4 3 3 2" xfId="14596" xr:uid="{5A30ECCA-9834-41E8-99DB-DB2ED10A35C3}"/>
    <cellStyle name="Normal 8 2 4 3 3 2 2" xfId="50938" xr:uid="{53D79249-6754-4351-8172-18A13E6F6003}"/>
    <cellStyle name="Normal 8 2 4 3 3 2 3" xfId="32342" xr:uid="{0F1B2984-22AF-43EA-8C6B-7E0321E77E76}"/>
    <cellStyle name="Normal 8 2 4 3 3 3" xfId="41641" xr:uid="{3DA63A12-716B-4BD4-932C-9150B196F05D}"/>
    <cellStyle name="Normal 8 2 4 3 3 4" xfId="23043" xr:uid="{3BBDA181-E1D2-4B8D-A796-704B66A1FB64}"/>
    <cellStyle name="Normal 8 2 4 3 4" xfId="9279" xr:uid="{BA09D30D-BEBA-4223-83E6-57FB46A1EFA8}"/>
    <cellStyle name="Normal 8 2 4 3 4 2" xfId="36340" xr:uid="{C8267F0E-6693-4A80-A89A-18D186833E45}"/>
    <cellStyle name="Normal 8 2 4 3 4 2 2" xfId="54934" xr:uid="{F7F33958-2CBE-44A2-AA46-D6843A4F4259}"/>
    <cellStyle name="Normal 8 2 4 3 4 3" xfId="45637" xr:uid="{56F8ECB7-3D84-4DFE-B637-2C4BBF4734D4}"/>
    <cellStyle name="Normal 8 2 4 3 4 4" xfId="27041" xr:uid="{E94BFD71-DD81-4E1E-ABAB-A0B2EE79A2B2}"/>
    <cellStyle name="Normal 8 2 4 3 5" xfId="10379" xr:uid="{70A53CD9-897C-4650-91F6-658B48150B76}"/>
    <cellStyle name="Normal 8 2 4 3 5 2" xfId="46721" xr:uid="{17D3A292-9FBD-4D27-8F3F-EF451AFB6A56}"/>
    <cellStyle name="Normal 8 2 4 3 5 3" xfId="28125" xr:uid="{D4F0D1D8-1A39-4803-8FDC-04B9E8463543}"/>
    <cellStyle name="Normal 8 2 4 3 6" xfId="37424" xr:uid="{F910D73A-7716-446A-8550-818357755ADC}"/>
    <cellStyle name="Normal 8 2 4 3 7" xfId="18826" xr:uid="{D7B24452-4676-4D5D-BABB-E90821196562}"/>
    <cellStyle name="Normal 8 2 4 4" xfId="1376" xr:uid="{00000000-0005-0000-0000-0000FC1C0000}"/>
    <cellStyle name="Normal 8 2 4 4 2" xfId="3606" xr:uid="{00000000-0005-0000-0000-0000FD1C0000}"/>
    <cellStyle name="Normal 8 2 4 4 2 2" xfId="7828" xr:uid="{00000000-0005-0000-0000-0000FE1C0000}"/>
    <cellStyle name="Normal 8 2 4 4 2 2 2" xfId="17154" xr:uid="{200FC365-2D08-4F7B-87ED-89D2E83F8D8C}"/>
    <cellStyle name="Normal 8 2 4 4 2 2 2 2" xfId="53496" xr:uid="{383DFDA6-56DC-4574-B516-7176D8544C76}"/>
    <cellStyle name="Normal 8 2 4 4 2 2 2 3" xfId="34900" xr:uid="{97DC444A-BD05-4AA3-B413-27D7179AAF19}"/>
    <cellStyle name="Normal 8 2 4 4 2 2 3" xfId="44199" xr:uid="{B57F0305-E0E7-499B-B2FF-5F924185106D}"/>
    <cellStyle name="Normal 8 2 4 4 2 2 4" xfId="25601" xr:uid="{D5560825-1686-448C-9F38-420E6DC53417}"/>
    <cellStyle name="Normal 8 2 4 4 2 3" xfId="12937" xr:uid="{88955E77-22C2-4478-BA7A-19F32FE14159}"/>
    <cellStyle name="Normal 8 2 4 4 2 3 2" xfId="49279" xr:uid="{4FC3697F-1772-44BE-8C70-E80AC6D2BEDA}"/>
    <cellStyle name="Normal 8 2 4 4 2 3 3" xfId="30683" xr:uid="{2D9AFE23-357B-43BE-A456-B51017292C07}"/>
    <cellStyle name="Normal 8 2 4 4 2 4" xfId="39982" xr:uid="{80FEA7ED-E3C6-4133-A2EC-5350FF03B440}"/>
    <cellStyle name="Normal 8 2 4 4 2 5" xfId="21384" xr:uid="{E8BA17BD-E4B8-452B-9344-78D68310B436}"/>
    <cellStyle name="Normal 8 2 4 4 3" xfId="5683" xr:uid="{00000000-0005-0000-0000-0000FF1C0000}"/>
    <cellStyle name="Normal 8 2 4 4 3 2" xfId="15009" xr:uid="{F69C45F5-709C-4809-A89C-D1D05A61AFB0}"/>
    <cellStyle name="Normal 8 2 4 4 3 2 2" xfId="51351" xr:uid="{B240F51C-75AE-46DB-A29D-E5018025ACD0}"/>
    <cellStyle name="Normal 8 2 4 4 3 2 3" xfId="32755" xr:uid="{1AB0F828-1984-40C8-8B15-AB86CA260371}"/>
    <cellStyle name="Normal 8 2 4 4 3 3" xfId="42054" xr:uid="{AF58999E-ADC6-4579-A92B-CE80F6AED70B}"/>
    <cellStyle name="Normal 8 2 4 4 3 4" xfId="23456" xr:uid="{EBE7C7B5-642E-4BC3-86E3-910AD4FA6291}"/>
    <cellStyle name="Normal 8 2 4 4 4" xfId="10792" xr:uid="{CA3FC767-B4AC-4EF2-B016-4D3661757806}"/>
    <cellStyle name="Normal 8 2 4 4 4 2" xfId="47134" xr:uid="{022B2E56-0B08-45B2-AB49-C0E497518C58}"/>
    <cellStyle name="Normal 8 2 4 4 4 3" xfId="28538" xr:uid="{AC1D6101-DFFB-40E3-92F3-EE73C536C771}"/>
    <cellStyle name="Normal 8 2 4 4 5" xfId="37837" xr:uid="{3DCDA3E0-5526-4CD8-AD15-A915BDAA1C62}"/>
    <cellStyle name="Normal 8 2 4 4 6" xfId="19239" xr:uid="{916AB08C-7065-4874-83D0-6742F900E7FF}"/>
    <cellStyle name="Normal 8 2 4 5" xfId="1789" xr:uid="{00000000-0005-0000-0000-0000001D0000}"/>
    <cellStyle name="Normal 8 2 4 5 2" xfId="4019" xr:uid="{00000000-0005-0000-0000-0000011D0000}"/>
    <cellStyle name="Normal 8 2 4 5 2 2" xfId="8241" xr:uid="{00000000-0005-0000-0000-0000021D0000}"/>
    <cellStyle name="Normal 8 2 4 5 2 2 2" xfId="17567" xr:uid="{85DC6109-5399-430F-A096-BF135EACF128}"/>
    <cellStyle name="Normal 8 2 4 5 2 2 2 2" xfId="53909" xr:uid="{3FB57ADC-B50A-4DFD-AA8F-10E0DE60C3E7}"/>
    <cellStyle name="Normal 8 2 4 5 2 2 2 3" xfId="35313" xr:uid="{91FC420F-C4F8-401F-AC1E-50FE8C67AF69}"/>
    <cellStyle name="Normal 8 2 4 5 2 2 3" xfId="44612" xr:uid="{DC5FD899-500D-4911-B46A-2BD0152297F9}"/>
    <cellStyle name="Normal 8 2 4 5 2 2 4" xfId="26014" xr:uid="{F6EE4637-B238-4F1E-B9A2-79C4F2A2778F}"/>
    <cellStyle name="Normal 8 2 4 5 2 3" xfId="13350" xr:uid="{4A9FBC55-E1AE-4854-BC14-0841FE542D99}"/>
    <cellStyle name="Normal 8 2 4 5 2 3 2" xfId="49692" xr:uid="{6ED79FC4-DEA4-49F3-BE40-076CDF3C2241}"/>
    <cellStyle name="Normal 8 2 4 5 2 3 3" xfId="31096" xr:uid="{44444F96-55BE-4D29-90FC-8CDAF7AC24FA}"/>
    <cellStyle name="Normal 8 2 4 5 2 4" xfId="40395" xr:uid="{D6D744CA-6649-48C2-A649-8E65D444460A}"/>
    <cellStyle name="Normal 8 2 4 5 2 5" xfId="21797" xr:uid="{C327B8CC-DD88-4196-B39D-DA5105288770}"/>
    <cellStyle name="Normal 8 2 4 5 3" xfId="6096" xr:uid="{00000000-0005-0000-0000-0000031D0000}"/>
    <cellStyle name="Normal 8 2 4 5 3 2" xfId="15422" xr:uid="{950374C1-D6FE-4862-9D59-F83F786EAC0C}"/>
    <cellStyle name="Normal 8 2 4 5 3 2 2" xfId="51764" xr:uid="{C4FB8955-00FF-4F6B-898C-5EF5CFC372C5}"/>
    <cellStyle name="Normal 8 2 4 5 3 2 3" xfId="33168" xr:uid="{1FF86DBC-8683-464D-893C-57C89CC239ED}"/>
    <cellStyle name="Normal 8 2 4 5 3 3" xfId="42467" xr:uid="{C1BBF49A-BE7A-47DA-AB1C-51670EFE414C}"/>
    <cellStyle name="Normal 8 2 4 5 3 4" xfId="23869" xr:uid="{341295C2-53E8-414A-ABCE-105255831571}"/>
    <cellStyle name="Normal 8 2 4 5 4" xfId="11205" xr:uid="{B2DB4D0A-E3F0-4A2B-A61A-8A208468CE07}"/>
    <cellStyle name="Normal 8 2 4 5 4 2" xfId="47547" xr:uid="{588A66A1-7A58-42D9-A495-BD4BA96B93D8}"/>
    <cellStyle name="Normal 8 2 4 5 4 3" xfId="28951" xr:uid="{9E04DCF4-E234-47C7-A2A2-72894F06B4E3}"/>
    <cellStyle name="Normal 8 2 4 5 5" xfId="38250" xr:uid="{8674F9A1-136F-4C0C-8165-8D210E5A301F}"/>
    <cellStyle name="Normal 8 2 4 5 6" xfId="19652" xr:uid="{860D8E95-1DA8-4179-A4F8-7A9DCCDA5FF0}"/>
    <cellStyle name="Normal 8 2 4 6" xfId="2203" xr:uid="{00000000-0005-0000-0000-0000041D0000}"/>
    <cellStyle name="Normal 8 2 4 6 2" xfId="4432" xr:uid="{00000000-0005-0000-0000-0000051D0000}"/>
    <cellStyle name="Normal 8 2 4 6 2 2" xfId="8654" xr:uid="{00000000-0005-0000-0000-0000061D0000}"/>
    <cellStyle name="Normal 8 2 4 6 2 2 2" xfId="17980" xr:uid="{D5BECFFB-8329-47C7-83A5-47211C55B271}"/>
    <cellStyle name="Normal 8 2 4 6 2 2 2 2" xfId="54322" xr:uid="{ACC17D2D-AFC6-44D9-A926-444F5DF378CE}"/>
    <cellStyle name="Normal 8 2 4 6 2 2 2 3" xfId="35726" xr:uid="{9E5AC8EF-DDA4-4A0C-B1DD-2214F140E73D}"/>
    <cellStyle name="Normal 8 2 4 6 2 2 3" xfId="45025" xr:uid="{1B7F638B-4006-47B2-80E4-3A8F2D5B8E31}"/>
    <cellStyle name="Normal 8 2 4 6 2 2 4" xfId="26427" xr:uid="{61370DF2-B0E1-4012-8094-8F9704C5096D}"/>
    <cellStyle name="Normal 8 2 4 6 2 3" xfId="13763" xr:uid="{94415F39-1E12-46AB-BD15-78BC871C0D11}"/>
    <cellStyle name="Normal 8 2 4 6 2 3 2" xfId="50105" xr:uid="{8A757223-0AD0-444F-AE91-ECD3847C48A1}"/>
    <cellStyle name="Normal 8 2 4 6 2 3 3" xfId="31509" xr:uid="{A6F1AB52-6468-4F1B-B6B7-74C5D5E9A68C}"/>
    <cellStyle name="Normal 8 2 4 6 2 4" xfId="40808" xr:uid="{63E7E862-5B5E-4493-B5A4-AFAD7C7F1F60}"/>
    <cellStyle name="Normal 8 2 4 6 2 5" xfId="22210" xr:uid="{927787BE-DC26-41B0-A2CD-DF03372FCF56}"/>
    <cellStyle name="Normal 8 2 4 6 3" xfId="6509" xr:uid="{00000000-0005-0000-0000-0000071D0000}"/>
    <cellStyle name="Normal 8 2 4 6 3 2" xfId="15835" xr:uid="{9336D15E-341F-4257-8C9E-8B907DECE1A0}"/>
    <cellStyle name="Normal 8 2 4 6 3 2 2" xfId="52177" xr:uid="{E0135C1D-4742-47C9-8E08-FE5C9A7B5723}"/>
    <cellStyle name="Normal 8 2 4 6 3 2 3" xfId="33581" xr:uid="{92718E5D-6D66-4CAC-BE18-74D203F85AE0}"/>
    <cellStyle name="Normal 8 2 4 6 3 3" xfId="42880" xr:uid="{449F0367-A499-43AE-A4B5-06D07B296C74}"/>
    <cellStyle name="Normal 8 2 4 6 3 4" xfId="24282" xr:uid="{FDE7E5C1-61B5-447E-B8CD-21506AE1C461}"/>
    <cellStyle name="Normal 8 2 4 6 4" xfId="11618" xr:uid="{C5121F3E-D107-45DE-83B2-0048B2F2988F}"/>
    <cellStyle name="Normal 8 2 4 6 4 2" xfId="47960" xr:uid="{09BCCDFC-94C5-4B41-AE91-E76046A6D333}"/>
    <cellStyle name="Normal 8 2 4 6 4 3" xfId="29364" xr:uid="{A9DFFF0C-1D68-4977-B10F-06283D66EC89}"/>
    <cellStyle name="Normal 8 2 4 6 5" xfId="38663" xr:uid="{568385E0-3956-4BB4-9CEF-4527853ED9AC}"/>
    <cellStyle name="Normal 8 2 4 6 6" xfId="20065" xr:uid="{1BDD7B26-44FF-4F00-93E5-F30F2C2EAAAD}"/>
    <cellStyle name="Normal 8 2 4 7" xfId="2639" xr:uid="{00000000-0005-0000-0000-0000081D0000}"/>
    <cellStyle name="Normal 8 2 4 7 2" xfId="6922" xr:uid="{00000000-0005-0000-0000-0000091D0000}"/>
    <cellStyle name="Normal 8 2 4 7 2 2" xfId="16248" xr:uid="{65B2B294-3D5D-4E28-9B71-F52E75DF9DFD}"/>
    <cellStyle name="Normal 8 2 4 7 2 2 2" xfId="52590" xr:uid="{52FD74F0-29B7-4952-89E9-FDF21E10373B}"/>
    <cellStyle name="Normal 8 2 4 7 2 2 3" xfId="33994" xr:uid="{50951CC7-7B4A-4472-812B-A401026143C3}"/>
    <cellStyle name="Normal 8 2 4 7 2 3" xfId="43293" xr:uid="{55935654-40CC-4457-A06E-871BC2168DF8}"/>
    <cellStyle name="Normal 8 2 4 7 2 4" xfId="24695" xr:uid="{E93717C9-383B-487C-BA12-7E2FF3AF5E5B}"/>
    <cellStyle name="Normal 8 2 4 7 3" xfId="12031" xr:uid="{ABF301A2-2323-43B5-ABDD-1353BF2B6528}"/>
    <cellStyle name="Normal 8 2 4 7 3 2" xfId="48373" xr:uid="{33C95456-E779-4148-85E3-55DD21C975E6}"/>
    <cellStyle name="Normal 8 2 4 7 3 3" xfId="29777" xr:uid="{5BC49C1A-856B-4E7D-801C-23350E98D435}"/>
    <cellStyle name="Normal 8 2 4 7 4" xfId="39076" xr:uid="{EA9C7FC8-0FD4-45C6-808D-7CC400FFF502}"/>
    <cellStyle name="Normal 8 2 4 7 5" xfId="20478" xr:uid="{4D55CBF6-078A-49D1-BE52-5582C80FFD65}"/>
    <cellStyle name="Normal 8 2 4 8" xfId="4857" xr:uid="{00000000-0005-0000-0000-00000A1D0000}"/>
    <cellStyle name="Normal 8 2 4 8 2" xfId="14183" xr:uid="{F1855C85-37BE-4021-AD3B-CA88E150654F}"/>
    <cellStyle name="Normal 8 2 4 8 2 2" xfId="50525" xr:uid="{EAB56230-7D37-4E44-91DA-0A02AB297B27}"/>
    <cellStyle name="Normal 8 2 4 8 2 3" xfId="31929" xr:uid="{39CAC34F-05A1-4945-B1DA-2F36CA579FD7}"/>
    <cellStyle name="Normal 8 2 4 8 3" xfId="41228" xr:uid="{1820E841-7E30-44C3-A9DB-40CBB32FB745}"/>
    <cellStyle name="Normal 8 2 4 8 4" xfId="22630" xr:uid="{AC7A8018-220F-40C3-9975-D7E1085D7913}"/>
    <cellStyle name="Normal 8 2 4 9" xfId="8854" xr:uid="{F1F9C500-F3E2-475A-983E-BD697F4BACD1}"/>
    <cellStyle name="Normal 8 2 4 9 2" xfId="35924" xr:uid="{56C34BEF-0AE7-4956-AD2F-2A665FF37F2C}"/>
    <cellStyle name="Normal 8 2 4 9 2 2" xfId="54519" xr:uid="{57AA1DCC-0F2B-4E6F-9BB8-6B337B790F2F}"/>
    <cellStyle name="Normal 8 2 4 9 3" xfId="45222" xr:uid="{9DF5642A-86EA-4A5C-9480-7598C825DDCC}"/>
    <cellStyle name="Normal 8 2 4 9 4" xfId="26625" xr:uid="{24E4B34D-19D6-490A-ABEC-48F49ECDA63A}"/>
    <cellStyle name="Normal 8 2 5" xfId="494" xr:uid="{00000000-0005-0000-0000-00000B1D0000}"/>
    <cellStyle name="Normal 8 2 5 10" xfId="37013" xr:uid="{1895C292-BFB1-4856-8E8A-57D8326B7402}"/>
    <cellStyle name="Normal 8 2 5 11" xfId="18415" xr:uid="{9F219808-B8F4-4B5C-A89F-33A3B0CBED9D}"/>
    <cellStyle name="Normal 8 2 5 2" xfId="961" xr:uid="{00000000-0005-0000-0000-00000C1D0000}"/>
    <cellStyle name="Normal 8 2 5 2 2" xfId="3195" xr:uid="{00000000-0005-0000-0000-00000D1D0000}"/>
    <cellStyle name="Normal 8 2 5 2 2 2" xfId="7417" xr:uid="{00000000-0005-0000-0000-00000E1D0000}"/>
    <cellStyle name="Normal 8 2 5 2 2 2 2" xfId="16743" xr:uid="{6A1B2A95-9A21-49AE-9147-BE1C315002AD}"/>
    <cellStyle name="Normal 8 2 5 2 2 2 2 2" xfId="53085" xr:uid="{BD0CFC9E-FB7B-47B9-BA94-CFB2FC21DF22}"/>
    <cellStyle name="Normal 8 2 5 2 2 2 2 3" xfId="34489" xr:uid="{6256100A-A934-444D-9BF2-E7F49BE3AD2C}"/>
    <cellStyle name="Normal 8 2 5 2 2 2 3" xfId="43788" xr:uid="{BA4D6E4D-A288-435E-BF10-8A6ACCDE077A}"/>
    <cellStyle name="Normal 8 2 5 2 2 2 4" xfId="25190" xr:uid="{A411CD05-4846-47C1-9E18-C78E0BD7817B}"/>
    <cellStyle name="Normal 8 2 5 2 2 3" xfId="12526" xr:uid="{7DDDE3EF-EDA8-4CEC-90FC-B2B8587EDFC0}"/>
    <cellStyle name="Normal 8 2 5 2 2 3 2" xfId="48868" xr:uid="{9A7D247F-A886-459F-A927-B1EF2F7A966F}"/>
    <cellStyle name="Normal 8 2 5 2 2 3 3" xfId="30272" xr:uid="{20F0FDB5-B84E-41D3-87CD-13560D8D7667}"/>
    <cellStyle name="Normal 8 2 5 2 2 4" xfId="39571" xr:uid="{4A471F0F-6DF2-4301-A87D-3E4E87E55DC3}"/>
    <cellStyle name="Normal 8 2 5 2 2 5" xfId="20973" xr:uid="{DF8F6689-C156-4013-88C9-D3A9C951CC6D}"/>
    <cellStyle name="Normal 8 2 5 2 3" xfId="5272" xr:uid="{00000000-0005-0000-0000-00000F1D0000}"/>
    <cellStyle name="Normal 8 2 5 2 3 2" xfId="14598" xr:uid="{C430B6CC-76CE-48CE-B12C-7D5707E5530E}"/>
    <cellStyle name="Normal 8 2 5 2 3 2 2" xfId="50940" xr:uid="{75C1F4BC-62CB-47FA-80DA-54D8AAC6AC0B}"/>
    <cellStyle name="Normal 8 2 5 2 3 2 3" xfId="32344" xr:uid="{2EF3C35B-CF4B-45FE-8ADC-A5D63C38931E}"/>
    <cellStyle name="Normal 8 2 5 2 3 3" xfId="41643" xr:uid="{0465A03C-0EED-43C1-A8A1-9A16B470BEEB}"/>
    <cellStyle name="Normal 8 2 5 2 3 4" xfId="23045" xr:uid="{8CC276C0-1F50-4078-9B4C-BC1F4ADDCD94}"/>
    <cellStyle name="Normal 8 2 5 2 4" xfId="9395" xr:uid="{D5766EF3-6042-484F-B510-7448518CF571}"/>
    <cellStyle name="Normal 8 2 5 2 4 2" xfId="36456" xr:uid="{D624B30A-4CA7-47FD-8D8A-4B7181407D78}"/>
    <cellStyle name="Normal 8 2 5 2 4 2 2" xfId="55050" xr:uid="{6C8AEA2C-5C16-4B6C-B233-A02B87C28831}"/>
    <cellStyle name="Normal 8 2 5 2 4 3" xfId="45753" xr:uid="{E40FE418-0E04-4709-8B1D-45C9380424DF}"/>
    <cellStyle name="Normal 8 2 5 2 4 4" xfId="27157" xr:uid="{A4A6C5E8-DA73-4971-967E-5E07DEBBFC17}"/>
    <cellStyle name="Normal 8 2 5 2 5" xfId="10381" xr:uid="{4649DAA4-8742-456A-818A-7F5F122316E1}"/>
    <cellStyle name="Normal 8 2 5 2 5 2" xfId="46723" xr:uid="{06BC0701-9E9E-4D19-8FB4-ADC750F7B0EE}"/>
    <cellStyle name="Normal 8 2 5 2 5 3" xfId="28127" xr:uid="{8E8967DE-961B-4E7F-B75E-9A3AF748AB6F}"/>
    <cellStyle name="Normal 8 2 5 2 6" xfId="37426" xr:uid="{4CF1146C-D95D-4BEC-873A-66B32D0E4405}"/>
    <cellStyle name="Normal 8 2 5 2 7" xfId="18828" xr:uid="{D09226C7-C479-41DF-AB22-1E78BBFC505D}"/>
    <cellStyle name="Normal 8 2 5 3" xfId="1378" xr:uid="{00000000-0005-0000-0000-0000101D0000}"/>
    <cellStyle name="Normal 8 2 5 3 2" xfId="3608" xr:uid="{00000000-0005-0000-0000-0000111D0000}"/>
    <cellStyle name="Normal 8 2 5 3 2 2" xfId="7830" xr:uid="{00000000-0005-0000-0000-0000121D0000}"/>
    <cellStyle name="Normal 8 2 5 3 2 2 2" xfId="17156" xr:uid="{4354AC72-19EE-4207-B372-93A33EE56E14}"/>
    <cellStyle name="Normal 8 2 5 3 2 2 2 2" xfId="53498" xr:uid="{545B24CC-5055-4F23-83BE-ED47AA36945E}"/>
    <cellStyle name="Normal 8 2 5 3 2 2 2 3" xfId="34902" xr:uid="{1AC79813-8671-4F7D-AB6D-D77E12DC2D94}"/>
    <cellStyle name="Normal 8 2 5 3 2 2 3" xfId="44201" xr:uid="{E8E4AA6F-3219-413C-B109-EBC5BB1E71EE}"/>
    <cellStyle name="Normal 8 2 5 3 2 2 4" xfId="25603" xr:uid="{59E36E03-ED36-464B-8892-05917E294690}"/>
    <cellStyle name="Normal 8 2 5 3 2 3" xfId="12939" xr:uid="{21CE3A47-E768-4EF1-A2C7-148CC9827ED0}"/>
    <cellStyle name="Normal 8 2 5 3 2 3 2" xfId="49281" xr:uid="{741C4E0B-A0BB-49D6-AEA2-8E1886BD6BF4}"/>
    <cellStyle name="Normal 8 2 5 3 2 3 3" xfId="30685" xr:uid="{346CA7B7-5925-434D-B990-03B73CF9A42D}"/>
    <cellStyle name="Normal 8 2 5 3 2 4" xfId="39984" xr:uid="{DAD0F93E-7FB8-40EB-B997-FFA3551DDD69}"/>
    <cellStyle name="Normal 8 2 5 3 2 5" xfId="21386" xr:uid="{CCCB66B1-B4E4-4B4A-B4A1-56429B335EC1}"/>
    <cellStyle name="Normal 8 2 5 3 3" xfId="5685" xr:uid="{00000000-0005-0000-0000-0000131D0000}"/>
    <cellStyle name="Normal 8 2 5 3 3 2" xfId="15011" xr:uid="{5916E682-1B2D-4F53-A77B-12D3DC9E6CCA}"/>
    <cellStyle name="Normal 8 2 5 3 3 2 2" xfId="51353" xr:uid="{CA36B3AF-9FC3-458A-835C-011BD6EA09FD}"/>
    <cellStyle name="Normal 8 2 5 3 3 2 3" xfId="32757" xr:uid="{DF70B21A-46E9-4974-92AC-342A01B60B50}"/>
    <cellStyle name="Normal 8 2 5 3 3 3" xfId="42056" xr:uid="{4F66471D-17CB-48AC-AB40-A7F816B4A3BC}"/>
    <cellStyle name="Normal 8 2 5 3 3 4" xfId="23458" xr:uid="{E4FF9460-9750-425B-B923-AE5E7063A556}"/>
    <cellStyle name="Normal 8 2 5 3 4" xfId="10794" xr:uid="{998B2835-80F1-49F7-BA5C-E53FF2BE2F59}"/>
    <cellStyle name="Normal 8 2 5 3 4 2" xfId="47136" xr:uid="{69B3DEC3-EF61-45C9-BC18-51B3405A430D}"/>
    <cellStyle name="Normal 8 2 5 3 4 3" xfId="28540" xr:uid="{CFAFF19D-64B4-45F6-B0FF-702A59339B9E}"/>
    <cellStyle name="Normal 8 2 5 3 5" xfId="37839" xr:uid="{078B5053-9D0E-4608-9F7F-A61A72CC1DC1}"/>
    <cellStyle name="Normal 8 2 5 3 6" xfId="19241" xr:uid="{1127D104-75E8-4567-BC6E-5D5EC5236889}"/>
    <cellStyle name="Normal 8 2 5 4" xfId="1791" xr:uid="{00000000-0005-0000-0000-0000141D0000}"/>
    <cellStyle name="Normal 8 2 5 4 2" xfId="4021" xr:uid="{00000000-0005-0000-0000-0000151D0000}"/>
    <cellStyle name="Normal 8 2 5 4 2 2" xfId="8243" xr:uid="{00000000-0005-0000-0000-0000161D0000}"/>
    <cellStyle name="Normal 8 2 5 4 2 2 2" xfId="17569" xr:uid="{8C435523-E8A4-4115-B76E-AE1C0B686401}"/>
    <cellStyle name="Normal 8 2 5 4 2 2 2 2" xfId="53911" xr:uid="{3D13015B-234D-4B75-9CDA-87FA87FFC20F}"/>
    <cellStyle name="Normal 8 2 5 4 2 2 2 3" xfId="35315" xr:uid="{75B91DEB-05A3-4882-B90F-7FD023B6730B}"/>
    <cellStyle name="Normal 8 2 5 4 2 2 3" xfId="44614" xr:uid="{A30BAD6C-6ECC-43B5-A206-D6AFBB242981}"/>
    <cellStyle name="Normal 8 2 5 4 2 2 4" xfId="26016" xr:uid="{33BA3CA7-3345-4F2F-BF1D-FF30C9FF3C86}"/>
    <cellStyle name="Normal 8 2 5 4 2 3" xfId="13352" xr:uid="{0E24A6C4-9276-47A9-A88B-A854788CCAD8}"/>
    <cellStyle name="Normal 8 2 5 4 2 3 2" xfId="49694" xr:uid="{37EF81CE-2F59-4484-99F2-EFC8832D6993}"/>
    <cellStyle name="Normal 8 2 5 4 2 3 3" xfId="31098" xr:uid="{01795596-0732-49F7-9E70-8380EABAEE63}"/>
    <cellStyle name="Normal 8 2 5 4 2 4" xfId="40397" xr:uid="{52EB09C2-4631-41F7-A1AF-FE751AE46449}"/>
    <cellStyle name="Normal 8 2 5 4 2 5" xfId="21799" xr:uid="{40A1151E-EDEB-4D0D-AEE9-F1B8B4AA770D}"/>
    <cellStyle name="Normal 8 2 5 4 3" xfId="6098" xr:uid="{00000000-0005-0000-0000-0000171D0000}"/>
    <cellStyle name="Normal 8 2 5 4 3 2" xfId="15424" xr:uid="{DF7B630B-9816-42BD-B579-33105557137D}"/>
    <cellStyle name="Normal 8 2 5 4 3 2 2" xfId="51766" xr:uid="{1C22307D-D067-4337-A960-CA58A3E0F6A8}"/>
    <cellStyle name="Normal 8 2 5 4 3 2 3" xfId="33170" xr:uid="{A0918DF7-74B8-480A-BBF7-44DBC6BF6F9E}"/>
    <cellStyle name="Normal 8 2 5 4 3 3" xfId="42469" xr:uid="{5DDFC361-6E87-4827-BD06-F8F119A7E7A3}"/>
    <cellStyle name="Normal 8 2 5 4 3 4" xfId="23871" xr:uid="{09013AB8-C777-451B-A1F7-5BAC8C105FBE}"/>
    <cellStyle name="Normal 8 2 5 4 4" xfId="11207" xr:uid="{8BEA3328-06FB-48EE-98AA-7D23E2187D40}"/>
    <cellStyle name="Normal 8 2 5 4 4 2" xfId="47549" xr:uid="{30329452-97C1-46FA-AE9D-85832D2FC397}"/>
    <cellStyle name="Normal 8 2 5 4 4 3" xfId="28953" xr:uid="{86F46734-5BEA-4B5A-8C12-392A2AD6E9B0}"/>
    <cellStyle name="Normal 8 2 5 4 5" xfId="38252" xr:uid="{B67D983E-C891-4630-ACF2-5C07BA8975CA}"/>
    <cellStyle name="Normal 8 2 5 4 6" xfId="19654" xr:uid="{5453E3DB-7A84-43C9-93C1-57B3191A5484}"/>
    <cellStyle name="Normal 8 2 5 5" xfId="2205" xr:uid="{00000000-0005-0000-0000-0000181D0000}"/>
    <cellStyle name="Normal 8 2 5 5 2" xfId="4434" xr:uid="{00000000-0005-0000-0000-0000191D0000}"/>
    <cellStyle name="Normal 8 2 5 5 2 2" xfId="8656" xr:uid="{00000000-0005-0000-0000-00001A1D0000}"/>
    <cellStyle name="Normal 8 2 5 5 2 2 2" xfId="17982" xr:uid="{0187D566-4A3B-4343-9F51-97987042C196}"/>
    <cellStyle name="Normal 8 2 5 5 2 2 2 2" xfId="54324" xr:uid="{406E5C8F-D8C2-458D-B4D4-AE21F1126F9C}"/>
    <cellStyle name="Normal 8 2 5 5 2 2 2 3" xfId="35728" xr:uid="{86DB91D6-7BB3-49F4-999C-95A8FA787CD2}"/>
    <cellStyle name="Normal 8 2 5 5 2 2 3" xfId="45027" xr:uid="{74C07A84-384E-4425-A243-FDCFEB6BDA69}"/>
    <cellStyle name="Normal 8 2 5 5 2 2 4" xfId="26429" xr:uid="{BF2AE188-1D96-4FE1-804B-77AE1D7AF40E}"/>
    <cellStyle name="Normal 8 2 5 5 2 3" xfId="13765" xr:uid="{D67A1CE8-F3DB-4F6C-9DC2-2D0961B1AAFA}"/>
    <cellStyle name="Normal 8 2 5 5 2 3 2" xfId="50107" xr:uid="{129B66D3-EBFD-4CC6-8BA3-7E9A9B779F68}"/>
    <cellStyle name="Normal 8 2 5 5 2 3 3" xfId="31511" xr:uid="{2E2291DF-ADE2-4438-ABD3-04997419CBDE}"/>
    <cellStyle name="Normal 8 2 5 5 2 4" xfId="40810" xr:uid="{746927BE-8173-42A9-8F23-8841CC7834FA}"/>
    <cellStyle name="Normal 8 2 5 5 2 5" xfId="22212" xr:uid="{8282C170-817C-403C-AC90-622FDD38FEE2}"/>
    <cellStyle name="Normal 8 2 5 5 3" xfId="6511" xr:uid="{00000000-0005-0000-0000-00001B1D0000}"/>
    <cellStyle name="Normal 8 2 5 5 3 2" xfId="15837" xr:uid="{4415AB0A-51B2-4CD7-A90C-29ADEE7BD8BD}"/>
    <cellStyle name="Normal 8 2 5 5 3 2 2" xfId="52179" xr:uid="{9AB6EB22-FC87-42CC-AF00-F4DCC2E05746}"/>
    <cellStyle name="Normal 8 2 5 5 3 2 3" xfId="33583" xr:uid="{F8DBD979-BF5B-4371-AB74-A72DE70DED42}"/>
    <cellStyle name="Normal 8 2 5 5 3 3" xfId="42882" xr:uid="{79D6D3A3-DF54-407F-8A7B-8B5C82478039}"/>
    <cellStyle name="Normal 8 2 5 5 3 4" xfId="24284" xr:uid="{EF7FE60D-8931-4C40-8BC4-14FECC3EDBB5}"/>
    <cellStyle name="Normal 8 2 5 5 4" xfId="11620" xr:uid="{F526A6DA-11B9-499E-BA90-4C8FD532FF2A}"/>
    <cellStyle name="Normal 8 2 5 5 4 2" xfId="47962" xr:uid="{F0D13609-83BA-4664-826F-AD7DE980281C}"/>
    <cellStyle name="Normal 8 2 5 5 4 3" xfId="29366" xr:uid="{6C7C099F-0EB9-4453-8D57-2C7F420A23A7}"/>
    <cellStyle name="Normal 8 2 5 5 5" xfId="38665" xr:uid="{DB476E0C-3D11-4AC7-931C-AE21B3B25DB1}"/>
    <cellStyle name="Normal 8 2 5 5 6" xfId="20067" xr:uid="{A2E34E42-1D07-4FAF-A384-98857763B7D1}"/>
    <cellStyle name="Normal 8 2 5 6" xfId="2641" xr:uid="{00000000-0005-0000-0000-00001C1D0000}"/>
    <cellStyle name="Normal 8 2 5 6 2" xfId="6924" xr:uid="{00000000-0005-0000-0000-00001D1D0000}"/>
    <cellStyle name="Normal 8 2 5 6 2 2" xfId="16250" xr:uid="{DAA7D65B-3B77-481C-B028-875F33DC6C28}"/>
    <cellStyle name="Normal 8 2 5 6 2 2 2" xfId="52592" xr:uid="{0203A303-8000-44D5-AA54-003E19BE5CF8}"/>
    <cellStyle name="Normal 8 2 5 6 2 2 3" xfId="33996" xr:uid="{F2B007EE-6A34-4535-B23B-E6DC69AB9A0C}"/>
    <cellStyle name="Normal 8 2 5 6 2 3" xfId="43295" xr:uid="{4B02DF19-43CB-4580-8FD3-211691FE9AC3}"/>
    <cellStyle name="Normal 8 2 5 6 2 4" xfId="24697" xr:uid="{556518C0-5605-4848-994D-C305237A9735}"/>
    <cellStyle name="Normal 8 2 5 6 3" xfId="12033" xr:uid="{E1DB2631-BE55-461D-9E7F-7A0D6A499004}"/>
    <cellStyle name="Normal 8 2 5 6 3 2" xfId="48375" xr:uid="{A5F8D778-639D-4D6A-AF8B-483692F6CB53}"/>
    <cellStyle name="Normal 8 2 5 6 3 3" xfId="29779" xr:uid="{6EB9957E-B551-460C-8A25-E2F642816F96}"/>
    <cellStyle name="Normal 8 2 5 6 4" xfId="39078" xr:uid="{AE8AC936-1CE5-4B6F-A660-5BE586C596F8}"/>
    <cellStyle name="Normal 8 2 5 6 5" xfId="20480" xr:uid="{28068D81-C508-43B6-8EFF-F22D52854408}"/>
    <cellStyle name="Normal 8 2 5 7" xfId="4859" xr:uid="{00000000-0005-0000-0000-00001E1D0000}"/>
    <cellStyle name="Normal 8 2 5 7 2" xfId="14185" xr:uid="{CECE838D-C5CE-468D-B140-0AFC553BDDF4}"/>
    <cellStyle name="Normal 8 2 5 7 2 2" xfId="50527" xr:uid="{3B438134-7B86-41EB-9A2F-4CFBD83B0CF2}"/>
    <cellStyle name="Normal 8 2 5 7 2 3" xfId="31931" xr:uid="{5BB58007-9759-4883-92E1-2D61A11AF515}"/>
    <cellStyle name="Normal 8 2 5 7 3" xfId="41230" xr:uid="{B0B0973B-335B-4BAD-A18E-4053DAD07851}"/>
    <cellStyle name="Normal 8 2 5 7 4" xfId="22632" xr:uid="{E2A05016-887B-46D6-84D1-BF7EDFE1E78F}"/>
    <cellStyle name="Normal 8 2 5 8" xfId="8970" xr:uid="{7E9ACEFF-1680-45D8-BC32-8CA9BA1D63D4}"/>
    <cellStyle name="Normal 8 2 5 8 2" xfId="36040" xr:uid="{117E3D01-EFA9-4C33-B425-DA13FA17E7B7}"/>
    <cellStyle name="Normal 8 2 5 8 2 2" xfId="54635" xr:uid="{D6081B2C-B122-4E17-97A1-E7E676436CCA}"/>
    <cellStyle name="Normal 8 2 5 8 3" xfId="45338" xr:uid="{8A589B1A-5551-4B52-B60A-D06273BD5E1D}"/>
    <cellStyle name="Normal 8 2 5 8 4" xfId="26741" xr:uid="{2CAB4598-3F2C-49BA-BF1F-E95F9DD7986C}"/>
    <cellStyle name="Normal 8 2 5 9" xfId="9968" xr:uid="{CE829E87-790A-4A14-B42A-AA299D3D563D}"/>
    <cellStyle name="Normal 8 2 5 9 2" xfId="46310" xr:uid="{E01388CE-C4B2-4F7E-AA0C-EF573FEC7015}"/>
    <cellStyle name="Normal 8 2 5 9 3" xfId="27714" xr:uid="{56BFE356-D749-4B73-8EBF-458C13664E93}"/>
    <cellStyle name="Normal 8 2 6" xfId="946" xr:uid="{00000000-0005-0000-0000-00001F1D0000}"/>
    <cellStyle name="Normal 8 2 6 2" xfId="3180" xr:uid="{00000000-0005-0000-0000-0000201D0000}"/>
    <cellStyle name="Normal 8 2 6 2 2" xfId="7402" xr:uid="{00000000-0005-0000-0000-0000211D0000}"/>
    <cellStyle name="Normal 8 2 6 2 2 2" xfId="16728" xr:uid="{FC5C7DC5-2B59-4F6F-9E24-CD90768DF996}"/>
    <cellStyle name="Normal 8 2 6 2 2 2 2" xfId="53070" xr:uid="{7CE16AA5-D739-409E-BA0F-0CC25AD85A23}"/>
    <cellStyle name="Normal 8 2 6 2 2 2 3" xfId="34474" xr:uid="{9CAB7665-DC8A-4C34-9E29-B89744226CED}"/>
    <cellStyle name="Normal 8 2 6 2 2 3" xfId="43773" xr:uid="{AAD13D57-1351-40A1-A138-6B8E891D5E31}"/>
    <cellStyle name="Normal 8 2 6 2 2 4" xfId="25175" xr:uid="{1A32A25F-6D13-4323-946B-FE8DAEF8BD18}"/>
    <cellStyle name="Normal 8 2 6 2 3" xfId="12511" xr:uid="{8C3F1C85-9582-4BC8-9294-0E67509484AA}"/>
    <cellStyle name="Normal 8 2 6 2 3 2" xfId="48853" xr:uid="{A58D2663-53B5-4C3C-9AD7-5961CB8417C0}"/>
    <cellStyle name="Normal 8 2 6 2 3 3" xfId="30257" xr:uid="{0CB0235F-77C9-4EC3-8EB1-FA9054DB52B3}"/>
    <cellStyle name="Normal 8 2 6 2 4" xfId="39556" xr:uid="{A3B8DB82-29CF-4C07-BF8F-AF1B4BFE3BCF}"/>
    <cellStyle name="Normal 8 2 6 2 5" xfId="20958" xr:uid="{70904FEC-7657-44A4-9867-DC879A6CC89D}"/>
    <cellStyle name="Normal 8 2 6 3" xfId="5257" xr:uid="{00000000-0005-0000-0000-0000221D0000}"/>
    <cellStyle name="Normal 8 2 6 3 2" xfId="14583" xr:uid="{247ED3FB-DF80-4F88-8011-1ED5599A5D4E}"/>
    <cellStyle name="Normal 8 2 6 3 2 2" xfId="50925" xr:uid="{FC44CE61-B6E0-492D-9149-0575D3C201C2}"/>
    <cellStyle name="Normal 8 2 6 3 2 3" xfId="32329" xr:uid="{5A21DB68-6250-4CC6-85CE-A8D5825FD4EF}"/>
    <cellStyle name="Normal 8 2 6 3 3" xfId="41628" xr:uid="{F726A421-B48A-4795-B8FE-F1E324150FE9}"/>
    <cellStyle name="Normal 8 2 6 3 4" xfId="23030" xr:uid="{40C080EE-173B-4F99-B10F-5703363D6AD9}"/>
    <cellStyle name="Normal 8 2 6 4" xfId="9173" xr:uid="{C36295B3-E6F0-4A6D-AEE5-72C8177C13EE}"/>
    <cellStyle name="Normal 8 2 6 4 2" xfId="36237" xr:uid="{F4176669-83EF-4B4A-9888-AEE6ED416CDB}"/>
    <cellStyle name="Normal 8 2 6 4 2 2" xfId="54831" xr:uid="{17DA87B0-FC7E-4B96-A871-C495E860C936}"/>
    <cellStyle name="Normal 8 2 6 4 3" xfId="45534" xr:uid="{4896B29B-B433-4284-B917-0ED2E5D35FB0}"/>
    <cellStyle name="Normal 8 2 6 4 4" xfId="26938" xr:uid="{495D7308-A43E-44EF-A1B7-C7EB44DAE00B}"/>
    <cellStyle name="Normal 8 2 6 5" xfId="10366" xr:uid="{9398D069-42DC-4771-BEC1-2E669AB9DA1F}"/>
    <cellStyle name="Normal 8 2 6 5 2" xfId="46708" xr:uid="{BD9A5878-A717-4F98-AFBE-C00D634FF53F}"/>
    <cellStyle name="Normal 8 2 6 5 3" xfId="28112" xr:uid="{F8D871C8-2F3F-4F7F-AFBC-42E58DC8F1A2}"/>
    <cellStyle name="Normal 8 2 6 6" xfId="37411" xr:uid="{FA97ABC8-220F-4634-B5B6-935926DDFD4B}"/>
    <cellStyle name="Normal 8 2 6 7" xfId="18813" xr:uid="{B99A64C7-9367-40A3-AA9D-5717C03F0033}"/>
    <cellStyle name="Normal 8 2 7" xfId="1363" xr:uid="{00000000-0005-0000-0000-0000231D0000}"/>
    <cellStyle name="Normal 8 2 7 2" xfId="3593" xr:uid="{00000000-0005-0000-0000-0000241D0000}"/>
    <cellStyle name="Normal 8 2 7 2 2" xfId="7815" xr:uid="{00000000-0005-0000-0000-0000251D0000}"/>
    <cellStyle name="Normal 8 2 7 2 2 2" xfId="17141" xr:uid="{8CAF8AE4-81D0-46EF-B3A2-5DEFAD462E22}"/>
    <cellStyle name="Normal 8 2 7 2 2 2 2" xfId="53483" xr:uid="{AA12BDB9-88B8-43FD-98FE-DADBDCAD7C59}"/>
    <cellStyle name="Normal 8 2 7 2 2 2 3" xfId="34887" xr:uid="{59AA33FB-11FB-46BF-84C2-2FAC4A78D92C}"/>
    <cellStyle name="Normal 8 2 7 2 2 3" xfId="44186" xr:uid="{A7FB13D2-EC1A-4F11-B332-2E88FF3BDD2F}"/>
    <cellStyle name="Normal 8 2 7 2 2 4" xfId="25588" xr:uid="{E67EA2D6-5D36-44EF-8254-14AA86AB74AF}"/>
    <cellStyle name="Normal 8 2 7 2 3" xfId="12924" xr:uid="{B6E825C3-C01A-4FB5-8A5F-B9BD0E6BF4D8}"/>
    <cellStyle name="Normal 8 2 7 2 3 2" xfId="49266" xr:uid="{13DA6D18-DBC4-46D9-AA81-29905ECD2E3C}"/>
    <cellStyle name="Normal 8 2 7 2 3 3" xfId="30670" xr:uid="{EBC92571-10E5-4CD1-8644-072FB6043522}"/>
    <cellStyle name="Normal 8 2 7 2 4" xfId="39969" xr:uid="{DBBD4D67-CAB8-4EEE-A8DF-CAA72E938FF5}"/>
    <cellStyle name="Normal 8 2 7 2 5" xfId="21371" xr:uid="{066439F0-22A9-459F-AC85-3FF1B5F26B40}"/>
    <cellStyle name="Normal 8 2 7 3" xfId="5670" xr:uid="{00000000-0005-0000-0000-0000261D0000}"/>
    <cellStyle name="Normal 8 2 7 3 2" xfId="14996" xr:uid="{D29F3240-2E65-417B-B26B-5549E4DC9E43}"/>
    <cellStyle name="Normal 8 2 7 3 2 2" xfId="51338" xr:uid="{CB11773A-E143-459B-B187-530B096F8396}"/>
    <cellStyle name="Normal 8 2 7 3 2 3" xfId="32742" xr:uid="{9914E39D-2126-45C1-B696-AB04C9EB0C67}"/>
    <cellStyle name="Normal 8 2 7 3 3" xfId="42041" xr:uid="{75CE9EC8-CA64-4ED2-9A43-0993A7855C66}"/>
    <cellStyle name="Normal 8 2 7 3 4" xfId="23443" xr:uid="{06EB5123-FDDB-4B92-894F-8591DCF0827C}"/>
    <cellStyle name="Normal 8 2 7 4" xfId="10779" xr:uid="{413D3D3B-40A4-41A0-A27C-B1723FFDB2DF}"/>
    <cellStyle name="Normal 8 2 7 4 2" xfId="47121" xr:uid="{6857EC5E-DE9A-4703-B7A2-6F1C56CD6B27}"/>
    <cellStyle name="Normal 8 2 7 4 3" xfId="28525" xr:uid="{B1D6AD95-A7A7-49EB-A8EE-85330BDCEF37}"/>
    <cellStyle name="Normal 8 2 7 5" xfId="37824" xr:uid="{56CA9BD8-F968-4D1F-B825-3B9126A45E82}"/>
    <cellStyle name="Normal 8 2 7 6" xfId="19226" xr:uid="{5787D8B4-7A71-4F8B-BF44-B1E8AEF7BD07}"/>
    <cellStyle name="Normal 8 2 8" xfId="1776" xr:uid="{00000000-0005-0000-0000-0000271D0000}"/>
    <cellStyle name="Normal 8 2 8 2" xfId="4006" xr:uid="{00000000-0005-0000-0000-0000281D0000}"/>
    <cellStyle name="Normal 8 2 8 2 2" xfId="8228" xr:uid="{00000000-0005-0000-0000-0000291D0000}"/>
    <cellStyle name="Normal 8 2 8 2 2 2" xfId="17554" xr:uid="{3B5096D9-726C-4A36-8D71-05034D9E8652}"/>
    <cellStyle name="Normal 8 2 8 2 2 2 2" xfId="53896" xr:uid="{BA366644-D42F-4B08-A2BB-F860E5647204}"/>
    <cellStyle name="Normal 8 2 8 2 2 2 3" xfId="35300" xr:uid="{10CB98A5-67D3-4A46-A178-3BD730078486}"/>
    <cellStyle name="Normal 8 2 8 2 2 3" xfId="44599" xr:uid="{CBCB64A8-E97B-4338-B5FA-ED9F811017ED}"/>
    <cellStyle name="Normal 8 2 8 2 2 4" xfId="26001" xr:uid="{5F786CED-2D6E-44FE-BEA1-D55F6204DFD5}"/>
    <cellStyle name="Normal 8 2 8 2 3" xfId="13337" xr:uid="{9F46D10F-7C92-407E-9EFA-903D7204D530}"/>
    <cellStyle name="Normal 8 2 8 2 3 2" xfId="49679" xr:uid="{FE423A62-0DB3-4FF7-B3B5-7009A6D0E6C4}"/>
    <cellStyle name="Normal 8 2 8 2 3 3" xfId="31083" xr:uid="{8D2309CD-44B0-47A5-B2E5-5398D6685945}"/>
    <cellStyle name="Normal 8 2 8 2 4" xfId="40382" xr:uid="{CA31AD09-FB57-4493-9562-1CACEC62B4DE}"/>
    <cellStyle name="Normal 8 2 8 2 5" xfId="21784" xr:uid="{00E0A2BD-EC1D-4753-9349-4B2EDBF40DEA}"/>
    <cellStyle name="Normal 8 2 8 3" xfId="6083" xr:uid="{00000000-0005-0000-0000-00002A1D0000}"/>
    <cellStyle name="Normal 8 2 8 3 2" xfId="15409" xr:uid="{80ECA1C6-A18E-4FD9-AE15-D2F08C7747FE}"/>
    <cellStyle name="Normal 8 2 8 3 2 2" xfId="51751" xr:uid="{4B991C36-5545-4833-8033-00FD02C1B1CA}"/>
    <cellStyle name="Normal 8 2 8 3 2 3" xfId="33155" xr:uid="{9CB8A247-7485-42AC-BA13-C51230208B7F}"/>
    <cellStyle name="Normal 8 2 8 3 3" xfId="42454" xr:uid="{9CAF11E5-1349-40D7-ADE4-AD1DECBD5F71}"/>
    <cellStyle name="Normal 8 2 8 3 4" xfId="23856" xr:uid="{9D2631D6-826B-437F-B4BD-88A8D1648857}"/>
    <cellStyle name="Normal 8 2 8 4" xfId="11192" xr:uid="{60B0F93A-F1B9-4FDB-ABAA-5E9D8D487DDA}"/>
    <cellStyle name="Normal 8 2 8 4 2" xfId="47534" xr:uid="{904F5B38-F98A-4120-8000-526B42512E4C}"/>
    <cellStyle name="Normal 8 2 8 4 3" xfId="28938" xr:uid="{794EF39C-D63A-4753-ACC0-0A6BBA550630}"/>
    <cellStyle name="Normal 8 2 8 5" xfId="38237" xr:uid="{AEB18423-507A-4421-8A30-2C90D8502D11}"/>
    <cellStyle name="Normal 8 2 8 6" xfId="19639" xr:uid="{30E05AA4-B37F-460D-8A30-4F60953AD96E}"/>
    <cellStyle name="Normal 8 2 9" xfId="2190" xr:uid="{00000000-0005-0000-0000-00002B1D0000}"/>
    <cellStyle name="Normal 8 2 9 2" xfId="4419" xr:uid="{00000000-0005-0000-0000-00002C1D0000}"/>
    <cellStyle name="Normal 8 2 9 2 2" xfId="8641" xr:uid="{00000000-0005-0000-0000-00002D1D0000}"/>
    <cellStyle name="Normal 8 2 9 2 2 2" xfId="17967" xr:uid="{D70C829C-0B2D-430E-AA3A-D9289EA601D8}"/>
    <cellStyle name="Normal 8 2 9 2 2 2 2" xfId="54309" xr:uid="{8CBCFD1F-C619-43F0-828A-F9410F62DF87}"/>
    <cellStyle name="Normal 8 2 9 2 2 2 3" xfId="35713" xr:uid="{E19BA978-2087-468E-B975-015D61641A84}"/>
    <cellStyle name="Normal 8 2 9 2 2 3" xfId="45012" xr:uid="{E048C8E6-93C5-4930-A957-003997AEB033}"/>
    <cellStyle name="Normal 8 2 9 2 2 4" xfId="26414" xr:uid="{BAF55737-7DA6-4DA9-BC81-E50ABC9ACE18}"/>
    <cellStyle name="Normal 8 2 9 2 3" xfId="13750" xr:uid="{0B60311A-2C2E-4FB8-BB8E-7C24FE38AA70}"/>
    <cellStyle name="Normal 8 2 9 2 3 2" xfId="50092" xr:uid="{C96262E9-91F6-47F7-AEF5-58144C76A453}"/>
    <cellStyle name="Normal 8 2 9 2 3 3" xfId="31496" xr:uid="{196C8881-6D1D-4F4F-9D46-4092F25E51AA}"/>
    <cellStyle name="Normal 8 2 9 2 4" xfId="40795" xr:uid="{FF746509-7475-4688-98D2-B0F5402E431E}"/>
    <cellStyle name="Normal 8 2 9 2 5" xfId="22197" xr:uid="{BD33B33B-EA29-4931-A02D-7FA6F684B9F4}"/>
    <cellStyle name="Normal 8 2 9 3" xfId="6496" xr:uid="{00000000-0005-0000-0000-00002E1D0000}"/>
    <cellStyle name="Normal 8 2 9 3 2" xfId="15822" xr:uid="{96293F49-5EDB-4C43-8089-DB55078CE88D}"/>
    <cellStyle name="Normal 8 2 9 3 2 2" xfId="52164" xr:uid="{1DD16EF6-B307-4098-872E-6142F45FF51C}"/>
    <cellStyle name="Normal 8 2 9 3 2 3" xfId="33568" xr:uid="{E9C97C12-EC3B-41FB-9245-FC07B8231D99}"/>
    <cellStyle name="Normal 8 2 9 3 3" xfId="42867" xr:uid="{8FCD1C07-7D8B-4FC5-9A39-E792CEBB466B}"/>
    <cellStyle name="Normal 8 2 9 3 4" xfId="24269" xr:uid="{AB78CF3F-A40E-47D4-81F9-23BD2EE3BC1A}"/>
    <cellStyle name="Normal 8 2 9 4" xfId="11605" xr:uid="{3D39D368-8546-4F8B-86A2-784F14CCB075}"/>
    <cellStyle name="Normal 8 2 9 4 2" xfId="47947" xr:uid="{5345FA49-15A7-49A1-9FC8-27590C6B28F7}"/>
    <cellStyle name="Normal 8 2 9 4 3" xfId="29351" xr:uid="{39A9319F-B147-4C99-9DFB-AD3417C4C633}"/>
    <cellStyle name="Normal 8 2 9 5" xfId="38650" xr:uid="{B2D6CFB5-B4A6-4AAF-A279-5C058BF35C09}"/>
    <cellStyle name="Normal 8 2 9 6" xfId="20052" xr:uid="{7686854F-6856-49DD-A707-258E700DBCE9}"/>
    <cellStyle name="Normal 8 3" xfId="495" xr:uid="{00000000-0005-0000-0000-00002F1D0000}"/>
    <cellStyle name="Normal 8 3 10" xfId="4860" xr:uid="{00000000-0005-0000-0000-0000301D0000}"/>
    <cellStyle name="Normal 8 3 10 2" xfId="14186" xr:uid="{5A5F7F36-2B2C-48D3-94B5-1A7B21612331}"/>
    <cellStyle name="Normal 8 3 10 2 2" xfId="50528" xr:uid="{7E68B0F1-5F0E-4281-8C98-67FADB118FD8}"/>
    <cellStyle name="Normal 8 3 10 2 3" xfId="31932" xr:uid="{86C6C9FF-390C-41D6-92FC-F0020F4E82F1}"/>
    <cellStyle name="Normal 8 3 10 3" xfId="41231" xr:uid="{94B82776-5F67-4AEA-A552-2721ACE39B8A}"/>
    <cellStyle name="Normal 8 3 10 4" xfId="22633" xr:uid="{B4192FC2-62C1-45C0-A90A-0C18E96AEB58}"/>
    <cellStyle name="Normal 8 3 11" xfId="8774" xr:uid="{81BDDADD-940D-4F3A-BD6C-7E4719C8A3D2}"/>
    <cellStyle name="Normal 8 3 11 2" xfId="35844" xr:uid="{161494EE-4745-43AD-B250-A8C53DDAD11D}"/>
    <cellStyle name="Normal 8 3 11 2 2" xfId="54439" xr:uid="{F070C200-A8FA-4CE2-8BCF-E32BE010E274}"/>
    <cellStyle name="Normal 8 3 11 3" xfId="45142" xr:uid="{0F704DC0-DD0D-43BB-9A3E-9BE918AE8172}"/>
    <cellStyle name="Normal 8 3 11 4" xfId="26545" xr:uid="{C0254059-782F-4A60-9B40-361FCBE3B107}"/>
    <cellStyle name="Normal 8 3 12" xfId="9969" xr:uid="{4C838951-C6EF-4301-A025-4919683C08E1}"/>
    <cellStyle name="Normal 8 3 12 2" xfId="46311" xr:uid="{CF132901-57EA-4767-8B99-CC2C209C0DB5}"/>
    <cellStyle name="Normal 8 3 12 3" xfId="27715" xr:uid="{7ACF5B70-2116-4954-8FDD-1003D62BF1B3}"/>
    <cellStyle name="Normal 8 3 13" xfId="37014" xr:uid="{2BF3DDD1-71B8-4D2C-82E2-1DB035AC63C6}"/>
    <cellStyle name="Normal 8 3 14" xfId="18416" xr:uid="{A41FE53E-CAF1-4621-8F74-2CDD0DBF842B}"/>
    <cellStyle name="Normal 8 3 2" xfId="496" xr:uid="{00000000-0005-0000-0000-0000311D0000}"/>
    <cellStyle name="Normal 8 3 2 10" xfId="8837" xr:uid="{392842AA-84B1-4A71-AE94-A1B631487B7E}"/>
    <cellStyle name="Normal 8 3 2 10 2" xfId="35907" xr:uid="{C028DE14-72A3-45D2-A640-FD031CD688CA}"/>
    <cellStyle name="Normal 8 3 2 10 2 2" xfId="54502" xr:uid="{3BF88AC4-F57A-43E0-9831-F2328185AD87}"/>
    <cellStyle name="Normal 8 3 2 10 3" xfId="45205" xr:uid="{E75F566C-BF85-438E-9DA0-F2A1CEB25509}"/>
    <cellStyle name="Normal 8 3 2 10 4" xfId="26608" xr:uid="{696BF36E-4D15-4D3F-AEB1-523446319F20}"/>
    <cellStyle name="Normal 8 3 2 11" xfId="9970" xr:uid="{524B43D1-351E-429C-9B61-03F0068BEA9A}"/>
    <cellStyle name="Normal 8 3 2 11 2" xfId="46312" xr:uid="{508124A7-BA37-43AF-AA9C-4CD596917EC4}"/>
    <cellStyle name="Normal 8 3 2 11 3" xfId="27716" xr:uid="{B2E8D757-CE62-407F-896B-3CF012E384FD}"/>
    <cellStyle name="Normal 8 3 2 12" xfId="37015" xr:uid="{8599E112-151D-4316-BDC2-11D9D277B1FE}"/>
    <cellStyle name="Normal 8 3 2 13" xfId="18417" xr:uid="{09C1FF01-FBD6-4BE3-8810-526A27DD65D4}"/>
    <cellStyle name="Normal 8 3 2 2" xfId="497" xr:uid="{00000000-0005-0000-0000-0000321D0000}"/>
    <cellStyle name="Normal 8 3 2 2 10" xfId="9971" xr:uid="{AACEA269-4239-46C1-85C9-75A08C6316A8}"/>
    <cellStyle name="Normal 8 3 2 2 10 2" xfId="46313" xr:uid="{0FBCACE0-3123-4923-836D-D076F5FC8715}"/>
    <cellStyle name="Normal 8 3 2 2 10 3" xfId="27717" xr:uid="{138EA47B-021A-4137-8C00-D93F9D22ADB8}"/>
    <cellStyle name="Normal 8 3 2 2 11" xfId="37016" xr:uid="{4C172ADB-B3FB-4109-ACCA-1A75D7D9D9EE}"/>
    <cellStyle name="Normal 8 3 2 2 12" xfId="18418" xr:uid="{2B8C1DAC-3005-4D85-9CC6-2AF8B98A89D4}"/>
    <cellStyle name="Normal 8 3 2 2 2" xfId="498" xr:uid="{00000000-0005-0000-0000-0000331D0000}"/>
    <cellStyle name="Normal 8 3 2 2 2 10" xfId="37017" xr:uid="{ADB16E3B-4B0F-4458-AEDE-829A2244054F}"/>
    <cellStyle name="Normal 8 3 2 2 2 11" xfId="18419" xr:uid="{BEBF775F-6FC8-4410-8298-42CE1BDB97E5}"/>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16747" xr:uid="{28C8DE20-F1E9-4583-8C8F-E86A64D33ED9}"/>
    <cellStyle name="Normal 8 3 2 2 2 2 2 2 2 2" xfId="53089" xr:uid="{AAFCB1F5-4883-468A-AD5B-50B9C7ECE7C9}"/>
    <cellStyle name="Normal 8 3 2 2 2 2 2 2 2 3" xfId="34493" xr:uid="{FA59E869-F5DC-4964-9B82-C8AA94A7B3B6}"/>
    <cellStyle name="Normal 8 3 2 2 2 2 2 2 3" xfId="43792" xr:uid="{B2BD834E-E629-4A1D-804C-0423E70DEE2E}"/>
    <cellStyle name="Normal 8 3 2 2 2 2 2 2 4" xfId="25194" xr:uid="{283EEFB0-9E50-48F2-9A0B-01F6850F71EF}"/>
    <cellStyle name="Normal 8 3 2 2 2 2 2 3" xfId="12530" xr:uid="{E099CD82-6549-4162-B07C-707491C180F1}"/>
    <cellStyle name="Normal 8 3 2 2 2 2 2 3 2" xfId="48872" xr:uid="{7473F4CE-8E83-46E0-94A7-90250AA24FBE}"/>
    <cellStyle name="Normal 8 3 2 2 2 2 2 3 3" xfId="30276" xr:uid="{201A499B-AD47-4B3C-AFC8-66C588004DCF}"/>
    <cellStyle name="Normal 8 3 2 2 2 2 2 4" xfId="39575" xr:uid="{03FE669F-4573-46D6-929E-33B74AA574F4}"/>
    <cellStyle name="Normal 8 3 2 2 2 2 2 5" xfId="20977" xr:uid="{A8E4492F-D821-405A-8475-C3DF99FF0FB2}"/>
    <cellStyle name="Normal 8 3 2 2 2 2 3" xfId="5276" xr:uid="{00000000-0005-0000-0000-0000371D0000}"/>
    <cellStyle name="Normal 8 3 2 2 2 2 3 2" xfId="14602" xr:uid="{744B426E-467D-44E0-8502-402863D7162C}"/>
    <cellStyle name="Normal 8 3 2 2 2 2 3 2 2" xfId="50944" xr:uid="{B7804374-E17B-455C-8923-F6B824CDD33A}"/>
    <cellStyle name="Normal 8 3 2 2 2 2 3 2 3" xfId="32348" xr:uid="{4FE5425C-6DF2-4671-AE4F-3D32679745CC}"/>
    <cellStyle name="Normal 8 3 2 2 2 2 3 3" xfId="41647" xr:uid="{A62D0E15-A678-4551-AB1C-B748C960DBBE}"/>
    <cellStyle name="Normal 8 3 2 2 2 2 3 4" xfId="23049" xr:uid="{63450F15-7893-4685-986B-27E135283B4C}"/>
    <cellStyle name="Normal 8 3 2 2 2 2 4" xfId="9572" xr:uid="{83269435-2305-4677-BD8B-8CB801DC108A}"/>
    <cellStyle name="Normal 8 3 2 2 2 2 4 2" xfId="36633" xr:uid="{10F51C5B-D5FC-4EDF-89B6-FB1A1A2A086C}"/>
    <cellStyle name="Normal 8 3 2 2 2 2 4 2 2" xfId="55227" xr:uid="{61CEBBE2-86D5-4228-B180-F0098753916A}"/>
    <cellStyle name="Normal 8 3 2 2 2 2 4 3" xfId="45930" xr:uid="{0A3B268F-0A4C-4813-977A-786325636D5D}"/>
    <cellStyle name="Normal 8 3 2 2 2 2 4 4" xfId="27334" xr:uid="{FE245D98-64B4-414F-97F1-34AA86DBE87D}"/>
    <cellStyle name="Normal 8 3 2 2 2 2 5" xfId="10385" xr:uid="{39ACD5C0-55FE-449F-BE4E-C4D1A6387776}"/>
    <cellStyle name="Normal 8 3 2 2 2 2 5 2" xfId="46727" xr:uid="{6DE23D0F-EAA5-4807-A2E2-71E54BAFBF15}"/>
    <cellStyle name="Normal 8 3 2 2 2 2 5 3" xfId="28131" xr:uid="{9844026A-AAA8-4057-B3D3-93094C042915}"/>
    <cellStyle name="Normal 8 3 2 2 2 2 6" xfId="37430" xr:uid="{A23E2697-D9B7-46F9-BA43-189AE0A8917C}"/>
    <cellStyle name="Normal 8 3 2 2 2 2 7" xfId="18832" xr:uid="{C5BC3BD9-F365-4BF7-A8E8-0300AEB8538F}"/>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17160" xr:uid="{97B50D33-6E0E-4FCC-AE9E-D9B2F66E5A06}"/>
    <cellStyle name="Normal 8 3 2 2 2 3 2 2 2 2" xfId="53502" xr:uid="{6EECD371-7A70-493B-8EB9-122D3D6D4468}"/>
    <cellStyle name="Normal 8 3 2 2 2 3 2 2 2 3" xfId="34906" xr:uid="{B97372C6-6131-4D77-84AA-79635FB31FFA}"/>
    <cellStyle name="Normal 8 3 2 2 2 3 2 2 3" xfId="44205" xr:uid="{D0606F60-D51C-4479-B740-2390D3145D44}"/>
    <cellStyle name="Normal 8 3 2 2 2 3 2 2 4" xfId="25607" xr:uid="{55968A46-70A0-45EA-9320-0748334CB02D}"/>
    <cellStyle name="Normal 8 3 2 2 2 3 2 3" xfId="12943" xr:uid="{DD8DC659-2E12-44B5-8007-F97BA58C82FE}"/>
    <cellStyle name="Normal 8 3 2 2 2 3 2 3 2" xfId="49285" xr:uid="{744670C3-565A-4AA3-B597-B19E53396C04}"/>
    <cellStyle name="Normal 8 3 2 2 2 3 2 3 3" xfId="30689" xr:uid="{CF507515-2F13-4DF3-8398-93BB052A3D2A}"/>
    <cellStyle name="Normal 8 3 2 2 2 3 2 4" xfId="39988" xr:uid="{6B0C2ECC-F6E5-4EFC-BDD9-B1DA2FFFF73A}"/>
    <cellStyle name="Normal 8 3 2 2 2 3 2 5" xfId="21390" xr:uid="{57D868E1-41C3-4FAD-A643-0ED671D6DBDC}"/>
    <cellStyle name="Normal 8 3 2 2 2 3 3" xfId="5689" xr:uid="{00000000-0005-0000-0000-00003B1D0000}"/>
    <cellStyle name="Normal 8 3 2 2 2 3 3 2" xfId="15015" xr:uid="{A1682F08-EC6F-4F0B-A5FD-D118030CB274}"/>
    <cellStyle name="Normal 8 3 2 2 2 3 3 2 2" xfId="51357" xr:uid="{3232CEC8-6D92-4B41-9730-864F89C3C6F2}"/>
    <cellStyle name="Normal 8 3 2 2 2 3 3 2 3" xfId="32761" xr:uid="{86E413EA-11E6-4EF5-9D09-C1E596DD76E1}"/>
    <cellStyle name="Normal 8 3 2 2 2 3 3 3" xfId="42060" xr:uid="{6B0C8EFF-B78B-4A72-A232-441EFA97349D}"/>
    <cellStyle name="Normal 8 3 2 2 2 3 3 4" xfId="23462" xr:uid="{637E5A3C-CC50-4D91-81E8-8FF91D281556}"/>
    <cellStyle name="Normal 8 3 2 2 2 3 4" xfId="10798" xr:uid="{8295F1F3-B097-461E-A75E-770FE778C654}"/>
    <cellStyle name="Normal 8 3 2 2 2 3 4 2" xfId="47140" xr:uid="{AE5736F0-2B4D-46F8-A872-4CB1DB048740}"/>
    <cellStyle name="Normal 8 3 2 2 2 3 4 3" xfId="28544" xr:uid="{7F59DD9F-5F9C-4996-92EE-A7AC372A15F3}"/>
    <cellStyle name="Normal 8 3 2 2 2 3 5" xfId="37843" xr:uid="{89E389EC-B088-4E93-AF49-941AAD7028F0}"/>
    <cellStyle name="Normal 8 3 2 2 2 3 6" xfId="19245" xr:uid="{4784FA73-DE2D-4E25-A28C-F8766D4170DE}"/>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17573" xr:uid="{CBBCCD45-6B81-4420-96E5-45CE9F46CFD1}"/>
    <cellStyle name="Normal 8 3 2 2 2 4 2 2 2 2" xfId="53915" xr:uid="{F0F806F0-0D67-4601-BE4B-0080DF475FF7}"/>
    <cellStyle name="Normal 8 3 2 2 2 4 2 2 2 3" xfId="35319" xr:uid="{13F3400B-25D6-41BF-90F8-9EB6BDEDCE95}"/>
    <cellStyle name="Normal 8 3 2 2 2 4 2 2 3" xfId="44618" xr:uid="{6CA38E83-882C-4603-9902-94E55452A3C9}"/>
    <cellStyle name="Normal 8 3 2 2 2 4 2 2 4" xfId="26020" xr:uid="{A5F36ED3-3F0A-4FC4-BF28-8A4B6F0A1EF1}"/>
    <cellStyle name="Normal 8 3 2 2 2 4 2 3" xfId="13356" xr:uid="{CFBBE1D0-458F-4B67-AFF2-42BEFA7B7CBE}"/>
    <cellStyle name="Normal 8 3 2 2 2 4 2 3 2" xfId="49698" xr:uid="{A6E63B16-D0DD-4473-A0B8-1144227C97B6}"/>
    <cellStyle name="Normal 8 3 2 2 2 4 2 3 3" xfId="31102" xr:uid="{1BA3E10F-454B-4E2E-A302-81258095EF27}"/>
    <cellStyle name="Normal 8 3 2 2 2 4 2 4" xfId="40401" xr:uid="{53EB5F87-CE51-4581-ABFC-76C55D3C3C24}"/>
    <cellStyle name="Normal 8 3 2 2 2 4 2 5" xfId="21803" xr:uid="{34C67CB0-769E-4CE5-A1B5-3E92E55FB263}"/>
    <cellStyle name="Normal 8 3 2 2 2 4 3" xfId="6102" xr:uid="{00000000-0005-0000-0000-00003F1D0000}"/>
    <cellStyle name="Normal 8 3 2 2 2 4 3 2" xfId="15428" xr:uid="{12C0E462-64C9-4997-933E-0017B158B7A3}"/>
    <cellStyle name="Normal 8 3 2 2 2 4 3 2 2" xfId="51770" xr:uid="{96EC5584-E028-45D6-BC16-9783FBFA813F}"/>
    <cellStyle name="Normal 8 3 2 2 2 4 3 2 3" xfId="33174" xr:uid="{4FFF8BD6-9F58-4B4A-8475-83661A36FD59}"/>
    <cellStyle name="Normal 8 3 2 2 2 4 3 3" xfId="42473" xr:uid="{C005DAEF-51DE-48BE-9CAE-5E0EA0959999}"/>
    <cellStyle name="Normal 8 3 2 2 2 4 3 4" xfId="23875" xr:uid="{460D66E3-16DF-455F-912C-031E2C590ACB}"/>
    <cellStyle name="Normal 8 3 2 2 2 4 4" xfId="11211" xr:uid="{D21500A3-13ED-452A-B065-194E040F1588}"/>
    <cellStyle name="Normal 8 3 2 2 2 4 4 2" xfId="47553" xr:uid="{BA4456CC-32D6-4305-AE3D-F41D59370381}"/>
    <cellStyle name="Normal 8 3 2 2 2 4 4 3" xfId="28957" xr:uid="{2C9D1F9F-6211-4321-B4E6-864FAAE8DE5A}"/>
    <cellStyle name="Normal 8 3 2 2 2 4 5" xfId="38256" xr:uid="{98716E21-B49A-4DA4-9C3A-68CEE2B1F3D7}"/>
    <cellStyle name="Normal 8 3 2 2 2 4 6" xfId="19658" xr:uid="{CFFD5C45-51CC-4860-8545-3A6F062AA506}"/>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17986" xr:uid="{0A2F9C1D-555D-40B5-BF13-FC60DBFDC158}"/>
    <cellStyle name="Normal 8 3 2 2 2 5 2 2 2 2" xfId="54328" xr:uid="{AA16B98B-1565-4950-BE48-E15148B92567}"/>
    <cellStyle name="Normal 8 3 2 2 2 5 2 2 2 3" xfId="35732" xr:uid="{B25292C9-2497-465E-8736-51BFFB06617B}"/>
    <cellStyle name="Normal 8 3 2 2 2 5 2 2 3" xfId="45031" xr:uid="{E08032BB-41C2-4383-AD3C-49296880B8AD}"/>
    <cellStyle name="Normal 8 3 2 2 2 5 2 2 4" xfId="26433" xr:uid="{4EF9DC39-ED24-47F5-9BC9-7DBC61B362F7}"/>
    <cellStyle name="Normal 8 3 2 2 2 5 2 3" xfId="13769" xr:uid="{3523428D-4BC7-4A3A-BC0C-7FB5C4098087}"/>
    <cellStyle name="Normal 8 3 2 2 2 5 2 3 2" xfId="50111" xr:uid="{CB9647C1-4E61-4CF5-8FE9-CCF153D53342}"/>
    <cellStyle name="Normal 8 3 2 2 2 5 2 3 3" xfId="31515" xr:uid="{300007C1-4026-44B8-9C8E-C0BA05A669E8}"/>
    <cellStyle name="Normal 8 3 2 2 2 5 2 4" xfId="40814" xr:uid="{22B53DD7-232C-418B-B5B2-20E02AE992E4}"/>
    <cellStyle name="Normal 8 3 2 2 2 5 2 5" xfId="22216" xr:uid="{F27C2DB5-B641-40D7-B87D-353A0FD06E1F}"/>
    <cellStyle name="Normal 8 3 2 2 2 5 3" xfId="6515" xr:uid="{00000000-0005-0000-0000-0000431D0000}"/>
    <cellStyle name="Normal 8 3 2 2 2 5 3 2" xfId="15841" xr:uid="{8FD21980-8DF7-4506-9C2C-82CB875172D1}"/>
    <cellStyle name="Normal 8 3 2 2 2 5 3 2 2" xfId="52183" xr:uid="{C88B6D5D-1EAA-4303-B459-86708AD2F766}"/>
    <cellStyle name="Normal 8 3 2 2 2 5 3 2 3" xfId="33587" xr:uid="{C8DBB1C2-4007-4BFD-9728-0400D3B77895}"/>
    <cellStyle name="Normal 8 3 2 2 2 5 3 3" xfId="42886" xr:uid="{F42996FC-CFD6-4787-BC14-D4B8497A3B52}"/>
    <cellStyle name="Normal 8 3 2 2 2 5 3 4" xfId="24288" xr:uid="{A7535243-4E2C-4861-BC7D-5A3C1DDB95B0}"/>
    <cellStyle name="Normal 8 3 2 2 2 5 4" xfId="11624" xr:uid="{ABC97FF1-414F-4385-AD60-2093BAAA7C6B}"/>
    <cellStyle name="Normal 8 3 2 2 2 5 4 2" xfId="47966" xr:uid="{6BA16524-E906-4DB5-BE93-D534BC50A9D9}"/>
    <cellStyle name="Normal 8 3 2 2 2 5 4 3" xfId="29370" xr:uid="{0931D408-6980-4152-B4C1-A89E2A5794B9}"/>
    <cellStyle name="Normal 8 3 2 2 2 5 5" xfId="38669" xr:uid="{B64472A7-EB77-4E33-A664-6850B55FC6FC}"/>
    <cellStyle name="Normal 8 3 2 2 2 5 6" xfId="20071" xr:uid="{992DF6DF-D638-4DF7-BD79-7DE6D443F96C}"/>
    <cellStyle name="Normal 8 3 2 2 2 6" xfId="2645" xr:uid="{00000000-0005-0000-0000-0000441D0000}"/>
    <cellStyle name="Normal 8 3 2 2 2 6 2" xfId="6928" xr:uid="{00000000-0005-0000-0000-0000451D0000}"/>
    <cellStyle name="Normal 8 3 2 2 2 6 2 2" xfId="16254" xr:uid="{7F8EB940-9403-4436-8496-970773E828FD}"/>
    <cellStyle name="Normal 8 3 2 2 2 6 2 2 2" xfId="52596" xr:uid="{4C953D33-843E-40AE-9B99-78A1236DB819}"/>
    <cellStyle name="Normal 8 3 2 2 2 6 2 2 3" xfId="34000" xr:uid="{8C3BFF99-EE62-4867-BE24-BAAF9A661E83}"/>
    <cellStyle name="Normal 8 3 2 2 2 6 2 3" xfId="43299" xr:uid="{AB7A6C24-9B28-4A03-8F41-E2BB69A5C895}"/>
    <cellStyle name="Normal 8 3 2 2 2 6 2 4" xfId="24701" xr:uid="{2DAE61CA-0F14-47A0-9FBE-DDD3E9A5B0B9}"/>
    <cellStyle name="Normal 8 3 2 2 2 6 3" xfId="12037" xr:uid="{C69F764E-AFF3-4B2F-B9C6-7F9B7CEC817D}"/>
    <cellStyle name="Normal 8 3 2 2 2 6 3 2" xfId="48379" xr:uid="{C402383D-5C83-44A2-AA3E-72C6F8820D3C}"/>
    <cellStyle name="Normal 8 3 2 2 2 6 3 3" xfId="29783" xr:uid="{72F4E1F2-7653-43A3-A196-3D2CCBBD6551}"/>
    <cellStyle name="Normal 8 3 2 2 2 6 4" xfId="39082" xr:uid="{AA14A984-16FA-45E3-AA6C-DB892FC6AAD5}"/>
    <cellStyle name="Normal 8 3 2 2 2 6 5" xfId="20484" xr:uid="{55E7FB50-6E5A-4334-8506-A42FC56A67BF}"/>
    <cellStyle name="Normal 8 3 2 2 2 7" xfId="4863" xr:uid="{00000000-0005-0000-0000-0000461D0000}"/>
    <cellStyle name="Normal 8 3 2 2 2 7 2" xfId="14189" xr:uid="{BBA519C4-B52C-4ED0-B57A-6E1D6B60D006}"/>
    <cellStyle name="Normal 8 3 2 2 2 7 2 2" xfId="50531" xr:uid="{933369F7-04A4-4CFC-8FD1-3C5259A0FAB2}"/>
    <cellStyle name="Normal 8 3 2 2 2 7 2 3" xfId="31935" xr:uid="{2DA73E2C-6883-43EC-8B0C-75E741B0C301}"/>
    <cellStyle name="Normal 8 3 2 2 2 7 3" xfId="41234" xr:uid="{290A3E09-F052-4AFB-9AA4-2A6102F0F5D1}"/>
    <cellStyle name="Normal 8 3 2 2 2 7 4" xfId="22636" xr:uid="{3A6425FE-1301-4BFC-A7FD-A00C616D42B1}"/>
    <cellStyle name="Normal 8 3 2 2 2 8" xfId="9147" xr:uid="{16780743-13F5-44BF-919B-157B86988913}"/>
    <cellStyle name="Normal 8 3 2 2 2 8 2" xfId="36217" xr:uid="{D31B0F56-66BD-4FF8-BC1E-B2E18C30B90A}"/>
    <cellStyle name="Normal 8 3 2 2 2 8 2 2" xfId="54812" xr:uid="{A5FACC3A-137B-40D6-8953-76C19D61537C}"/>
    <cellStyle name="Normal 8 3 2 2 2 8 3" xfId="45515" xr:uid="{26CBD7B4-C9CA-4EE6-A179-EFE3C17856E9}"/>
    <cellStyle name="Normal 8 3 2 2 2 8 4" xfId="26918" xr:uid="{AFE7C860-ADC2-4D8D-86F2-3F5F4CDE5B0F}"/>
    <cellStyle name="Normal 8 3 2 2 2 9" xfId="9972" xr:uid="{6B8AEE24-18C8-4349-B97E-02DD911A1821}"/>
    <cellStyle name="Normal 8 3 2 2 2 9 2" xfId="46314" xr:uid="{575C117F-BB69-4EF8-BC5A-FF882EF88B79}"/>
    <cellStyle name="Normal 8 3 2 2 2 9 3" xfId="27718" xr:uid="{2E0A0E7F-14BC-47F1-9EC3-963873321639}"/>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16746" xr:uid="{7AE20287-8939-4B23-9BE0-FBECE14E18F2}"/>
    <cellStyle name="Normal 8 3 2 2 3 2 2 2 2" xfId="53088" xr:uid="{8D41A456-9BF0-462A-9646-0F48D1E01BC6}"/>
    <cellStyle name="Normal 8 3 2 2 3 2 2 2 3" xfId="34492" xr:uid="{9488D29F-711E-4592-9AEF-4FF1A5C65630}"/>
    <cellStyle name="Normal 8 3 2 2 3 2 2 3" xfId="43791" xr:uid="{E6EEC8E7-65D4-4E99-9E62-5BEC7F480E2F}"/>
    <cellStyle name="Normal 8 3 2 2 3 2 2 4" xfId="25193" xr:uid="{99E81F2E-7D1E-4A97-BEAD-F2C192C2571E}"/>
    <cellStyle name="Normal 8 3 2 2 3 2 3" xfId="12529" xr:uid="{56EDD53A-79FC-433A-9E79-6D192EB0F9F3}"/>
    <cellStyle name="Normal 8 3 2 2 3 2 3 2" xfId="48871" xr:uid="{4B10FEEB-2AE4-4966-A40D-6B4A8FE0EEE7}"/>
    <cellStyle name="Normal 8 3 2 2 3 2 3 3" xfId="30275" xr:uid="{224FAED2-4912-434C-9FE4-B30FFB681305}"/>
    <cellStyle name="Normal 8 3 2 2 3 2 4" xfId="39574" xr:uid="{6F0985F4-413C-440F-B3DC-9D27B3855758}"/>
    <cellStyle name="Normal 8 3 2 2 3 2 5" xfId="20976" xr:uid="{78DEE0AB-5F8F-4876-B42B-455B74C19C81}"/>
    <cellStyle name="Normal 8 3 2 2 3 3" xfId="5275" xr:uid="{00000000-0005-0000-0000-00004A1D0000}"/>
    <cellStyle name="Normal 8 3 2 2 3 3 2" xfId="14601" xr:uid="{3CEA650E-8548-4AC0-BD19-6AC4EA7F2733}"/>
    <cellStyle name="Normal 8 3 2 2 3 3 2 2" xfId="50943" xr:uid="{CD5C2BB8-C6B5-4AD4-AC57-8DD2C64CF5AC}"/>
    <cellStyle name="Normal 8 3 2 2 3 3 2 3" xfId="32347" xr:uid="{80269711-0E29-45FE-9297-6DEAB45E98E2}"/>
    <cellStyle name="Normal 8 3 2 2 3 3 3" xfId="41646" xr:uid="{94A83858-DDCA-4198-8260-477FA918E267}"/>
    <cellStyle name="Normal 8 3 2 2 3 3 4" xfId="23048" xr:uid="{F0239D55-6D8E-4CCB-BDFC-C6FAD7EC5E27}"/>
    <cellStyle name="Normal 8 3 2 2 3 4" xfId="9365" xr:uid="{47FF7C14-7484-41B9-856F-11398F7B2C7C}"/>
    <cellStyle name="Normal 8 3 2 2 3 4 2" xfId="36426" xr:uid="{CE2F429B-F146-4A48-A3EC-21CC3AE6A079}"/>
    <cellStyle name="Normal 8 3 2 2 3 4 2 2" xfId="55020" xr:uid="{9FAA3210-D4E7-4BB6-AF78-8BC1AF98AA3F}"/>
    <cellStyle name="Normal 8 3 2 2 3 4 3" xfId="45723" xr:uid="{9D54A378-AF0C-479C-B8EE-69CE5CB7243D}"/>
    <cellStyle name="Normal 8 3 2 2 3 4 4" xfId="27127" xr:uid="{986EB7B9-0FD1-4FBB-B1A6-2DF29ABC4A80}"/>
    <cellStyle name="Normal 8 3 2 2 3 5" xfId="10384" xr:uid="{6AD9D2CD-EB3D-4933-B337-56E87B9715DB}"/>
    <cellStyle name="Normal 8 3 2 2 3 5 2" xfId="46726" xr:uid="{0FF57516-6FAF-4F29-984A-F4CD689B631E}"/>
    <cellStyle name="Normal 8 3 2 2 3 5 3" xfId="28130" xr:uid="{B943FBF6-2E2F-4FBC-98FB-E45540FCF8B3}"/>
    <cellStyle name="Normal 8 3 2 2 3 6" xfId="37429" xr:uid="{512501F0-10A4-4AA2-84C0-045C8EB70DC9}"/>
    <cellStyle name="Normal 8 3 2 2 3 7" xfId="18831" xr:uid="{425B3B6C-55A8-46E0-A804-A767A170AF31}"/>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17159" xr:uid="{633B87A3-32EA-45EC-8B06-F4A99407464D}"/>
    <cellStyle name="Normal 8 3 2 2 4 2 2 2 2" xfId="53501" xr:uid="{3A099272-8A93-49AB-81C8-C1D1EB6D6DEA}"/>
    <cellStyle name="Normal 8 3 2 2 4 2 2 2 3" xfId="34905" xr:uid="{2B6544E7-E028-4799-BD0E-3D726E24081F}"/>
    <cellStyle name="Normal 8 3 2 2 4 2 2 3" xfId="44204" xr:uid="{C77C902F-99C8-475A-9E85-1965C91E9710}"/>
    <cellStyle name="Normal 8 3 2 2 4 2 2 4" xfId="25606" xr:uid="{65C76A01-41E3-4FE8-8585-907AAA637881}"/>
    <cellStyle name="Normal 8 3 2 2 4 2 3" xfId="12942" xr:uid="{EFBE2C02-95EC-415E-9416-B702AA643CA1}"/>
    <cellStyle name="Normal 8 3 2 2 4 2 3 2" xfId="49284" xr:uid="{DF82E57F-FA11-4848-A531-1D20A0A44D6C}"/>
    <cellStyle name="Normal 8 3 2 2 4 2 3 3" xfId="30688" xr:uid="{B05ED7E6-E6AD-43C1-A828-D7370F325A16}"/>
    <cellStyle name="Normal 8 3 2 2 4 2 4" xfId="39987" xr:uid="{1D4BA926-6E06-4534-AD1D-4D37ACFFFB06}"/>
    <cellStyle name="Normal 8 3 2 2 4 2 5" xfId="21389" xr:uid="{0C014EFE-6297-432A-B101-EE73E28B714E}"/>
    <cellStyle name="Normal 8 3 2 2 4 3" xfId="5688" xr:uid="{00000000-0005-0000-0000-00004E1D0000}"/>
    <cellStyle name="Normal 8 3 2 2 4 3 2" xfId="15014" xr:uid="{12B3AFBE-7049-4DBB-81FD-3EC84B0C34A7}"/>
    <cellStyle name="Normal 8 3 2 2 4 3 2 2" xfId="51356" xr:uid="{75275EA4-C3AF-4DE8-A96C-6C0AB0C9F799}"/>
    <cellStyle name="Normal 8 3 2 2 4 3 2 3" xfId="32760" xr:uid="{A08B9164-0920-4E2B-91D3-42C4B24CCBCB}"/>
    <cellStyle name="Normal 8 3 2 2 4 3 3" xfId="42059" xr:uid="{5CC3F520-7AED-44B3-A065-940BF0782454}"/>
    <cellStyle name="Normal 8 3 2 2 4 3 4" xfId="23461" xr:uid="{8FEC9CBA-3025-4705-B6E5-B03C2409DDDD}"/>
    <cellStyle name="Normal 8 3 2 2 4 4" xfId="10797" xr:uid="{A373F9C3-B2F8-4DFD-9DB0-6F090EB6EE4E}"/>
    <cellStyle name="Normal 8 3 2 2 4 4 2" xfId="47139" xr:uid="{00F798DD-2FF9-4623-8F4A-F913F066032B}"/>
    <cellStyle name="Normal 8 3 2 2 4 4 3" xfId="28543" xr:uid="{86B29DE1-DA94-45D7-A093-2719C6309F57}"/>
    <cellStyle name="Normal 8 3 2 2 4 5" xfId="37842" xr:uid="{FE666375-D310-4EAF-B766-35AEB036D728}"/>
    <cellStyle name="Normal 8 3 2 2 4 6" xfId="19244" xr:uid="{143C0B6C-153A-40EC-8CA4-46E3C1209CAF}"/>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17572" xr:uid="{096794F8-EC47-4F15-972C-B679B9B52D8B}"/>
    <cellStyle name="Normal 8 3 2 2 5 2 2 2 2" xfId="53914" xr:uid="{52395A07-FAF6-4142-895B-20D3406D0A06}"/>
    <cellStyle name="Normal 8 3 2 2 5 2 2 2 3" xfId="35318" xr:uid="{7713ADA3-FA33-4C1A-8985-477DA36002C7}"/>
    <cellStyle name="Normal 8 3 2 2 5 2 2 3" xfId="44617" xr:uid="{A428B137-E253-4336-91E2-B84FBBC9AE3E}"/>
    <cellStyle name="Normal 8 3 2 2 5 2 2 4" xfId="26019" xr:uid="{E701FE0E-180A-4EF5-8258-6A30D1C93E14}"/>
    <cellStyle name="Normal 8 3 2 2 5 2 3" xfId="13355" xr:uid="{2BE88ADE-76A1-401A-8396-8A311D1809AF}"/>
    <cellStyle name="Normal 8 3 2 2 5 2 3 2" xfId="49697" xr:uid="{13BE98A9-35F8-483D-9749-E72157653B66}"/>
    <cellStyle name="Normal 8 3 2 2 5 2 3 3" xfId="31101" xr:uid="{8624DFAD-E26D-4A4E-896F-322214BD43DD}"/>
    <cellStyle name="Normal 8 3 2 2 5 2 4" xfId="40400" xr:uid="{0D1A9032-DC01-4C5E-9465-7B7F132D8CA7}"/>
    <cellStyle name="Normal 8 3 2 2 5 2 5" xfId="21802" xr:uid="{893FD585-C9CA-4A9B-9C5F-33D2910F127B}"/>
    <cellStyle name="Normal 8 3 2 2 5 3" xfId="6101" xr:uid="{00000000-0005-0000-0000-0000521D0000}"/>
    <cellStyle name="Normal 8 3 2 2 5 3 2" xfId="15427" xr:uid="{80934E00-2B5F-403E-BD8B-6028DB0079C4}"/>
    <cellStyle name="Normal 8 3 2 2 5 3 2 2" xfId="51769" xr:uid="{C83E8836-E517-4BD8-BF33-551817FEE40C}"/>
    <cellStyle name="Normal 8 3 2 2 5 3 2 3" xfId="33173" xr:uid="{46B6A7A4-992D-4E03-88CF-00753F914B2F}"/>
    <cellStyle name="Normal 8 3 2 2 5 3 3" xfId="42472" xr:uid="{BBCA8F46-4424-4E26-BF34-2B322336B603}"/>
    <cellStyle name="Normal 8 3 2 2 5 3 4" xfId="23874" xr:uid="{F69451FB-FDC1-434D-8767-009494DDF3BB}"/>
    <cellStyle name="Normal 8 3 2 2 5 4" xfId="11210" xr:uid="{572F53A6-F701-4130-8D22-8CC4D8314318}"/>
    <cellStyle name="Normal 8 3 2 2 5 4 2" xfId="47552" xr:uid="{20F9C3AB-2912-425F-9575-22AEA6C5E2DD}"/>
    <cellStyle name="Normal 8 3 2 2 5 4 3" xfId="28956" xr:uid="{20F75F5C-2A1F-4BB3-A078-2DFC214EDD74}"/>
    <cellStyle name="Normal 8 3 2 2 5 5" xfId="38255" xr:uid="{A583FA2C-A7C8-4516-9C83-229B4D64E709}"/>
    <cellStyle name="Normal 8 3 2 2 5 6" xfId="19657" xr:uid="{AE63BE8B-C149-4F2B-9838-FB4CFCAAA1C5}"/>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17985" xr:uid="{A89F5FC8-4DBB-4799-AF3F-22DEEE1C0683}"/>
    <cellStyle name="Normal 8 3 2 2 6 2 2 2 2" xfId="54327" xr:uid="{639E3C3C-B3A6-46C7-948A-DA18D7CFD15C}"/>
    <cellStyle name="Normal 8 3 2 2 6 2 2 2 3" xfId="35731" xr:uid="{84FD0010-8C18-4AAD-89BB-E3744B29DF4B}"/>
    <cellStyle name="Normal 8 3 2 2 6 2 2 3" xfId="45030" xr:uid="{ABA35163-2135-4F87-BAB7-5DB9584DA0C8}"/>
    <cellStyle name="Normal 8 3 2 2 6 2 2 4" xfId="26432" xr:uid="{7D092AB4-8D45-497F-81EC-B764E7F0C0D4}"/>
    <cellStyle name="Normal 8 3 2 2 6 2 3" xfId="13768" xr:uid="{0FA92742-AE81-49C3-9AB9-179EF772063D}"/>
    <cellStyle name="Normal 8 3 2 2 6 2 3 2" xfId="50110" xr:uid="{1F1D2E76-6764-432F-8BA3-5E5ACB2D2519}"/>
    <cellStyle name="Normal 8 3 2 2 6 2 3 3" xfId="31514" xr:uid="{9C00CFF6-5FF4-4E6C-B59F-8E3B21989525}"/>
    <cellStyle name="Normal 8 3 2 2 6 2 4" xfId="40813" xr:uid="{967E99D5-94B8-4B7E-8F60-84570CEAB7B5}"/>
    <cellStyle name="Normal 8 3 2 2 6 2 5" xfId="22215" xr:uid="{E9353C97-25A3-4E37-B226-1C29C6C2FB22}"/>
    <cellStyle name="Normal 8 3 2 2 6 3" xfId="6514" xr:uid="{00000000-0005-0000-0000-0000561D0000}"/>
    <cellStyle name="Normal 8 3 2 2 6 3 2" xfId="15840" xr:uid="{E40277FD-4130-4182-A2F2-9F23756A7CA0}"/>
    <cellStyle name="Normal 8 3 2 2 6 3 2 2" xfId="52182" xr:uid="{BF575213-3BDB-4F03-B256-FD1377C96F63}"/>
    <cellStyle name="Normal 8 3 2 2 6 3 2 3" xfId="33586" xr:uid="{8EA9E732-F6B7-4035-80D2-7FFE092675F4}"/>
    <cellStyle name="Normal 8 3 2 2 6 3 3" xfId="42885" xr:uid="{0475D3D9-A698-4D79-8815-AFC5BDDF8E05}"/>
    <cellStyle name="Normal 8 3 2 2 6 3 4" xfId="24287" xr:uid="{3F37AB8F-5B2E-42DA-A586-EF0DC4B55151}"/>
    <cellStyle name="Normal 8 3 2 2 6 4" xfId="11623" xr:uid="{D97FEF29-02B0-4B20-9C97-5AD8EA7851F1}"/>
    <cellStyle name="Normal 8 3 2 2 6 4 2" xfId="47965" xr:uid="{4F177780-9095-45D1-93FE-6B3E1B8AE45E}"/>
    <cellStyle name="Normal 8 3 2 2 6 4 3" xfId="29369" xr:uid="{A348B322-F262-4A3B-880A-0BB41E197161}"/>
    <cellStyle name="Normal 8 3 2 2 6 5" xfId="38668" xr:uid="{DE54E87F-AEA1-4953-8788-C988FDC103ED}"/>
    <cellStyle name="Normal 8 3 2 2 6 6" xfId="20070" xr:uid="{982F2D02-380B-4ED2-A16A-7F782CDFB039}"/>
    <cellStyle name="Normal 8 3 2 2 7" xfId="2644" xr:uid="{00000000-0005-0000-0000-0000571D0000}"/>
    <cellStyle name="Normal 8 3 2 2 7 2" xfId="6927" xr:uid="{00000000-0005-0000-0000-0000581D0000}"/>
    <cellStyle name="Normal 8 3 2 2 7 2 2" xfId="16253" xr:uid="{2EA67BDD-08C8-4BF5-A754-65E05A277F06}"/>
    <cellStyle name="Normal 8 3 2 2 7 2 2 2" xfId="52595" xr:uid="{B65AB114-25C2-4907-BBBF-ED08F501510A}"/>
    <cellStyle name="Normal 8 3 2 2 7 2 2 3" xfId="33999" xr:uid="{A6627D90-3678-4AEC-B884-6A9F3FCA68B7}"/>
    <cellStyle name="Normal 8 3 2 2 7 2 3" xfId="43298" xr:uid="{86B57446-0CEF-4237-8A7A-47A9CA926DCC}"/>
    <cellStyle name="Normal 8 3 2 2 7 2 4" xfId="24700" xr:uid="{15302B60-8D09-4234-9626-72AB1FEDEDEA}"/>
    <cellStyle name="Normal 8 3 2 2 7 3" xfId="12036" xr:uid="{BC483112-3F6D-4B78-8519-1C4FC03BDE76}"/>
    <cellStyle name="Normal 8 3 2 2 7 3 2" xfId="48378" xr:uid="{F4CE902C-EFB2-441A-A4F5-913B334E14FF}"/>
    <cellStyle name="Normal 8 3 2 2 7 3 3" xfId="29782" xr:uid="{795F0CC7-1000-4FAD-A0C6-09AF7DEBB343}"/>
    <cellStyle name="Normal 8 3 2 2 7 4" xfId="39081" xr:uid="{37920DCE-C6B0-4895-9653-B691B96D0C6E}"/>
    <cellStyle name="Normal 8 3 2 2 7 5" xfId="20483" xr:uid="{AE8F0D84-501C-4A92-B772-4B8DA9B8FB91}"/>
    <cellStyle name="Normal 8 3 2 2 8" xfId="4862" xr:uid="{00000000-0005-0000-0000-0000591D0000}"/>
    <cellStyle name="Normal 8 3 2 2 8 2" xfId="14188" xr:uid="{4C138A71-5138-468F-80A2-B357482D9055}"/>
    <cellStyle name="Normal 8 3 2 2 8 2 2" xfId="50530" xr:uid="{24E1F0A3-EF77-418A-894C-8545C54854EA}"/>
    <cellStyle name="Normal 8 3 2 2 8 2 3" xfId="31934" xr:uid="{23108F73-7909-4A58-9663-3F827CDBF9DC}"/>
    <cellStyle name="Normal 8 3 2 2 8 3" xfId="41233" xr:uid="{5E66B2E0-48F5-40E8-B454-8238214BEBD4}"/>
    <cellStyle name="Normal 8 3 2 2 8 4" xfId="22635" xr:uid="{9080299D-8919-4F8A-98F5-C520FA7B6538}"/>
    <cellStyle name="Normal 8 3 2 2 9" xfId="8940" xr:uid="{63944EF0-E10A-4406-A758-3BD135650136}"/>
    <cellStyle name="Normal 8 3 2 2 9 2" xfId="36010" xr:uid="{5930E642-E192-4632-BEAB-F63892548BD1}"/>
    <cellStyle name="Normal 8 3 2 2 9 2 2" xfId="54605" xr:uid="{30EA5BB9-5B01-4852-8888-A4F690933ACF}"/>
    <cellStyle name="Normal 8 3 2 2 9 3" xfId="45308" xr:uid="{5137BFD6-8B5E-469E-8073-68A0168264B8}"/>
    <cellStyle name="Normal 8 3 2 2 9 4" xfId="26711" xr:uid="{80E4AB35-60A4-4745-9BA1-EF0DDF649CED}"/>
    <cellStyle name="Normal 8 3 2 3" xfId="499" xr:uid="{00000000-0005-0000-0000-00005A1D0000}"/>
    <cellStyle name="Normal 8 3 2 3 10" xfId="37018" xr:uid="{F64D7A7F-0995-4E06-A0FD-D0AEE0E7D706}"/>
    <cellStyle name="Normal 8 3 2 3 11" xfId="18420" xr:uid="{B399BE5C-76A6-499F-A0B9-2557F245EE4D}"/>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16748" xr:uid="{F67C2245-DD73-4A30-A4D5-7B46A62DABC8}"/>
    <cellStyle name="Normal 8 3 2 3 2 2 2 2 2" xfId="53090" xr:uid="{ECC4E416-A927-47E4-AD4D-0B662004C435}"/>
    <cellStyle name="Normal 8 3 2 3 2 2 2 2 3" xfId="34494" xr:uid="{D575000A-E169-4A14-8A45-2538A03579F4}"/>
    <cellStyle name="Normal 8 3 2 3 2 2 2 3" xfId="43793" xr:uid="{EEA7ED33-07AE-424E-84A6-BFECF0701D79}"/>
    <cellStyle name="Normal 8 3 2 3 2 2 2 4" xfId="25195" xr:uid="{404C806F-5E7B-4FD3-8D28-5F09F94EFFE1}"/>
    <cellStyle name="Normal 8 3 2 3 2 2 3" xfId="12531" xr:uid="{A41C9BE8-AAE5-4BD0-8790-959BAE6C4874}"/>
    <cellStyle name="Normal 8 3 2 3 2 2 3 2" xfId="48873" xr:uid="{07B37BD8-657B-4A44-A6CE-9A96F5498FA2}"/>
    <cellStyle name="Normal 8 3 2 3 2 2 3 3" xfId="30277" xr:uid="{AC9227AB-1E85-403E-9F13-57C7D0D70F55}"/>
    <cellStyle name="Normal 8 3 2 3 2 2 4" xfId="39576" xr:uid="{BE3A48EA-3AC9-40A7-BD68-046C25DCF595}"/>
    <cellStyle name="Normal 8 3 2 3 2 2 5" xfId="20978" xr:uid="{DD0E8C04-C009-4F68-B830-CEAB74F93853}"/>
    <cellStyle name="Normal 8 3 2 3 2 3" xfId="5277" xr:uid="{00000000-0005-0000-0000-00005E1D0000}"/>
    <cellStyle name="Normal 8 3 2 3 2 3 2" xfId="14603" xr:uid="{5B0381CC-16B0-4CEF-A067-4EF024300182}"/>
    <cellStyle name="Normal 8 3 2 3 2 3 2 2" xfId="50945" xr:uid="{7A3F8F89-730F-4A0A-8BE6-66A22B56AE7C}"/>
    <cellStyle name="Normal 8 3 2 3 2 3 2 3" xfId="32349" xr:uid="{D0B3AB11-F6B9-4874-82F0-AD90B99B35D7}"/>
    <cellStyle name="Normal 8 3 2 3 2 3 3" xfId="41648" xr:uid="{3CC7C2A9-D020-4675-8193-FE77D2D0C40C}"/>
    <cellStyle name="Normal 8 3 2 3 2 3 4" xfId="23050" xr:uid="{3AF020E1-51CB-4D6C-A464-4721ECAE837A}"/>
    <cellStyle name="Normal 8 3 2 3 2 4" xfId="9469" xr:uid="{7CA6C380-A6E9-4AF4-A29A-E40C8E9B5B5F}"/>
    <cellStyle name="Normal 8 3 2 3 2 4 2" xfId="36530" xr:uid="{53E98425-A18F-47DB-97B2-8D1E706D02EF}"/>
    <cellStyle name="Normal 8 3 2 3 2 4 2 2" xfId="55124" xr:uid="{C4B62D48-3035-4531-896A-31EB4055202F}"/>
    <cellStyle name="Normal 8 3 2 3 2 4 3" xfId="45827" xr:uid="{10FE3592-75EB-49E8-9F07-84C9DDCDDF82}"/>
    <cellStyle name="Normal 8 3 2 3 2 4 4" xfId="27231" xr:uid="{43F5E703-9370-4E1E-AF89-164F6D337372}"/>
    <cellStyle name="Normal 8 3 2 3 2 5" xfId="10386" xr:uid="{D386B2BE-CBC9-41D7-9158-EE84735BC07B}"/>
    <cellStyle name="Normal 8 3 2 3 2 5 2" xfId="46728" xr:uid="{F0215029-A425-4C76-99E0-E1D5EAFD0B95}"/>
    <cellStyle name="Normal 8 3 2 3 2 5 3" xfId="28132" xr:uid="{E0B5CD86-CB0E-49F4-9131-C40E8E26888D}"/>
    <cellStyle name="Normal 8 3 2 3 2 6" xfId="37431" xr:uid="{69012703-0327-4C83-BFEB-7AA481A0A6AC}"/>
    <cellStyle name="Normal 8 3 2 3 2 7" xfId="18833" xr:uid="{087FA7B3-7382-468A-84CD-5414FBAE2D83}"/>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17161" xr:uid="{B1A9C2D8-48B3-4CEF-936D-ABE529BFFDEC}"/>
    <cellStyle name="Normal 8 3 2 3 3 2 2 2 2" xfId="53503" xr:uid="{E6039EB8-47F3-4DD2-89E2-FB5DD57D9B93}"/>
    <cellStyle name="Normal 8 3 2 3 3 2 2 2 3" xfId="34907" xr:uid="{6957DA1B-110D-4684-8F63-666B54368F47}"/>
    <cellStyle name="Normal 8 3 2 3 3 2 2 3" xfId="44206" xr:uid="{2007902B-038A-46D1-89D0-A1D740D67012}"/>
    <cellStyle name="Normal 8 3 2 3 3 2 2 4" xfId="25608" xr:uid="{F454B811-6CF7-4EA9-9277-9711C6581D1D}"/>
    <cellStyle name="Normal 8 3 2 3 3 2 3" xfId="12944" xr:uid="{8882EB3F-D170-4D4F-B07C-15D058F9B16F}"/>
    <cellStyle name="Normal 8 3 2 3 3 2 3 2" xfId="49286" xr:uid="{67E55376-5868-42C2-8AB6-056B813A0DD2}"/>
    <cellStyle name="Normal 8 3 2 3 3 2 3 3" xfId="30690" xr:uid="{E8B09CEF-EC4A-4522-BE01-06FA9B6C8808}"/>
    <cellStyle name="Normal 8 3 2 3 3 2 4" xfId="39989" xr:uid="{B8CF86F1-C08E-4A59-BA98-7AC1187A0CAE}"/>
    <cellStyle name="Normal 8 3 2 3 3 2 5" xfId="21391" xr:uid="{552E1FDE-3257-4418-A2D3-4FE458450831}"/>
    <cellStyle name="Normal 8 3 2 3 3 3" xfId="5690" xr:uid="{00000000-0005-0000-0000-0000621D0000}"/>
    <cellStyle name="Normal 8 3 2 3 3 3 2" xfId="15016" xr:uid="{7C1B616A-F4EF-43B5-8FD4-81C9D3531F71}"/>
    <cellStyle name="Normal 8 3 2 3 3 3 2 2" xfId="51358" xr:uid="{0A2F5E2D-95BC-4223-A03D-0F91141D38CD}"/>
    <cellStyle name="Normal 8 3 2 3 3 3 2 3" xfId="32762" xr:uid="{5A3744B2-3035-40B7-92DB-A700E12A53D8}"/>
    <cellStyle name="Normal 8 3 2 3 3 3 3" xfId="42061" xr:uid="{8576DD1A-87FA-45C3-8307-ABD1BDC00C24}"/>
    <cellStyle name="Normal 8 3 2 3 3 3 4" xfId="23463" xr:uid="{D66F1B53-EFE6-40BF-BCF4-9C2ED3428B44}"/>
    <cellStyle name="Normal 8 3 2 3 3 4" xfId="10799" xr:uid="{040C0AF6-6D43-4D9E-BC9B-AD741183597B}"/>
    <cellStyle name="Normal 8 3 2 3 3 4 2" xfId="47141" xr:uid="{EF71B08B-5137-4315-9831-D68A095A4D5E}"/>
    <cellStyle name="Normal 8 3 2 3 3 4 3" xfId="28545" xr:uid="{5C047901-A3F3-4AF3-944F-3813264D4F39}"/>
    <cellStyle name="Normal 8 3 2 3 3 5" xfId="37844" xr:uid="{479EDD21-D6B7-432E-BFB0-3E96AE62C2EC}"/>
    <cellStyle name="Normal 8 3 2 3 3 6" xfId="19246" xr:uid="{920BD2C3-743E-4412-A8F9-49878D7B4AB6}"/>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17574" xr:uid="{01C9C695-1A64-4FFA-9883-B1A265FE06A8}"/>
    <cellStyle name="Normal 8 3 2 3 4 2 2 2 2" xfId="53916" xr:uid="{FD1181E9-9295-473B-9DFB-1ECF8BC78954}"/>
    <cellStyle name="Normal 8 3 2 3 4 2 2 2 3" xfId="35320" xr:uid="{FE5DD753-A998-44AD-97A8-277C24E21A22}"/>
    <cellStyle name="Normal 8 3 2 3 4 2 2 3" xfId="44619" xr:uid="{285D336B-D66D-4F55-B1DF-5D70AD58E626}"/>
    <cellStyle name="Normal 8 3 2 3 4 2 2 4" xfId="26021" xr:uid="{3C0E9FC2-F2FE-4628-B662-5E25DD067D1D}"/>
    <cellStyle name="Normal 8 3 2 3 4 2 3" xfId="13357" xr:uid="{42E2250D-7AC6-4559-AC6E-1D87A7C62863}"/>
    <cellStyle name="Normal 8 3 2 3 4 2 3 2" xfId="49699" xr:uid="{9AFDBD10-803C-4889-BAF5-CB776D36A635}"/>
    <cellStyle name="Normal 8 3 2 3 4 2 3 3" xfId="31103" xr:uid="{0EEDFDDF-5C2C-4844-90CB-E83B5F7B0ACC}"/>
    <cellStyle name="Normal 8 3 2 3 4 2 4" xfId="40402" xr:uid="{348367BC-503E-41E1-A1BD-067612B4EA5F}"/>
    <cellStyle name="Normal 8 3 2 3 4 2 5" xfId="21804" xr:uid="{329ECF17-D84D-44F9-8CBF-E10189AE0D7D}"/>
    <cellStyle name="Normal 8 3 2 3 4 3" xfId="6103" xr:uid="{00000000-0005-0000-0000-0000661D0000}"/>
    <cellStyle name="Normal 8 3 2 3 4 3 2" xfId="15429" xr:uid="{470A50D6-9C00-4A04-878B-D071DF9EF313}"/>
    <cellStyle name="Normal 8 3 2 3 4 3 2 2" xfId="51771" xr:uid="{619FDC0C-809A-4229-9E2A-F3235816903C}"/>
    <cellStyle name="Normal 8 3 2 3 4 3 2 3" xfId="33175" xr:uid="{DBE07989-8D4E-4D2D-8FF7-DEB44E88FCA0}"/>
    <cellStyle name="Normal 8 3 2 3 4 3 3" xfId="42474" xr:uid="{C82E096E-A51F-43B0-9656-12A5A470BBFB}"/>
    <cellStyle name="Normal 8 3 2 3 4 3 4" xfId="23876" xr:uid="{D310895C-C565-45DB-90C6-C2447AC9C110}"/>
    <cellStyle name="Normal 8 3 2 3 4 4" xfId="11212" xr:uid="{F97FC9ED-DCA3-4F4E-88E2-B198852D51E9}"/>
    <cellStyle name="Normal 8 3 2 3 4 4 2" xfId="47554" xr:uid="{76EAA78A-8728-4C43-8F05-0BA802221CC3}"/>
    <cellStyle name="Normal 8 3 2 3 4 4 3" xfId="28958" xr:uid="{73B7081C-DBD8-4AB4-8160-DCFFB7F4031F}"/>
    <cellStyle name="Normal 8 3 2 3 4 5" xfId="38257" xr:uid="{C6C3640C-F261-4623-B797-4DD9BA8BC278}"/>
    <cellStyle name="Normal 8 3 2 3 4 6" xfId="19659" xr:uid="{F1BA9BA1-3BF5-4C09-A8A2-676C21321E56}"/>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17987" xr:uid="{BE21D6E2-FBA8-498B-BF0B-133DF0673F00}"/>
    <cellStyle name="Normal 8 3 2 3 5 2 2 2 2" xfId="54329" xr:uid="{05E58401-6D13-492C-BE32-91DDC5C174F0}"/>
    <cellStyle name="Normal 8 3 2 3 5 2 2 2 3" xfId="35733" xr:uid="{A36769C2-6059-40A0-A238-CDC1AF70A843}"/>
    <cellStyle name="Normal 8 3 2 3 5 2 2 3" xfId="45032" xr:uid="{AAF2122D-B88C-46C5-907D-26E639FE0347}"/>
    <cellStyle name="Normal 8 3 2 3 5 2 2 4" xfId="26434" xr:uid="{0EB878C8-58E3-4343-80C3-D841C7C383F5}"/>
    <cellStyle name="Normal 8 3 2 3 5 2 3" xfId="13770" xr:uid="{CB39F14A-C545-4347-A833-4D20013ABC51}"/>
    <cellStyle name="Normal 8 3 2 3 5 2 3 2" xfId="50112" xr:uid="{50CAB170-AB57-41EF-A1E8-B64DE05E789A}"/>
    <cellStyle name="Normal 8 3 2 3 5 2 3 3" xfId="31516" xr:uid="{24595DE5-C896-4A38-B386-F05A3074307A}"/>
    <cellStyle name="Normal 8 3 2 3 5 2 4" xfId="40815" xr:uid="{4484F42D-A166-499A-BC34-CB98C3E884E3}"/>
    <cellStyle name="Normal 8 3 2 3 5 2 5" xfId="22217" xr:uid="{90256EBB-C4E3-489C-921B-C86B37AD6EEA}"/>
    <cellStyle name="Normal 8 3 2 3 5 3" xfId="6516" xr:uid="{00000000-0005-0000-0000-00006A1D0000}"/>
    <cellStyle name="Normal 8 3 2 3 5 3 2" xfId="15842" xr:uid="{DA46B658-48E0-4991-8638-2598A980ECA8}"/>
    <cellStyle name="Normal 8 3 2 3 5 3 2 2" xfId="52184" xr:uid="{6A406864-B214-4F73-ABB6-62CB66382CCE}"/>
    <cellStyle name="Normal 8 3 2 3 5 3 2 3" xfId="33588" xr:uid="{5D6B9926-5E70-4CE2-8F64-8A2AB6C07884}"/>
    <cellStyle name="Normal 8 3 2 3 5 3 3" xfId="42887" xr:uid="{9BE90AE4-4C1B-43E8-93AC-A5B978158EEA}"/>
    <cellStyle name="Normal 8 3 2 3 5 3 4" xfId="24289" xr:uid="{65204A4E-CC64-4798-A201-E1E860236A71}"/>
    <cellStyle name="Normal 8 3 2 3 5 4" xfId="11625" xr:uid="{F5139A02-966B-4DF9-A1D7-124C70A18BE3}"/>
    <cellStyle name="Normal 8 3 2 3 5 4 2" xfId="47967" xr:uid="{0CFF0514-435B-4F1F-A1EC-664D0D7F23DB}"/>
    <cellStyle name="Normal 8 3 2 3 5 4 3" xfId="29371" xr:uid="{3454D94A-3CA6-451C-BD8E-8C67C1EA0F3D}"/>
    <cellStyle name="Normal 8 3 2 3 5 5" xfId="38670" xr:uid="{F1A9989F-6337-4A17-B765-428AA17EAA24}"/>
    <cellStyle name="Normal 8 3 2 3 5 6" xfId="20072" xr:uid="{5545F106-7E12-45FD-BBFF-FB184A58485D}"/>
    <cellStyle name="Normal 8 3 2 3 6" xfId="2646" xr:uid="{00000000-0005-0000-0000-00006B1D0000}"/>
    <cellStyle name="Normal 8 3 2 3 6 2" xfId="6929" xr:uid="{00000000-0005-0000-0000-00006C1D0000}"/>
    <cellStyle name="Normal 8 3 2 3 6 2 2" xfId="16255" xr:uid="{9AA20B09-1E29-444E-B50E-4F5D5E1B4340}"/>
    <cellStyle name="Normal 8 3 2 3 6 2 2 2" xfId="52597" xr:uid="{AFD30C22-3783-4D44-A1C9-BDB51802A795}"/>
    <cellStyle name="Normal 8 3 2 3 6 2 2 3" xfId="34001" xr:uid="{B191332F-F580-489B-BC84-F948BF04CF13}"/>
    <cellStyle name="Normal 8 3 2 3 6 2 3" xfId="43300" xr:uid="{4EACFD3A-0AF9-4CF2-B2D1-490895BDDA0E}"/>
    <cellStyle name="Normal 8 3 2 3 6 2 4" xfId="24702" xr:uid="{5BF8F904-AF1B-4AF0-B237-F2E9916C8904}"/>
    <cellStyle name="Normal 8 3 2 3 6 3" xfId="12038" xr:uid="{A9784E0F-C7AF-41B2-A1A9-60D951B26F69}"/>
    <cellStyle name="Normal 8 3 2 3 6 3 2" xfId="48380" xr:uid="{326A7953-58E7-4D45-A005-85641F2C7A91}"/>
    <cellStyle name="Normal 8 3 2 3 6 3 3" xfId="29784" xr:uid="{C720B31C-DFE4-4C8C-908A-F1DF4CC5F3B0}"/>
    <cellStyle name="Normal 8 3 2 3 6 4" xfId="39083" xr:uid="{EBD109A2-891D-4367-BBB5-7058E9444FC3}"/>
    <cellStyle name="Normal 8 3 2 3 6 5" xfId="20485" xr:uid="{F278592E-535C-4071-99F3-B341C70B4219}"/>
    <cellStyle name="Normal 8 3 2 3 7" xfId="4864" xr:uid="{00000000-0005-0000-0000-00006D1D0000}"/>
    <cellStyle name="Normal 8 3 2 3 7 2" xfId="14190" xr:uid="{F9992DF2-A2F1-466C-98E1-95328D82625E}"/>
    <cellStyle name="Normal 8 3 2 3 7 2 2" xfId="50532" xr:uid="{A1A894D3-F083-493A-BCB4-165D76C015D6}"/>
    <cellStyle name="Normal 8 3 2 3 7 2 3" xfId="31936" xr:uid="{12DC12FE-F682-405D-9C11-69AEB86B476A}"/>
    <cellStyle name="Normal 8 3 2 3 7 3" xfId="41235" xr:uid="{0CBD8F70-0D69-4956-8034-2C6DC83E4217}"/>
    <cellStyle name="Normal 8 3 2 3 7 4" xfId="22637" xr:uid="{64151B69-BD3A-44D6-BB41-A693620D8BB0}"/>
    <cellStyle name="Normal 8 3 2 3 8" xfId="9044" xr:uid="{5ED49706-9CA9-4EE9-B01D-112CD1DB587C}"/>
    <cellStyle name="Normal 8 3 2 3 8 2" xfId="36114" xr:uid="{2DB43EEB-D73D-4701-8F75-F1E2ED456776}"/>
    <cellStyle name="Normal 8 3 2 3 8 2 2" xfId="54709" xr:uid="{776E823D-EB99-4D09-9A8B-947A9B2B925D}"/>
    <cellStyle name="Normal 8 3 2 3 8 3" xfId="45412" xr:uid="{9505522D-4677-4E2D-AD89-E6F54A0E7A75}"/>
    <cellStyle name="Normal 8 3 2 3 8 4" xfId="26815" xr:uid="{FEEAEA76-E34F-40E3-8F28-F47CF42F47BC}"/>
    <cellStyle name="Normal 8 3 2 3 9" xfId="9973" xr:uid="{563AA10D-FF49-42BA-9736-70660704B32F}"/>
    <cellStyle name="Normal 8 3 2 3 9 2" xfId="46315" xr:uid="{8E9D7839-0B0F-4910-AE89-EA76830D0394}"/>
    <cellStyle name="Normal 8 3 2 3 9 3" xfId="27719" xr:uid="{210AD422-C8CB-463E-841D-402C2806F506}"/>
    <cellStyle name="Normal 8 3 2 4" xfId="963" xr:uid="{00000000-0005-0000-0000-00006E1D0000}"/>
    <cellStyle name="Normal 8 3 2 4 2" xfId="3197" xr:uid="{00000000-0005-0000-0000-00006F1D0000}"/>
    <cellStyle name="Normal 8 3 2 4 2 2" xfId="7419" xr:uid="{00000000-0005-0000-0000-0000701D0000}"/>
    <cellStyle name="Normal 8 3 2 4 2 2 2" xfId="16745" xr:uid="{DD20CD62-F708-4767-92D1-92787285D1B9}"/>
    <cellStyle name="Normal 8 3 2 4 2 2 2 2" xfId="53087" xr:uid="{C6AD8005-0629-4B50-87D8-9111CD2D0D57}"/>
    <cellStyle name="Normal 8 3 2 4 2 2 2 3" xfId="34491" xr:uid="{A3AA0C1C-4E60-46F5-9698-D19575BB44C0}"/>
    <cellStyle name="Normal 8 3 2 4 2 2 3" xfId="43790" xr:uid="{94CEA531-35AB-462A-A783-D069D34E6D50}"/>
    <cellStyle name="Normal 8 3 2 4 2 2 4" xfId="25192" xr:uid="{99396E8B-434C-4D39-82C2-D6D0B79D525B}"/>
    <cellStyle name="Normal 8 3 2 4 2 3" xfId="12528" xr:uid="{6342891F-4DA2-4EAA-B7CF-92625CAAA123}"/>
    <cellStyle name="Normal 8 3 2 4 2 3 2" xfId="48870" xr:uid="{F4E526D8-93F6-4D19-A343-D20649FA3E6C}"/>
    <cellStyle name="Normal 8 3 2 4 2 3 3" xfId="30274" xr:uid="{3EB4D70C-AD81-4E77-B00F-3E3212A63F27}"/>
    <cellStyle name="Normal 8 3 2 4 2 4" xfId="39573" xr:uid="{411DE12D-3E2D-494F-9F43-2C27B8A7287B}"/>
    <cellStyle name="Normal 8 3 2 4 2 5" xfId="20975" xr:uid="{D0A9B0D1-9089-4ED0-B64B-97989E8BB5A1}"/>
    <cellStyle name="Normal 8 3 2 4 3" xfId="5274" xr:uid="{00000000-0005-0000-0000-0000711D0000}"/>
    <cellStyle name="Normal 8 3 2 4 3 2" xfId="14600" xr:uid="{F70CFA60-3B32-4E73-BE14-675BBFFC807C}"/>
    <cellStyle name="Normal 8 3 2 4 3 2 2" xfId="50942" xr:uid="{10428689-2EAC-49BE-BDA8-BAE4C43B5389}"/>
    <cellStyle name="Normal 8 3 2 4 3 2 3" xfId="32346" xr:uid="{FD5ACC37-E651-48D2-8D5D-0BC473CAC1BD}"/>
    <cellStyle name="Normal 8 3 2 4 3 3" xfId="41645" xr:uid="{4276712C-5C22-4FFB-A003-1EADC1E0804D}"/>
    <cellStyle name="Normal 8 3 2 4 3 4" xfId="23047" xr:uid="{89750CFC-D84F-4C2C-919E-91B46D373EC2}"/>
    <cellStyle name="Normal 8 3 2 4 4" xfId="9262" xr:uid="{8842595C-CD28-4B10-9BE6-37883B4C2AA9}"/>
    <cellStyle name="Normal 8 3 2 4 4 2" xfId="36323" xr:uid="{449A7E7B-BCF1-4D5A-955E-026881B0A6A0}"/>
    <cellStyle name="Normal 8 3 2 4 4 2 2" xfId="54917" xr:uid="{739F87CA-858C-4081-8185-B8FD8F06AF3E}"/>
    <cellStyle name="Normal 8 3 2 4 4 3" xfId="45620" xr:uid="{86AC82AA-27E6-45F9-A7F4-FEC8C1C8C99B}"/>
    <cellStyle name="Normal 8 3 2 4 4 4" xfId="27024" xr:uid="{C7EB55F2-EC7E-471C-9446-1CFB960DE615}"/>
    <cellStyle name="Normal 8 3 2 4 5" xfId="10383" xr:uid="{6EA86480-C1BC-4D0C-A31A-1C74EFFAB763}"/>
    <cellStyle name="Normal 8 3 2 4 5 2" xfId="46725" xr:uid="{6555702F-16C1-4768-9991-FB833B8D16C3}"/>
    <cellStyle name="Normal 8 3 2 4 5 3" xfId="28129" xr:uid="{68DEAE70-7A26-4636-8AE9-E1255377D289}"/>
    <cellStyle name="Normal 8 3 2 4 6" xfId="37428" xr:uid="{967E687C-A889-4054-BCB8-15505D2A5354}"/>
    <cellStyle name="Normal 8 3 2 4 7" xfId="18830" xr:uid="{B34F50E9-EDC2-4F16-B219-52EBC68C33A7}"/>
    <cellStyle name="Normal 8 3 2 5" xfId="1380" xr:uid="{00000000-0005-0000-0000-0000721D0000}"/>
    <cellStyle name="Normal 8 3 2 5 2" xfId="3610" xr:uid="{00000000-0005-0000-0000-0000731D0000}"/>
    <cellStyle name="Normal 8 3 2 5 2 2" xfId="7832" xr:uid="{00000000-0005-0000-0000-0000741D0000}"/>
    <cellStyle name="Normal 8 3 2 5 2 2 2" xfId="17158" xr:uid="{53E5F230-F9AE-4316-AA04-569D962E8300}"/>
    <cellStyle name="Normal 8 3 2 5 2 2 2 2" xfId="53500" xr:uid="{19CFAD1D-C60E-4A46-9352-CDF086EDD36A}"/>
    <cellStyle name="Normal 8 3 2 5 2 2 2 3" xfId="34904" xr:uid="{4E756F51-3656-4CF1-AC0E-56BFBF96C53F}"/>
    <cellStyle name="Normal 8 3 2 5 2 2 3" xfId="44203" xr:uid="{D0D9CAD3-B702-4D2B-9E04-E6F73C3FE4F6}"/>
    <cellStyle name="Normal 8 3 2 5 2 2 4" xfId="25605" xr:uid="{A53C52CD-6D9D-448D-A261-435783EB3701}"/>
    <cellStyle name="Normal 8 3 2 5 2 3" xfId="12941" xr:uid="{5548976B-9C71-4651-BD9C-050E2BF8810A}"/>
    <cellStyle name="Normal 8 3 2 5 2 3 2" xfId="49283" xr:uid="{1FC198AA-A2C5-456D-8CE3-E77CD7C99AFE}"/>
    <cellStyle name="Normal 8 3 2 5 2 3 3" xfId="30687" xr:uid="{E2421F3B-ACD8-4E93-901F-C9F391BBA2F8}"/>
    <cellStyle name="Normal 8 3 2 5 2 4" xfId="39986" xr:uid="{E0FFCB7C-136D-4C9A-9272-74A1FA79B624}"/>
    <cellStyle name="Normal 8 3 2 5 2 5" xfId="21388" xr:uid="{A1D4C314-D068-4DE6-A78C-C2447A3CB927}"/>
    <cellStyle name="Normal 8 3 2 5 3" xfId="5687" xr:uid="{00000000-0005-0000-0000-0000751D0000}"/>
    <cellStyle name="Normal 8 3 2 5 3 2" xfId="15013" xr:uid="{839F5B22-A79D-471A-862D-9F79EF721687}"/>
    <cellStyle name="Normal 8 3 2 5 3 2 2" xfId="51355" xr:uid="{F910871B-F01F-4AB1-B550-A70140D508BA}"/>
    <cellStyle name="Normal 8 3 2 5 3 2 3" xfId="32759" xr:uid="{4DC430DD-0C58-407F-BB1A-3F7C37E0C216}"/>
    <cellStyle name="Normal 8 3 2 5 3 3" xfId="42058" xr:uid="{DF334BA1-E3AB-4CFE-A486-13D0E7B142A2}"/>
    <cellStyle name="Normal 8 3 2 5 3 4" xfId="23460" xr:uid="{B2722439-7263-4E18-99DB-A27447A7A2E6}"/>
    <cellStyle name="Normal 8 3 2 5 4" xfId="10796" xr:uid="{CE357B94-0EC7-475F-837F-B869CAA2C950}"/>
    <cellStyle name="Normal 8 3 2 5 4 2" xfId="47138" xr:uid="{A526AC21-C0C0-440D-A6E5-940F14C788BA}"/>
    <cellStyle name="Normal 8 3 2 5 4 3" xfId="28542" xr:uid="{FAA765AB-CEA9-4218-9CA2-F3F443BD868F}"/>
    <cellStyle name="Normal 8 3 2 5 5" xfId="37841" xr:uid="{A4EB3FA8-9822-46F9-8B1B-D5017E4A3981}"/>
    <cellStyle name="Normal 8 3 2 5 6" xfId="19243" xr:uid="{689B54EF-3B5C-4E5E-AAD1-56989F781F57}"/>
    <cellStyle name="Normal 8 3 2 6" xfId="1793" xr:uid="{00000000-0005-0000-0000-0000761D0000}"/>
    <cellStyle name="Normal 8 3 2 6 2" xfId="4023" xr:uid="{00000000-0005-0000-0000-0000771D0000}"/>
    <cellStyle name="Normal 8 3 2 6 2 2" xfId="8245" xr:uid="{00000000-0005-0000-0000-0000781D0000}"/>
    <cellStyle name="Normal 8 3 2 6 2 2 2" xfId="17571" xr:uid="{34697255-833F-48A6-A6EA-A5D0D00A2BE3}"/>
    <cellStyle name="Normal 8 3 2 6 2 2 2 2" xfId="53913" xr:uid="{F466ED06-A15A-4609-91BA-7E57E20B3572}"/>
    <cellStyle name="Normal 8 3 2 6 2 2 2 3" xfId="35317" xr:uid="{DAEDE027-8E7E-4529-B39F-AEFAA284B535}"/>
    <cellStyle name="Normal 8 3 2 6 2 2 3" xfId="44616" xr:uid="{CFBF975C-31AA-463F-8892-08B3CA254978}"/>
    <cellStyle name="Normal 8 3 2 6 2 2 4" xfId="26018" xr:uid="{D10166B0-53BC-479F-957C-6D270F5446A1}"/>
    <cellStyle name="Normal 8 3 2 6 2 3" xfId="13354" xr:uid="{BE6416C3-9117-4CB1-B9F8-BCD8A2A052C4}"/>
    <cellStyle name="Normal 8 3 2 6 2 3 2" xfId="49696" xr:uid="{98651D9A-489D-4B28-B494-3CB00ECA63B5}"/>
    <cellStyle name="Normal 8 3 2 6 2 3 3" xfId="31100" xr:uid="{E60997C2-02CF-4D49-9E08-B8330978E09C}"/>
    <cellStyle name="Normal 8 3 2 6 2 4" xfId="40399" xr:uid="{B1CE48E2-E948-458E-AD5E-BFD28078D50F}"/>
    <cellStyle name="Normal 8 3 2 6 2 5" xfId="21801" xr:uid="{02EE6537-C3E3-4F50-90AA-2BF42447CFC2}"/>
    <cellStyle name="Normal 8 3 2 6 3" xfId="6100" xr:uid="{00000000-0005-0000-0000-0000791D0000}"/>
    <cellStyle name="Normal 8 3 2 6 3 2" xfId="15426" xr:uid="{3C1DA689-4FA5-4C72-B738-3F046ED3EC3A}"/>
    <cellStyle name="Normal 8 3 2 6 3 2 2" xfId="51768" xr:uid="{6D7E7883-1528-4413-AFDD-9F3EF063F8AC}"/>
    <cellStyle name="Normal 8 3 2 6 3 2 3" xfId="33172" xr:uid="{03FBDFF3-79DA-4353-930D-BB16F9EDE93F}"/>
    <cellStyle name="Normal 8 3 2 6 3 3" xfId="42471" xr:uid="{19816682-D863-40A5-8653-E7A1561935D9}"/>
    <cellStyle name="Normal 8 3 2 6 3 4" xfId="23873" xr:uid="{428FF0FA-DFE2-4682-AAB1-C11BBE8D5952}"/>
    <cellStyle name="Normal 8 3 2 6 4" xfId="11209" xr:uid="{C8F8C6A4-DF8B-4484-8FA5-DBF6ADB4391F}"/>
    <cellStyle name="Normal 8 3 2 6 4 2" xfId="47551" xr:uid="{5EAC6597-BFFF-471C-8DD0-D56971AEE9B3}"/>
    <cellStyle name="Normal 8 3 2 6 4 3" xfId="28955" xr:uid="{6902854B-F264-4CF0-A0AB-A85057CB61F9}"/>
    <cellStyle name="Normal 8 3 2 6 5" xfId="38254" xr:uid="{99F2FF2F-3904-4530-B236-260C6D0EB59E}"/>
    <cellStyle name="Normal 8 3 2 6 6" xfId="19656" xr:uid="{A8CA30F3-8DCD-49BB-B63F-4FACF9E36D10}"/>
    <cellStyle name="Normal 8 3 2 7" xfId="2207" xr:uid="{00000000-0005-0000-0000-00007A1D0000}"/>
    <cellStyle name="Normal 8 3 2 7 2" xfId="4436" xr:uid="{00000000-0005-0000-0000-00007B1D0000}"/>
    <cellStyle name="Normal 8 3 2 7 2 2" xfId="8658" xr:uid="{00000000-0005-0000-0000-00007C1D0000}"/>
    <cellStyle name="Normal 8 3 2 7 2 2 2" xfId="17984" xr:uid="{A8148E66-E71A-4103-9841-719A1AFE29A8}"/>
    <cellStyle name="Normal 8 3 2 7 2 2 2 2" xfId="54326" xr:uid="{C42C0460-9F19-4008-9CF1-653A65945EA3}"/>
    <cellStyle name="Normal 8 3 2 7 2 2 2 3" xfId="35730" xr:uid="{8849C289-C7B9-42BE-B021-A9AEDA6E6732}"/>
    <cellStyle name="Normal 8 3 2 7 2 2 3" xfId="45029" xr:uid="{0D37399A-6B3F-49AF-82C9-D1B649909733}"/>
    <cellStyle name="Normal 8 3 2 7 2 2 4" xfId="26431" xr:uid="{91BDC47B-9BFC-4373-865D-3D20E9CB682C}"/>
    <cellStyle name="Normal 8 3 2 7 2 3" xfId="13767" xr:uid="{1DB9CC94-7AF1-4D7A-8692-775C6153D546}"/>
    <cellStyle name="Normal 8 3 2 7 2 3 2" xfId="50109" xr:uid="{D71E07A5-87B7-45C8-846D-AA51F8BB7DAB}"/>
    <cellStyle name="Normal 8 3 2 7 2 3 3" xfId="31513" xr:uid="{C75D0D4A-5C5D-46D3-B586-31D5C8F754FC}"/>
    <cellStyle name="Normal 8 3 2 7 2 4" xfId="40812" xr:uid="{A2068726-C5E0-4425-BF4B-C291CAA14CD2}"/>
    <cellStyle name="Normal 8 3 2 7 2 5" xfId="22214" xr:uid="{3DA6CDE1-1A62-4C40-9837-BE559C5A1A59}"/>
    <cellStyle name="Normal 8 3 2 7 3" xfId="6513" xr:uid="{00000000-0005-0000-0000-00007D1D0000}"/>
    <cellStyle name="Normal 8 3 2 7 3 2" xfId="15839" xr:uid="{259DCE6F-B509-49CF-80AC-4D39981F62A0}"/>
    <cellStyle name="Normal 8 3 2 7 3 2 2" xfId="52181" xr:uid="{7E7CDA2E-55D4-4809-A018-9EEA688D948B}"/>
    <cellStyle name="Normal 8 3 2 7 3 2 3" xfId="33585" xr:uid="{955D36A5-E16F-48E6-A2C8-2CD7391B5B90}"/>
    <cellStyle name="Normal 8 3 2 7 3 3" xfId="42884" xr:uid="{4554DB43-88D3-4851-B5CF-E6FFF761E9A5}"/>
    <cellStyle name="Normal 8 3 2 7 3 4" xfId="24286" xr:uid="{2206AE1E-1CD3-4EDE-A61A-C3434FA154B8}"/>
    <cellStyle name="Normal 8 3 2 7 4" xfId="11622" xr:uid="{E34CDB74-D58B-4D00-97AC-BB7B1FE7F204}"/>
    <cellStyle name="Normal 8 3 2 7 4 2" xfId="47964" xr:uid="{6C3C39BA-B3E1-4EB1-ADAE-F39F47C95396}"/>
    <cellStyle name="Normal 8 3 2 7 4 3" xfId="29368" xr:uid="{04245B7C-E496-400F-958C-842E04595657}"/>
    <cellStyle name="Normal 8 3 2 7 5" xfId="38667" xr:uid="{40992D5C-4B57-4938-8FA5-402C4D1D2906}"/>
    <cellStyle name="Normal 8 3 2 7 6" xfId="20069" xr:uid="{8217FB30-119C-4046-82AA-A2E92F35E160}"/>
    <cellStyle name="Normal 8 3 2 8" xfId="2643" xr:uid="{00000000-0005-0000-0000-00007E1D0000}"/>
    <cellStyle name="Normal 8 3 2 8 2" xfId="6926" xr:uid="{00000000-0005-0000-0000-00007F1D0000}"/>
    <cellStyle name="Normal 8 3 2 8 2 2" xfId="16252" xr:uid="{15F87C8B-7A28-49D7-97BA-CBA50C0A09FD}"/>
    <cellStyle name="Normal 8 3 2 8 2 2 2" xfId="52594" xr:uid="{3A889F30-A288-4AA4-8F76-718F2196E196}"/>
    <cellStyle name="Normal 8 3 2 8 2 2 3" xfId="33998" xr:uid="{5F5C7FE2-1E96-4B77-9E7E-278D58ADCE10}"/>
    <cellStyle name="Normal 8 3 2 8 2 3" xfId="43297" xr:uid="{63CCD60E-1034-47B7-BBD0-0953F50FD819}"/>
    <cellStyle name="Normal 8 3 2 8 2 4" xfId="24699" xr:uid="{679F74ED-C119-4D2A-82BE-D50800675B90}"/>
    <cellStyle name="Normal 8 3 2 8 3" xfId="12035" xr:uid="{09D3CB5D-45E2-4010-8737-C6D2B5E0F13E}"/>
    <cellStyle name="Normal 8 3 2 8 3 2" xfId="48377" xr:uid="{D97D757F-8341-4DE3-86B1-05A838FD4DF7}"/>
    <cellStyle name="Normal 8 3 2 8 3 3" xfId="29781" xr:uid="{B965AB1B-AA7F-411F-86F0-B0439A936966}"/>
    <cellStyle name="Normal 8 3 2 8 4" xfId="39080" xr:uid="{BEAA3A45-71F9-427B-AD17-CBC329ED9B2E}"/>
    <cellStyle name="Normal 8 3 2 8 5" xfId="20482" xr:uid="{3FE8B197-462C-4AC1-9D23-2C3C609B5352}"/>
    <cellStyle name="Normal 8 3 2 9" xfId="4861" xr:uid="{00000000-0005-0000-0000-0000801D0000}"/>
    <cellStyle name="Normal 8 3 2 9 2" xfId="14187" xr:uid="{1B5DBEDD-DC0F-4B34-9860-7D38D8BB2063}"/>
    <cellStyle name="Normal 8 3 2 9 2 2" xfId="50529" xr:uid="{13370920-DA47-4956-A79F-E6DE4359B89F}"/>
    <cellStyle name="Normal 8 3 2 9 2 3" xfId="31933" xr:uid="{E3900F0F-1D91-41E0-B0FC-4C347F25B034}"/>
    <cellStyle name="Normal 8 3 2 9 3" xfId="41232" xr:uid="{1D28B48C-7EAB-49AE-A7CE-C367F92F5A76}"/>
    <cellStyle name="Normal 8 3 2 9 4" xfId="22634" xr:uid="{788F1846-2D58-44E0-A904-C698589B7743}"/>
    <cellStyle name="Normal 8 3 3" xfId="500" xr:uid="{00000000-0005-0000-0000-0000811D0000}"/>
    <cellStyle name="Normal 8 3 3 10" xfId="9974" xr:uid="{26655AE0-E7F2-4AC1-A01C-36A287D4EC23}"/>
    <cellStyle name="Normal 8 3 3 10 2" xfId="46316" xr:uid="{B844C548-D49F-4D19-97EA-8B1C58631C39}"/>
    <cellStyle name="Normal 8 3 3 10 3" xfId="27720" xr:uid="{4FD4226E-1A90-4A33-AF2F-62DD241226A1}"/>
    <cellStyle name="Normal 8 3 3 11" xfId="37019" xr:uid="{B7E60956-1AF8-403E-9C59-9163595E668E}"/>
    <cellStyle name="Normal 8 3 3 12" xfId="18421" xr:uid="{C79DB62B-CC70-4A0F-BB65-D395EF7A9B4D}"/>
    <cellStyle name="Normal 8 3 3 2" xfId="501" xr:uid="{00000000-0005-0000-0000-0000821D0000}"/>
    <cellStyle name="Normal 8 3 3 2 10" xfId="37020" xr:uid="{E393D8F2-8FF2-4B6B-A200-BC75D6AFF292}"/>
    <cellStyle name="Normal 8 3 3 2 11" xfId="18422" xr:uid="{0E68EA86-842C-4933-B5EE-DFBF539C6F9E}"/>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16750" xr:uid="{4F400A89-89D4-48F9-ACA2-3980DD0D8330}"/>
    <cellStyle name="Normal 8 3 3 2 2 2 2 2 2" xfId="53092" xr:uid="{33D4F487-3A51-4749-8C2A-D214A940876A}"/>
    <cellStyle name="Normal 8 3 3 2 2 2 2 2 3" xfId="34496" xr:uid="{2251DED3-D887-4DEB-983E-F7ADB01FF20A}"/>
    <cellStyle name="Normal 8 3 3 2 2 2 2 3" xfId="43795" xr:uid="{97A496E1-283B-40FC-A3FB-3CBCB1107C29}"/>
    <cellStyle name="Normal 8 3 3 2 2 2 2 4" xfId="25197" xr:uid="{A31FE2C3-E5B2-48C6-BE16-4C6328915B06}"/>
    <cellStyle name="Normal 8 3 3 2 2 2 3" xfId="12533" xr:uid="{0ABAD2A8-F2D2-4FE4-B226-F37EC5C76ED8}"/>
    <cellStyle name="Normal 8 3 3 2 2 2 3 2" xfId="48875" xr:uid="{E9995C98-126E-429F-9C5D-B377DD15470B}"/>
    <cellStyle name="Normal 8 3 3 2 2 2 3 3" xfId="30279" xr:uid="{BAFCBA77-3D74-4BF0-97A4-2D89262A427E}"/>
    <cellStyle name="Normal 8 3 3 2 2 2 4" xfId="39578" xr:uid="{45B781BE-9E8C-4999-B56E-08E1CF1CC2D4}"/>
    <cellStyle name="Normal 8 3 3 2 2 2 5" xfId="20980" xr:uid="{799EBCF9-4402-4A97-BA38-99A6D3BE6420}"/>
    <cellStyle name="Normal 8 3 3 2 2 3" xfId="5279" xr:uid="{00000000-0005-0000-0000-0000861D0000}"/>
    <cellStyle name="Normal 8 3 3 2 2 3 2" xfId="14605" xr:uid="{3BB45A2B-F630-493C-9001-77FCD450B347}"/>
    <cellStyle name="Normal 8 3 3 2 2 3 2 2" xfId="50947" xr:uid="{BFB0EB69-AD3B-4982-9132-1BB9EF5EBA99}"/>
    <cellStyle name="Normal 8 3 3 2 2 3 2 3" xfId="32351" xr:uid="{CB8EC821-6ACA-444B-919E-1B66BC037C5E}"/>
    <cellStyle name="Normal 8 3 3 2 2 3 3" xfId="41650" xr:uid="{5B69EB40-882E-4988-B469-ADD79DBB7C3F}"/>
    <cellStyle name="Normal 8 3 3 2 2 3 4" xfId="23052" xr:uid="{0BCFF271-EFF6-444D-8BC8-188903404795}"/>
    <cellStyle name="Normal 8 3 3 2 2 4" xfId="9509" xr:uid="{3B4378D3-7C51-4B91-822B-758528BFF352}"/>
    <cellStyle name="Normal 8 3 3 2 2 4 2" xfId="36570" xr:uid="{E61CE236-06D3-4AFC-8D0E-24ECE9E4CA95}"/>
    <cellStyle name="Normal 8 3 3 2 2 4 2 2" xfId="55164" xr:uid="{77B2A445-0D8B-41C5-907E-8722FCA499EB}"/>
    <cellStyle name="Normal 8 3 3 2 2 4 3" xfId="45867" xr:uid="{69940713-BA99-4747-BAD9-A7E71DB1594D}"/>
    <cellStyle name="Normal 8 3 3 2 2 4 4" xfId="27271" xr:uid="{B172E919-4610-49AD-9115-18D557764916}"/>
    <cellStyle name="Normal 8 3 3 2 2 5" xfId="10388" xr:uid="{EDBD4EDB-EFCA-41A4-B9A1-CC72B37821A1}"/>
    <cellStyle name="Normal 8 3 3 2 2 5 2" xfId="46730" xr:uid="{9E04CA78-FEF4-4949-8F9B-43D4A687E101}"/>
    <cellStyle name="Normal 8 3 3 2 2 5 3" xfId="28134" xr:uid="{307F32C2-B74D-4214-A554-A5E4DB13CC65}"/>
    <cellStyle name="Normal 8 3 3 2 2 6" xfId="37433" xr:uid="{0C0FFFF6-6AD2-49EA-890A-CF42E397BC50}"/>
    <cellStyle name="Normal 8 3 3 2 2 7" xfId="18835" xr:uid="{E82B63DE-0258-4E18-9BF0-C3FCDCF83054}"/>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17163" xr:uid="{FEF248A6-BD6E-4877-B564-004BB53AE5BB}"/>
    <cellStyle name="Normal 8 3 3 2 3 2 2 2 2" xfId="53505" xr:uid="{7B037C07-5C1B-4F7E-A626-EFCD8A699ACE}"/>
    <cellStyle name="Normal 8 3 3 2 3 2 2 2 3" xfId="34909" xr:uid="{79214DCF-CB04-4B03-AC77-B4199EB5BB06}"/>
    <cellStyle name="Normal 8 3 3 2 3 2 2 3" xfId="44208" xr:uid="{E8338F80-FB82-4348-A5E0-4CED48101C54}"/>
    <cellStyle name="Normal 8 3 3 2 3 2 2 4" xfId="25610" xr:uid="{4DEC2F95-4303-4306-82EE-EAE5044FDBE5}"/>
    <cellStyle name="Normal 8 3 3 2 3 2 3" xfId="12946" xr:uid="{4640BF1A-2857-4EE2-9ECC-3D9A8D89DFF1}"/>
    <cellStyle name="Normal 8 3 3 2 3 2 3 2" xfId="49288" xr:uid="{333B7CA6-F6A8-4BE6-AB18-A4D9ED01D909}"/>
    <cellStyle name="Normal 8 3 3 2 3 2 3 3" xfId="30692" xr:uid="{D2DCDCFB-0EA1-4FC9-9D27-A998085E738E}"/>
    <cellStyle name="Normal 8 3 3 2 3 2 4" xfId="39991" xr:uid="{C60EA794-38FC-4899-AF2A-60AABAD78295}"/>
    <cellStyle name="Normal 8 3 3 2 3 2 5" xfId="21393" xr:uid="{32B1A210-BB6F-4425-902B-079A70EACA83}"/>
    <cellStyle name="Normal 8 3 3 2 3 3" xfId="5692" xr:uid="{00000000-0005-0000-0000-00008A1D0000}"/>
    <cellStyle name="Normal 8 3 3 2 3 3 2" xfId="15018" xr:uid="{8FC8AC8A-7926-4AF6-A3AE-857631D00178}"/>
    <cellStyle name="Normal 8 3 3 2 3 3 2 2" xfId="51360" xr:uid="{B42C2341-F113-4DA8-8DEF-204B0CBB6A40}"/>
    <cellStyle name="Normal 8 3 3 2 3 3 2 3" xfId="32764" xr:uid="{5E0F5694-C66A-409B-ADEA-F1DBEDA2DFE4}"/>
    <cellStyle name="Normal 8 3 3 2 3 3 3" xfId="42063" xr:uid="{AEFBAC64-0F93-4799-96ED-6AB57A68B3E0}"/>
    <cellStyle name="Normal 8 3 3 2 3 3 4" xfId="23465" xr:uid="{ACC73618-87BA-4DC8-A696-38B8D678D4B0}"/>
    <cellStyle name="Normal 8 3 3 2 3 4" xfId="10801" xr:uid="{F901B5F7-21F8-4951-8594-AB2CDF5CC490}"/>
    <cellStyle name="Normal 8 3 3 2 3 4 2" xfId="47143" xr:uid="{FA002001-4BD6-44AA-8B43-FE647895D462}"/>
    <cellStyle name="Normal 8 3 3 2 3 4 3" xfId="28547" xr:uid="{D2845DE0-9620-4277-BA89-AD8CFC03571E}"/>
    <cellStyle name="Normal 8 3 3 2 3 5" xfId="37846" xr:uid="{18965A99-B849-4C8B-A462-A93187BCC866}"/>
    <cellStyle name="Normal 8 3 3 2 3 6" xfId="19248" xr:uid="{D218765B-ADDD-4087-8D9F-DB13ED2B41BC}"/>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17576" xr:uid="{1ACEA126-43FD-4F86-BFA5-E61821E3F893}"/>
    <cellStyle name="Normal 8 3 3 2 4 2 2 2 2" xfId="53918" xr:uid="{7BA0A0E5-0CD0-4F72-BB52-AA3E3619A7E0}"/>
    <cellStyle name="Normal 8 3 3 2 4 2 2 2 3" xfId="35322" xr:uid="{2547C129-F08D-4EDA-8582-9FEA16923F85}"/>
    <cellStyle name="Normal 8 3 3 2 4 2 2 3" xfId="44621" xr:uid="{5EC05FBE-D99E-44A6-A967-9D9F56E1BF52}"/>
    <cellStyle name="Normal 8 3 3 2 4 2 2 4" xfId="26023" xr:uid="{44B7F0D7-B898-4F20-A04F-61D7AB223D57}"/>
    <cellStyle name="Normal 8 3 3 2 4 2 3" xfId="13359" xr:uid="{F37764C8-3CDF-4E95-8D01-ED1501F7F53A}"/>
    <cellStyle name="Normal 8 3 3 2 4 2 3 2" xfId="49701" xr:uid="{43B31E93-12E4-4366-98AF-71D8309B7334}"/>
    <cellStyle name="Normal 8 3 3 2 4 2 3 3" xfId="31105" xr:uid="{F2EDFB06-D4AB-42C5-B9FF-5A5E7940CB48}"/>
    <cellStyle name="Normal 8 3 3 2 4 2 4" xfId="40404" xr:uid="{FDD59F48-2816-4C58-A0DD-1A9B211B1692}"/>
    <cellStyle name="Normal 8 3 3 2 4 2 5" xfId="21806" xr:uid="{88A940BC-61AD-4E84-A78E-2B36EC531ACC}"/>
    <cellStyle name="Normal 8 3 3 2 4 3" xfId="6105" xr:uid="{00000000-0005-0000-0000-00008E1D0000}"/>
    <cellStyle name="Normal 8 3 3 2 4 3 2" xfId="15431" xr:uid="{3A9BD2B5-EF22-4FEA-BC6C-E0EB1601B286}"/>
    <cellStyle name="Normal 8 3 3 2 4 3 2 2" xfId="51773" xr:uid="{B27AC1EC-CC25-4618-83D2-3B6370F5DEE4}"/>
    <cellStyle name="Normal 8 3 3 2 4 3 2 3" xfId="33177" xr:uid="{620EAAFE-6986-4422-B679-AD5E0DFC5590}"/>
    <cellStyle name="Normal 8 3 3 2 4 3 3" xfId="42476" xr:uid="{4385ADAA-D44C-475D-9D94-16465123A84C}"/>
    <cellStyle name="Normal 8 3 3 2 4 3 4" xfId="23878" xr:uid="{1A046A65-2B1E-4D25-BC8F-8885FF9F2CB9}"/>
    <cellStyle name="Normal 8 3 3 2 4 4" xfId="11214" xr:uid="{FC8E9883-BEE9-400F-B29B-6CE1A0ACC1B4}"/>
    <cellStyle name="Normal 8 3 3 2 4 4 2" xfId="47556" xr:uid="{01038584-C07A-4AAC-9709-D78592C15B5C}"/>
    <cellStyle name="Normal 8 3 3 2 4 4 3" xfId="28960" xr:uid="{7C24256E-007E-44C3-A4F2-BC45D8C09743}"/>
    <cellStyle name="Normal 8 3 3 2 4 5" xfId="38259" xr:uid="{6ED93430-4065-4A17-A749-EBCF68CFFD6B}"/>
    <cellStyle name="Normal 8 3 3 2 4 6" xfId="19661" xr:uid="{24A450E7-C52A-47C8-80B1-381AE8ED255A}"/>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17989" xr:uid="{0933554B-33B9-4101-A7FE-1CBAB4C3CA31}"/>
    <cellStyle name="Normal 8 3 3 2 5 2 2 2 2" xfId="54331" xr:uid="{69E17932-5745-4060-AA67-5DF0123A8F58}"/>
    <cellStyle name="Normal 8 3 3 2 5 2 2 2 3" xfId="35735" xr:uid="{9977940D-AB03-4DFF-8BBA-B34A0034E97B}"/>
    <cellStyle name="Normal 8 3 3 2 5 2 2 3" xfId="45034" xr:uid="{4A8CB76F-8B32-481D-8566-29042C6B9910}"/>
    <cellStyle name="Normal 8 3 3 2 5 2 2 4" xfId="26436" xr:uid="{56E4AAFE-A33F-42C8-B9EA-AAFC2CB9D68B}"/>
    <cellStyle name="Normal 8 3 3 2 5 2 3" xfId="13772" xr:uid="{BFEB8B47-A095-4DBC-A23E-72A21251C61F}"/>
    <cellStyle name="Normal 8 3 3 2 5 2 3 2" xfId="50114" xr:uid="{444DC94D-2EB9-42FE-B1BC-D70A06A335EB}"/>
    <cellStyle name="Normal 8 3 3 2 5 2 3 3" xfId="31518" xr:uid="{0AD2E451-6B7F-4A7E-9CA8-BAB843EE8AE0}"/>
    <cellStyle name="Normal 8 3 3 2 5 2 4" xfId="40817" xr:uid="{81603044-A7E3-4618-A6B1-3BDEA0639B02}"/>
    <cellStyle name="Normal 8 3 3 2 5 2 5" xfId="22219" xr:uid="{13CB16F2-1DDE-40B0-BFD3-3C4A6ADFC882}"/>
    <cellStyle name="Normal 8 3 3 2 5 3" xfId="6518" xr:uid="{00000000-0005-0000-0000-0000921D0000}"/>
    <cellStyle name="Normal 8 3 3 2 5 3 2" xfId="15844" xr:uid="{400EB842-6EB5-43B3-9057-03342A51C145}"/>
    <cellStyle name="Normal 8 3 3 2 5 3 2 2" xfId="52186" xr:uid="{E5EB4C45-EC30-443A-BE81-1FA1E8D2FCA2}"/>
    <cellStyle name="Normal 8 3 3 2 5 3 2 3" xfId="33590" xr:uid="{823FD7BD-E76F-4AE6-9971-38C4FCD04478}"/>
    <cellStyle name="Normal 8 3 3 2 5 3 3" xfId="42889" xr:uid="{04B4A5E3-0658-4F0E-8363-61AFD788AB42}"/>
    <cellStyle name="Normal 8 3 3 2 5 3 4" xfId="24291" xr:uid="{F7FA6315-FEE0-4652-812B-1D50810A926C}"/>
    <cellStyle name="Normal 8 3 3 2 5 4" xfId="11627" xr:uid="{432EDEE6-C7BC-41B5-9420-C6F3B3CB98F1}"/>
    <cellStyle name="Normal 8 3 3 2 5 4 2" xfId="47969" xr:uid="{9F4D2D51-0C6F-4F0A-9D84-7D167E070B0B}"/>
    <cellStyle name="Normal 8 3 3 2 5 4 3" xfId="29373" xr:uid="{D5F280EE-5F92-4736-B743-658CE446E595}"/>
    <cellStyle name="Normal 8 3 3 2 5 5" xfId="38672" xr:uid="{FE487DF5-7FDB-46AE-A6BF-FFE57C8912E3}"/>
    <cellStyle name="Normal 8 3 3 2 5 6" xfId="20074" xr:uid="{3B595C58-1F80-4E6C-B805-AFDCC23D5FC8}"/>
    <cellStyle name="Normal 8 3 3 2 6" xfId="2648" xr:uid="{00000000-0005-0000-0000-0000931D0000}"/>
    <cellStyle name="Normal 8 3 3 2 6 2" xfId="6931" xr:uid="{00000000-0005-0000-0000-0000941D0000}"/>
    <cellStyle name="Normal 8 3 3 2 6 2 2" xfId="16257" xr:uid="{F790DC97-8975-44E8-8B13-857446997BFF}"/>
    <cellStyle name="Normal 8 3 3 2 6 2 2 2" xfId="52599" xr:uid="{DF16B236-CED3-43FE-9C13-8BACEE95450E}"/>
    <cellStyle name="Normal 8 3 3 2 6 2 2 3" xfId="34003" xr:uid="{68528B9A-A1C0-4D21-AB4D-016830A05133}"/>
    <cellStyle name="Normal 8 3 3 2 6 2 3" xfId="43302" xr:uid="{9B5503D8-79E5-4C37-9B69-F70A359BC73D}"/>
    <cellStyle name="Normal 8 3 3 2 6 2 4" xfId="24704" xr:uid="{B68F8A87-F138-4C2F-977E-6731E3074387}"/>
    <cellStyle name="Normal 8 3 3 2 6 3" xfId="12040" xr:uid="{5F41A1F3-AF6C-415E-A292-4E92E43A1AEF}"/>
    <cellStyle name="Normal 8 3 3 2 6 3 2" xfId="48382" xr:uid="{71BD038E-4DA6-43D1-AF43-004246049BD7}"/>
    <cellStyle name="Normal 8 3 3 2 6 3 3" xfId="29786" xr:uid="{19BFDAE5-068C-448E-B4D2-85C0E69ACDA4}"/>
    <cellStyle name="Normal 8 3 3 2 6 4" xfId="39085" xr:uid="{96526F12-A07D-47FC-B49E-A27B4D0F8A1A}"/>
    <cellStyle name="Normal 8 3 3 2 6 5" xfId="20487" xr:uid="{05F4808A-F477-4488-87CC-3542AFF4944A}"/>
    <cellStyle name="Normal 8 3 3 2 7" xfId="4866" xr:uid="{00000000-0005-0000-0000-0000951D0000}"/>
    <cellStyle name="Normal 8 3 3 2 7 2" xfId="14192" xr:uid="{E4198504-5266-493D-987B-8A27A15C3585}"/>
    <cellStyle name="Normal 8 3 3 2 7 2 2" xfId="50534" xr:uid="{CF8F1EC1-6E54-4D3C-8E11-9D438083F228}"/>
    <cellStyle name="Normal 8 3 3 2 7 2 3" xfId="31938" xr:uid="{235C6A52-D1A3-499D-956B-559E132F9D6B}"/>
    <cellStyle name="Normal 8 3 3 2 7 3" xfId="41237" xr:uid="{91A3FA96-CC01-4411-8846-79330C647E21}"/>
    <cellStyle name="Normal 8 3 3 2 7 4" xfId="22639" xr:uid="{014EEC29-D329-4402-A8B4-AD3542161AF5}"/>
    <cellStyle name="Normal 8 3 3 2 8" xfId="9084" xr:uid="{94243AB7-0454-4C95-8E94-054E46718167}"/>
    <cellStyle name="Normal 8 3 3 2 8 2" xfId="36154" xr:uid="{64FFDA12-420F-42CF-85BB-C69C628EB8C3}"/>
    <cellStyle name="Normal 8 3 3 2 8 2 2" xfId="54749" xr:uid="{44A9BE2E-A652-4945-8684-D249E2486604}"/>
    <cellStyle name="Normal 8 3 3 2 8 3" xfId="45452" xr:uid="{9539BF8B-CDBD-48F6-ACE2-F69FDD04554A}"/>
    <cellStyle name="Normal 8 3 3 2 8 4" xfId="26855" xr:uid="{B79E3C8C-52F3-4348-894D-C56E5315F108}"/>
    <cellStyle name="Normal 8 3 3 2 9" xfId="9975" xr:uid="{43F2ED23-E63A-4FE6-9869-F9050EEF8178}"/>
    <cellStyle name="Normal 8 3 3 2 9 2" xfId="46317" xr:uid="{643B7646-EC2D-4E2E-B9B2-2F2B931EAD67}"/>
    <cellStyle name="Normal 8 3 3 2 9 3" xfId="27721" xr:uid="{14C4DF8F-9156-4FDD-BE27-5133CD5CCB1F}"/>
    <cellStyle name="Normal 8 3 3 3" xfId="967" xr:uid="{00000000-0005-0000-0000-0000961D0000}"/>
    <cellStyle name="Normal 8 3 3 3 2" xfId="3201" xr:uid="{00000000-0005-0000-0000-0000971D0000}"/>
    <cellStyle name="Normal 8 3 3 3 2 2" xfId="7423" xr:uid="{00000000-0005-0000-0000-0000981D0000}"/>
    <cellStyle name="Normal 8 3 3 3 2 2 2" xfId="16749" xr:uid="{961FB835-B977-4FD8-947C-954EAEDCA460}"/>
    <cellStyle name="Normal 8 3 3 3 2 2 2 2" xfId="53091" xr:uid="{0240678A-DE9B-456D-AD27-01A1F58E13A8}"/>
    <cellStyle name="Normal 8 3 3 3 2 2 2 3" xfId="34495" xr:uid="{EBDD48C4-D750-40A0-B815-5D9B43A8EE2D}"/>
    <cellStyle name="Normal 8 3 3 3 2 2 3" xfId="43794" xr:uid="{67F7F6E9-6169-4B1B-A671-BF988E6D5AA6}"/>
    <cellStyle name="Normal 8 3 3 3 2 2 4" xfId="25196" xr:uid="{6C34E7B6-D988-4BF7-8F31-C6A32A347466}"/>
    <cellStyle name="Normal 8 3 3 3 2 3" xfId="12532" xr:uid="{6A10C0C2-69EF-45DB-9CFC-B2DA3607DD58}"/>
    <cellStyle name="Normal 8 3 3 3 2 3 2" xfId="48874" xr:uid="{142C60CF-AE55-4950-BDC8-632130C573C8}"/>
    <cellStyle name="Normal 8 3 3 3 2 3 3" xfId="30278" xr:uid="{D98A43BA-3E47-468D-AE88-86546C30DC21}"/>
    <cellStyle name="Normal 8 3 3 3 2 4" xfId="39577" xr:uid="{7473BC2D-6CF6-4F86-9EB0-44DFAC3D5801}"/>
    <cellStyle name="Normal 8 3 3 3 2 5" xfId="20979" xr:uid="{1624D998-D498-4E87-8721-7F84C442EEBE}"/>
    <cellStyle name="Normal 8 3 3 3 3" xfId="5278" xr:uid="{00000000-0005-0000-0000-0000991D0000}"/>
    <cellStyle name="Normal 8 3 3 3 3 2" xfId="14604" xr:uid="{F29D9585-6481-4524-9F81-722EC05CC2B6}"/>
    <cellStyle name="Normal 8 3 3 3 3 2 2" xfId="50946" xr:uid="{C21193CB-B5EE-4E63-9E34-364DBE930140}"/>
    <cellStyle name="Normal 8 3 3 3 3 2 3" xfId="32350" xr:uid="{DBF84E4A-6AD3-4EE5-BB4D-5027C028EDB1}"/>
    <cellStyle name="Normal 8 3 3 3 3 3" xfId="41649" xr:uid="{3E8A52AF-D05C-4765-A863-B8FF2F2E6658}"/>
    <cellStyle name="Normal 8 3 3 3 3 4" xfId="23051" xr:uid="{C07CC899-5BA2-4DAD-801B-21DBC5E79BA1}"/>
    <cellStyle name="Normal 8 3 3 3 4" xfId="9302" xr:uid="{3985B908-2B56-4F9B-BEA3-8962926FD004}"/>
    <cellStyle name="Normal 8 3 3 3 4 2" xfId="36363" xr:uid="{3DB3D629-9E43-4174-A385-FEBD37C3787B}"/>
    <cellStyle name="Normal 8 3 3 3 4 2 2" xfId="54957" xr:uid="{694F8B46-CFDC-42C3-BF66-9E89A0C23991}"/>
    <cellStyle name="Normal 8 3 3 3 4 3" xfId="45660" xr:uid="{22C7BDDD-3F27-4B47-B791-E124BDB037BA}"/>
    <cellStyle name="Normal 8 3 3 3 4 4" xfId="27064" xr:uid="{9D0DA730-24D0-403D-8FAB-2581193FB106}"/>
    <cellStyle name="Normal 8 3 3 3 5" xfId="10387" xr:uid="{76012D1D-7DE5-4B94-97A7-3A4B1F6C3536}"/>
    <cellStyle name="Normal 8 3 3 3 5 2" xfId="46729" xr:uid="{67C3FD65-2016-43AB-9D62-6DD03F9DDD2E}"/>
    <cellStyle name="Normal 8 3 3 3 5 3" xfId="28133" xr:uid="{1961C968-D7E3-482D-9127-78E6D592FF21}"/>
    <cellStyle name="Normal 8 3 3 3 6" xfId="37432" xr:uid="{AE7FDC96-EE02-4186-ABDC-6D15567FA0C7}"/>
    <cellStyle name="Normal 8 3 3 3 7" xfId="18834" xr:uid="{BD5A7ACC-FF1F-40BC-BADA-26B8C4E7E3FC}"/>
    <cellStyle name="Normal 8 3 3 4" xfId="1384" xr:uid="{00000000-0005-0000-0000-00009A1D0000}"/>
    <cellStyle name="Normal 8 3 3 4 2" xfId="3614" xr:uid="{00000000-0005-0000-0000-00009B1D0000}"/>
    <cellStyle name="Normal 8 3 3 4 2 2" xfId="7836" xr:uid="{00000000-0005-0000-0000-00009C1D0000}"/>
    <cellStyle name="Normal 8 3 3 4 2 2 2" xfId="17162" xr:uid="{2BAA16D5-A374-4D50-9762-F1250602204B}"/>
    <cellStyle name="Normal 8 3 3 4 2 2 2 2" xfId="53504" xr:uid="{C8943CCC-C448-4950-A57B-5A1C948CCD9C}"/>
    <cellStyle name="Normal 8 3 3 4 2 2 2 3" xfId="34908" xr:uid="{64ED4E8E-9E87-46C7-8C3F-34785C5584DA}"/>
    <cellStyle name="Normal 8 3 3 4 2 2 3" xfId="44207" xr:uid="{367A3D4D-BCE3-4352-885B-C9A20563A0F5}"/>
    <cellStyle name="Normal 8 3 3 4 2 2 4" xfId="25609" xr:uid="{C98DFCB8-327E-496F-A766-0AB8525B4384}"/>
    <cellStyle name="Normal 8 3 3 4 2 3" xfId="12945" xr:uid="{38088659-EC01-495D-B903-AC98BC1292B6}"/>
    <cellStyle name="Normal 8 3 3 4 2 3 2" xfId="49287" xr:uid="{39E6DF5E-623E-4CE1-BC7A-9DD085BAD2EA}"/>
    <cellStyle name="Normal 8 3 3 4 2 3 3" xfId="30691" xr:uid="{901FD912-025A-4F98-BCD8-2654D2097209}"/>
    <cellStyle name="Normal 8 3 3 4 2 4" xfId="39990" xr:uid="{7369A15A-1E47-4AC5-9345-E85E1E14DA6E}"/>
    <cellStyle name="Normal 8 3 3 4 2 5" xfId="21392" xr:uid="{76542AC2-655D-4E3E-A858-702B524F23A3}"/>
    <cellStyle name="Normal 8 3 3 4 3" xfId="5691" xr:uid="{00000000-0005-0000-0000-00009D1D0000}"/>
    <cellStyle name="Normal 8 3 3 4 3 2" xfId="15017" xr:uid="{039DE6AA-8B18-4EFE-A8AA-44DFB70122B6}"/>
    <cellStyle name="Normal 8 3 3 4 3 2 2" xfId="51359" xr:uid="{D83F16DB-D2BB-49FD-AA18-B9B0B70B3DA5}"/>
    <cellStyle name="Normal 8 3 3 4 3 2 3" xfId="32763" xr:uid="{4F41083A-0085-4BDA-B550-E0EFD903F9CB}"/>
    <cellStyle name="Normal 8 3 3 4 3 3" xfId="42062" xr:uid="{F4D6B774-998F-4E33-8855-D00C3553E062}"/>
    <cellStyle name="Normal 8 3 3 4 3 4" xfId="23464" xr:uid="{5E2AC7C5-5E3A-4736-8716-2D7D21D698A8}"/>
    <cellStyle name="Normal 8 3 3 4 4" xfId="10800" xr:uid="{6474CC56-6C5D-4A01-8BCC-4EA503042702}"/>
    <cellStyle name="Normal 8 3 3 4 4 2" xfId="47142" xr:uid="{C19F733B-DE9A-4987-801A-F64F0E610310}"/>
    <cellStyle name="Normal 8 3 3 4 4 3" xfId="28546" xr:uid="{7B9D7BDE-3456-453C-A35A-9ADC4A3BC3D1}"/>
    <cellStyle name="Normal 8 3 3 4 5" xfId="37845" xr:uid="{BC24026C-0AA3-476E-8720-DC9C11A54AF1}"/>
    <cellStyle name="Normal 8 3 3 4 6" xfId="19247" xr:uid="{3BD8AC7C-CE27-40F6-8504-AE6B74F92D3F}"/>
    <cellStyle name="Normal 8 3 3 5" xfId="1797" xr:uid="{00000000-0005-0000-0000-00009E1D0000}"/>
    <cellStyle name="Normal 8 3 3 5 2" xfId="4027" xr:uid="{00000000-0005-0000-0000-00009F1D0000}"/>
    <cellStyle name="Normal 8 3 3 5 2 2" xfId="8249" xr:uid="{00000000-0005-0000-0000-0000A01D0000}"/>
    <cellStyle name="Normal 8 3 3 5 2 2 2" xfId="17575" xr:uid="{D40E8C61-0BF7-4ED2-8E6C-37A9D17A5C3E}"/>
    <cellStyle name="Normal 8 3 3 5 2 2 2 2" xfId="53917" xr:uid="{6203BA9A-A7A2-4515-A830-D904C90EEE2F}"/>
    <cellStyle name="Normal 8 3 3 5 2 2 2 3" xfId="35321" xr:uid="{7599C8E5-9E32-4C74-A9A0-86C143B4A7B6}"/>
    <cellStyle name="Normal 8 3 3 5 2 2 3" xfId="44620" xr:uid="{56237218-8D88-48FE-9C44-DFEBCDA6384B}"/>
    <cellStyle name="Normal 8 3 3 5 2 2 4" xfId="26022" xr:uid="{4EA3F280-00FC-409D-B5F3-BCD4C3145CB5}"/>
    <cellStyle name="Normal 8 3 3 5 2 3" xfId="13358" xr:uid="{5E495E14-F130-47CE-9C11-7D41419E640B}"/>
    <cellStyle name="Normal 8 3 3 5 2 3 2" xfId="49700" xr:uid="{4A361651-71CF-46F5-9713-6B47139536B7}"/>
    <cellStyle name="Normal 8 3 3 5 2 3 3" xfId="31104" xr:uid="{3C9F8CA8-13F8-41AE-B4F9-983E88B68350}"/>
    <cellStyle name="Normal 8 3 3 5 2 4" xfId="40403" xr:uid="{C2908661-F24B-4A21-9B7B-35607F8DF22C}"/>
    <cellStyle name="Normal 8 3 3 5 2 5" xfId="21805" xr:uid="{AF5170BF-34D0-4F47-A8B8-7657B281D2C2}"/>
    <cellStyle name="Normal 8 3 3 5 3" xfId="6104" xr:uid="{00000000-0005-0000-0000-0000A11D0000}"/>
    <cellStyle name="Normal 8 3 3 5 3 2" xfId="15430" xr:uid="{3C4E0AF3-0EDD-4976-82F1-7C5668F863C8}"/>
    <cellStyle name="Normal 8 3 3 5 3 2 2" xfId="51772" xr:uid="{E386EBC0-7E69-46C6-9B6D-47843D173002}"/>
    <cellStyle name="Normal 8 3 3 5 3 2 3" xfId="33176" xr:uid="{FA82E1D8-A0BA-4908-96AE-48D77B767365}"/>
    <cellStyle name="Normal 8 3 3 5 3 3" xfId="42475" xr:uid="{52A96ECD-142B-4C27-9C70-739BF3E0F298}"/>
    <cellStyle name="Normal 8 3 3 5 3 4" xfId="23877" xr:uid="{4FE6B5C5-8345-4142-9F21-B8B314A57E34}"/>
    <cellStyle name="Normal 8 3 3 5 4" xfId="11213" xr:uid="{91E5B8B8-2B07-4890-99B1-D0625760CCD8}"/>
    <cellStyle name="Normal 8 3 3 5 4 2" xfId="47555" xr:uid="{82C7F791-FFDA-4B9B-8412-7C8CD0BA468D}"/>
    <cellStyle name="Normal 8 3 3 5 4 3" xfId="28959" xr:uid="{C0FD8CD3-35C5-42D7-BD1B-BDCCC6B26335}"/>
    <cellStyle name="Normal 8 3 3 5 5" xfId="38258" xr:uid="{DA5515C9-CDB8-43B0-999D-439E9CCAAC14}"/>
    <cellStyle name="Normal 8 3 3 5 6" xfId="19660" xr:uid="{67B1FC02-D246-48BC-BC80-DA9B9A6B39B6}"/>
    <cellStyle name="Normal 8 3 3 6" xfId="2211" xr:uid="{00000000-0005-0000-0000-0000A21D0000}"/>
    <cellStyle name="Normal 8 3 3 6 2" xfId="4440" xr:uid="{00000000-0005-0000-0000-0000A31D0000}"/>
    <cellStyle name="Normal 8 3 3 6 2 2" xfId="8662" xr:uid="{00000000-0005-0000-0000-0000A41D0000}"/>
    <cellStyle name="Normal 8 3 3 6 2 2 2" xfId="17988" xr:uid="{7EBA8950-C33D-4C20-BDF8-5E4E3E56909A}"/>
    <cellStyle name="Normal 8 3 3 6 2 2 2 2" xfId="54330" xr:uid="{6DFE1C0F-2A71-486F-AD9C-49C087818998}"/>
    <cellStyle name="Normal 8 3 3 6 2 2 2 3" xfId="35734" xr:uid="{3AE9F666-E314-4186-97C6-85166BB0BABB}"/>
    <cellStyle name="Normal 8 3 3 6 2 2 3" xfId="45033" xr:uid="{E0EFA0FF-BBEA-44E2-949F-71ADBEFD57F8}"/>
    <cellStyle name="Normal 8 3 3 6 2 2 4" xfId="26435" xr:uid="{BA6D44D6-AFE5-4DA9-9302-1E2DC5F3FD2A}"/>
    <cellStyle name="Normal 8 3 3 6 2 3" xfId="13771" xr:uid="{FD7B78E4-FB8C-42DD-8E63-14A1AEC8D8A9}"/>
    <cellStyle name="Normal 8 3 3 6 2 3 2" xfId="50113" xr:uid="{2A59B25F-A242-4B68-9370-BEA9535D0171}"/>
    <cellStyle name="Normal 8 3 3 6 2 3 3" xfId="31517" xr:uid="{53C6A220-9E6B-4CDB-B5A0-6537DB67D284}"/>
    <cellStyle name="Normal 8 3 3 6 2 4" xfId="40816" xr:uid="{6999F1AD-74F9-4DEA-8EDD-CB2A7582E25A}"/>
    <cellStyle name="Normal 8 3 3 6 2 5" xfId="22218" xr:uid="{F2607241-EEE9-4292-9077-D33AEE939CFB}"/>
    <cellStyle name="Normal 8 3 3 6 3" xfId="6517" xr:uid="{00000000-0005-0000-0000-0000A51D0000}"/>
    <cellStyle name="Normal 8 3 3 6 3 2" xfId="15843" xr:uid="{B86A6E3B-8BB9-48C7-908F-C4B34CB93098}"/>
    <cellStyle name="Normal 8 3 3 6 3 2 2" xfId="52185" xr:uid="{555A1C7A-951A-4029-97A1-4DCD19642469}"/>
    <cellStyle name="Normal 8 3 3 6 3 2 3" xfId="33589" xr:uid="{D0D607EF-8A1B-45A8-BB09-488E746EBA46}"/>
    <cellStyle name="Normal 8 3 3 6 3 3" xfId="42888" xr:uid="{DA873704-0A68-4E7A-9529-7F3038D15861}"/>
    <cellStyle name="Normal 8 3 3 6 3 4" xfId="24290" xr:uid="{F4BEC766-D2EB-480C-AE33-BA1BC42BE832}"/>
    <cellStyle name="Normal 8 3 3 6 4" xfId="11626" xr:uid="{37D8F942-B4D6-4B57-9B08-D9AA8DDB2CCC}"/>
    <cellStyle name="Normal 8 3 3 6 4 2" xfId="47968" xr:uid="{58FADBA2-CE4D-46E7-929E-9B674E3591CA}"/>
    <cellStyle name="Normal 8 3 3 6 4 3" xfId="29372" xr:uid="{74FC4973-9D26-45E8-AA23-5501C0DD1E5C}"/>
    <cellStyle name="Normal 8 3 3 6 5" xfId="38671" xr:uid="{0B58BE36-91BC-4B1A-99C8-364A8ACBD772}"/>
    <cellStyle name="Normal 8 3 3 6 6" xfId="20073" xr:uid="{99EEC7C0-3051-4D00-B7AA-F13019964186}"/>
    <cellStyle name="Normal 8 3 3 7" xfId="2647" xr:uid="{00000000-0005-0000-0000-0000A61D0000}"/>
    <cellStyle name="Normal 8 3 3 7 2" xfId="6930" xr:uid="{00000000-0005-0000-0000-0000A71D0000}"/>
    <cellStyle name="Normal 8 3 3 7 2 2" xfId="16256" xr:uid="{DF3A00A1-C484-4E0C-98C9-E3F35D433646}"/>
    <cellStyle name="Normal 8 3 3 7 2 2 2" xfId="52598" xr:uid="{133976E3-8973-441E-BF46-61905F11917B}"/>
    <cellStyle name="Normal 8 3 3 7 2 2 3" xfId="34002" xr:uid="{2A3747A0-6258-4129-9391-E2ADB12C1340}"/>
    <cellStyle name="Normal 8 3 3 7 2 3" xfId="43301" xr:uid="{07DC746E-BDBD-4F1B-B2F8-72C0D81E112C}"/>
    <cellStyle name="Normal 8 3 3 7 2 4" xfId="24703" xr:uid="{B12863C3-9077-475A-AFF5-105F387AB98A}"/>
    <cellStyle name="Normal 8 3 3 7 3" xfId="12039" xr:uid="{9A8C7B84-33ED-46C0-8D6D-369178ED75F1}"/>
    <cellStyle name="Normal 8 3 3 7 3 2" xfId="48381" xr:uid="{DAE7B4C6-EDA5-4661-A6E6-05DF5BB4E714}"/>
    <cellStyle name="Normal 8 3 3 7 3 3" xfId="29785" xr:uid="{01D38A1C-545A-4934-A711-A6302F53ACD2}"/>
    <cellStyle name="Normal 8 3 3 7 4" xfId="39084" xr:uid="{DF3CF7B5-D163-4589-9AA9-2EF54F608E15}"/>
    <cellStyle name="Normal 8 3 3 7 5" xfId="20486" xr:uid="{B5EE575E-9598-402B-918E-05CCDEF9E8BF}"/>
    <cellStyle name="Normal 8 3 3 8" xfId="4865" xr:uid="{00000000-0005-0000-0000-0000A81D0000}"/>
    <cellStyle name="Normal 8 3 3 8 2" xfId="14191" xr:uid="{0784084C-8E1E-4C5B-BB9F-6D97771B814B}"/>
    <cellStyle name="Normal 8 3 3 8 2 2" xfId="50533" xr:uid="{DFC8F573-5AF8-45F5-B369-E23017C4FDCC}"/>
    <cellStyle name="Normal 8 3 3 8 2 3" xfId="31937" xr:uid="{003928CB-339B-4565-B849-FC007AEB7C17}"/>
    <cellStyle name="Normal 8 3 3 8 3" xfId="41236" xr:uid="{9DE0BC04-4EFC-4270-8392-0B3ECDA14764}"/>
    <cellStyle name="Normal 8 3 3 8 4" xfId="22638" xr:uid="{9B618F4E-26B5-4E30-B1EA-E417535BBC9A}"/>
    <cellStyle name="Normal 8 3 3 9" xfId="8877" xr:uid="{4F8231E3-800E-43E7-B1B6-9633EBFFFFE1}"/>
    <cellStyle name="Normal 8 3 3 9 2" xfId="35947" xr:uid="{176F9C17-99E2-4FCF-81B8-817C10F151F4}"/>
    <cellStyle name="Normal 8 3 3 9 2 2" xfId="54542" xr:uid="{E28AA6ED-515E-4237-B284-22054784F14C}"/>
    <cellStyle name="Normal 8 3 3 9 3" xfId="45245" xr:uid="{969ED966-4E79-44AF-9673-8E9ECF42AF53}"/>
    <cellStyle name="Normal 8 3 3 9 4" xfId="26648" xr:uid="{1C68F664-DFFC-4F88-BCA4-2CA5F506E066}"/>
    <cellStyle name="Normal 8 3 4" xfId="502" xr:uid="{00000000-0005-0000-0000-0000A91D0000}"/>
    <cellStyle name="Normal 8 3 4 10" xfId="37021" xr:uid="{8636A791-71E5-4A2C-A065-10CA2ABC7631}"/>
    <cellStyle name="Normal 8 3 4 11" xfId="18423" xr:uid="{E69ECE05-2CB9-43C8-87B6-4AB98740869D}"/>
    <cellStyle name="Normal 8 3 4 2" xfId="969" xr:uid="{00000000-0005-0000-0000-0000AA1D0000}"/>
    <cellStyle name="Normal 8 3 4 2 2" xfId="3203" xr:uid="{00000000-0005-0000-0000-0000AB1D0000}"/>
    <cellStyle name="Normal 8 3 4 2 2 2" xfId="7425" xr:uid="{00000000-0005-0000-0000-0000AC1D0000}"/>
    <cellStyle name="Normal 8 3 4 2 2 2 2" xfId="16751" xr:uid="{3360B087-33DA-45B1-968A-D182781C30C5}"/>
    <cellStyle name="Normal 8 3 4 2 2 2 2 2" xfId="53093" xr:uid="{442D0800-4EFE-474B-92EA-C6F299AF277F}"/>
    <cellStyle name="Normal 8 3 4 2 2 2 2 3" xfId="34497" xr:uid="{5EDEB25F-AB67-46BE-82AA-8EFF2000F69B}"/>
    <cellStyle name="Normal 8 3 4 2 2 2 3" xfId="43796" xr:uid="{AC3E9AAF-8888-4576-9561-8F23EB8E72FF}"/>
    <cellStyle name="Normal 8 3 4 2 2 2 4" xfId="25198" xr:uid="{8C45EF36-8D4B-4BA3-8C3A-250E29840A12}"/>
    <cellStyle name="Normal 8 3 4 2 2 3" xfId="12534" xr:uid="{9A61ADD5-170E-4477-8B06-40B92D841437}"/>
    <cellStyle name="Normal 8 3 4 2 2 3 2" xfId="48876" xr:uid="{757A18C3-4A23-4076-9F70-B00348405B1C}"/>
    <cellStyle name="Normal 8 3 4 2 2 3 3" xfId="30280" xr:uid="{2A5A3DB8-A7EA-4161-AA85-C201DE582F17}"/>
    <cellStyle name="Normal 8 3 4 2 2 4" xfId="39579" xr:uid="{0E90F8AE-ED0C-4B24-91AC-AC621A661FD5}"/>
    <cellStyle name="Normal 8 3 4 2 2 5" xfId="20981" xr:uid="{7AD48FFB-E3DF-4DBA-9DF9-246143327DE4}"/>
    <cellStyle name="Normal 8 3 4 2 3" xfId="5280" xr:uid="{00000000-0005-0000-0000-0000AD1D0000}"/>
    <cellStyle name="Normal 8 3 4 2 3 2" xfId="14606" xr:uid="{138D7D2B-B805-4B05-9268-F850544C6AD0}"/>
    <cellStyle name="Normal 8 3 4 2 3 2 2" xfId="50948" xr:uid="{9A08E33E-39C0-4DE6-9F60-FD6058B5262D}"/>
    <cellStyle name="Normal 8 3 4 2 3 2 3" xfId="32352" xr:uid="{42AC6C9E-5879-4795-ADCC-4A6EEEB224A3}"/>
    <cellStyle name="Normal 8 3 4 2 3 3" xfId="41651" xr:uid="{9D540A88-A1A0-4B8C-A8F9-C4A2D30E0D4D}"/>
    <cellStyle name="Normal 8 3 4 2 3 4" xfId="23053" xr:uid="{88A2A79F-4428-4D8C-9910-5247687374A8}"/>
    <cellStyle name="Normal 8 3 4 2 4" xfId="9406" xr:uid="{8751BE45-E47B-4A0A-B0DE-04C14FAEA88D}"/>
    <cellStyle name="Normal 8 3 4 2 4 2" xfId="36467" xr:uid="{8CECD03B-A858-431E-8409-D324BEB5E1E1}"/>
    <cellStyle name="Normal 8 3 4 2 4 2 2" xfId="55061" xr:uid="{AD195254-8196-4CA4-9C8F-C0E467A46A8B}"/>
    <cellStyle name="Normal 8 3 4 2 4 3" xfId="45764" xr:uid="{16741B53-E46F-4653-89A6-3E5E50CB4318}"/>
    <cellStyle name="Normal 8 3 4 2 4 4" xfId="27168" xr:uid="{C0017D9D-9162-49D9-9C37-7B86E2EE439C}"/>
    <cellStyle name="Normal 8 3 4 2 5" xfId="10389" xr:uid="{31160FFD-7350-41F4-A835-A8F2A0BE798B}"/>
    <cellStyle name="Normal 8 3 4 2 5 2" xfId="46731" xr:uid="{ACE09300-7B03-4C67-A7C3-B719D0556F12}"/>
    <cellStyle name="Normal 8 3 4 2 5 3" xfId="28135" xr:uid="{E3C7FACF-A7E2-4795-9E33-B7C2FCF88AB1}"/>
    <cellStyle name="Normal 8 3 4 2 6" xfId="37434" xr:uid="{3B2DD117-62AC-4169-ABEB-0801C3E080CA}"/>
    <cellStyle name="Normal 8 3 4 2 7" xfId="18836" xr:uid="{9F538A3D-4C28-4D85-971E-695A9598B3C2}"/>
    <cellStyle name="Normal 8 3 4 3" xfId="1386" xr:uid="{00000000-0005-0000-0000-0000AE1D0000}"/>
    <cellStyle name="Normal 8 3 4 3 2" xfId="3616" xr:uid="{00000000-0005-0000-0000-0000AF1D0000}"/>
    <cellStyle name="Normal 8 3 4 3 2 2" xfId="7838" xr:uid="{00000000-0005-0000-0000-0000B01D0000}"/>
    <cellStyle name="Normal 8 3 4 3 2 2 2" xfId="17164" xr:uid="{55FC78B0-92B7-4306-B7EB-755246A6B6D0}"/>
    <cellStyle name="Normal 8 3 4 3 2 2 2 2" xfId="53506" xr:uid="{4D158E87-4C4B-4B52-AA9D-D39DCB5F1B77}"/>
    <cellStyle name="Normal 8 3 4 3 2 2 2 3" xfId="34910" xr:uid="{BE5D4B69-C7B4-42D0-B87E-26F798565098}"/>
    <cellStyle name="Normal 8 3 4 3 2 2 3" xfId="44209" xr:uid="{3B3EE286-8FCC-411E-8552-F97A2BF953DF}"/>
    <cellStyle name="Normal 8 3 4 3 2 2 4" xfId="25611" xr:uid="{C71D59FD-7D78-4C9D-BB66-819CCC59A343}"/>
    <cellStyle name="Normal 8 3 4 3 2 3" xfId="12947" xr:uid="{8AF7BF25-DEDE-4B1D-A5A9-5DB8F70246AA}"/>
    <cellStyle name="Normal 8 3 4 3 2 3 2" xfId="49289" xr:uid="{5E8A28BC-B801-431D-A7DA-7E4BEDADA04B}"/>
    <cellStyle name="Normal 8 3 4 3 2 3 3" xfId="30693" xr:uid="{9EB641C0-6734-49BC-8325-1FEEA86F061A}"/>
    <cellStyle name="Normal 8 3 4 3 2 4" xfId="39992" xr:uid="{6BC1F20C-7B3A-45F8-A875-F1FF5AF1192B}"/>
    <cellStyle name="Normal 8 3 4 3 2 5" xfId="21394" xr:uid="{14B8C828-BC40-463F-ACA4-4A4C3D480F01}"/>
    <cellStyle name="Normal 8 3 4 3 3" xfId="5693" xr:uid="{00000000-0005-0000-0000-0000B11D0000}"/>
    <cellStyle name="Normal 8 3 4 3 3 2" xfId="15019" xr:uid="{B1CE7980-B13A-4278-B121-145E2D06C566}"/>
    <cellStyle name="Normal 8 3 4 3 3 2 2" xfId="51361" xr:uid="{83670C52-0AF5-4568-859F-083CB19F52FC}"/>
    <cellStyle name="Normal 8 3 4 3 3 2 3" xfId="32765" xr:uid="{315CC57D-4E80-4ECF-BD37-F1AACD8E144A}"/>
    <cellStyle name="Normal 8 3 4 3 3 3" xfId="42064" xr:uid="{35E37B4C-0B16-4546-AC16-81B8ECFE512E}"/>
    <cellStyle name="Normal 8 3 4 3 3 4" xfId="23466" xr:uid="{FBF3C66C-F38A-4AF5-8618-3E7E25C9717D}"/>
    <cellStyle name="Normal 8 3 4 3 4" xfId="10802" xr:uid="{019F402D-036E-41F9-BC38-765F9FC18F21}"/>
    <cellStyle name="Normal 8 3 4 3 4 2" xfId="47144" xr:uid="{460B93CB-072E-42B7-AA0A-D51894A010CA}"/>
    <cellStyle name="Normal 8 3 4 3 4 3" xfId="28548" xr:uid="{50B89D87-0543-4BEC-A2B2-D3889DE5C91B}"/>
    <cellStyle name="Normal 8 3 4 3 5" xfId="37847" xr:uid="{C7DDDAE5-E28F-4F6E-B278-E455944CBDA4}"/>
    <cellStyle name="Normal 8 3 4 3 6" xfId="19249" xr:uid="{3C3DF0A6-0702-4A8A-92DB-1F7BEDC74FD9}"/>
    <cellStyle name="Normal 8 3 4 4" xfId="1799" xr:uid="{00000000-0005-0000-0000-0000B21D0000}"/>
    <cellStyle name="Normal 8 3 4 4 2" xfId="4029" xr:uid="{00000000-0005-0000-0000-0000B31D0000}"/>
    <cellStyle name="Normal 8 3 4 4 2 2" xfId="8251" xr:uid="{00000000-0005-0000-0000-0000B41D0000}"/>
    <cellStyle name="Normal 8 3 4 4 2 2 2" xfId="17577" xr:uid="{9B2D71DD-71DE-44AB-B804-40C1A7F5A7C8}"/>
    <cellStyle name="Normal 8 3 4 4 2 2 2 2" xfId="53919" xr:uid="{888C1E2D-2783-48A8-A14C-6AC91C0EEA43}"/>
    <cellStyle name="Normal 8 3 4 4 2 2 2 3" xfId="35323" xr:uid="{EA782670-F522-4EF0-8D30-D4C4CBCE801A}"/>
    <cellStyle name="Normal 8 3 4 4 2 2 3" xfId="44622" xr:uid="{1E68755D-9FF1-4AD8-A66C-189153C261C7}"/>
    <cellStyle name="Normal 8 3 4 4 2 2 4" xfId="26024" xr:uid="{450EDA74-AEEC-45E6-A649-CE63EC5B373E}"/>
    <cellStyle name="Normal 8 3 4 4 2 3" xfId="13360" xr:uid="{A6156EC8-E368-482A-819C-17D069709722}"/>
    <cellStyle name="Normal 8 3 4 4 2 3 2" xfId="49702" xr:uid="{8FC47067-7F17-437D-A887-ED98E4D78F2A}"/>
    <cellStyle name="Normal 8 3 4 4 2 3 3" xfId="31106" xr:uid="{E941E2BC-3AF6-4E32-91FB-114BEAAE237A}"/>
    <cellStyle name="Normal 8 3 4 4 2 4" xfId="40405" xr:uid="{D2FCC608-5B8B-45E5-8CFE-189F233E7898}"/>
    <cellStyle name="Normal 8 3 4 4 2 5" xfId="21807" xr:uid="{DF3C51F0-D7A3-44CE-9228-0DA4DAF581F7}"/>
    <cellStyle name="Normal 8 3 4 4 3" xfId="6106" xr:uid="{00000000-0005-0000-0000-0000B51D0000}"/>
    <cellStyle name="Normal 8 3 4 4 3 2" xfId="15432" xr:uid="{841145CC-9083-4934-8752-9D7628FEF535}"/>
    <cellStyle name="Normal 8 3 4 4 3 2 2" xfId="51774" xr:uid="{4DC772B3-5020-43EF-81FF-6512ADC75B3E}"/>
    <cellStyle name="Normal 8 3 4 4 3 2 3" xfId="33178" xr:uid="{DE8575C6-F58F-4A21-ADA5-D27D1B59D817}"/>
    <cellStyle name="Normal 8 3 4 4 3 3" xfId="42477" xr:uid="{0415EF91-FDD0-47CD-A0A2-0CF29376B6B6}"/>
    <cellStyle name="Normal 8 3 4 4 3 4" xfId="23879" xr:uid="{A27AB8AF-B7FF-438B-B300-50A596C099F1}"/>
    <cellStyle name="Normal 8 3 4 4 4" xfId="11215" xr:uid="{65BAA3B9-3FD0-4270-A0B7-DCC6D78AC932}"/>
    <cellStyle name="Normal 8 3 4 4 4 2" xfId="47557" xr:uid="{5C9DF9BA-9640-4961-BD12-9084DED603FF}"/>
    <cellStyle name="Normal 8 3 4 4 4 3" xfId="28961" xr:uid="{2D883E53-E5DB-40B0-95E4-4B8C7224478F}"/>
    <cellStyle name="Normal 8 3 4 4 5" xfId="38260" xr:uid="{38DCBD3A-5854-4883-ADC3-BF54424E4B28}"/>
    <cellStyle name="Normal 8 3 4 4 6" xfId="19662" xr:uid="{EC0FE5F8-8282-4DDB-A833-B8E90CE727D1}"/>
    <cellStyle name="Normal 8 3 4 5" xfId="2213" xr:uid="{00000000-0005-0000-0000-0000B61D0000}"/>
    <cellStyle name="Normal 8 3 4 5 2" xfId="4442" xr:uid="{00000000-0005-0000-0000-0000B71D0000}"/>
    <cellStyle name="Normal 8 3 4 5 2 2" xfId="8664" xr:uid="{00000000-0005-0000-0000-0000B81D0000}"/>
    <cellStyle name="Normal 8 3 4 5 2 2 2" xfId="17990" xr:uid="{7920EEF0-1415-4376-8665-7E0DD3874627}"/>
    <cellStyle name="Normal 8 3 4 5 2 2 2 2" xfId="54332" xr:uid="{01667768-E651-4A8B-B6C2-B67FCA6A8F67}"/>
    <cellStyle name="Normal 8 3 4 5 2 2 2 3" xfId="35736" xr:uid="{85125720-FE91-4E96-9DBD-2E5964610FC0}"/>
    <cellStyle name="Normal 8 3 4 5 2 2 3" xfId="45035" xr:uid="{C6CED847-E45A-4C50-B00E-DEED3A21A50D}"/>
    <cellStyle name="Normal 8 3 4 5 2 2 4" xfId="26437" xr:uid="{731F3B58-0F80-4B2A-9494-49E01402154A}"/>
    <cellStyle name="Normal 8 3 4 5 2 3" xfId="13773" xr:uid="{E8063838-9FAD-4976-AE5B-1D8CA654212F}"/>
    <cellStyle name="Normal 8 3 4 5 2 3 2" xfId="50115" xr:uid="{C5809A48-2F4B-4084-8579-23D597E4E0DE}"/>
    <cellStyle name="Normal 8 3 4 5 2 3 3" xfId="31519" xr:uid="{8EC8C1C0-2C6E-4215-8424-04B65D79E8F5}"/>
    <cellStyle name="Normal 8 3 4 5 2 4" xfId="40818" xr:uid="{4A65726C-498D-4702-A418-E2D4937AC297}"/>
    <cellStyle name="Normal 8 3 4 5 2 5" xfId="22220" xr:uid="{BF0BCCA4-23B0-4F60-B078-6C08F4BA6B20}"/>
    <cellStyle name="Normal 8 3 4 5 3" xfId="6519" xr:uid="{00000000-0005-0000-0000-0000B91D0000}"/>
    <cellStyle name="Normal 8 3 4 5 3 2" xfId="15845" xr:uid="{5BD8E216-5B5F-46D7-A169-17457B476A56}"/>
    <cellStyle name="Normal 8 3 4 5 3 2 2" xfId="52187" xr:uid="{6AF5937F-5C11-4F00-9BB3-501A2970BA0A}"/>
    <cellStyle name="Normal 8 3 4 5 3 2 3" xfId="33591" xr:uid="{9755E4C8-BBD2-4437-8475-72EFE35A2C13}"/>
    <cellStyle name="Normal 8 3 4 5 3 3" xfId="42890" xr:uid="{0F75CED6-35BB-4960-B54F-E4F1DE3C7AB9}"/>
    <cellStyle name="Normal 8 3 4 5 3 4" xfId="24292" xr:uid="{F7C06050-1CB8-47C4-80EF-714F9C2EB0BE}"/>
    <cellStyle name="Normal 8 3 4 5 4" xfId="11628" xr:uid="{46D325E1-D5F5-40F1-BB0B-BE1BAF3B7704}"/>
    <cellStyle name="Normal 8 3 4 5 4 2" xfId="47970" xr:uid="{B87E51DF-4487-4796-B367-3ACA915110E1}"/>
    <cellStyle name="Normal 8 3 4 5 4 3" xfId="29374" xr:uid="{54305B3F-A8A7-4DCA-9507-7E670930CFE8}"/>
    <cellStyle name="Normal 8 3 4 5 5" xfId="38673" xr:uid="{D1FBA4AB-1B82-42CD-94F9-7324D4987F87}"/>
    <cellStyle name="Normal 8 3 4 5 6" xfId="20075" xr:uid="{E2D8E561-11A4-43EF-B879-B8CB75A7EFD6}"/>
    <cellStyle name="Normal 8 3 4 6" xfId="2649" xr:uid="{00000000-0005-0000-0000-0000BA1D0000}"/>
    <cellStyle name="Normal 8 3 4 6 2" xfId="6932" xr:uid="{00000000-0005-0000-0000-0000BB1D0000}"/>
    <cellStyle name="Normal 8 3 4 6 2 2" xfId="16258" xr:uid="{F7EA56E7-23E6-4B5F-B9A1-F203FBF72AA9}"/>
    <cellStyle name="Normal 8 3 4 6 2 2 2" xfId="52600" xr:uid="{F8044349-50E4-4934-892D-B2BFC0930E75}"/>
    <cellStyle name="Normal 8 3 4 6 2 2 3" xfId="34004" xr:uid="{4093C552-1E32-43BF-B8BD-636375309A47}"/>
    <cellStyle name="Normal 8 3 4 6 2 3" xfId="43303" xr:uid="{9F4CC15B-BFA6-403E-8E7A-5AD6ECE58A95}"/>
    <cellStyle name="Normal 8 3 4 6 2 4" xfId="24705" xr:uid="{D7E9D1EA-8466-4D44-8778-349C4E78ED99}"/>
    <cellStyle name="Normal 8 3 4 6 3" xfId="12041" xr:uid="{0FB01CC0-5CEF-44B8-B9B9-588CBAAD0FDF}"/>
    <cellStyle name="Normal 8 3 4 6 3 2" xfId="48383" xr:uid="{58F75431-C296-4F3A-AD54-A4EA5FFC4F5B}"/>
    <cellStyle name="Normal 8 3 4 6 3 3" xfId="29787" xr:uid="{6AC0ED63-B2DB-408E-ACEC-D6F4F25A9704}"/>
    <cellStyle name="Normal 8 3 4 6 4" xfId="39086" xr:uid="{4A9C33FA-6D7B-4A01-B84A-F2190D72B3D4}"/>
    <cellStyle name="Normal 8 3 4 6 5" xfId="20488" xr:uid="{417F92D9-1AD2-485C-82AA-C4460836EC26}"/>
    <cellStyle name="Normal 8 3 4 7" xfId="4867" xr:uid="{00000000-0005-0000-0000-0000BC1D0000}"/>
    <cellStyle name="Normal 8 3 4 7 2" xfId="14193" xr:uid="{F5C18A99-FA4A-482B-92BD-2BDE39EA1B80}"/>
    <cellStyle name="Normal 8 3 4 7 2 2" xfId="50535" xr:uid="{7DBE5F9E-C62A-428F-8235-30AAEE9ABAA2}"/>
    <cellStyle name="Normal 8 3 4 7 2 3" xfId="31939" xr:uid="{1D6CEFE8-2C59-4594-AA17-32D041FD7452}"/>
    <cellStyle name="Normal 8 3 4 7 3" xfId="41238" xr:uid="{34DD4D06-F642-44EE-AAB9-782CAC58CA72}"/>
    <cellStyle name="Normal 8 3 4 7 4" xfId="22640" xr:uid="{E852AE31-2B92-416E-8F7C-4664B2991EF8}"/>
    <cellStyle name="Normal 8 3 4 8" xfId="8981" xr:uid="{BEE184E9-ECE6-4107-B29A-CC8BC7F28FA3}"/>
    <cellStyle name="Normal 8 3 4 8 2" xfId="36051" xr:uid="{B06834A9-09DE-48A2-B64B-2C1AEC554845}"/>
    <cellStyle name="Normal 8 3 4 8 2 2" xfId="54646" xr:uid="{D56D12ED-70BC-4B0C-8BED-911807E10A01}"/>
    <cellStyle name="Normal 8 3 4 8 3" xfId="45349" xr:uid="{977274A8-3110-472B-BDF0-9381E3F6A135}"/>
    <cellStyle name="Normal 8 3 4 8 4" xfId="26752" xr:uid="{AC9A4A41-1A7D-40BF-A213-4301F394B52B}"/>
    <cellStyle name="Normal 8 3 4 9" xfId="9976" xr:uid="{FB8A9E91-2167-404C-A439-A164266A30A7}"/>
    <cellStyle name="Normal 8 3 4 9 2" xfId="46318" xr:uid="{425E0037-6E8D-4CC6-AEB2-52469B9CC35A}"/>
    <cellStyle name="Normal 8 3 4 9 3" xfId="27722" xr:uid="{DE844D05-7A49-4C57-8C6B-7DDCA91A770B}"/>
    <cellStyle name="Normal 8 3 5" xfId="962" xr:uid="{00000000-0005-0000-0000-0000BD1D0000}"/>
    <cellStyle name="Normal 8 3 5 2" xfId="3196" xr:uid="{00000000-0005-0000-0000-0000BE1D0000}"/>
    <cellStyle name="Normal 8 3 5 2 2" xfId="7418" xr:uid="{00000000-0005-0000-0000-0000BF1D0000}"/>
    <cellStyle name="Normal 8 3 5 2 2 2" xfId="16744" xr:uid="{DA53B77F-CBB1-4692-9D71-7D0B75C66AB7}"/>
    <cellStyle name="Normal 8 3 5 2 2 2 2" xfId="53086" xr:uid="{1EBF6D95-F66A-4767-B765-FE19B24B8A30}"/>
    <cellStyle name="Normal 8 3 5 2 2 2 3" xfId="34490" xr:uid="{ED862F5E-CCDD-4866-AE89-A236841B49E4}"/>
    <cellStyle name="Normal 8 3 5 2 2 3" xfId="43789" xr:uid="{4122EE40-2B9D-42B1-B7D5-A066B4198AC2}"/>
    <cellStyle name="Normal 8 3 5 2 2 4" xfId="25191" xr:uid="{99083A4D-470F-4C85-8F39-A3C3AF488BF4}"/>
    <cellStyle name="Normal 8 3 5 2 3" xfId="12527" xr:uid="{45B25BBF-E61B-4E5B-B321-2FBED84B3766}"/>
    <cellStyle name="Normal 8 3 5 2 3 2" xfId="48869" xr:uid="{2D34BB4D-9D80-4490-AA93-98D197E92914}"/>
    <cellStyle name="Normal 8 3 5 2 3 3" xfId="30273" xr:uid="{BB058650-496D-46BD-AC51-54C3B2E814D4}"/>
    <cellStyle name="Normal 8 3 5 2 4" xfId="39572" xr:uid="{9D76A9B7-4688-434F-8703-8626FA752298}"/>
    <cellStyle name="Normal 8 3 5 2 5" xfId="20974" xr:uid="{74C5E865-860A-483E-B06E-E95B2FA837E6}"/>
    <cellStyle name="Normal 8 3 5 3" xfId="5273" xr:uid="{00000000-0005-0000-0000-0000C01D0000}"/>
    <cellStyle name="Normal 8 3 5 3 2" xfId="14599" xr:uid="{14AF5E21-0D37-4CB8-91F9-CFA8FB629C02}"/>
    <cellStyle name="Normal 8 3 5 3 2 2" xfId="50941" xr:uid="{0727E0FA-E98C-4562-9256-66102481E357}"/>
    <cellStyle name="Normal 8 3 5 3 2 3" xfId="32345" xr:uid="{CED248A8-3FB7-4595-99C9-8C40E3CB4EA8}"/>
    <cellStyle name="Normal 8 3 5 3 3" xfId="41644" xr:uid="{5009398A-01F9-4371-B497-945119A2E918}"/>
    <cellStyle name="Normal 8 3 5 3 4" xfId="23046" xr:uid="{8D187339-79FE-4819-88ED-0237B1055A5B}"/>
    <cellStyle name="Normal 8 3 5 4" xfId="9198" xr:uid="{FA5A5C79-C3AC-4E17-9344-90C4E411EE0B}"/>
    <cellStyle name="Normal 8 3 5 4 2" xfId="36260" xr:uid="{C7030883-6047-4A0D-A584-70AB9408F7C9}"/>
    <cellStyle name="Normal 8 3 5 4 2 2" xfId="54854" xr:uid="{6AE19E02-AF67-43DA-891A-3583804BC8C1}"/>
    <cellStyle name="Normal 8 3 5 4 3" xfId="45557" xr:uid="{1B730598-1EAB-4772-A980-7CB6E29EB43C}"/>
    <cellStyle name="Normal 8 3 5 4 4" xfId="26961" xr:uid="{BD874C6E-0DBB-4FDC-BEF7-CFB596651DD4}"/>
    <cellStyle name="Normal 8 3 5 5" xfId="10382" xr:uid="{F87A1427-917D-4B27-888D-93F13E5C90A1}"/>
    <cellStyle name="Normal 8 3 5 5 2" xfId="46724" xr:uid="{92379916-2EB7-4247-8328-F42A3A081D4A}"/>
    <cellStyle name="Normal 8 3 5 5 3" xfId="28128" xr:uid="{ACE10D3F-F161-4B9B-AA9B-C17844437AE8}"/>
    <cellStyle name="Normal 8 3 5 6" xfId="37427" xr:uid="{9E9C3CEB-8EED-4A2F-A001-5248A5C49879}"/>
    <cellStyle name="Normal 8 3 5 7" xfId="18829" xr:uid="{8B3603CE-9B22-42D8-B70D-0C3E0EA4C367}"/>
    <cellStyle name="Normal 8 3 6" xfId="1379" xr:uid="{00000000-0005-0000-0000-0000C11D0000}"/>
    <cellStyle name="Normal 8 3 6 2" xfId="3609" xr:uid="{00000000-0005-0000-0000-0000C21D0000}"/>
    <cellStyle name="Normal 8 3 6 2 2" xfId="7831" xr:uid="{00000000-0005-0000-0000-0000C31D0000}"/>
    <cellStyle name="Normal 8 3 6 2 2 2" xfId="17157" xr:uid="{9AA6FF7C-0788-4650-94FB-F0BF3456A3FD}"/>
    <cellStyle name="Normal 8 3 6 2 2 2 2" xfId="53499" xr:uid="{4583E1D8-1AEF-4A57-9FD8-A11C864871EC}"/>
    <cellStyle name="Normal 8 3 6 2 2 2 3" xfId="34903" xr:uid="{184BA1FB-8760-4A9F-ABDE-51AC0E67A5C0}"/>
    <cellStyle name="Normal 8 3 6 2 2 3" xfId="44202" xr:uid="{51851646-9D18-4A08-9B7A-E0AFF732EFF1}"/>
    <cellStyle name="Normal 8 3 6 2 2 4" xfId="25604" xr:uid="{80CED1FD-04E0-47A9-B2DD-4CD04BA2E8BA}"/>
    <cellStyle name="Normal 8 3 6 2 3" xfId="12940" xr:uid="{C062F428-70CD-4EEB-A854-0033546004EB}"/>
    <cellStyle name="Normal 8 3 6 2 3 2" xfId="49282" xr:uid="{0CCFE53A-6FF6-421C-A6F4-ABEA9B1BB2CF}"/>
    <cellStyle name="Normal 8 3 6 2 3 3" xfId="30686" xr:uid="{2B0BB698-B7FB-4010-8881-A83D31FA14E9}"/>
    <cellStyle name="Normal 8 3 6 2 4" xfId="39985" xr:uid="{8F7D83E3-1E16-4A66-A41A-9D2743E2C1C5}"/>
    <cellStyle name="Normal 8 3 6 2 5" xfId="21387" xr:uid="{D0BED8D4-AB92-47F9-A5B2-D65912DA8185}"/>
    <cellStyle name="Normal 8 3 6 3" xfId="5686" xr:uid="{00000000-0005-0000-0000-0000C41D0000}"/>
    <cellStyle name="Normal 8 3 6 3 2" xfId="15012" xr:uid="{D480B77F-07AB-4336-9DCC-4A746D0586C1}"/>
    <cellStyle name="Normal 8 3 6 3 2 2" xfId="51354" xr:uid="{8FA1699F-93C0-4BD2-A059-1914B29BF84D}"/>
    <cellStyle name="Normal 8 3 6 3 2 3" xfId="32758" xr:uid="{A34CDCA0-68FC-42C7-921E-DA5F31B3DF66}"/>
    <cellStyle name="Normal 8 3 6 3 3" xfId="42057" xr:uid="{349D3A65-D181-4822-92B0-25CD14518BCE}"/>
    <cellStyle name="Normal 8 3 6 3 4" xfId="23459" xr:uid="{527510C8-2C61-4261-844A-AA758AEC075E}"/>
    <cellStyle name="Normal 8 3 6 4" xfId="10795" xr:uid="{D9D88E3C-E3DB-434B-80A5-F7AE231018AC}"/>
    <cellStyle name="Normal 8 3 6 4 2" xfId="47137" xr:uid="{E1806F23-4F40-4F02-BB4F-8F4C4169E9EE}"/>
    <cellStyle name="Normal 8 3 6 4 3" xfId="28541" xr:uid="{2FF366C7-0E3C-42E4-8298-FEE10F0A6E10}"/>
    <cellStyle name="Normal 8 3 6 5" xfId="37840" xr:uid="{45DD7DAD-56DE-4D55-A7C6-38D29785B833}"/>
    <cellStyle name="Normal 8 3 6 6" xfId="19242" xr:uid="{9537E63B-231C-4D10-829E-1D32D99576F5}"/>
    <cellStyle name="Normal 8 3 7" xfId="1792" xr:uid="{00000000-0005-0000-0000-0000C51D0000}"/>
    <cellStyle name="Normal 8 3 7 2" xfId="4022" xr:uid="{00000000-0005-0000-0000-0000C61D0000}"/>
    <cellStyle name="Normal 8 3 7 2 2" xfId="8244" xr:uid="{00000000-0005-0000-0000-0000C71D0000}"/>
    <cellStyle name="Normal 8 3 7 2 2 2" xfId="17570" xr:uid="{9AC234AC-93FC-4F1D-8EAA-61793C695171}"/>
    <cellStyle name="Normal 8 3 7 2 2 2 2" xfId="53912" xr:uid="{A396441D-5EC1-43A4-845F-533C26D96858}"/>
    <cellStyle name="Normal 8 3 7 2 2 2 3" xfId="35316" xr:uid="{EF1695D2-5498-4FC1-BA68-9DEF0341E342}"/>
    <cellStyle name="Normal 8 3 7 2 2 3" xfId="44615" xr:uid="{1362BE5E-D72C-4DAA-AB01-8EE3B614321F}"/>
    <cellStyle name="Normal 8 3 7 2 2 4" xfId="26017" xr:uid="{84C0C522-BDFE-4F71-9BBE-B6B25884D4B5}"/>
    <cellStyle name="Normal 8 3 7 2 3" xfId="13353" xr:uid="{D9F28E5E-2997-42C9-AE40-4409B329C967}"/>
    <cellStyle name="Normal 8 3 7 2 3 2" xfId="49695" xr:uid="{CD2E1D60-75D6-4C2E-B8FB-EC4E386F1DB2}"/>
    <cellStyle name="Normal 8 3 7 2 3 3" xfId="31099" xr:uid="{935DFE2C-E9B6-4155-9607-A1224DE0D238}"/>
    <cellStyle name="Normal 8 3 7 2 4" xfId="40398" xr:uid="{3B1E3114-4D34-4047-9A14-EE99B4EC4335}"/>
    <cellStyle name="Normal 8 3 7 2 5" xfId="21800" xr:uid="{740D6CAA-90FD-4075-9D25-8F7C6AFC5E17}"/>
    <cellStyle name="Normal 8 3 7 3" xfId="6099" xr:uid="{00000000-0005-0000-0000-0000C81D0000}"/>
    <cellStyle name="Normal 8 3 7 3 2" xfId="15425" xr:uid="{7A0DEA8D-5108-4ED6-AA3C-1388F096A80B}"/>
    <cellStyle name="Normal 8 3 7 3 2 2" xfId="51767" xr:uid="{75B926BD-B4E2-4612-85DE-22C4B874C610}"/>
    <cellStyle name="Normal 8 3 7 3 2 3" xfId="33171" xr:uid="{F2673DB5-31C3-4AAE-AC4F-0731DE21488A}"/>
    <cellStyle name="Normal 8 3 7 3 3" xfId="42470" xr:uid="{182DC7F7-E027-409C-BB46-660D2C092657}"/>
    <cellStyle name="Normal 8 3 7 3 4" xfId="23872" xr:uid="{097560F2-E44A-4F5B-BB50-25D8EF9DBC95}"/>
    <cellStyle name="Normal 8 3 7 4" xfId="11208" xr:uid="{D819B626-CBCB-41A5-B6E1-B75BAB9A92E1}"/>
    <cellStyle name="Normal 8 3 7 4 2" xfId="47550" xr:uid="{4A2202E5-4CC6-4647-850B-80EB2AD4E6F3}"/>
    <cellStyle name="Normal 8 3 7 4 3" xfId="28954" xr:uid="{4EBBC905-FB93-44D3-9282-9E5B8BD13925}"/>
    <cellStyle name="Normal 8 3 7 5" xfId="38253" xr:uid="{099CD8F7-2FC9-44D7-B293-640DE8D2AD66}"/>
    <cellStyle name="Normal 8 3 7 6" xfId="19655" xr:uid="{60958D5A-5D29-4A65-B091-2945635936AF}"/>
    <cellStyle name="Normal 8 3 8" xfId="2206" xr:uid="{00000000-0005-0000-0000-0000C91D0000}"/>
    <cellStyle name="Normal 8 3 8 2" xfId="4435" xr:uid="{00000000-0005-0000-0000-0000CA1D0000}"/>
    <cellStyle name="Normal 8 3 8 2 2" xfId="8657" xr:uid="{00000000-0005-0000-0000-0000CB1D0000}"/>
    <cellStyle name="Normal 8 3 8 2 2 2" xfId="17983" xr:uid="{77D26937-0AA0-4B27-9315-DA8490A52965}"/>
    <cellStyle name="Normal 8 3 8 2 2 2 2" xfId="54325" xr:uid="{75D0E088-C5A0-4519-9D50-F675BCD769F7}"/>
    <cellStyle name="Normal 8 3 8 2 2 2 3" xfId="35729" xr:uid="{2492F569-769D-47F8-AE23-D96F73185FE3}"/>
    <cellStyle name="Normal 8 3 8 2 2 3" xfId="45028" xr:uid="{FD711ADA-E212-4BC2-A242-F1C7C83127FE}"/>
    <cellStyle name="Normal 8 3 8 2 2 4" xfId="26430" xr:uid="{3FE5A673-D198-4B64-90CD-AD54CC33D8C0}"/>
    <cellStyle name="Normal 8 3 8 2 3" xfId="13766" xr:uid="{3CA131D0-2C21-4E40-8A0B-A67899D6BB87}"/>
    <cellStyle name="Normal 8 3 8 2 3 2" xfId="50108" xr:uid="{E34B2D3F-6F7E-4AE6-A6CE-16DAD2F8A410}"/>
    <cellStyle name="Normal 8 3 8 2 3 3" xfId="31512" xr:uid="{BA9326FE-6DC3-4761-A1BD-2ED9C45CCCD6}"/>
    <cellStyle name="Normal 8 3 8 2 4" xfId="40811" xr:uid="{16CC123C-8F56-4187-9AED-53346412403B}"/>
    <cellStyle name="Normal 8 3 8 2 5" xfId="22213" xr:uid="{5CE3B5F9-943F-4663-8843-2297686FBFB2}"/>
    <cellStyle name="Normal 8 3 8 3" xfId="6512" xr:uid="{00000000-0005-0000-0000-0000CC1D0000}"/>
    <cellStyle name="Normal 8 3 8 3 2" xfId="15838" xr:uid="{8731897F-62C3-47CC-959C-F5B4FCD85DAA}"/>
    <cellStyle name="Normal 8 3 8 3 2 2" xfId="52180" xr:uid="{EC37B373-2736-42C9-AF2A-23DA5F549325}"/>
    <cellStyle name="Normal 8 3 8 3 2 3" xfId="33584" xr:uid="{23817982-E62E-429A-8BF6-FF5DD7BAFAA4}"/>
    <cellStyle name="Normal 8 3 8 3 3" xfId="42883" xr:uid="{9C14758C-7D0B-491D-9E37-8D9A07C9C5E4}"/>
    <cellStyle name="Normal 8 3 8 3 4" xfId="24285" xr:uid="{7D152BEB-B1B6-44C8-85D3-CFEA97416691}"/>
    <cellStyle name="Normal 8 3 8 4" xfId="11621" xr:uid="{0901FEB3-5ACC-40CA-BC05-978F0FEB8B51}"/>
    <cellStyle name="Normal 8 3 8 4 2" xfId="47963" xr:uid="{CF83FAA8-61B8-4C8A-852D-6F0F4F51F37F}"/>
    <cellStyle name="Normal 8 3 8 4 3" xfId="29367" xr:uid="{C18B8463-2D3B-42C7-BD6D-C8F83968C1EB}"/>
    <cellStyle name="Normal 8 3 8 5" xfId="38666" xr:uid="{62FADD1A-39CC-4E0F-8C23-ADE0C3EAB7E7}"/>
    <cellStyle name="Normal 8 3 8 6" xfId="20068" xr:uid="{008605A1-233A-49FA-9048-065518672FCA}"/>
    <cellStyle name="Normal 8 3 9" xfId="2642" xr:uid="{00000000-0005-0000-0000-0000CD1D0000}"/>
    <cellStyle name="Normal 8 3 9 2" xfId="6925" xr:uid="{00000000-0005-0000-0000-0000CE1D0000}"/>
    <cellStyle name="Normal 8 3 9 2 2" xfId="16251" xr:uid="{F3D8103F-EE47-4119-993F-0DB742F8B638}"/>
    <cellStyle name="Normal 8 3 9 2 2 2" xfId="52593" xr:uid="{E333147D-AAF7-4323-89D4-4671E0EDBF66}"/>
    <cellStyle name="Normal 8 3 9 2 2 3" xfId="33997" xr:uid="{7475796A-D464-4DFF-9170-EF7086D1CC08}"/>
    <cellStyle name="Normal 8 3 9 2 3" xfId="43296" xr:uid="{EB6B80F8-A54A-4013-9D72-1A14841BF5B7}"/>
    <cellStyle name="Normal 8 3 9 2 4" xfId="24698" xr:uid="{06D80B81-60FD-4020-A31F-DBB3F9970265}"/>
    <cellStyle name="Normal 8 3 9 3" xfId="12034" xr:uid="{670F7A3D-DF21-4CAC-A1E6-AE9E9DA68953}"/>
    <cellStyle name="Normal 8 3 9 3 2" xfId="48376" xr:uid="{0BD20A4F-E2A3-4B1A-948C-52F52B4B1AE7}"/>
    <cellStyle name="Normal 8 3 9 3 3" xfId="29780" xr:uid="{65426F69-E2E4-4E3C-B91E-162D4EE0683A}"/>
    <cellStyle name="Normal 8 3 9 4" xfId="39079" xr:uid="{46A47FA5-ACD4-45E4-A77D-75F75CA539A3}"/>
    <cellStyle name="Normal 8 3 9 5" xfId="20481" xr:uid="{66F800DC-F44A-4593-A11A-B3AAAF9D60C2}"/>
    <cellStyle name="Normal 8 4" xfId="503" xr:uid="{00000000-0005-0000-0000-0000CF1D0000}"/>
    <cellStyle name="Normal 8 4 10" xfId="8834" xr:uid="{78848A4E-06FA-4050-B553-A3A7DEA1B047}"/>
    <cellStyle name="Normal 8 4 10 2" xfId="35904" xr:uid="{5C8DEBAB-AC15-4A15-A19D-78D85E11B26A}"/>
    <cellStyle name="Normal 8 4 10 2 2" xfId="54499" xr:uid="{9B26C66A-297C-40B1-9782-A60378697897}"/>
    <cellStyle name="Normal 8 4 10 3" xfId="45202" xr:uid="{570E4F56-1961-46BF-BA91-0F3DC981657C}"/>
    <cellStyle name="Normal 8 4 10 4" xfId="26605" xr:uid="{B0621683-96D2-43EA-B2CE-943988A6B913}"/>
    <cellStyle name="Normal 8 4 11" xfId="9977" xr:uid="{46D8218B-5C6F-4A28-BCE7-55965F470ADB}"/>
    <cellStyle name="Normal 8 4 11 2" xfId="46319" xr:uid="{A59EAD12-E1C6-44B4-A95B-AD08733DF54A}"/>
    <cellStyle name="Normal 8 4 11 3" xfId="27723" xr:uid="{681527F6-EF35-442F-BFAD-11C561C6F010}"/>
    <cellStyle name="Normal 8 4 12" xfId="37022" xr:uid="{29528E76-454F-469D-BCCB-A9AAD2457212}"/>
    <cellStyle name="Normal 8 4 13" xfId="18424" xr:uid="{1D6F6892-A804-40CF-A625-87FA28A88873}"/>
    <cellStyle name="Normal 8 4 2" xfId="504" xr:uid="{00000000-0005-0000-0000-0000D01D0000}"/>
    <cellStyle name="Normal 8 4 2 10" xfId="9978" xr:uid="{A610A479-73DF-463E-82CF-E613637FBDE3}"/>
    <cellStyle name="Normal 8 4 2 10 2" xfId="46320" xr:uid="{C83E598B-151A-4ADF-8823-851B220B24FC}"/>
    <cellStyle name="Normal 8 4 2 10 3" xfId="27724" xr:uid="{6D7575F1-3897-435D-8707-56BCAE83B7C3}"/>
    <cellStyle name="Normal 8 4 2 11" xfId="37023" xr:uid="{45C4EEF7-755E-43ED-83B8-DB528B99D719}"/>
    <cellStyle name="Normal 8 4 2 12" xfId="18425" xr:uid="{E6DFEB17-5120-4F06-A321-5031E9BB066A}"/>
    <cellStyle name="Normal 8 4 2 2" xfId="505" xr:uid="{00000000-0005-0000-0000-0000D11D0000}"/>
    <cellStyle name="Normal 8 4 2 2 10" xfId="37024" xr:uid="{73C118F6-79CB-45FA-89CD-044E634D704C}"/>
    <cellStyle name="Normal 8 4 2 2 11" xfId="18426" xr:uid="{9B744A5D-781B-4179-A7BE-E00D2E8D1B00}"/>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16754" xr:uid="{EE2D4DF9-BDA2-4A21-9647-CEEF8F2590B9}"/>
    <cellStyle name="Normal 8 4 2 2 2 2 2 2 2" xfId="53096" xr:uid="{C18742E9-57E9-415C-8AA8-313E4BCB598A}"/>
    <cellStyle name="Normal 8 4 2 2 2 2 2 2 3" xfId="34500" xr:uid="{4F753B83-3A83-4D4D-8D7A-91E7D7E6607F}"/>
    <cellStyle name="Normal 8 4 2 2 2 2 2 3" xfId="43799" xr:uid="{297D92FE-4760-4EB5-A025-4C4F4C6FA044}"/>
    <cellStyle name="Normal 8 4 2 2 2 2 2 4" xfId="25201" xr:uid="{E5F4FE77-EADB-4F5F-B0D0-6D4449AEDEB5}"/>
    <cellStyle name="Normal 8 4 2 2 2 2 3" xfId="12537" xr:uid="{969BBCC7-6F1F-40F9-B990-57B6C7AA07CA}"/>
    <cellStyle name="Normal 8 4 2 2 2 2 3 2" xfId="48879" xr:uid="{1D0585C6-16D7-49B1-A5F6-0123EC59C549}"/>
    <cellStyle name="Normal 8 4 2 2 2 2 3 3" xfId="30283" xr:uid="{913CD40D-2F64-4D94-B93E-CBCD07B511F2}"/>
    <cellStyle name="Normal 8 4 2 2 2 2 4" xfId="39582" xr:uid="{0263DC87-7D0F-4443-B4AE-EFCB0B4E4C45}"/>
    <cellStyle name="Normal 8 4 2 2 2 2 5" xfId="20984" xr:uid="{8C5E7410-5716-43F2-B984-FB2778EA8CDC}"/>
    <cellStyle name="Normal 8 4 2 2 2 3" xfId="5283" xr:uid="{00000000-0005-0000-0000-0000D51D0000}"/>
    <cellStyle name="Normal 8 4 2 2 2 3 2" xfId="14609" xr:uid="{C473DA4C-571F-43CA-955F-301CAE20A508}"/>
    <cellStyle name="Normal 8 4 2 2 2 3 2 2" xfId="50951" xr:uid="{40373649-9A1B-43FB-A681-8285D9101678}"/>
    <cellStyle name="Normal 8 4 2 2 2 3 2 3" xfId="32355" xr:uid="{1C1A61B4-4270-4CD2-9705-A7A0F3F1C658}"/>
    <cellStyle name="Normal 8 4 2 2 2 3 3" xfId="41654" xr:uid="{65BDD755-E188-4C13-B5B9-E5468F9ACEBA}"/>
    <cellStyle name="Normal 8 4 2 2 2 3 4" xfId="23056" xr:uid="{8BFBE6B3-AAF9-4E9B-BD51-BD7D6FAECF1F}"/>
    <cellStyle name="Normal 8 4 2 2 2 4" xfId="9569" xr:uid="{F21122F8-27BB-4D46-891E-281F736F5353}"/>
    <cellStyle name="Normal 8 4 2 2 2 4 2" xfId="36630" xr:uid="{F4349B63-8F6E-484E-9D9B-F5A5302EA5A8}"/>
    <cellStyle name="Normal 8 4 2 2 2 4 2 2" xfId="55224" xr:uid="{745D2D09-B80A-4319-8B9B-2EA4DA81C446}"/>
    <cellStyle name="Normal 8 4 2 2 2 4 3" xfId="45927" xr:uid="{865F9112-D9F3-46F4-96E9-79ECDCA2C6DF}"/>
    <cellStyle name="Normal 8 4 2 2 2 4 4" xfId="27331" xr:uid="{3BBED059-2AB1-4D10-B427-B496038B5A45}"/>
    <cellStyle name="Normal 8 4 2 2 2 5" xfId="10392" xr:uid="{753EF7BA-DD12-434F-AE43-495D80219F14}"/>
    <cellStyle name="Normal 8 4 2 2 2 5 2" xfId="46734" xr:uid="{DC8D971E-21AA-43F5-A75F-E1558F5EF26B}"/>
    <cellStyle name="Normal 8 4 2 2 2 5 3" xfId="28138" xr:uid="{1DBEBA8D-C4FF-47CF-901D-9AB293520FAF}"/>
    <cellStyle name="Normal 8 4 2 2 2 6" xfId="37437" xr:uid="{05236B10-2569-4522-9F15-12BA951076E6}"/>
    <cellStyle name="Normal 8 4 2 2 2 7" xfId="18839" xr:uid="{443ACAC0-D510-4481-ACA0-B86D5C862558}"/>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17167" xr:uid="{8776A570-0AE3-47BA-8278-2DA093CCB05D}"/>
    <cellStyle name="Normal 8 4 2 2 3 2 2 2 2" xfId="53509" xr:uid="{A5903FDB-2ED5-400D-B1C6-3E51BF7BF789}"/>
    <cellStyle name="Normal 8 4 2 2 3 2 2 2 3" xfId="34913" xr:uid="{B5B014B5-8315-4B00-989E-AB13FC99D307}"/>
    <cellStyle name="Normal 8 4 2 2 3 2 2 3" xfId="44212" xr:uid="{CAE4863C-B415-4402-B1C0-D67F04CEF225}"/>
    <cellStyle name="Normal 8 4 2 2 3 2 2 4" xfId="25614" xr:uid="{4EAF49E9-ABD0-4D0F-A732-2560F8D803E0}"/>
    <cellStyle name="Normal 8 4 2 2 3 2 3" xfId="12950" xr:uid="{05F9034F-5178-4FDB-9E05-8696530A68A7}"/>
    <cellStyle name="Normal 8 4 2 2 3 2 3 2" xfId="49292" xr:uid="{7C2B8D85-FFFF-4451-B28C-9566A7B4A580}"/>
    <cellStyle name="Normal 8 4 2 2 3 2 3 3" xfId="30696" xr:uid="{EC3C7C94-AFC7-4CD8-9497-DB3A40D3451F}"/>
    <cellStyle name="Normal 8 4 2 2 3 2 4" xfId="39995" xr:uid="{AFB93DE5-E9A8-44C7-83A5-3424D677F40E}"/>
    <cellStyle name="Normal 8 4 2 2 3 2 5" xfId="21397" xr:uid="{874CF7BD-EDCD-42A9-BEC4-79702E362BCB}"/>
    <cellStyle name="Normal 8 4 2 2 3 3" xfId="5696" xr:uid="{00000000-0005-0000-0000-0000D91D0000}"/>
    <cellStyle name="Normal 8 4 2 2 3 3 2" xfId="15022" xr:uid="{0CAC3979-8405-4BA2-A2DE-CD2F4C947272}"/>
    <cellStyle name="Normal 8 4 2 2 3 3 2 2" xfId="51364" xr:uid="{6F291451-2ECB-4249-BB3B-E20A4D0A13BA}"/>
    <cellStyle name="Normal 8 4 2 2 3 3 2 3" xfId="32768" xr:uid="{181C3F7A-6C57-4A01-9752-75AE61CF5D8D}"/>
    <cellStyle name="Normal 8 4 2 2 3 3 3" xfId="42067" xr:uid="{0E5458F7-E5A3-4C9E-95FF-4DA6AAA67528}"/>
    <cellStyle name="Normal 8 4 2 2 3 3 4" xfId="23469" xr:uid="{265CA0BB-112D-493C-AA85-B8151E18FF1B}"/>
    <cellStyle name="Normal 8 4 2 2 3 4" xfId="10805" xr:uid="{EDB96C45-2E23-4343-8926-314D7CE2F258}"/>
    <cellStyle name="Normal 8 4 2 2 3 4 2" xfId="47147" xr:uid="{D21D9D48-DEA4-44CE-8D2F-C5DB659D46B3}"/>
    <cellStyle name="Normal 8 4 2 2 3 4 3" xfId="28551" xr:uid="{327C04B8-5415-4FF0-85DF-9A046C0D0208}"/>
    <cellStyle name="Normal 8 4 2 2 3 5" xfId="37850" xr:uid="{CA2CB6DD-A951-4EAC-92BC-4CD6BB6FBB26}"/>
    <cellStyle name="Normal 8 4 2 2 3 6" xfId="19252" xr:uid="{FC82FC19-605A-4AC5-A3FA-D7DDCBADEE32}"/>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17580" xr:uid="{A49F5344-0543-4345-A014-997C8EABC2A3}"/>
    <cellStyle name="Normal 8 4 2 2 4 2 2 2 2" xfId="53922" xr:uid="{6789E0CE-EC93-4075-984F-5634339E0424}"/>
    <cellStyle name="Normal 8 4 2 2 4 2 2 2 3" xfId="35326" xr:uid="{93AEE92D-498D-4958-9419-30E8879E201F}"/>
    <cellStyle name="Normal 8 4 2 2 4 2 2 3" xfId="44625" xr:uid="{D6DBEFAE-4E0B-4DC7-AFFB-97240830EC2D}"/>
    <cellStyle name="Normal 8 4 2 2 4 2 2 4" xfId="26027" xr:uid="{8885AC01-5498-453E-B683-562D54E4BE57}"/>
    <cellStyle name="Normal 8 4 2 2 4 2 3" xfId="13363" xr:uid="{E99CEDE3-D15D-4559-B91B-385667A11E9E}"/>
    <cellStyle name="Normal 8 4 2 2 4 2 3 2" xfId="49705" xr:uid="{80430A10-5CD0-41D0-98AF-39EA655075EF}"/>
    <cellStyle name="Normal 8 4 2 2 4 2 3 3" xfId="31109" xr:uid="{BA3107EC-061D-4094-854E-731171A6E014}"/>
    <cellStyle name="Normal 8 4 2 2 4 2 4" xfId="40408" xr:uid="{2FB53E55-E825-4A34-A503-955824D5BE2C}"/>
    <cellStyle name="Normal 8 4 2 2 4 2 5" xfId="21810" xr:uid="{09E02949-3F25-4825-8257-D68F21C940A8}"/>
    <cellStyle name="Normal 8 4 2 2 4 3" xfId="6109" xr:uid="{00000000-0005-0000-0000-0000DD1D0000}"/>
    <cellStyle name="Normal 8 4 2 2 4 3 2" xfId="15435" xr:uid="{089F7712-CD8C-4D2D-B5EC-B72F5174F660}"/>
    <cellStyle name="Normal 8 4 2 2 4 3 2 2" xfId="51777" xr:uid="{A1242213-2CB4-4F10-9CC4-009032EEF683}"/>
    <cellStyle name="Normal 8 4 2 2 4 3 2 3" xfId="33181" xr:uid="{FAF05C1E-FE0A-4ED3-BA6C-BB32858F0745}"/>
    <cellStyle name="Normal 8 4 2 2 4 3 3" xfId="42480" xr:uid="{4DDD4685-3E5A-4666-9A5C-27AEA1900C4D}"/>
    <cellStyle name="Normal 8 4 2 2 4 3 4" xfId="23882" xr:uid="{B313E470-94CE-43E2-BF61-96BABDA1415F}"/>
    <cellStyle name="Normal 8 4 2 2 4 4" xfId="11218" xr:uid="{FC185765-59A8-4F95-BF35-C283C32FBB92}"/>
    <cellStyle name="Normal 8 4 2 2 4 4 2" xfId="47560" xr:uid="{DDACB7F8-2128-4795-9B1A-E604FDA5A4F5}"/>
    <cellStyle name="Normal 8 4 2 2 4 4 3" xfId="28964" xr:uid="{A62FBAA4-6441-4A4A-B897-56C0BD7FFC80}"/>
    <cellStyle name="Normal 8 4 2 2 4 5" xfId="38263" xr:uid="{DB243C5D-10FF-417C-B6AE-A3E550D2F269}"/>
    <cellStyle name="Normal 8 4 2 2 4 6" xfId="19665" xr:uid="{0029250D-F5D9-4F80-964E-56D086066CDF}"/>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17993" xr:uid="{67236DC2-5AC7-4E89-BC61-B1C8AD84F98C}"/>
    <cellStyle name="Normal 8 4 2 2 5 2 2 2 2" xfId="54335" xr:uid="{81380BD9-5913-4477-8678-E1F6142B2BF3}"/>
    <cellStyle name="Normal 8 4 2 2 5 2 2 2 3" xfId="35739" xr:uid="{DD01C634-D16B-4576-998D-8ED9F00E9AF0}"/>
    <cellStyle name="Normal 8 4 2 2 5 2 2 3" xfId="45038" xr:uid="{1B264F2E-F4B0-4E66-98F9-A06A449D2913}"/>
    <cellStyle name="Normal 8 4 2 2 5 2 2 4" xfId="26440" xr:uid="{120A18A2-F98F-405B-83D0-43541BEBA0B8}"/>
    <cellStyle name="Normal 8 4 2 2 5 2 3" xfId="13776" xr:uid="{8B3B9814-1989-4AC0-B276-F1BFCF17BFDB}"/>
    <cellStyle name="Normal 8 4 2 2 5 2 3 2" xfId="50118" xr:uid="{1CA9A43F-3424-47A4-B012-0A5F8CB38E31}"/>
    <cellStyle name="Normal 8 4 2 2 5 2 3 3" xfId="31522" xr:uid="{B4F6114F-CF9B-4C22-A93F-B0A18904B4C3}"/>
    <cellStyle name="Normal 8 4 2 2 5 2 4" xfId="40821" xr:uid="{1CE9F89D-4E72-4F51-8772-30E864831AC9}"/>
    <cellStyle name="Normal 8 4 2 2 5 2 5" xfId="22223" xr:uid="{35FC3587-CADD-4A70-8184-B3504C6843D6}"/>
    <cellStyle name="Normal 8 4 2 2 5 3" xfId="6522" xr:uid="{00000000-0005-0000-0000-0000E11D0000}"/>
    <cellStyle name="Normal 8 4 2 2 5 3 2" xfId="15848" xr:uid="{D6C207CB-34B4-470E-8280-A6BBC9E6B4CA}"/>
    <cellStyle name="Normal 8 4 2 2 5 3 2 2" xfId="52190" xr:uid="{5393D8F2-B310-4C18-BF38-B3B53C220354}"/>
    <cellStyle name="Normal 8 4 2 2 5 3 2 3" xfId="33594" xr:uid="{7FACC789-D468-40D6-A587-500721B989F4}"/>
    <cellStyle name="Normal 8 4 2 2 5 3 3" xfId="42893" xr:uid="{D4C64F10-ECF6-4F38-BF1A-FD3E86650261}"/>
    <cellStyle name="Normal 8 4 2 2 5 3 4" xfId="24295" xr:uid="{F0CB9FA8-723E-4463-B509-C4D3ADF5C9C3}"/>
    <cellStyle name="Normal 8 4 2 2 5 4" xfId="11631" xr:uid="{0109B09B-45AC-40AA-A7E9-482C7F766CB7}"/>
    <cellStyle name="Normal 8 4 2 2 5 4 2" xfId="47973" xr:uid="{F9C4BFD2-86A5-4D84-AF75-82DAB1C251FE}"/>
    <cellStyle name="Normal 8 4 2 2 5 4 3" xfId="29377" xr:uid="{E3E1270D-5F07-4502-A31A-6CA32E0EAA4A}"/>
    <cellStyle name="Normal 8 4 2 2 5 5" xfId="38676" xr:uid="{A36C5B3F-C4A7-4700-BD72-546B41D7BAF9}"/>
    <cellStyle name="Normal 8 4 2 2 5 6" xfId="20078" xr:uid="{A542540C-0D13-4083-80C5-0580F377CB0F}"/>
    <cellStyle name="Normal 8 4 2 2 6" xfId="2652" xr:uid="{00000000-0005-0000-0000-0000E21D0000}"/>
    <cellStyle name="Normal 8 4 2 2 6 2" xfId="6935" xr:uid="{00000000-0005-0000-0000-0000E31D0000}"/>
    <cellStyle name="Normal 8 4 2 2 6 2 2" xfId="16261" xr:uid="{EA7C8DB2-6BE5-4059-9763-0BF80923AA36}"/>
    <cellStyle name="Normal 8 4 2 2 6 2 2 2" xfId="52603" xr:uid="{106D50A4-9D18-4547-A3EC-8FC20F0949CD}"/>
    <cellStyle name="Normal 8 4 2 2 6 2 2 3" xfId="34007" xr:uid="{072D0A8F-3B98-4170-B4A2-E1DEC22C13EB}"/>
    <cellStyle name="Normal 8 4 2 2 6 2 3" xfId="43306" xr:uid="{13F0D036-C9B5-40BD-B26F-F0718FC72392}"/>
    <cellStyle name="Normal 8 4 2 2 6 2 4" xfId="24708" xr:uid="{C1D73B73-020D-41F1-A436-8A0EF6803E31}"/>
    <cellStyle name="Normal 8 4 2 2 6 3" xfId="12044" xr:uid="{64BA1CC6-C62D-46EC-B115-50E1A0500082}"/>
    <cellStyle name="Normal 8 4 2 2 6 3 2" xfId="48386" xr:uid="{15B2DE40-A5E9-4F1C-A4D6-77093319A73D}"/>
    <cellStyle name="Normal 8 4 2 2 6 3 3" xfId="29790" xr:uid="{1F207C5F-4D30-4667-A94A-B8617369A5F2}"/>
    <cellStyle name="Normal 8 4 2 2 6 4" xfId="39089" xr:uid="{89E30820-1766-4C89-899C-83B43654B5FC}"/>
    <cellStyle name="Normal 8 4 2 2 6 5" xfId="20491" xr:uid="{69D1B644-FBF5-487B-9F37-8576904B2AC4}"/>
    <cellStyle name="Normal 8 4 2 2 7" xfId="4870" xr:uid="{00000000-0005-0000-0000-0000E41D0000}"/>
    <cellStyle name="Normal 8 4 2 2 7 2" xfId="14196" xr:uid="{490118BC-C64D-42C6-899B-8E3F9259842A}"/>
    <cellStyle name="Normal 8 4 2 2 7 2 2" xfId="50538" xr:uid="{383402BE-6FD2-4C51-B395-6304287BEAC0}"/>
    <cellStyle name="Normal 8 4 2 2 7 2 3" xfId="31942" xr:uid="{140D9D35-0772-445B-9423-821B9A66A2A7}"/>
    <cellStyle name="Normal 8 4 2 2 7 3" xfId="41241" xr:uid="{948953BE-CCBD-4B09-B3B8-66CE9C7BC8ED}"/>
    <cellStyle name="Normal 8 4 2 2 7 4" xfId="22643" xr:uid="{B5932F99-185D-43DD-AA54-13F9271C4033}"/>
    <cellStyle name="Normal 8 4 2 2 8" xfId="9144" xr:uid="{EF6B0978-3DE8-47DC-990C-0B47AAC8F1DC}"/>
    <cellStyle name="Normal 8 4 2 2 8 2" xfId="36214" xr:uid="{A7DE4115-554E-4E81-9753-9ECE1D1A82DC}"/>
    <cellStyle name="Normal 8 4 2 2 8 2 2" xfId="54809" xr:uid="{56128ACF-BF7C-4F83-8E6A-3F0878196975}"/>
    <cellStyle name="Normal 8 4 2 2 8 3" xfId="45512" xr:uid="{C09C7B44-6007-438F-9C6D-5174F38B5710}"/>
    <cellStyle name="Normal 8 4 2 2 8 4" xfId="26915" xr:uid="{F83E3B5D-4016-4103-B320-3180E56BF7FB}"/>
    <cellStyle name="Normal 8 4 2 2 9" xfId="9979" xr:uid="{3F0F8BE8-4390-459B-A216-36436FA8FA64}"/>
    <cellStyle name="Normal 8 4 2 2 9 2" xfId="46321" xr:uid="{04926B3E-8887-4750-935F-AEE476FD4324}"/>
    <cellStyle name="Normal 8 4 2 2 9 3" xfId="27725" xr:uid="{FD29DDB7-BA40-4965-BD40-CF280D0023D7}"/>
    <cellStyle name="Normal 8 4 2 3" xfId="971" xr:uid="{00000000-0005-0000-0000-0000E51D0000}"/>
    <cellStyle name="Normal 8 4 2 3 2" xfId="3205" xr:uid="{00000000-0005-0000-0000-0000E61D0000}"/>
    <cellStyle name="Normal 8 4 2 3 2 2" xfId="7427" xr:uid="{00000000-0005-0000-0000-0000E71D0000}"/>
    <cellStyle name="Normal 8 4 2 3 2 2 2" xfId="16753" xr:uid="{02A372DD-C7BF-41DD-BF37-AE6A274C40FF}"/>
    <cellStyle name="Normal 8 4 2 3 2 2 2 2" xfId="53095" xr:uid="{B1A4610E-5A9F-4C98-9745-F306C48E9622}"/>
    <cellStyle name="Normal 8 4 2 3 2 2 2 3" xfId="34499" xr:uid="{27C271CD-E095-45B7-92B3-06BE9A6D57EE}"/>
    <cellStyle name="Normal 8 4 2 3 2 2 3" xfId="43798" xr:uid="{5FA7F27F-61E3-4E16-8ACE-690AB419CEFC}"/>
    <cellStyle name="Normal 8 4 2 3 2 2 4" xfId="25200" xr:uid="{C896AA04-E579-4D07-B388-7B8AB39335E9}"/>
    <cellStyle name="Normal 8 4 2 3 2 3" xfId="12536" xr:uid="{C38F7964-42AB-4F02-9A45-E1F6081C20D8}"/>
    <cellStyle name="Normal 8 4 2 3 2 3 2" xfId="48878" xr:uid="{07838D4F-D6C1-4DC9-82DD-4C85533E46F6}"/>
    <cellStyle name="Normal 8 4 2 3 2 3 3" xfId="30282" xr:uid="{909DF7E5-CADB-4017-9589-C80D03FA3AE8}"/>
    <cellStyle name="Normal 8 4 2 3 2 4" xfId="39581" xr:uid="{AE3B4BB4-089B-4BD9-A5CA-04958DF435CE}"/>
    <cellStyle name="Normal 8 4 2 3 2 5" xfId="20983" xr:uid="{7CD831C7-879E-48F2-A037-C3C3DFCDEDC3}"/>
    <cellStyle name="Normal 8 4 2 3 3" xfId="5282" xr:uid="{00000000-0005-0000-0000-0000E81D0000}"/>
    <cellStyle name="Normal 8 4 2 3 3 2" xfId="14608" xr:uid="{5DD1A49C-CD25-442A-8CF1-2A6A3F0319CB}"/>
    <cellStyle name="Normal 8 4 2 3 3 2 2" xfId="50950" xr:uid="{7D7EC39C-AAFD-4D93-81AD-AE68BD12E194}"/>
    <cellStyle name="Normal 8 4 2 3 3 2 3" xfId="32354" xr:uid="{2C5DCCC9-E0D2-4227-9EA2-0E53BE73FE55}"/>
    <cellStyle name="Normal 8 4 2 3 3 3" xfId="41653" xr:uid="{76DA7504-AE9A-4AB7-91B4-02D134D7A7DA}"/>
    <cellStyle name="Normal 8 4 2 3 3 4" xfId="23055" xr:uid="{F3E35BDC-A780-4886-978D-42F9F58426E9}"/>
    <cellStyle name="Normal 8 4 2 3 4" xfId="9362" xr:uid="{206856BB-FDDB-4012-ABFE-5E991E477A14}"/>
    <cellStyle name="Normal 8 4 2 3 4 2" xfId="36423" xr:uid="{FB672751-367E-40A6-ABB5-DA765BAF0E87}"/>
    <cellStyle name="Normal 8 4 2 3 4 2 2" xfId="55017" xr:uid="{3BF5A363-9A61-493B-938E-42B54D1E45F0}"/>
    <cellStyle name="Normal 8 4 2 3 4 3" xfId="45720" xr:uid="{BEE83482-2183-46B5-AEE0-4D56F3E199D1}"/>
    <cellStyle name="Normal 8 4 2 3 4 4" xfId="27124" xr:uid="{57AB7FA2-AAF4-4A3E-BE9C-132E30035018}"/>
    <cellStyle name="Normal 8 4 2 3 5" xfId="10391" xr:uid="{CECAA0AA-7A8D-4841-91AD-FB8BF3BBD5B5}"/>
    <cellStyle name="Normal 8 4 2 3 5 2" xfId="46733" xr:uid="{E96B81FD-2818-4853-8A5F-B070C8408036}"/>
    <cellStyle name="Normal 8 4 2 3 5 3" xfId="28137" xr:uid="{868984D4-3C8A-46A6-BD01-9005B0E892DE}"/>
    <cellStyle name="Normal 8 4 2 3 6" xfId="37436" xr:uid="{2AB68EDD-932F-4B32-934F-F33FDFDDABAB}"/>
    <cellStyle name="Normal 8 4 2 3 7" xfId="18838" xr:uid="{C025A227-4F3C-4B4A-A3E7-F999E92A4886}"/>
    <cellStyle name="Normal 8 4 2 4" xfId="1388" xr:uid="{00000000-0005-0000-0000-0000E91D0000}"/>
    <cellStyle name="Normal 8 4 2 4 2" xfId="3618" xr:uid="{00000000-0005-0000-0000-0000EA1D0000}"/>
    <cellStyle name="Normal 8 4 2 4 2 2" xfId="7840" xr:uid="{00000000-0005-0000-0000-0000EB1D0000}"/>
    <cellStyle name="Normal 8 4 2 4 2 2 2" xfId="17166" xr:uid="{7A25D7C4-ED33-416D-BE11-5B7BE1722946}"/>
    <cellStyle name="Normal 8 4 2 4 2 2 2 2" xfId="53508" xr:uid="{C65C05F4-9170-44EE-BDDD-58023D5CD91A}"/>
    <cellStyle name="Normal 8 4 2 4 2 2 2 3" xfId="34912" xr:uid="{D8DA27A4-A333-46B9-AABE-7D5FFF574F81}"/>
    <cellStyle name="Normal 8 4 2 4 2 2 3" xfId="44211" xr:uid="{D4FA1539-CFCE-4A4F-9707-C700271B728C}"/>
    <cellStyle name="Normal 8 4 2 4 2 2 4" xfId="25613" xr:uid="{4B67916D-AE0C-4EEF-B99A-E90F8F0F493E}"/>
    <cellStyle name="Normal 8 4 2 4 2 3" xfId="12949" xr:uid="{DDFF55B0-2F86-4F1F-B228-B1B73CFBB020}"/>
    <cellStyle name="Normal 8 4 2 4 2 3 2" xfId="49291" xr:uid="{117977B6-2FFD-4756-840B-EC25C5957195}"/>
    <cellStyle name="Normal 8 4 2 4 2 3 3" xfId="30695" xr:uid="{DB7D844C-BD2F-4DA9-B5F5-3EE41F99E6C9}"/>
    <cellStyle name="Normal 8 4 2 4 2 4" xfId="39994" xr:uid="{277E6F18-8BFD-4047-A8E9-1823288B0DF8}"/>
    <cellStyle name="Normal 8 4 2 4 2 5" xfId="21396" xr:uid="{0761B38C-3C12-4A8A-AE05-01C8B1A843DC}"/>
    <cellStyle name="Normal 8 4 2 4 3" xfId="5695" xr:uid="{00000000-0005-0000-0000-0000EC1D0000}"/>
    <cellStyle name="Normal 8 4 2 4 3 2" xfId="15021" xr:uid="{865E65C3-911A-4809-8B53-D2685060D551}"/>
    <cellStyle name="Normal 8 4 2 4 3 2 2" xfId="51363" xr:uid="{BD1A40B5-326C-4C82-A04B-8DFB0CD92B43}"/>
    <cellStyle name="Normal 8 4 2 4 3 2 3" xfId="32767" xr:uid="{27B62020-47F4-4DB4-98A2-94EE9AB752A0}"/>
    <cellStyle name="Normal 8 4 2 4 3 3" xfId="42066" xr:uid="{46E22F75-66AC-418E-82CB-CE91253BDA66}"/>
    <cellStyle name="Normal 8 4 2 4 3 4" xfId="23468" xr:uid="{BDCF4DD0-6CB2-4FE5-BAD7-A2007D379659}"/>
    <cellStyle name="Normal 8 4 2 4 4" xfId="10804" xr:uid="{514E456D-85FB-433D-8BD9-7A9721D5761F}"/>
    <cellStyle name="Normal 8 4 2 4 4 2" xfId="47146" xr:uid="{9C6EEEDF-1984-427F-A9D1-C1453232EA7F}"/>
    <cellStyle name="Normal 8 4 2 4 4 3" xfId="28550" xr:uid="{EFAA062E-CF91-40E2-AB8F-D2E65369289B}"/>
    <cellStyle name="Normal 8 4 2 4 5" xfId="37849" xr:uid="{1762F62B-124D-42DC-8F61-1EB7B01CA7FF}"/>
    <cellStyle name="Normal 8 4 2 4 6" xfId="19251" xr:uid="{D8941FAE-45CF-4FA2-B75B-0019E1CF497F}"/>
    <cellStyle name="Normal 8 4 2 5" xfId="1801" xr:uid="{00000000-0005-0000-0000-0000ED1D0000}"/>
    <cellStyle name="Normal 8 4 2 5 2" xfId="4031" xr:uid="{00000000-0005-0000-0000-0000EE1D0000}"/>
    <cellStyle name="Normal 8 4 2 5 2 2" xfId="8253" xr:uid="{00000000-0005-0000-0000-0000EF1D0000}"/>
    <cellStyle name="Normal 8 4 2 5 2 2 2" xfId="17579" xr:uid="{A16520D1-9D40-4E91-A0F3-A298F7F0CDBE}"/>
    <cellStyle name="Normal 8 4 2 5 2 2 2 2" xfId="53921" xr:uid="{E0063522-FE0B-46AE-81AC-DF85EB13E43A}"/>
    <cellStyle name="Normal 8 4 2 5 2 2 2 3" xfId="35325" xr:uid="{F7A88E8A-9135-4B24-9335-63FECA133F0D}"/>
    <cellStyle name="Normal 8 4 2 5 2 2 3" xfId="44624" xr:uid="{482EEDBC-E9A1-429E-9748-ECCB46121828}"/>
    <cellStyle name="Normal 8 4 2 5 2 2 4" xfId="26026" xr:uid="{DF411521-C181-4A92-99E2-D70670CCEED4}"/>
    <cellStyle name="Normal 8 4 2 5 2 3" xfId="13362" xr:uid="{85F74C0B-3B1F-4D37-AA81-49132D70AEC3}"/>
    <cellStyle name="Normal 8 4 2 5 2 3 2" xfId="49704" xr:uid="{15AF3C30-0238-4EB7-81EB-6888449067AD}"/>
    <cellStyle name="Normal 8 4 2 5 2 3 3" xfId="31108" xr:uid="{22C9920A-205D-43D1-BB57-DEE75376C06C}"/>
    <cellStyle name="Normal 8 4 2 5 2 4" xfId="40407" xr:uid="{0B0362C8-836D-4D75-B2AA-B5EAFF71BB30}"/>
    <cellStyle name="Normal 8 4 2 5 2 5" xfId="21809" xr:uid="{F2614AAF-AAC1-48B2-A859-B33226270E89}"/>
    <cellStyle name="Normal 8 4 2 5 3" xfId="6108" xr:uid="{00000000-0005-0000-0000-0000F01D0000}"/>
    <cellStyle name="Normal 8 4 2 5 3 2" xfId="15434" xr:uid="{3DCB7C7B-32EE-4B24-A285-E95E4B17E87D}"/>
    <cellStyle name="Normal 8 4 2 5 3 2 2" xfId="51776" xr:uid="{6243666C-23B0-4525-823B-B81ED1E65B39}"/>
    <cellStyle name="Normal 8 4 2 5 3 2 3" xfId="33180" xr:uid="{C723ECA8-D744-4A4A-A632-96A41300916A}"/>
    <cellStyle name="Normal 8 4 2 5 3 3" xfId="42479" xr:uid="{954D9EF6-0534-4932-B8E8-9EAE7CFB7C32}"/>
    <cellStyle name="Normal 8 4 2 5 3 4" xfId="23881" xr:uid="{BC7B61A1-1519-4DE2-861A-C50C334B187E}"/>
    <cellStyle name="Normal 8 4 2 5 4" xfId="11217" xr:uid="{198D843C-044E-45A4-8EB6-F01F69ECBC1C}"/>
    <cellStyle name="Normal 8 4 2 5 4 2" xfId="47559" xr:uid="{DCD17492-C735-42B5-A5B3-31F16B627921}"/>
    <cellStyle name="Normal 8 4 2 5 4 3" xfId="28963" xr:uid="{7D6EFF21-B056-4A47-B07E-6AADFA6C463F}"/>
    <cellStyle name="Normal 8 4 2 5 5" xfId="38262" xr:uid="{ADEFBD09-C50D-4907-99E1-F68351B69CFB}"/>
    <cellStyle name="Normal 8 4 2 5 6" xfId="19664" xr:uid="{53B2BF4D-FB58-4386-99C7-1700777BB9A6}"/>
    <cellStyle name="Normal 8 4 2 6" xfId="2215" xr:uid="{00000000-0005-0000-0000-0000F11D0000}"/>
    <cellStyle name="Normal 8 4 2 6 2" xfId="4444" xr:uid="{00000000-0005-0000-0000-0000F21D0000}"/>
    <cellStyle name="Normal 8 4 2 6 2 2" xfId="8666" xr:uid="{00000000-0005-0000-0000-0000F31D0000}"/>
    <cellStyle name="Normal 8 4 2 6 2 2 2" xfId="17992" xr:uid="{01264F9C-B2A4-4D0C-A681-D24F7B22B670}"/>
    <cellStyle name="Normal 8 4 2 6 2 2 2 2" xfId="54334" xr:uid="{3E0E8F9D-DFE0-49E4-B7A1-2BC9318688CB}"/>
    <cellStyle name="Normal 8 4 2 6 2 2 2 3" xfId="35738" xr:uid="{78B4C718-EFD2-41C0-A2A8-C2B6CE76BD00}"/>
    <cellStyle name="Normal 8 4 2 6 2 2 3" xfId="45037" xr:uid="{C0833C31-A3E9-4B90-8D84-D10F8CC921F4}"/>
    <cellStyle name="Normal 8 4 2 6 2 2 4" xfId="26439" xr:uid="{862E0FFF-0339-46D5-9288-937E856B5846}"/>
    <cellStyle name="Normal 8 4 2 6 2 3" xfId="13775" xr:uid="{809346CA-36C9-442D-9494-4A09BD53DFBF}"/>
    <cellStyle name="Normal 8 4 2 6 2 3 2" xfId="50117" xr:uid="{2DA2934D-500F-4DA5-B657-FE889952276E}"/>
    <cellStyle name="Normal 8 4 2 6 2 3 3" xfId="31521" xr:uid="{77F7DDA0-1C3C-437C-992F-AFB3A14FCDBF}"/>
    <cellStyle name="Normal 8 4 2 6 2 4" xfId="40820" xr:uid="{9C8BF538-0381-485B-B353-F664739A15EA}"/>
    <cellStyle name="Normal 8 4 2 6 2 5" xfId="22222" xr:uid="{1D232908-9788-40A4-82B5-2CB6314FF335}"/>
    <cellStyle name="Normal 8 4 2 6 3" xfId="6521" xr:uid="{00000000-0005-0000-0000-0000F41D0000}"/>
    <cellStyle name="Normal 8 4 2 6 3 2" xfId="15847" xr:uid="{3801C5A0-B7DB-4AD9-8B3A-2A750025C726}"/>
    <cellStyle name="Normal 8 4 2 6 3 2 2" xfId="52189" xr:uid="{44D1D51C-5C27-44D1-9D04-9FBCCDC5B226}"/>
    <cellStyle name="Normal 8 4 2 6 3 2 3" xfId="33593" xr:uid="{89E51B0B-3DFB-45EC-952D-4212D4796A33}"/>
    <cellStyle name="Normal 8 4 2 6 3 3" xfId="42892" xr:uid="{D1D71F64-BF10-441B-99DB-5C8BDE87A5AD}"/>
    <cellStyle name="Normal 8 4 2 6 3 4" xfId="24294" xr:uid="{E2574ECC-1E53-4BDE-AED9-38BED475065B}"/>
    <cellStyle name="Normal 8 4 2 6 4" xfId="11630" xr:uid="{AC2A731F-0294-4A78-A0E7-26775207141D}"/>
    <cellStyle name="Normal 8 4 2 6 4 2" xfId="47972" xr:uid="{F449D6E5-E972-4A56-AB17-D306A0448520}"/>
    <cellStyle name="Normal 8 4 2 6 4 3" xfId="29376" xr:uid="{A925D56F-F565-4E70-BD1F-642C88856D8B}"/>
    <cellStyle name="Normal 8 4 2 6 5" xfId="38675" xr:uid="{3701342B-795E-4D79-A981-696803E97A45}"/>
    <cellStyle name="Normal 8 4 2 6 6" xfId="20077" xr:uid="{D690BA1D-2E34-499A-92C5-3E4F1249A159}"/>
    <cellStyle name="Normal 8 4 2 7" xfId="2651" xr:uid="{00000000-0005-0000-0000-0000F51D0000}"/>
    <cellStyle name="Normal 8 4 2 7 2" xfId="6934" xr:uid="{00000000-0005-0000-0000-0000F61D0000}"/>
    <cellStyle name="Normal 8 4 2 7 2 2" xfId="16260" xr:uid="{41A6E5AF-C6BB-4B8A-B5E4-0052D7F48094}"/>
    <cellStyle name="Normal 8 4 2 7 2 2 2" xfId="52602" xr:uid="{1B24C0E9-6E2F-4B2A-9DCD-0D7214809543}"/>
    <cellStyle name="Normal 8 4 2 7 2 2 3" xfId="34006" xr:uid="{D07E3B97-4980-4654-9C4B-E040456E9A3D}"/>
    <cellStyle name="Normal 8 4 2 7 2 3" xfId="43305" xr:uid="{9BEAE759-850D-4964-BE43-79803B03EB1B}"/>
    <cellStyle name="Normal 8 4 2 7 2 4" xfId="24707" xr:uid="{F1FD6D2F-8F4E-4E93-B464-E5DF5049184C}"/>
    <cellStyle name="Normal 8 4 2 7 3" xfId="12043" xr:uid="{878B82F2-3B5F-4CD7-A106-C3721BEB05C4}"/>
    <cellStyle name="Normal 8 4 2 7 3 2" xfId="48385" xr:uid="{82CE1A3E-F993-45B9-9951-085668258A0C}"/>
    <cellStyle name="Normal 8 4 2 7 3 3" xfId="29789" xr:uid="{648510B1-9F8E-4233-8D77-0241FB0FF791}"/>
    <cellStyle name="Normal 8 4 2 7 4" xfId="39088" xr:uid="{8B1CADDD-E9CD-4D09-B0EC-77A10FAA7602}"/>
    <cellStyle name="Normal 8 4 2 7 5" xfId="20490" xr:uid="{76ED9827-14A3-464A-BDC5-50046D48F75A}"/>
    <cellStyle name="Normal 8 4 2 8" xfId="4869" xr:uid="{00000000-0005-0000-0000-0000F71D0000}"/>
    <cellStyle name="Normal 8 4 2 8 2" xfId="14195" xr:uid="{D80C3A3A-B725-483F-B8E6-DD6515912C52}"/>
    <cellStyle name="Normal 8 4 2 8 2 2" xfId="50537" xr:uid="{EF5357D3-483E-48C6-9A85-D1069C840C78}"/>
    <cellStyle name="Normal 8 4 2 8 2 3" xfId="31941" xr:uid="{105C597D-EB8D-4A73-96B8-5DE59A5F81F4}"/>
    <cellStyle name="Normal 8 4 2 8 3" xfId="41240" xr:uid="{2275C488-B9C3-44DE-8078-B27F2349100F}"/>
    <cellStyle name="Normal 8 4 2 8 4" xfId="22642" xr:uid="{1C47D35A-5514-4E6A-BF45-FB8358A08675}"/>
    <cellStyle name="Normal 8 4 2 9" xfId="8937" xr:uid="{B425CDA4-C1C1-4A6C-AB85-CE28E324A88F}"/>
    <cellStyle name="Normal 8 4 2 9 2" xfId="36007" xr:uid="{4CB999A2-9BB5-49EB-8C03-6B564C0D6161}"/>
    <cellStyle name="Normal 8 4 2 9 2 2" xfId="54602" xr:uid="{A27C8B42-5E9E-4C5E-9A2C-8B0038884986}"/>
    <cellStyle name="Normal 8 4 2 9 3" xfId="45305" xr:uid="{AEF75985-D5CE-4DAC-8B4E-70CC0046D05D}"/>
    <cellStyle name="Normal 8 4 2 9 4" xfId="26708" xr:uid="{34BAD952-3C8E-4010-BA5F-6B2937A67B48}"/>
    <cellStyle name="Normal 8 4 3" xfId="506" xr:uid="{00000000-0005-0000-0000-0000F81D0000}"/>
    <cellStyle name="Normal 8 4 3 10" xfId="37025" xr:uid="{B3AE0555-4E94-442F-A5E9-2EC7CA3091AE}"/>
    <cellStyle name="Normal 8 4 3 11" xfId="18427" xr:uid="{5CAA36D8-2F7C-4C20-AEE6-D4E07D8B929D}"/>
    <cellStyle name="Normal 8 4 3 2" xfId="973" xr:uid="{00000000-0005-0000-0000-0000F91D0000}"/>
    <cellStyle name="Normal 8 4 3 2 2" xfId="3207" xr:uid="{00000000-0005-0000-0000-0000FA1D0000}"/>
    <cellStyle name="Normal 8 4 3 2 2 2" xfId="7429" xr:uid="{00000000-0005-0000-0000-0000FB1D0000}"/>
    <cellStyle name="Normal 8 4 3 2 2 2 2" xfId="16755" xr:uid="{36FEED32-B303-44FD-B7B2-401476757A30}"/>
    <cellStyle name="Normal 8 4 3 2 2 2 2 2" xfId="53097" xr:uid="{EB9DFB74-8549-4A19-9CD8-1ABCCF8F6C2B}"/>
    <cellStyle name="Normal 8 4 3 2 2 2 2 3" xfId="34501" xr:uid="{A1E1A6E3-9B08-4C9E-B87B-3B6B04D47206}"/>
    <cellStyle name="Normal 8 4 3 2 2 2 3" xfId="43800" xr:uid="{3B9C0D63-C2C0-422E-BA2B-CECF41FC5BD2}"/>
    <cellStyle name="Normal 8 4 3 2 2 2 4" xfId="25202" xr:uid="{522B56E3-6D41-48D2-8007-E3A2F9754E61}"/>
    <cellStyle name="Normal 8 4 3 2 2 3" xfId="12538" xr:uid="{25D69662-7F12-42EA-8C7B-85F3B2E5E45C}"/>
    <cellStyle name="Normal 8 4 3 2 2 3 2" xfId="48880" xr:uid="{6CED9263-5B55-4AB8-9008-624FCC725FCE}"/>
    <cellStyle name="Normal 8 4 3 2 2 3 3" xfId="30284" xr:uid="{001D3104-243C-4AF8-B5C3-C2044046D5D3}"/>
    <cellStyle name="Normal 8 4 3 2 2 4" xfId="39583" xr:uid="{8C7118A8-35E1-4B18-8D33-1E20E72A56E7}"/>
    <cellStyle name="Normal 8 4 3 2 2 5" xfId="20985" xr:uid="{20CE1857-22A7-4AC3-8F28-12C9DA5FA653}"/>
    <cellStyle name="Normal 8 4 3 2 3" xfId="5284" xr:uid="{00000000-0005-0000-0000-0000FC1D0000}"/>
    <cellStyle name="Normal 8 4 3 2 3 2" xfId="14610" xr:uid="{F79D9070-0607-4E1F-8C90-D0C99C68C830}"/>
    <cellStyle name="Normal 8 4 3 2 3 2 2" xfId="50952" xr:uid="{231CD2BA-B58B-44A2-A00D-BBBAD9B11C41}"/>
    <cellStyle name="Normal 8 4 3 2 3 2 3" xfId="32356" xr:uid="{463A3604-D5D9-44FF-BFCD-CB69AED32360}"/>
    <cellStyle name="Normal 8 4 3 2 3 3" xfId="41655" xr:uid="{F834ABD1-F9EC-4409-87AB-C75FFC5B13C6}"/>
    <cellStyle name="Normal 8 4 3 2 3 4" xfId="23057" xr:uid="{CAE6F752-5C11-4910-8775-25D488E8BBA8}"/>
    <cellStyle name="Normal 8 4 3 2 4" xfId="9466" xr:uid="{4C42748F-6D34-4D0D-8AE2-FFD5C0CBE26F}"/>
    <cellStyle name="Normal 8 4 3 2 4 2" xfId="36527" xr:uid="{7DC6975A-0F8C-4018-8E6D-28A5A035197D}"/>
    <cellStyle name="Normal 8 4 3 2 4 2 2" xfId="55121" xr:uid="{0C2D372B-C02A-4E6F-B16E-8B4C3B6A3E44}"/>
    <cellStyle name="Normal 8 4 3 2 4 3" xfId="45824" xr:uid="{08285621-DF77-4DF5-93FF-1DD4D177290E}"/>
    <cellStyle name="Normal 8 4 3 2 4 4" xfId="27228" xr:uid="{545D4E48-3919-4A5A-AAD7-ACEC73865F8E}"/>
    <cellStyle name="Normal 8 4 3 2 5" xfId="10393" xr:uid="{72752E5E-3B8A-4F39-AC7E-B94F1E21ABD5}"/>
    <cellStyle name="Normal 8 4 3 2 5 2" xfId="46735" xr:uid="{556E44F4-9A23-48E0-8542-E6851C4FEDE5}"/>
    <cellStyle name="Normal 8 4 3 2 5 3" xfId="28139" xr:uid="{8D9F47DA-D931-42E0-8A21-29EC6868D1E6}"/>
    <cellStyle name="Normal 8 4 3 2 6" xfId="37438" xr:uid="{A039AE03-BDC1-4ADB-8A47-24C46AA45534}"/>
    <cellStyle name="Normal 8 4 3 2 7" xfId="18840" xr:uid="{FD6A728E-F20D-4A78-BB3C-BE8011E9EBA8}"/>
    <cellStyle name="Normal 8 4 3 3" xfId="1390" xr:uid="{00000000-0005-0000-0000-0000FD1D0000}"/>
    <cellStyle name="Normal 8 4 3 3 2" xfId="3620" xr:uid="{00000000-0005-0000-0000-0000FE1D0000}"/>
    <cellStyle name="Normal 8 4 3 3 2 2" xfId="7842" xr:uid="{00000000-0005-0000-0000-0000FF1D0000}"/>
    <cellStyle name="Normal 8 4 3 3 2 2 2" xfId="17168" xr:uid="{42C8CAC2-89BB-4A75-826B-187F0AC328BF}"/>
    <cellStyle name="Normal 8 4 3 3 2 2 2 2" xfId="53510" xr:uid="{BFA63CCB-898C-4EF0-A549-EBBF56942E3F}"/>
    <cellStyle name="Normal 8 4 3 3 2 2 2 3" xfId="34914" xr:uid="{0AC62A3D-B8A5-4CD0-94F0-4D7CB3205639}"/>
    <cellStyle name="Normal 8 4 3 3 2 2 3" xfId="44213" xr:uid="{E90B77D4-17D5-4C6F-BF60-B0B8FCA093E6}"/>
    <cellStyle name="Normal 8 4 3 3 2 2 4" xfId="25615" xr:uid="{1123B087-6573-491C-9F68-83A21EF665E1}"/>
    <cellStyle name="Normal 8 4 3 3 2 3" xfId="12951" xr:uid="{6ECE7852-82C6-4269-96FA-FDE0E6FF5AFD}"/>
    <cellStyle name="Normal 8 4 3 3 2 3 2" xfId="49293" xr:uid="{886B285E-F1C1-4BDA-8A9A-FCC5088C0193}"/>
    <cellStyle name="Normal 8 4 3 3 2 3 3" xfId="30697" xr:uid="{91AC0E47-0339-4EE9-B0CA-27F800386289}"/>
    <cellStyle name="Normal 8 4 3 3 2 4" xfId="39996" xr:uid="{5B1DAF12-9AE7-4448-A0F7-52E125F6BAE3}"/>
    <cellStyle name="Normal 8 4 3 3 2 5" xfId="21398" xr:uid="{99EA4F94-283E-4E1A-93E3-4CAD89C67E11}"/>
    <cellStyle name="Normal 8 4 3 3 3" xfId="5697" xr:uid="{00000000-0005-0000-0000-0000001E0000}"/>
    <cellStyle name="Normal 8 4 3 3 3 2" xfId="15023" xr:uid="{8B9C3C8F-FEF7-4FE1-A79C-63A70B2EFDDF}"/>
    <cellStyle name="Normal 8 4 3 3 3 2 2" xfId="51365" xr:uid="{7EE71E3C-A923-4FA1-B7DC-F5E50E1D19F8}"/>
    <cellStyle name="Normal 8 4 3 3 3 2 3" xfId="32769" xr:uid="{8B6CC6A5-5B9C-4157-BAFF-E766672A3AA4}"/>
    <cellStyle name="Normal 8 4 3 3 3 3" xfId="42068" xr:uid="{4BA6E964-D9FC-4178-BE78-073E541DEA8C}"/>
    <cellStyle name="Normal 8 4 3 3 3 4" xfId="23470" xr:uid="{7CE8BD9D-07B6-461C-A9AA-C0A1A90B7E3D}"/>
    <cellStyle name="Normal 8 4 3 3 4" xfId="10806" xr:uid="{FFA9B9FB-D15B-4A65-BA23-53B1456A599F}"/>
    <cellStyle name="Normal 8 4 3 3 4 2" xfId="47148" xr:uid="{170E3076-EE48-4EE4-9A88-35930BB487B2}"/>
    <cellStyle name="Normal 8 4 3 3 4 3" xfId="28552" xr:uid="{3EBF9314-1ABD-4943-B3BC-972F0BD2F033}"/>
    <cellStyle name="Normal 8 4 3 3 5" xfId="37851" xr:uid="{BF81D751-2C56-4281-AB14-0FBDA836A40A}"/>
    <cellStyle name="Normal 8 4 3 3 6" xfId="19253" xr:uid="{603DC9E1-9B42-44D4-A2EC-B085B68894D5}"/>
    <cellStyle name="Normal 8 4 3 4" xfId="1803" xr:uid="{00000000-0005-0000-0000-0000011E0000}"/>
    <cellStyle name="Normal 8 4 3 4 2" xfId="4033" xr:uid="{00000000-0005-0000-0000-0000021E0000}"/>
    <cellStyle name="Normal 8 4 3 4 2 2" xfId="8255" xr:uid="{00000000-0005-0000-0000-0000031E0000}"/>
    <cellStyle name="Normal 8 4 3 4 2 2 2" xfId="17581" xr:uid="{2B3D83F1-8813-42CE-8AE0-5C16D83755CC}"/>
    <cellStyle name="Normal 8 4 3 4 2 2 2 2" xfId="53923" xr:uid="{FD72E362-80EE-4CD3-B856-44E8F038E7D8}"/>
    <cellStyle name="Normal 8 4 3 4 2 2 2 3" xfId="35327" xr:uid="{416CD2B7-900F-459A-A30B-12BC970FE3DB}"/>
    <cellStyle name="Normal 8 4 3 4 2 2 3" xfId="44626" xr:uid="{85FC7827-441B-44E2-9EE1-37A32C8B4668}"/>
    <cellStyle name="Normal 8 4 3 4 2 2 4" xfId="26028" xr:uid="{64FD1746-8FCA-4682-9373-16DC57441C8B}"/>
    <cellStyle name="Normal 8 4 3 4 2 3" xfId="13364" xr:uid="{4E93143F-3E3E-4338-89C3-B2F86FEBF70D}"/>
    <cellStyle name="Normal 8 4 3 4 2 3 2" xfId="49706" xr:uid="{AD27EEA3-AA83-49E2-B512-AF5DC01C0093}"/>
    <cellStyle name="Normal 8 4 3 4 2 3 3" xfId="31110" xr:uid="{396BDFB5-30F9-417B-917F-36AA8023EC05}"/>
    <cellStyle name="Normal 8 4 3 4 2 4" xfId="40409" xr:uid="{4B6D0E4A-BF3E-4CA9-B70B-142FFB82FBDD}"/>
    <cellStyle name="Normal 8 4 3 4 2 5" xfId="21811" xr:uid="{06C64B59-40C3-4009-8512-6D34AD63DF89}"/>
    <cellStyle name="Normal 8 4 3 4 3" xfId="6110" xr:uid="{00000000-0005-0000-0000-0000041E0000}"/>
    <cellStyle name="Normal 8 4 3 4 3 2" xfId="15436" xr:uid="{8C86EB9E-A081-4547-8DE1-9307E876EF9E}"/>
    <cellStyle name="Normal 8 4 3 4 3 2 2" xfId="51778" xr:uid="{7495141F-9956-4955-AE0C-9C73DDAD9047}"/>
    <cellStyle name="Normal 8 4 3 4 3 2 3" xfId="33182" xr:uid="{D10082BC-EAB2-4491-88F5-79C06E570A75}"/>
    <cellStyle name="Normal 8 4 3 4 3 3" xfId="42481" xr:uid="{22BF995D-8AF7-4414-AC18-BFA6EE212254}"/>
    <cellStyle name="Normal 8 4 3 4 3 4" xfId="23883" xr:uid="{1AAC3869-99C8-40CC-ADBE-63CA3A805538}"/>
    <cellStyle name="Normal 8 4 3 4 4" xfId="11219" xr:uid="{792C4E5F-D6B6-4D30-B612-A2B78EEDDB15}"/>
    <cellStyle name="Normal 8 4 3 4 4 2" xfId="47561" xr:uid="{F97428D7-DCDA-46A3-ABC2-1955D6B4776D}"/>
    <cellStyle name="Normal 8 4 3 4 4 3" xfId="28965" xr:uid="{0D709826-5922-43DE-9BC0-B7496EA2A7C4}"/>
    <cellStyle name="Normal 8 4 3 4 5" xfId="38264" xr:uid="{F3A713C7-3E9F-4DBC-A7FC-56DD0C3ADA59}"/>
    <cellStyle name="Normal 8 4 3 4 6" xfId="19666" xr:uid="{53C2D19C-F354-45A1-AB61-61002BD99A7C}"/>
    <cellStyle name="Normal 8 4 3 5" xfId="2217" xr:uid="{00000000-0005-0000-0000-0000051E0000}"/>
    <cellStyle name="Normal 8 4 3 5 2" xfId="4446" xr:uid="{00000000-0005-0000-0000-0000061E0000}"/>
    <cellStyle name="Normal 8 4 3 5 2 2" xfId="8668" xr:uid="{00000000-0005-0000-0000-0000071E0000}"/>
    <cellStyle name="Normal 8 4 3 5 2 2 2" xfId="17994" xr:uid="{8907429B-DD02-44BE-B76A-D9CFEC3D1BFE}"/>
    <cellStyle name="Normal 8 4 3 5 2 2 2 2" xfId="54336" xr:uid="{54580138-559D-45CA-AB66-51EFF3B4F6CF}"/>
    <cellStyle name="Normal 8 4 3 5 2 2 2 3" xfId="35740" xr:uid="{2EB005BB-5C06-4F2D-8A28-5C9EE851CD02}"/>
    <cellStyle name="Normal 8 4 3 5 2 2 3" xfId="45039" xr:uid="{69273416-D4A2-403D-841C-05756EBBC62A}"/>
    <cellStyle name="Normal 8 4 3 5 2 2 4" xfId="26441" xr:uid="{276E3F6E-B195-4213-93A5-7B8F8510EB53}"/>
    <cellStyle name="Normal 8 4 3 5 2 3" xfId="13777" xr:uid="{EFC0F075-4FDC-4875-B5DA-797B276F3C10}"/>
    <cellStyle name="Normal 8 4 3 5 2 3 2" xfId="50119" xr:uid="{1A2F7A37-5C73-4384-BEE6-999532D377D2}"/>
    <cellStyle name="Normal 8 4 3 5 2 3 3" xfId="31523" xr:uid="{BE2313CF-8971-46C2-A2EC-21D94927077F}"/>
    <cellStyle name="Normal 8 4 3 5 2 4" xfId="40822" xr:uid="{561887F4-7773-4C56-9990-537C1E2C57D2}"/>
    <cellStyle name="Normal 8 4 3 5 2 5" xfId="22224" xr:uid="{515173AE-A891-492D-BF42-1EDB8AF18A2C}"/>
    <cellStyle name="Normal 8 4 3 5 3" xfId="6523" xr:uid="{00000000-0005-0000-0000-0000081E0000}"/>
    <cellStyle name="Normal 8 4 3 5 3 2" xfId="15849" xr:uid="{1D54DDE2-7E48-465A-9011-C710217D69C2}"/>
    <cellStyle name="Normal 8 4 3 5 3 2 2" xfId="52191" xr:uid="{B20C2073-A710-4A9B-9E0D-2D7677E41DD8}"/>
    <cellStyle name="Normal 8 4 3 5 3 2 3" xfId="33595" xr:uid="{F53F7C3A-1279-4C4B-B83E-91FC6646DFB0}"/>
    <cellStyle name="Normal 8 4 3 5 3 3" xfId="42894" xr:uid="{D568DD38-0161-4CF8-8495-57FCA5285F76}"/>
    <cellStyle name="Normal 8 4 3 5 3 4" xfId="24296" xr:uid="{BBF6C3F3-DA5C-4EF5-BDC9-70B924AC04FC}"/>
    <cellStyle name="Normal 8 4 3 5 4" xfId="11632" xr:uid="{EB4D1347-1B16-407F-B0C8-4CB7032B4235}"/>
    <cellStyle name="Normal 8 4 3 5 4 2" xfId="47974" xr:uid="{52D248CB-D23D-4790-BE50-AEDF534A988F}"/>
    <cellStyle name="Normal 8 4 3 5 4 3" xfId="29378" xr:uid="{CBB1CD8D-0375-4F93-8BA8-58CC9D04FCEF}"/>
    <cellStyle name="Normal 8 4 3 5 5" xfId="38677" xr:uid="{2AF70E32-BB8A-4B60-8376-EC7F8CAE2233}"/>
    <cellStyle name="Normal 8 4 3 5 6" xfId="20079" xr:uid="{C4D02B37-256C-4E06-9FF3-DF2837A8773D}"/>
    <cellStyle name="Normal 8 4 3 6" xfId="2653" xr:uid="{00000000-0005-0000-0000-0000091E0000}"/>
    <cellStyle name="Normal 8 4 3 6 2" xfId="6936" xr:uid="{00000000-0005-0000-0000-00000A1E0000}"/>
    <cellStyle name="Normal 8 4 3 6 2 2" xfId="16262" xr:uid="{3CA28438-B781-4BB8-8F4D-30DADCF1E1B1}"/>
    <cellStyle name="Normal 8 4 3 6 2 2 2" xfId="52604" xr:uid="{2FAE78D7-573C-4544-81DF-55D4434FBF2F}"/>
    <cellStyle name="Normal 8 4 3 6 2 2 3" xfId="34008" xr:uid="{BE2FADAE-82F6-49DE-A59B-1FCEC979837B}"/>
    <cellStyle name="Normal 8 4 3 6 2 3" xfId="43307" xr:uid="{24ED7808-BD72-4F81-8CF4-AA0AB641A4CF}"/>
    <cellStyle name="Normal 8 4 3 6 2 4" xfId="24709" xr:uid="{FAC9E721-6429-4C0D-8B99-FD8CD4B5D163}"/>
    <cellStyle name="Normal 8 4 3 6 3" xfId="12045" xr:uid="{34CFB407-9DEB-4B2D-94FD-3ACD8339B7A3}"/>
    <cellStyle name="Normal 8 4 3 6 3 2" xfId="48387" xr:uid="{B70CA5DB-9CE2-4F0E-AD94-9C2D3B0BF9B6}"/>
    <cellStyle name="Normal 8 4 3 6 3 3" xfId="29791" xr:uid="{0EEE6730-B9DD-4BB2-9255-F7AA8F3AF6CB}"/>
    <cellStyle name="Normal 8 4 3 6 4" xfId="39090" xr:uid="{D371F569-2853-4039-98D9-532ED8489CD1}"/>
    <cellStyle name="Normal 8 4 3 6 5" xfId="20492" xr:uid="{02E98ED4-33F3-4F30-9027-280681AB3244}"/>
    <cellStyle name="Normal 8 4 3 7" xfId="4871" xr:uid="{00000000-0005-0000-0000-00000B1E0000}"/>
    <cellStyle name="Normal 8 4 3 7 2" xfId="14197" xr:uid="{285FB8F1-3691-4FE7-A6B1-9387E041B289}"/>
    <cellStyle name="Normal 8 4 3 7 2 2" xfId="50539" xr:uid="{B544FA7F-E5BE-4A67-95EF-A5E2DC855858}"/>
    <cellStyle name="Normal 8 4 3 7 2 3" xfId="31943" xr:uid="{937FF227-CE01-46E8-B646-15090F66F02E}"/>
    <cellStyle name="Normal 8 4 3 7 3" xfId="41242" xr:uid="{351D8CEA-6F84-47DE-A431-E1A11BC4DAED}"/>
    <cellStyle name="Normal 8 4 3 7 4" xfId="22644" xr:uid="{E08641FC-826F-4D78-91FD-857021EF8ABE}"/>
    <cellStyle name="Normal 8 4 3 8" xfId="9041" xr:uid="{3EA15F1E-D38A-4BB8-BEC6-98D9A94BB79B}"/>
    <cellStyle name="Normal 8 4 3 8 2" xfId="36111" xr:uid="{50312D0F-09AD-43D5-8A95-89C62C861D6D}"/>
    <cellStyle name="Normal 8 4 3 8 2 2" xfId="54706" xr:uid="{B5C24221-7703-4AF5-BC1B-C92A529932A2}"/>
    <cellStyle name="Normal 8 4 3 8 3" xfId="45409" xr:uid="{06E84BC3-C474-47B8-8310-4E4C81E9454B}"/>
    <cellStyle name="Normal 8 4 3 8 4" xfId="26812" xr:uid="{651E90DD-7CBD-484C-AFBD-4EC62E629DD5}"/>
    <cellStyle name="Normal 8 4 3 9" xfId="9980" xr:uid="{2BF6ED70-0839-41A3-87FD-5F03A75EB77B}"/>
    <cellStyle name="Normal 8 4 3 9 2" xfId="46322" xr:uid="{8060A695-0277-49E9-9258-156B960EFAF3}"/>
    <cellStyle name="Normal 8 4 3 9 3" xfId="27726" xr:uid="{65EE1F8C-5EF0-480E-9E7A-B1EFE2731DCB}"/>
    <cellStyle name="Normal 8 4 4" xfId="970" xr:uid="{00000000-0005-0000-0000-00000C1E0000}"/>
    <cellStyle name="Normal 8 4 4 2" xfId="3204" xr:uid="{00000000-0005-0000-0000-00000D1E0000}"/>
    <cellStyle name="Normal 8 4 4 2 2" xfId="7426" xr:uid="{00000000-0005-0000-0000-00000E1E0000}"/>
    <cellStyle name="Normal 8 4 4 2 2 2" xfId="16752" xr:uid="{1147D82E-1EE5-4F91-9CCB-56533B66C026}"/>
    <cellStyle name="Normal 8 4 4 2 2 2 2" xfId="53094" xr:uid="{E9A22375-F482-408E-9D9C-CC1548079FAD}"/>
    <cellStyle name="Normal 8 4 4 2 2 2 3" xfId="34498" xr:uid="{E7F75886-CB9F-4160-8E3C-D4EA65942F75}"/>
    <cellStyle name="Normal 8 4 4 2 2 3" xfId="43797" xr:uid="{D39C4290-1498-4146-884F-3CCCA15FD812}"/>
    <cellStyle name="Normal 8 4 4 2 2 4" xfId="25199" xr:uid="{EFD8DAAE-1F2E-4E3D-B91C-C48CB38B8DF0}"/>
    <cellStyle name="Normal 8 4 4 2 3" xfId="12535" xr:uid="{ECAB27AD-64C9-40BE-9B0C-4824BCEC4712}"/>
    <cellStyle name="Normal 8 4 4 2 3 2" xfId="48877" xr:uid="{6F513250-7AAA-46AA-8B44-D583C04C010A}"/>
    <cellStyle name="Normal 8 4 4 2 3 3" xfId="30281" xr:uid="{A4AB82F0-216C-4B96-B475-58E8FE17A9F4}"/>
    <cellStyle name="Normal 8 4 4 2 4" xfId="39580" xr:uid="{0FB49BBC-2F1D-41C3-B9A8-8210847DD4CA}"/>
    <cellStyle name="Normal 8 4 4 2 5" xfId="20982" xr:uid="{A692E8F2-8903-464F-9C81-9A6D53257C6C}"/>
    <cellStyle name="Normal 8 4 4 3" xfId="5281" xr:uid="{00000000-0005-0000-0000-00000F1E0000}"/>
    <cellStyle name="Normal 8 4 4 3 2" xfId="14607" xr:uid="{F640501D-7AE0-4AC7-8825-639FE712850B}"/>
    <cellStyle name="Normal 8 4 4 3 2 2" xfId="50949" xr:uid="{784E228C-34D5-4EBC-8F25-62332BA7A3E6}"/>
    <cellStyle name="Normal 8 4 4 3 2 3" xfId="32353" xr:uid="{D6D49B78-342E-411B-AEC1-DC225B3FE9F3}"/>
    <cellStyle name="Normal 8 4 4 3 3" xfId="41652" xr:uid="{18CC7AB9-3E70-4477-B152-C962B65C17EA}"/>
    <cellStyle name="Normal 8 4 4 3 4" xfId="23054" xr:uid="{51B24A4C-780A-49C1-A387-E73FA8B44509}"/>
    <cellStyle name="Normal 8 4 4 4" xfId="9259" xr:uid="{45904BAA-3C39-482B-A2B6-0FB84C0B889C}"/>
    <cellStyle name="Normal 8 4 4 4 2" xfId="36320" xr:uid="{3038D784-6D06-4CCF-9B93-3D3AA72E8700}"/>
    <cellStyle name="Normal 8 4 4 4 2 2" xfId="54914" xr:uid="{6D989BF1-DAD3-4406-924F-B88C3CAB0E65}"/>
    <cellStyle name="Normal 8 4 4 4 3" xfId="45617" xr:uid="{A1693EA4-CE15-47C8-8FAB-36FCB4465C11}"/>
    <cellStyle name="Normal 8 4 4 4 4" xfId="27021" xr:uid="{49CDC1BA-3658-4288-937C-03A07EA47231}"/>
    <cellStyle name="Normal 8 4 4 5" xfId="10390" xr:uid="{68D45C49-D4F1-4086-B9E2-599B7075DE3E}"/>
    <cellStyle name="Normal 8 4 4 5 2" xfId="46732" xr:uid="{D08D1BEF-5CBF-4E14-A647-507099024A02}"/>
    <cellStyle name="Normal 8 4 4 5 3" xfId="28136" xr:uid="{00ACA3CB-1C50-418B-8F50-3ACB74DB4F1B}"/>
    <cellStyle name="Normal 8 4 4 6" xfId="37435" xr:uid="{39FB00FC-6045-474C-93DE-8517A45B6CF1}"/>
    <cellStyle name="Normal 8 4 4 7" xfId="18837" xr:uid="{DDCF4BDB-691E-4CE8-86BA-F4948EC03420}"/>
    <cellStyle name="Normal 8 4 5" xfId="1387" xr:uid="{00000000-0005-0000-0000-0000101E0000}"/>
    <cellStyle name="Normal 8 4 5 2" xfId="3617" xr:uid="{00000000-0005-0000-0000-0000111E0000}"/>
    <cellStyle name="Normal 8 4 5 2 2" xfId="7839" xr:uid="{00000000-0005-0000-0000-0000121E0000}"/>
    <cellStyle name="Normal 8 4 5 2 2 2" xfId="17165" xr:uid="{575E87C1-E0D1-4BF5-A787-CBECFD2F595B}"/>
    <cellStyle name="Normal 8 4 5 2 2 2 2" xfId="53507" xr:uid="{B54CF4C5-ECEE-4EB6-898E-48C0E3CEC3BB}"/>
    <cellStyle name="Normal 8 4 5 2 2 2 3" xfId="34911" xr:uid="{758981CC-7147-4DDE-B0A3-3664F9BD067C}"/>
    <cellStyle name="Normal 8 4 5 2 2 3" xfId="44210" xr:uid="{8153E35E-8C19-4FA6-BBE1-90906EF2357D}"/>
    <cellStyle name="Normal 8 4 5 2 2 4" xfId="25612" xr:uid="{61D14D33-D6BC-49AF-A3A0-733941FFB1D8}"/>
    <cellStyle name="Normal 8 4 5 2 3" xfId="12948" xr:uid="{A9C9F2E2-90C2-4061-BCE4-E7A53258D04E}"/>
    <cellStyle name="Normal 8 4 5 2 3 2" xfId="49290" xr:uid="{39358EFB-5667-4CDB-8B16-531FD11D457F}"/>
    <cellStyle name="Normal 8 4 5 2 3 3" xfId="30694" xr:uid="{E8F8B548-187F-4933-82A5-E5F94607BF34}"/>
    <cellStyle name="Normal 8 4 5 2 4" xfId="39993" xr:uid="{2903F1DB-7CD9-4950-8626-1E5725C6177B}"/>
    <cellStyle name="Normal 8 4 5 2 5" xfId="21395" xr:uid="{054E0C71-771D-48F6-B263-8ACCEC3CD053}"/>
    <cellStyle name="Normal 8 4 5 3" xfId="5694" xr:uid="{00000000-0005-0000-0000-0000131E0000}"/>
    <cellStyle name="Normal 8 4 5 3 2" xfId="15020" xr:uid="{D83F8A23-B754-434A-AFD1-6B472A5105F4}"/>
    <cellStyle name="Normal 8 4 5 3 2 2" xfId="51362" xr:uid="{63BADC65-6F3D-491E-B7FC-DCF1C6CDDBA2}"/>
    <cellStyle name="Normal 8 4 5 3 2 3" xfId="32766" xr:uid="{5D0B3EDC-FB3C-4CC1-A021-E1943FE7FA23}"/>
    <cellStyle name="Normal 8 4 5 3 3" xfId="42065" xr:uid="{D613DE9A-9EB0-48B9-9EDF-3AAAC7DF82A6}"/>
    <cellStyle name="Normal 8 4 5 3 4" xfId="23467" xr:uid="{617E900F-6D9D-4B3B-B6F1-2CA493CEF28A}"/>
    <cellStyle name="Normal 8 4 5 4" xfId="10803" xr:uid="{3CF01B7C-4FF1-4845-B024-24FFE72FC1D0}"/>
    <cellStyle name="Normal 8 4 5 4 2" xfId="47145" xr:uid="{39EF188D-21EE-4474-88A5-AD2882B0FF64}"/>
    <cellStyle name="Normal 8 4 5 4 3" xfId="28549" xr:uid="{3E5737F1-B4E1-4D93-B111-D1F22816BFA1}"/>
    <cellStyle name="Normal 8 4 5 5" xfId="37848" xr:uid="{3236E971-D8CB-4631-A96C-BAF621E9B4E4}"/>
    <cellStyle name="Normal 8 4 5 6" xfId="19250" xr:uid="{2B8E84DC-7B42-4797-8EC5-0AB972BAA277}"/>
    <cellStyle name="Normal 8 4 6" xfId="1800" xr:uid="{00000000-0005-0000-0000-0000141E0000}"/>
    <cellStyle name="Normal 8 4 6 2" xfId="4030" xr:uid="{00000000-0005-0000-0000-0000151E0000}"/>
    <cellStyle name="Normal 8 4 6 2 2" xfId="8252" xr:uid="{00000000-0005-0000-0000-0000161E0000}"/>
    <cellStyle name="Normal 8 4 6 2 2 2" xfId="17578" xr:uid="{CEB42BCB-AC4E-44B6-966A-2A2BFADBD34C}"/>
    <cellStyle name="Normal 8 4 6 2 2 2 2" xfId="53920" xr:uid="{DF9CD0AC-AB88-4DE2-BFF0-DF1C5AA7E773}"/>
    <cellStyle name="Normal 8 4 6 2 2 2 3" xfId="35324" xr:uid="{55AB5F6C-F638-4ADB-BAA6-737878757F8A}"/>
    <cellStyle name="Normal 8 4 6 2 2 3" xfId="44623" xr:uid="{502EDFB8-DAF7-4B49-A5F4-63D87E3F8450}"/>
    <cellStyle name="Normal 8 4 6 2 2 4" xfId="26025" xr:uid="{791121A0-2096-452A-BA73-85345A2CB5AD}"/>
    <cellStyle name="Normal 8 4 6 2 3" xfId="13361" xr:uid="{368FFD3D-73EA-48B7-B4F5-F9404924A46E}"/>
    <cellStyle name="Normal 8 4 6 2 3 2" xfId="49703" xr:uid="{EA55B89B-264E-436E-9BA8-F63C7DE15E88}"/>
    <cellStyle name="Normal 8 4 6 2 3 3" xfId="31107" xr:uid="{F7F9C4E9-EE35-4F94-8E5A-2EC41FFEA962}"/>
    <cellStyle name="Normal 8 4 6 2 4" xfId="40406" xr:uid="{CF4408B2-59D5-4DBC-A5B2-1A34478B35AE}"/>
    <cellStyle name="Normal 8 4 6 2 5" xfId="21808" xr:uid="{8FC3B432-B0F0-4629-9B80-3FC81992C9B7}"/>
    <cellStyle name="Normal 8 4 6 3" xfId="6107" xr:uid="{00000000-0005-0000-0000-0000171E0000}"/>
    <cellStyle name="Normal 8 4 6 3 2" xfId="15433" xr:uid="{66DAD1A2-F15E-4376-8602-1FDC2416FB00}"/>
    <cellStyle name="Normal 8 4 6 3 2 2" xfId="51775" xr:uid="{6875B439-452E-40CE-B6B1-453DEB55DDB6}"/>
    <cellStyle name="Normal 8 4 6 3 2 3" xfId="33179" xr:uid="{AE06B755-A520-4D3F-B842-A53D947264B3}"/>
    <cellStyle name="Normal 8 4 6 3 3" xfId="42478" xr:uid="{0ED55FBB-5271-4187-8796-2704BB4FA36C}"/>
    <cellStyle name="Normal 8 4 6 3 4" xfId="23880" xr:uid="{1C99BDA9-39C8-4FFD-AD73-70B1B68F7295}"/>
    <cellStyle name="Normal 8 4 6 4" xfId="11216" xr:uid="{A308D325-80F2-48B7-8D9C-5AC84EA163A5}"/>
    <cellStyle name="Normal 8 4 6 4 2" xfId="47558" xr:uid="{77308318-581A-4D88-8E2C-42ADF7EB14DF}"/>
    <cellStyle name="Normal 8 4 6 4 3" xfId="28962" xr:uid="{DE3D675B-2B63-4B01-A00F-DD8E5CC2FD11}"/>
    <cellStyle name="Normal 8 4 6 5" xfId="38261" xr:uid="{A5E4F635-667D-49C1-AA5F-B5844182D7C2}"/>
    <cellStyle name="Normal 8 4 6 6" xfId="19663" xr:uid="{54071375-E435-442C-B98C-39DACA5F0BC5}"/>
    <cellStyle name="Normal 8 4 7" xfId="2214" xr:uid="{00000000-0005-0000-0000-0000181E0000}"/>
    <cellStyle name="Normal 8 4 7 2" xfId="4443" xr:uid="{00000000-0005-0000-0000-0000191E0000}"/>
    <cellStyle name="Normal 8 4 7 2 2" xfId="8665" xr:uid="{00000000-0005-0000-0000-00001A1E0000}"/>
    <cellStyle name="Normal 8 4 7 2 2 2" xfId="17991" xr:uid="{2D90B8C6-C218-47D1-873E-BAABC013F0BA}"/>
    <cellStyle name="Normal 8 4 7 2 2 2 2" xfId="54333" xr:uid="{D9079726-7A4A-476E-8840-3F87B67786B0}"/>
    <cellStyle name="Normal 8 4 7 2 2 2 3" xfId="35737" xr:uid="{6EA8BD81-8D2B-4A83-B777-032D948FFC81}"/>
    <cellStyle name="Normal 8 4 7 2 2 3" xfId="45036" xr:uid="{87122C7B-B2E2-4628-901F-70BFC0226DE2}"/>
    <cellStyle name="Normal 8 4 7 2 2 4" xfId="26438" xr:uid="{8F3C4D92-1681-4A22-9B40-7B25A0CBB33E}"/>
    <cellStyle name="Normal 8 4 7 2 3" xfId="13774" xr:uid="{E638E6B5-3A5F-441E-AD8B-34044B0F4D1B}"/>
    <cellStyle name="Normal 8 4 7 2 3 2" xfId="50116" xr:uid="{A98D1AEC-3EFD-4D19-BE76-B4B8AF776DD0}"/>
    <cellStyle name="Normal 8 4 7 2 3 3" xfId="31520" xr:uid="{257BB622-274C-4E07-9D22-A68EE530847B}"/>
    <cellStyle name="Normal 8 4 7 2 4" xfId="40819" xr:uid="{CDD59533-7D62-4289-AD1B-3DBED83B1504}"/>
    <cellStyle name="Normal 8 4 7 2 5" xfId="22221" xr:uid="{8DECFD99-76E5-46C6-AE13-007419FA4246}"/>
    <cellStyle name="Normal 8 4 7 3" xfId="6520" xr:uid="{00000000-0005-0000-0000-00001B1E0000}"/>
    <cellStyle name="Normal 8 4 7 3 2" xfId="15846" xr:uid="{5F9C613C-910C-466B-9E0B-A8AD2AA77F92}"/>
    <cellStyle name="Normal 8 4 7 3 2 2" xfId="52188" xr:uid="{4B6B8F6E-B99C-4D59-BD33-1523837F7A1A}"/>
    <cellStyle name="Normal 8 4 7 3 2 3" xfId="33592" xr:uid="{C2123618-F5B7-4508-A402-DDBDB7EB9169}"/>
    <cellStyle name="Normal 8 4 7 3 3" xfId="42891" xr:uid="{FE301596-EABE-4935-95C8-7C2EB2FB65E4}"/>
    <cellStyle name="Normal 8 4 7 3 4" xfId="24293" xr:uid="{9E776846-E63A-47CA-9C94-9F96EB927DA6}"/>
    <cellStyle name="Normal 8 4 7 4" xfId="11629" xr:uid="{C9DB2E6A-0821-4062-9136-B46F275C88DC}"/>
    <cellStyle name="Normal 8 4 7 4 2" xfId="47971" xr:uid="{83252F9A-3E42-4FB8-B1D4-97EEF835E7DD}"/>
    <cellStyle name="Normal 8 4 7 4 3" xfId="29375" xr:uid="{161F1D72-3E8E-45E9-AB95-ABFF5D2C2541}"/>
    <cellStyle name="Normal 8 4 7 5" xfId="38674" xr:uid="{FFDC445F-C0B4-498B-8656-36E18F638C71}"/>
    <cellStyle name="Normal 8 4 7 6" xfId="20076" xr:uid="{09BCB4DD-F6A7-43B8-8CA0-7DA1037A6175}"/>
    <cellStyle name="Normal 8 4 8" xfId="2650" xr:uid="{00000000-0005-0000-0000-00001C1E0000}"/>
    <cellStyle name="Normal 8 4 8 2" xfId="6933" xr:uid="{00000000-0005-0000-0000-00001D1E0000}"/>
    <cellStyle name="Normal 8 4 8 2 2" xfId="16259" xr:uid="{BCECBCEE-EEC6-418B-A566-49B161EABFF4}"/>
    <cellStyle name="Normal 8 4 8 2 2 2" xfId="52601" xr:uid="{DDAE82DA-D596-4274-9D29-F5B64AD39710}"/>
    <cellStyle name="Normal 8 4 8 2 2 3" xfId="34005" xr:uid="{CAA6E95B-336A-4F70-B5F6-D18999565DB2}"/>
    <cellStyle name="Normal 8 4 8 2 3" xfId="43304" xr:uid="{D0008B8F-2CA2-47B6-A364-1B3F955DA583}"/>
    <cellStyle name="Normal 8 4 8 2 4" xfId="24706" xr:uid="{4AAFB6BE-C885-4876-988D-01B817DF094A}"/>
    <cellStyle name="Normal 8 4 8 3" xfId="12042" xr:uid="{EDFD3CA4-7D83-42A8-A7FB-66D3C4F5AA6D}"/>
    <cellStyle name="Normal 8 4 8 3 2" xfId="48384" xr:uid="{21D2CB65-4ADD-463B-82B4-FBA759556176}"/>
    <cellStyle name="Normal 8 4 8 3 3" xfId="29788" xr:uid="{C51D79A9-63F6-4543-8128-F5389843D344}"/>
    <cellStyle name="Normal 8 4 8 4" xfId="39087" xr:uid="{6D8C62FC-4147-4AD4-A2E0-D469D87AA921}"/>
    <cellStyle name="Normal 8 4 8 5" xfId="20489" xr:uid="{04D9D6F3-0025-4BCC-9515-22852099310D}"/>
    <cellStyle name="Normal 8 4 9" xfId="4868" xr:uid="{00000000-0005-0000-0000-00001E1E0000}"/>
    <cellStyle name="Normal 8 4 9 2" xfId="14194" xr:uid="{97C961FF-B2D2-4FC4-86E1-31A970024213}"/>
    <cellStyle name="Normal 8 4 9 2 2" xfId="50536" xr:uid="{13B13BC8-7C6B-4D84-A2CC-7B38C8EB8E96}"/>
    <cellStyle name="Normal 8 4 9 2 3" xfId="31940" xr:uid="{C36880D3-E6AD-482B-BB3F-C89D10264B94}"/>
    <cellStyle name="Normal 8 4 9 3" xfId="41239" xr:uid="{19BAA4F2-34CA-4F2A-885F-94DFC56DDCE9}"/>
    <cellStyle name="Normal 8 4 9 4" xfId="22641" xr:uid="{6E41BBB1-86F4-4F68-854C-A77A0A8B1497}"/>
    <cellStyle name="Normal 8 5" xfId="507" xr:uid="{00000000-0005-0000-0000-00001F1E0000}"/>
    <cellStyle name="Normal 8 5 10" xfId="9981" xr:uid="{0BB21378-A5A3-45E3-A6B8-2073E42BAFB7}"/>
    <cellStyle name="Normal 8 5 10 2" xfId="46323" xr:uid="{F95E55DC-0C09-4B92-AE0E-2BDC0C0811FD}"/>
    <cellStyle name="Normal 8 5 10 3" xfId="27727" xr:uid="{B11FDB5F-B436-4406-92D8-19FA64A00635}"/>
    <cellStyle name="Normal 8 5 11" xfId="37026" xr:uid="{4D99EBF0-CCFA-44F2-9744-5E359F0B158A}"/>
    <cellStyle name="Normal 8 5 12" xfId="18428" xr:uid="{6016A7E8-2EF9-4AB2-AE60-16C6DC8A0C6F}"/>
    <cellStyle name="Normal 8 5 2" xfId="508" xr:uid="{00000000-0005-0000-0000-0000201E0000}"/>
    <cellStyle name="Normal 8 5 2 10" xfId="37027" xr:uid="{8D57B23A-F968-4C62-8AC0-03A8EB7A02A5}"/>
    <cellStyle name="Normal 8 5 2 11" xfId="18429" xr:uid="{A1BBE172-7B45-4C56-8EBD-6063FE7DBDD6}"/>
    <cellStyle name="Normal 8 5 2 2" xfId="975" xr:uid="{00000000-0005-0000-0000-0000211E0000}"/>
    <cellStyle name="Normal 8 5 2 2 2" xfId="3209" xr:uid="{00000000-0005-0000-0000-0000221E0000}"/>
    <cellStyle name="Normal 8 5 2 2 2 2" xfId="7431" xr:uid="{00000000-0005-0000-0000-0000231E0000}"/>
    <cellStyle name="Normal 8 5 2 2 2 2 2" xfId="16757" xr:uid="{E3C80AB5-53B3-4A23-9412-2881494C1CB0}"/>
    <cellStyle name="Normal 8 5 2 2 2 2 2 2" xfId="53099" xr:uid="{58295D21-6937-4D8F-B947-14FF8DF3F8D0}"/>
    <cellStyle name="Normal 8 5 2 2 2 2 2 3" xfId="34503" xr:uid="{07D4D418-CF9B-4DF4-9253-6728A5E075DA}"/>
    <cellStyle name="Normal 8 5 2 2 2 2 3" xfId="43802" xr:uid="{203BD361-C100-4713-8963-50BEC0F79EB1}"/>
    <cellStyle name="Normal 8 5 2 2 2 2 4" xfId="25204" xr:uid="{4C0F9E90-AFC3-4A47-991F-E9D9FBBD600E}"/>
    <cellStyle name="Normal 8 5 2 2 2 3" xfId="12540" xr:uid="{DA8AD54F-289A-436C-B668-D2B3F4524619}"/>
    <cellStyle name="Normal 8 5 2 2 2 3 2" xfId="48882" xr:uid="{0F777570-DD02-48A0-8B04-9574DB08F62C}"/>
    <cellStyle name="Normal 8 5 2 2 2 3 3" xfId="30286" xr:uid="{9E301AD5-5609-4008-8A5E-F4C624EB3449}"/>
    <cellStyle name="Normal 8 5 2 2 2 4" xfId="39585" xr:uid="{B28E2D17-195E-4453-8BC2-A5E6102D54FC}"/>
    <cellStyle name="Normal 8 5 2 2 2 5" xfId="20987" xr:uid="{55B5A7C5-E83C-4837-8113-D459A63E8E26}"/>
    <cellStyle name="Normal 8 5 2 2 3" xfId="5286" xr:uid="{00000000-0005-0000-0000-0000241E0000}"/>
    <cellStyle name="Normal 8 5 2 2 3 2" xfId="14612" xr:uid="{BDBD6E40-F6A3-4BBC-B8AB-02AFFCC2A1A6}"/>
    <cellStyle name="Normal 8 5 2 2 3 2 2" xfId="50954" xr:uid="{0B59C7BA-FCD1-4F8D-947D-59ECBB330BD1}"/>
    <cellStyle name="Normal 8 5 2 2 3 2 3" xfId="32358" xr:uid="{680B1322-6CE8-423B-A451-4030F280477B}"/>
    <cellStyle name="Normal 8 5 2 2 3 3" xfId="41657" xr:uid="{F3E9A13C-A5D8-4992-A3A5-8FC253FD94AF}"/>
    <cellStyle name="Normal 8 5 2 2 3 4" xfId="23059" xr:uid="{E8F488E1-9D92-4E72-BA61-860E3A51BDEF}"/>
    <cellStyle name="Normal 8 5 2 2 4" xfId="9477" xr:uid="{62ED1F43-6081-4B0B-94C3-5999D37D11C7}"/>
    <cellStyle name="Normal 8 5 2 2 4 2" xfId="36538" xr:uid="{A1A51A5B-C95F-401B-9703-FB624391412C}"/>
    <cellStyle name="Normal 8 5 2 2 4 2 2" xfId="55132" xr:uid="{DA4EFE9A-67E8-4794-B36C-AC79EC214EA9}"/>
    <cellStyle name="Normal 8 5 2 2 4 3" xfId="45835" xr:uid="{BEB92B34-99E2-4E0F-BCC6-C4671CA90A4F}"/>
    <cellStyle name="Normal 8 5 2 2 4 4" xfId="27239" xr:uid="{FB1BDCF1-3351-425B-B1CF-C40259C35888}"/>
    <cellStyle name="Normal 8 5 2 2 5" xfId="10395" xr:uid="{447FAF6B-2C03-4B1F-A4A1-D685D5CDE5C6}"/>
    <cellStyle name="Normal 8 5 2 2 5 2" xfId="46737" xr:uid="{C21CB829-2D18-4523-A005-E150915A7FF3}"/>
    <cellStyle name="Normal 8 5 2 2 5 3" xfId="28141" xr:uid="{825D8515-C879-4450-9F79-69C6C04ACAD7}"/>
    <cellStyle name="Normal 8 5 2 2 6" xfId="37440" xr:uid="{47AE76C4-EED1-4D2C-A3E5-7FFD183AB27D}"/>
    <cellStyle name="Normal 8 5 2 2 7" xfId="18842" xr:uid="{DF129515-7E62-4E5E-9B78-F3C2E43D7606}"/>
    <cellStyle name="Normal 8 5 2 3" xfId="1392" xr:uid="{00000000-0005-0000-0000-0000251E0000}"/>
    <cellStyle name="Normal 8 5 2 3 2" xfId="3622" xr:uid="{00000000-0005-0000-0000-0000261E0000}"/>
    <cellStyle name="Normal 8 5 2 3 2 2" xfId="7844" xr:uid="{00000000-0005-0000-0000-0000271E0000}"/>
    <cellStyle name="Normal 8 5 2 3 2 2 2" xfId="17170" xr:uid="{20E16554-FECA-46CB-BE76-C2BCF54FFE9A}"/>
    <cellStyle name="Normal 8 5 2 3 2 2 2 2" xfId="53512" xr:uid="{A20DAC9D-04E8-4847-BDFA-1B29B9F6355C}"/>
    <cellStyle name="Normal 8 5 2 3 2 2 2 3" xfId="34916" xr:uid="{3CA7EBDD-09A9-4EB0-8AA5-51E4D5599DE3}"/>
    <cellStyle name="Normal 8 5 2 3 2 2 3" xfId="44215" xr:uid="{15D78A65-79CF-4ADE-A2E7-CEB576CE9D8A}"/>
    <cellStyle name="Normal 8 5 2 3 2 2 4" xfId="25617" xr:uid="{43510ECB-2160-488A-93C0-B5B8195093EB}"/>
    <cellStyle name="Normal 8 5 2 3 2 3" xfId="12953" xr:uid="{C4026171-CF06-489D-9404-89DD60E99040}"/>
    <cellStyle name="Normal 8 5 2 3 2 3 2" xfId="49295" xr:uid="{666A00C4-8C1A-49A9-A1F3-DCAE566BE7EA}"/>
    <cellStyle name="Normal 8 5 2 3 2 3 3" xfId="30699" xr:uid="{112EE33B-15CC-43F9-A24A-07B45274DE8D}"/>
    <cellStyle name="Normal 8 5 2 3 2 4" xfId="39998" xr:uid="{4EA2D57B-24B4-4321-BDFA-EE0A8282EEAE}"/>
    <cellStyle name="Normal 8 5 2 3 2 5" xfId="21400" xr:uid="{9A2EA02B-818A-4F42-B26B-67CDD22A606E}"/>
    <cellStyle name="Normal 8 5 2 3 3" xfId="5699" xr:uid="{00000000-0005-0000-0000-0000281E0000}"/>
    <cellStyle name="Normal 8 5 2 3 3 2" xfId="15025" xr:uid="{CDDEC324-CF35-4219-A3C0-F7B1A512349B}"/>
    <cellStyle name="Normal 8 5 2 3 3 2 2" xfId="51367" xr:uid="{9744EA76-DFB2-44FE-845E-65E461D08E4F}"/>
    <cellStyle name="Normal 8 5 2 3 3 2 3" xfId="32771" xr:uid="{34CB8E01-0ED4-4E11-9471-47B82A223E0A}"/>
    <cellStyle name="Normal 8 5 2 3 3 3" xfId="42070" xr:uid="{2475B89D-5EFF-4DA2-91C7-D349D5C2FD45}"/>
    <cellStyle name="Normal 8 5 2 3 3 4" xfId="23472" xr:uid="{423A2F06-DF58-4957-8050-BE6EC5125123}"/>
    <cellStyle name="Normal 8 5 2 3 4" xfId="10808" xr:uid="{DD84E6C4-20EF-4E24-9E6B-016D607580AA}"/>
    <cellStyle name="Normal 8 5 2 3 4 2" xfId="47150" xr:uid="{3BF8A903-5EBE-4B35-8C3B-83F00072F1E5}"/>
    <cellStyle name="Normal 8 5 2 3 4 3" xfId="28554" xr:uid="{9ABEC24E-8DDF-45E5-8135-84B18A464CA4}"/>
    <cellStyle name="Normal 8 5 2 3 5" xfId="37853" xr:uid="{A0F0F5FC-F99B-488E-B39A-229A5B35A594}"/>
    <cellStyle name="Normal 8 5 2 3 6" xfId="19255" xr:uid="{F0493489-0D02-42A7-B269-400D11071F97}"/>
    <cellStyle name="Normal 8 5 2 4" xfId="1805" xr:uid="{00000000-0005-0000-0000-0000291E0000}"/>
    <cellStyle name="Normal 8 5 2 4 2" xfId="4035" xr:uid="{00000000-0005-0000-0000-00002A1E0000}"/>
    <cellStyle name="Normal 8 5 2 4 2 2" xfId="8257" xr:uid="{00000000-0005-0000-0000-00002B1E0000}"/>
    <cellStyle name="Normal 8 5 2 4 2 2 2" xfId="17583" xr:uid="{E8DA95AA-528D-4A3C-BF0A-8A367907AC07}"/>
    <cellStyle name="Normal 8 5 2 4 2 2 2 2" xfId="53925" xr:uid="{804DA5D9-9C31-49C9-98FC-D2590B886965}"/>
    <cellStyle name="Normal 8 5 2 4 2 2 2 3" xfId="35329" xr:uid="{D51D2DFB-87C4-403F-AC1B-BE3EA7621FDF}"/>
    <cellStyle name="Normal 8 5 2 4 2 2 3" xfId="44628" xr:uid="{9242C494-56BD-4665-9716-A57C103A80BE}"/>
    <cellStyle name="Normal 8 5 2 4 2 2 4" xfId="26030" xr:uid="{34BA3344-C50F-41FF-AEF8-0079A49FCC1A}"/>
    <cellStyle name="Normal 8 5 2 4 2 3" xfId="13366" xr:uid="{92DE840F-0B6C-4A98-B0BC-A0BC5E3F3C37}"/>
    <cellStyle name="Normal 8 5 2 4 2 3 2" xfId="49708" xr:uid="{9AFDE5EB-FC1B-42E6-AB21-63D077A31767}"/>
    <cellStyle name="Normal 8 5 2 4 2 3 3" xfId="31112" xr:uid="{CF13C5A1-0F6D-4227-A204-7E2B9F1B6137}"/>
    <cellStyle name="Normal 8 5 2 4 2 4" xfId="40411" xr:uid="{ADCA3FA3-0AB6-4AC9-904F-CA33E2FBCADF}"/>
    <cellStyle name="Normal 8 5 2 4 2 5" xfId="21813" xr:uid="{3979705B-14FF-46E5-BBBA-0A503C24D76E}"/>
    <cellStyle name="Normal 8 5 2 4 3" xfId="6112" xr:uid="{00000000-0005-0000-0000-00002C1E0000}"/>
    <cellStyle name="Normal 8 5 2 4 3 2" xfId="15438" xr:uid="{58D7A58C-3162-4357-A4F5-7445A5CCC79C}"/>
    <cellStyle name="Normal 8 5 2 4 3 2 2" xfId="51780" xr:uid="{CDBB52AF-2385-4511-BD33-DB3A1A188284}"/>
    <cellStyle name="Normal 8 5 2 4 3 2 3" xfId="33184" xr:uid="{0D86E116-049A-4785-AAC3-11085ECA0285}"/>
    <cellStyle name="Normal 8 5 2 4 3 3" xfId="42483" xr:uid="{1333D224-674C-4B39-BC54-323A65E44238}"/>
    <cellStyle name="Normal 8 5 2 4 3 4" xfId="23885" xr:uid="{EA2746C1-EBCA-418D-ADD8-096A275149BB}"/>
    <cellStyle name="Normal 8 5 2 4 4" xfId="11221" xr:uid="{19E6BCFC-021A-4A9B-B784-EE9D77EE58DE}"/>
    <cellStyle name="Normal 8 5 2 4 4 2" xfId="47563" xr:uid="{F338D14F-2D18-4456-A9A4-1D21F4B7543B}"/>
    <cellStyle name="Normal 8 5 2 4 4 3" xfId="28967" xr:uid="{90F3D35F-C2EC-4E3B-93B1-8BCF6E52CE89}"/>
    <cellStyle name="Normal 8 5 2 4 5" xfId="38266" xr:uid="{647AB928-2396-4319-9984-8EAC9D1C9C3A}"/>
    <cellStyle name="Normal 8 5 2 4 6" xfId="19668" xr:uid="{BA05C88F-D3FC-4CBE-9B9B-8733EB85F6BA}"/>
    <cellStyle name="Normal 8 5 2 5" xfId="2219" xr:uid="{00000000-0005-0000-0000-00002D1E0000}"/>
    <cellStyle name="Normal 8 5 2 5 2" xfId="4448" xr:uid="{00000000-0005-0000-0000-00002E1E0000}"/>
    <cellStyle name="Normal 8 5 2 5 2 2" xfId="8670" xr:uid="{00000000-0005-0000-0000-00002F1E0000}"/>
    <cellStyle name="Normal 8 5 2 5 2 2 2" xfId="17996" xr:uid="{6F67ABB0-E076-479A-959C-7F98E3B90CAF}"/>
    <cellStyle name="Normal 8 5 2 5 2 2 2 2" xfId="54338" xr:uid="{4A875FD2-6937-427A-920C-330F82810639}"/>
    <cellStyle name="Normal 8 5 2 5 2 2 2 3" xfId="35742" xr:uid="{86D92D93-83A8-448F-894A-3E8D7E3F9FC6}"/>
    <cellStyle name="Normal 8 5 2 5 2 2 3" xfId="45041" xr:uid="{3FCB70CF-7242-4196-86F8-F7D0068E81D2}"/>
    <cellStyle name="Normal 8 5 2 5 2 2 4" xfId="26443" xr:uid="{39E8D520-0CA7-43DF-B9D2-E1A51B7DD262}"/>
    <cellStyle name="Normal 8 5 2 5 2 3" xfId="13779" xr:uid="{EDF2C0A3-2896-4B78-A1A7-6DB0E76F9204}"/>
    <cellStyle name="Normal 8 5 2 5 2 3 2" xfId="50121" xr:uid="{3ABAB46A-B354-4D08-BD33-2DFF8D569F46}"/>
    <cellStyle name="Normal 8 5 2 5 2 3 3" xfId="31525" xr:uid="{6E0693EC-844B-47CA-9E50-951D4B227FF1}"/>
    <cellStyle name="Normal 8 5 2 5 2 4" xfId="40824" xr:uid="{B63ADACB-C603-45B3-97A4-63557638B5C5}"/>
    <cellStyle name="Normal 8 5 2 5 2 5" xfId="22226" xr:uid="{CEF0D6A2-548A-474C-B70D-F31C70DC8710}"/>
    <cellStyle name="Normal 8 5 2 5 3" xfId="6525" xr:uid="{00000000-0005-0000-0000-0000301E0000}"/>
    <cellStyle name="Normal 8 5 2 5 3 2" xfId="15851" xr:uid="{2FA66246-7D04-4C0B-B9B7-D88E51014EEC}"/>
    <cellStyle name="Normal 8 5 2 5 3 2 2" xfId="52193" xr:uid="{AACCE2D1-F101-447D-B6DD-444C8470FF80}"/>
    <cellStyle name="Normal 8 5 2 5 3 2 3" xfId="33597" xr:uid="{D81840E0-318B-4EBF-98CA-A89E9FE1FF01}"/>
    <cellStyle name="Normal 8 5 2 5 3 3" xfId="42896" xr:uid="{B6F5C240-B9E9-4024-B63E-45CD30ED81E1}"/>
    <cellStyle name="Normal 8 5 2 5 3 4" xfId="24298" xr:uid="{134E7CB2-662D-475F-A9A7-9CFE347ECB61}"/>
    <cellStyle name="Normal 8 5 2 5 4" xfId="11634" xr:uid="{69ED27BF-A144-43B7-9233-9891E0C44B90}"/>
    <cellStyle name="Normal 8 5 2 5 4 2" xfId="47976" xr:uid="{1E3EF94B-70D4-4CE7-B4A1-81A4835619E4}"/>
    <cellStyle name="Normal 8 5 2 5 4 3" xfId="29380" xr:uid="{90106829-9A75-45DE-B63E-817BC6C3C76B}"/>
    <cellStyle name="Normal 8 5 2 5 5" xfId="38679" xr:uid="{4E4D6E76-B8F0-43A1-A67D-9C4DFE871FCE}"/>
    <cellStyle name="Normal 8 5 2 5 6" xfId="20081" xr:uid="{73E747FE-AE59-4A10-A915-D5462D4EACA7}"/>
    <cellStyle name="Normal 8 5 2 6" xfId="2655" xr:uid="{00000000-0005-0000-0000-0000311E0000}"/>
    <cellStyle name="Normal 8 5 2 6 2" xfId="6938" xr:uid="{00000000-0005-0000-0000-0000321E0000}"/>
    <cellStyle name="Normal 8 5 2 6 2 2" xfId="16264" xr:uid="{883D5397-7F88-4C3A-AFAC-D9015F16C0B7}"/>
    <cellStyle name="Normal 8 5 2 6 2 2 2" xfId="52606" xr:uid="{9995577D-A9E8-4B60-9184-BB7187C78540}"/>
    <cellStyle name="Normal 8 5 2 6 2 2 3" xfId="34010" xr:uid="{BCA3A873-853D-4708-B2D6-37B212813007}"/>
    <cellStyle name="Normal 8 5 2 6 2 3" xfId="43309" xr:uid="{7836DA90-7F2F-42C8-8254-0E8FAED89F7F}"/>
    <cellStyle name="Normal 8 5 2 6 2 4" xfId="24711" xr:uid="{FD8BC90C-519F-4388-960A-026FCA3956F5}"/>
    <cellStyle name="Normal 8 5 2 6 3" xfId="12047" xr:uid="{E0FCA9E8-43A0-43FF-8106-F620C7305074}"/>
    <cellStyle name="Normal 8 5 2 6 3 2" xfId="48389" xr:uid="{27E0E965-6FF2-4617-A4CC-E5D3BEBFD372}"/>
    <cellStyle name="Normal 8 5 2 6 3 3" xfId="29793" xr:uid="{58BB02F2-D73E-4B34-B78E-E55E74D6A231}"/>
    <cellStyle name="Normal 8 5 2 6 4" xfId="39092" xr:uid="{88E756CA-3367-4C1D-9954-0D52FEC1EE07}"/>
    <cellStyle name="Normal 8 5 2 6 5" xfId="20494" xr:uid="{18E5E9B4-B2DC-43A9-BDA3-0D7EA8502B18}"/>
    <cellStyle name="Normal 8 5 2 7" xfId="4873" xr:uid="{00000000-0005-0000-0000-0000331E0000}"/>
    <cellStyle name="Normal 8 5 2 7 2" xfId="14199" xr:uid="{A952E60F-350B-4399-8477-3256FE995EED}"/>
    <cellStyle name="Normal 8 5 2 7 2 2" xfId="50541" xr:uid="{88C2E912-02F6-4BFA-8FB1-49FB45AD6B0D}"/>
    <cellStyle name="Normal 8 5 2 7 2 3" xfId="31945" xr:uid="{CEFA5EDC-4C26-4059-9E3B-82011046CA37}"/>
    <cellStyle name="Normal 8 5 2 7 3" xfId="41244" xr:uid="{8AF3EA09-DBDA-4E9E-8880-601FB596BE14}"/>
    <cellStyle name="Normal 8 5 2 7 4" xfId="22646" xr:uid="{5BBB5EFB-C4A3-438D-8EE7-0C4768AD40F7}"/>
    <cellStyle name="Normal 8 5 2 8" xfId="9052" xr:uid="{D754D15A-EECE-4975-9542-AF3C340304E3}"/>
    <cellStyle name="Normal 8 5 2 8 2" xfId="36122" xr:uid="{A7CFB7B5-1DCF-4149-A417-0A3F8CF24614}"/>
    <cellStyle name="Normal 8 5 2 8 2 2" xfId="54717" xr:uid="{08B2E867-4AAC-46A0-B4D2-681380FB97ED}"/>
    <cellStyle name="Normal 8 5 2 8 3" xfId="45420" xr:uid="{C4145B8A-20FB-4EFC-AFC4-D865C6AFEE3F}"/>
    <cellStyle name="Normal 8 5 2 8 4" xfId="26823" xr:uid="{8C4DE0CE-E131-4EBC-B66A-F26C0D0D4C34}"/>
    <cellStyle name="Normal 8 5 2 9" xfId="9982" xr:uid="{07FCBDBB-AE71-4A7B-8AC4-AFD8D44E4AF8}"/>
    <cellStyle name="Normal 8 5 2 9 2" xfId="46324" xr:uid="{9ECF3FE0-A5CB-4152-A4C3-9B5AF11F2955}"/>
    <cellStyle name="Normal 8 5 2 9 3" xfId="27728" xr:uid="{F6BE322E-93E6-49A3-9007-96835D5354A0}"/>
    <cellStyle name="Normal 8 5 3" xfId="974" xr:uid="{00000000-0005-0000-0000-0000341E0000}"/>
    <cellStyle name="Normal 8 5 3 2" xfId="3208" xr:uid="{00000000-0005-0000-0000-0000351E0000}"/>
    <cellStyle name="Normal 8 5 3 2 2" xfId="7430" xr:uid="{00000000-0005-0000-0000-0000361E0000}"/>
    <cellStyle name="Normal 8 5 3 2 2 2" xfId="16756" xr:uid="{84B47582-304E-4D11-AC21-FD3FB99EDF1A}"/>
    <cellStyle name="Normal 8 5 3 2 2 2 2" xfId="53098" xr:uid="{EA09D5FE-AB3E-43FA-9BE7-5F9A5A38A831}"/>
    <cellStyle name="Normal 8 5 3 2 2 2 3" xfId="34502" xr:uid="{751A7D19-62CE-4E65-BDEF-BB850074164B}"/>
    <cellStyle name="Normal 8 5 3 2 2 3" xfId="43801" xr:uid="{10804C30-59CE-4125-8C5C-773B8ECED8C0}"/>
    <cellStyle name="Normal 8 5 3 2 2 4" xfId="25203" xr:uid="{09AF863C-76A6-4370-844B-B2410C9EB355}"/>
    <cellStyle name="Normal 8 5 3 2 3" xfId="12539" xr:uid="{4CAB654F-012A-40AB-800A-6D88DA0A408B}"/>
    <cellStyle name="Normal 8 5 3 2 3 2" xfId="48881" xr:uid="{9CA0C331-0AEC-4E0B-97A1-561B2124EC08}"/>
    <cellStyle name="Normal 8 5 3 2 3 3" xfId="30285" xr:uid="{3EAF6437-15B9-438E-A12F-0D47DD7A9498}"/>
    <cellStyle name="Normal 8 5 3 2 4" xfId="39584" xr:uid="{43A33772-E2B2-4D27-A0CF-8045F4423974}"/>
    <cellStyle name="Normal 8 5 3 2 5" xfId="20986" xr:uid="{34C08B92-3835-4806-B5E3-218AD59DC613}"/>
    <cellStyle name="Normal 8 5 3 3" xfId="5285" xr:uid="{00000000-0005-0000-0000-0000371E0000}"/>
    <cellStyle name="Normal 8 5 3 3 2" xfId="14611" xr:uid="{79D4C3FE-31DB-4B13-AA96-727D45D49BF0}"/>
    <cellStyle name="Normal 8 5 3 3 2 2" xfId="50953" xr:uid="{1DBF4533-6C06-4A1B-8758-F577142BC4AF}"/>
    <cellStyle name="Normal 8 5 3 3 2 3" xfId="32357" xr:uid="{B99EFEF5-720A-41F9-9EA4-7881B7CDAEA2}"/>
    <cellStyle name="Normal 8 5 3 3 3" xfId="41656" xr:uid="{DF28CC61-1795-4CEB-8EA7-877E59036B66}"/>
    <cellStyle name="Normal 8 5 3 3 4" xfId="23058" xr:uid="{6E5D8DDD-DC6C-4B1A-B295-16F7F345524F}"/>
    <cellStyle name="Normal 8 5 3 4" xfId="9270" xr:uid="{88F9D262-71F2-4DD2-A7F6-B0DCE74ABD45}"/>
    <cellStyle name="Normal 8 5 3 4 2" xfId="36331" xr:uid="{49B82689-62AA-4719-8B44-0F2F35E56B7B}"/>
    <cellStyle name="Normal 8 5 3 4 2 2" xfId="54925" xr:uid="{F3C1EDDD-22C8-4F72-866E-901BD4E34D7B}"/>
    <cellStyle name="Normal 8 5 3 4 3" xfId="45628" xr:uid="{72EA1393-4A1B-4A47-9093-918F636FB49B}"/>
    <cellStyle name="Normal 8 5 3 4 4" xfId="27032" xr:uid="{A1B8EB0A-A99A-4609-A56D-8AF77EDB47FF}"/>
    <cellStyle name="Normal 8 5 3 5" xfId="10394" xr:uid="{AA3D0946-6287-4AB8-8AB5-4A3DEA4CA5F1}"/>
    <cellStyle name="Normal 8 5 3 5 2" xfId="46736" xr:uid="{CD41A374-174B-48CE-94B1-0CD44536C931}"/>
    <cellStyle name="Normal 8 5 3 5 3" xfId="28140" xr:uid="{FBAF9841-6094-44A5-AA4C-CACD9D2C5DBF}"/>
    <cellStyle name="Normal 8 5 3 6" xfId="37439" xr:uid="{5CDAC811-F9F9-4C95-AB88-56031179DC80}"/>
    <cellStyle name="Normal 8 5 3 7" xfId="18841" xr:uid="{0849EC69-E647-433A-B3AC-1A0ECBFEF384}"/>
    <cellStyle name="Normal 8 5 4" xfId="1391" xr:uid="{00000000-0005-0000-0000-0000381E0000}"/>
    <cellStyle name="Normal 8 5 4 2" xfId="3621" xr:uid="{00000000-0005-0000-0000-0000391E0000}"/>
    <cellStyle name="Normal 8 5 4 2 2" xfId="7843" xr:uid="{00000000-0005-0000-0000-00003A1E0000}"/>
    <cellStyle name="Normal 8 5 4 2 2 2" xfId="17169" xr:uid="{036EE8BA-576C-42FC-A041-4FC240A2981B}"/>
    <cellStyle name="Normal 8 5 4 2 2 2 2" xfId="53511" xr:uid="{65D86ADC-43E6-4FE4-98DA-0D0E7809FC70}"/>
    <cellStyle name="Normal 8 5 4 2 2 2 3" xfId="34915" xr:uid="{85AF18C6-8E82-4A56-8228-4BA2B59C310A}"/>
    <cellStyle name="Normal 8 5 4 2 2 3" xfId="44214" xr:uid="{248F70C6-1B3B-4EA9-901D-3D7FEA58BB7B}"/>
    <cellStyle name="Normal 8 5 4 2 2 4" xfId="25616" xr:uid="{7CD5B9D5-4E49-4220-8388-21A34B150E09}"/>
    <cellStyle name="Normal 8 5 4 2 3" xfId="12952" xr:uid="{FE085592-FAD7-4B76-A862-0C6A972AA35B}"/>
    <cellStyle name="Normal 8 5 4 2 3 2" xfId="49294" xr:uid="{83C3F38C-3971-4E09-A715-2B345AA1DB4B}"/>
    <cellStyle name="Normal 8 5 4 2 3 3" xfId="30698" xr:uid="{61608683-7141-4DE6-92E8-338884561512}"/>
    <cellStyle name="Normal 8 5 4 2 4" xfId="39997" xr:uid="{97EF7180-D2C8-423D-82AC-BDCBDF69C85E}"/>
    <cellStyle name="Normal 8 5 4 2 5" xfId="21399" xr:uid="{DCA8DAA8-3E4C-4AD3-A96A-30BF2F3F7B69}"/>
    <cellStyle name="Normal 8 5 4 3" xfId="5698" xr:uid="{00000000-0005-0000-0000-00003B1E0000}"/>
    <cellStyle name="Normal 8 5 4 3 2" xfId="15024" xr:uid="{C5DEB66A-4603-4029-9A72-3D35387DCD28}"/>
    <cellStyle name="Normal 8 5 4 3 2 2" xfId="51366" xr:uid="{97847504-28A1-4E19-991F-1F182F79D1C6}"/>
    <cellStyle name="Normal 8 5 4 3 2 3" xfId="32770" xr:uid="{ABF0CDC6-0C7E-48A2-9729-4671D26F07B4}"/>
    <cellStyle name="Normal 8 5 4 3 3" xfId="42069" xr:uid="{717D8BBC-288C-428E-B958-BBA920685BA9}"/>
    <cellStyle name="Normal 8 5 4 3 4" xfId="23471" xr:uid="{7EA514B6-3006-40E7-9A88-DB43EC055153}"/>
    <cellStyle name="Normal 8 5 4 4" xfId="10807" xr:uid="{8EAF78F3-449F-4DAC-A675-F629B585B987}"/>
    <cellStyle name="Normal 8 5 4 4 2" xfId="47149" xr:uid="{A69088D8-D29F-4F9E-AD4F-70D4711E0974}"/>
    <cellStyle name="Normal 8 5 4 4 3" xfId="28553" xr:uid="{EF88D7F3-11CE-4BA6-BDB6-CFBCF9FE5622}"/>
    <cellStyle name="Normal 8 5 4 5" xfId="37852" xr:uid="{9DF82069-1C81-4829-92AB-AA625FF7A7A5}"/>
    <cellStyle name="Normal 8 5 4 6" xfId="19254" xr:uid="{62E74E96-AE49-4F04-AD8B-55F5A5070BB8}"/>
    <cellStyle name="Normal 8 5 5" xfId="1804" xr:uid="{00000000-0005-0000-0000-00003C1E0000}"/>
    <cellStyle name="Normal 8 5 5 2" xfId="4034" xr:uid="{00000000-0005-0000-0000-00003D1E0000}"/>
    <cellStyle name="Normal 8 5 5 2 2" xfId="8256" xr:uid="{00000000-0005-0000-0000-00003E1E0000}"/>
    <cellStyle name="Normal 8 5 5 2 2 2" xfId="17582" xr:uid="{66A17AA1-9B16-4CF3-877F-AF2CA84E7B75}"/>
    <cellStyle name="Normal 8 5 5 2 2 2 2" xfId="53924" xr:uid="{5179BFC4-0961-4083-8142-624068968BE5}"/>
    <cellStyle name="Normal 8 5 5 2 2 2 3" xfId="35328" xr:uid="{2AB91EDB-74A5-44ED-A76F-03BC1CD2D819}"/>
    <cellStyle name="Normal 8 5 5 2 2 3" xfId="44627" xr:uid="{2AB8478C-746D-4953-B17A-272AEAFE0328}"/>
    <cellStyle name="Normal 8 5 5 2 2 4" xfId="26029" xr:uid="{888ED8EC-0300-4917-A05E-55515DD0AD1D}"/>
    <cellStyle name="Normal 8 5 5 2 3" xfId="13365" xr:uid="{C8707765-73F5-4B95-9D4C-488B081F5CE4}"/>
    <cellStyle name="Normal 8 5 5 2 3 2" xfId="49707" xr:uid="{6E00AD40-4BF2-4A42-A402-32B2816AA182}"/>
    <cellStyle name="Normal 8 5 5 2 3 3" xfId="31111" xr:uid="{7808CB61-37FC-46CC-98C6-C9FAF644FEBF}"/>
    <cellStyle name="Normal 8 5 5 2 4" xfId="40410" xr:uid="{653CD3E9-EF9B-4A02-9723-FEB57CBF7A88}"/>
    <cellStyle name="Normal 8 5 5 2 5" xfId="21812" xr:uid="{96D8905B-3EF0-4D28-860D-5E49E5FDBFB6}"/>
    <cellStyle name="Normal 8 5 5 3" xfId="6111" xr:uid="{00000000-0005-0000-0000-00003F1E0000}"/>
    <cellStyle name="Normal 8 5 5 3 2" xfId="15437" xr:uid="{126814D6-D067-4C37-A4C0-DD8B712A1F40}"/>
    <cellStyle name="Normal 8 5 5 3 2 2" xfId="51779" xr:uid="{8E633F78-F18D-4807-9C66-4656F66C56F8}"/>
    <cellStyle name="Normal 8 5 5 3 2 3" xfId="33183" xr:uid="{66653A48-482E-48F7-AE97-C6210A74D96E}"/>
    <cellStyle name="Normal 8 5 5 3 3" xfId="42482" xr:uid="{048FEE78-4A39-4218-A85D-69D8D95897A7}"/>
    <cellStyle name="Normal 8 5 5 3 4" xfId="23884" xr:uid="{45A36FAE-1E0A-4C76-AD1A-0CE041CAE0A2}"/>
    <cellStyle name="Normal 8 5 5 4" xfId="11220" xr:uid="{0D73D7AD-D876-4438-A655-5C368139FC40}"/>
    <cellStyle name="Normal 8 5 5 4 2" xfId="47562" xr:uid="{1DA06A68-2201-4024-9233-46C9EED1FDE7}"/>
    <cellStyle name="Normal 8 5 5 4 3" xfId="28966" xr:uid="{35E10C55-32E9-4628-A85B-1F2F782340FE}"/>
    <cellStyle name="Normal 8 5 5 5" xfId="38265" xr:uid="{B28D8EA3-AA86-4170-A910-8B680F51A969}"/>
    <cellStyle name="Normal 8 5 5 6" xfId="19667" xr:uid="{F0730627-34DE-4262-A8B4-F364CD33C2DA}"/>
    <cellStyle name="Normal 8 5 6" xfId="2218" xr:uid="{00000000-0005-0000-0000-0000401E0000}"/>
    <cellStyle name="Normal 8 5 6 2" xfId="4447" xr:uid="{00000000-0005-0000-0000-0000411E0000}"/>
    <cellStyle name="Normal 8 5 6 2 2" xfId="8669" xr:uid="{00000000-0005-0000-0000-0000421E0000}"/>
    <cellStyle name="Normal 8 5 6 2 2 2" xfId="17995" xr:uid="{0F708909-9EEC-4346-8191-F81A73885803}"/>
    <cellStyle name="Normal 8 5 6 2 2 2 2" xfId="54337" xr:uid="{9E35CDA4-E480-4DD0-A883-C0F3A87DBFDC}"/>
    <cellStyle name="Normal 8 5 6 2 2 2 3" xfId="35741" xr:uid="{48B46382-F251-4790-B544-2AD78FC78ACE}"/>
    <cellStyle name="Normal 8 5 6 2 2 3" xfId="45040" xr:uid="{4354CD24-DF2D-45B5-BC63-1F99C275B096}"/>
    <cellStyle name="Normal 8 5 6 2 2 4" xfId="26442" xr:uid="{3D7B2732-2876-4CA5-9874-24EFAD584A06}"/>
    <cellStyle name="Normal 8 5 6 2 3" xfId="13778" xr:uid="{34EB4962-4F6D-453B-8729-B4C34360CD70}"/>
    <cellStyle name="Normal 8 5 6 2 3 2" xfId="50120" xr:uid="{193B1CCA-5A1A-4E95-B59E-C8829A4A4B17}"/>
    <cellStyle name="Normal 8 5 6 2 3 3" xfId="31524" xr:uid="{609E1557-256D-44CF-91AB-3B67146F0DC5}"/>
    <cellStyle name="Normal 8 5 6 2 4" xfId="40823" xr:uid="{914E5E5C-0A64-4044-A4BC-DC431554A84A}"/>
    <cellStyle name="Normal 8 5 6 2 5" xfId="22225" xr:uid="{F0B37B8F-389E-43CD-9A9C-15251B00664A}"/>
    <cellStyle name="Normal 8 5 6 3" xfId="6524" xr:uid="{00000000-0005-0000-0000-0000431E0000}"/>
    <cellStyle name="Normal 8 5 6 3 2" xfId="15850" xr:uid="{9923EB2B-DA87-4A15-AAD3-AD3EFD44487A}"/>
    <cellStyle name="Normal 8 5 6 3 2 2" xfId="52192" xr:uid="{52BCA929-D519-42E2-8B28-5040913422FA}"/>
    <cellStyle name="Normal 8 5 6 3 2 3" xfId="33596" xr:uid="{8DED1A23-7E4C-48CD-A476-CD8BF8D3A52F}"/>
    <cellStyle name="Normal 8 5 6 3 3" xfId="42895" xr:uid="{78536FCF-337A-42FF-A40C-44B37B6848C8}"/>
    <cellStyle name="Normal 8 5 6 3 4" xfId="24297" xr:uid="{1952BE2B-3471-471E-B552-825F958C97FA}"/>
    <cellStyle name="Normal 8 5 6 4" xfId="11633" xr:uid="{111FAFD2-521A-4068-A9D5-8AE13EE1251D}"/>
    <cellStyle name="Normal 8 5 6 4 2" xfId="47975" xr:uid="{EFDCEE56-F5F8-41E7-ADE2-BDF8BD40D57F}"/>
    <cellStyle name="Normal 8 5 6 4 3" xfId="29379" xr:uid="{C25ABBCE-5821-413D-9D1A-AC22A705CF59}"/>
    <cellStyle name="Normal 8 5 6 5" xfId="38678" xr:uid="{5A186A48-EC08-474F-AB27-F27D36D004E3}"/>
    <cellStyle name="Normal 8 5 6 6" xfId="20080" xr:uid="{17915B4E-7C13-48CB-A35F-8CEB9992D913}"/>
    <cellStyle name="Normal 8 5 7" xfId="2654" xr:uid="{00000000-0005-0000-0000-0000441E0000}"/>
    <cellStyle name="Normal 8 5 7 2" xfId="6937" xr:uid="{00000000-0005-0000-0000-0000451E0000}"/>
    <cellStyle name="Normal 8 5 7 2 2" xfId="16263" xr:uid="{0C7E0B47-E122-41AD-B4F4-0AC253B4CC2A}"/>
    <cellStyle name="Normal 8 5 7 2 2 2" xfId="52605" xr:uid="{756404F6-13EF-403C-A1BE-F2E18F44FA0F}"/>
    <cellStyle name="Normal 8 5 7 2 2 3" xfId="34009" xr:uid="{A19DC15C-15B0-431F-8AB0-73399034DAF1}"/>
    <cellStyle name="Normal 8 5 7 2 3" xfId="43308" xr:uid="{645DA675-D6E6-4318-AF4E-4EFE87A0AA30}"/>
    <cellStyle name="Normal 8 5 7 2 4" xfId="24710" xr:uid="{5BD213B9-809A-49E1-8C3E-639CB95FF242}"/>
    <cellStyle name="Normal 8 5 7 3" xfId="12046" xr:uid="{E56A09C1-6BA1-439C-BB9E-41F0DD6CF1F7}"/>
    <cellStyle name="Normal 8 5 7 3 2" xfId="48388" xr:uid="{50BF6127-27B5-4F05-B530-00DC6DF33553}"/>
    <cellStyle name="Normal 8 5 7 3 3" xfId="29792" xr:uid="{1D231ECD-BE17-478D-89A8-BA66786D3FC2}"/>
    <cellStyle name="Normal 8 5 7 4" xfId="39091" xr:uid="{7064B6C2-271B-4AFC-B453-BD00319D778F}"/>
    <cellStyle name="Normal 8 5 7 5" xfId="20493" xr:uid="{ADF75553-EFED-4951-9B15-8A8595371A17}"/>
    <cellStyle name="Normal 8 5 8" xfId="4872" xr:uid="{00000000-0005-0000-0000-0000461E0000}"/>
    <cellStyle name="Normal 8 5 8 2" xfId="14198" xr:uid="{D019FE3A-1363-47C9-83DC-4369B45AB628}"/>
    <cellStyle name="Normal 8 5 8 2 2" xfId="50540" xr:uid="{D7D8C244-2707-4BD8-B0F4-389377883F8E}"/>
    <cellStyle name="Normal 8 5 8 2 3" xfId="31944" xr:uid="{D95A8DA9-C2F9-4989-97A9-F95911480510}"/>
    <cellStyle name="Normal 8 5 8 3" xfId="41243" xr:uid="{C8209E72-17CF-42E2-9CB1-AEEF361C3B3B}"/>
    <cellStyle name="Normal 8 5 8 4" xfId="22645" xr:uid="{878F07F4-C64D-47D0-B3F6-5504A0E5DF1B}"/>
    <cellStyle name="Normal 8 5 9" xfId="8845" xr:uid="{C8167C67-59BC-42DE-816D-718433EFB28C}"/>
    <cellStyle name="Normal 8 5 9 2" xfId="35915" xr:uid="{DA2C572A-9E22-4208-B8F5-EC7EBBCF40F8}"/>
    <cellStyle name="Normal 8 5 9 2 2" xfId="54510" xr:uid="{9C42BCBE-D162-46CF-8972-EF6DAC90F82E}"/>
    <cellStyle name="Normal 8 5 9 3" xfId="45213" xr:uid="{0F7CF5CB-638F-45DC-91E5-FDBFE0B1ED04}"/>
    <cellStyle name="Normal 8 5 9 4" xfId="26616" xr:uid="{8E7D940A-9F3B-4818-A281-3E547B9747BF}"/>
    <cellStyle name="Normal 8 6" xfId="509" xr:uid="{00000000-0005-0000-0000-0000471E0000}"/>
    <cellStyle name="Normal 8 6 10" xfId="37028" xr:uid="{7898BF92-7072-4471-B714-9B8FDFD88B83}"/>
    <cellStyle name="Normal 8 6 11" xfId="18430" xr:uid="{A8480998-595B-46AD-A919-084C7D665D46}"/>
    <cellStyle name="Normal 8 6 2" xfId="976" xr:uid="{00000000-0005-0000-0000-0000481E0000}"/>
    <cellStyle name="Normal 8 6 2 2" xfId="3210" xr:uid="{00000000-0005-0000-0000-0000491E0000}"/>
    <cellStyle name="Normal 8 6 2 2 2" xfId="7432" xr:uid="{00000000-0005-0000-0000-00004A1E0000}"/>
    <cellStyle name="Normal 8 6 2 2 2 2" xfId="16758" xr:uid="{4D8C53AE-7B60-48F4-B976-F417E2A6E3E3}"/>
    <cellStyle name="Normal 8 6 2 2 2 2 2" xfId="53100" xr:uid="{89281A31-C67D-408F-98CC-30C1FB869622}"/>
    <cellStyle name="Normal 8 6 2 2 2 2 3" xfId="34504" xr:uid="{8FB56D4E-E719-4793-8E85-B2A39CD3C6BA}"/>
    <cellStyle name="Normal 8 6 2 2 2 3" xfId="43803" xr:uid="{DD9FEDB5-DC0E-4FD0-8854-817ECEB662E7}"/>
    <cellStyle name="Normal 8 6 2 2 2 4" xfId="25205" xr:uid="{0C8A307E-38EF-4CE6-81BA-1157AE094FB9}"/>
    <cellStyle name="Normal 8 6 2 2 3" xfId="12541" xr:uid="{615581BD-741E-49B9-98F9-5710BF51C295}"/>
    <cellStyle name="Normal 8 6 2 2 3 2" xfId="48883" xr:uid="{EB0D9803-320F-4F9F-83C3-85948ACF2A81}"/>
    <cellStyle name="Normal 8 6 2 2 3 3" xfId="30287" xr:uid="{09DFAE2B-F72A-42F0-8A96-7ABC0F102813}"/>
    <cellStyle name="Normal 8 6 2 2 4" xfId="39586" xr:uid="{00D1873B-9D41-463D-9D2F-7EFB69BEB283}"/>
    <cellStyle name="Normal 8 6 2 2 5" xfId="20988" xr:uid="{4C1442AC-8D65-45A4-81F1-253E6F044EBD}"/>
    <cellStyle name="Normal 8 6 2 3" xfId="5287" xr:uid="{00000000-0005-0000-0000-00004B1E0000}"/>
    <cellStyle name="Normal 8 6 2 3 2" xfId="14613" xr:uid="{CC08253E-3C51-4932-BF66-652DA3AE7310}"/>
    <cellStyle name="Normal 8 6 2 3 2 2" xfId="50955" xr:uid="{1B9A5EDB-018F-4653-952F-54F753FBABAB}"/>
    <cellStyle name="Normal 8 6 2 3 2 3" xfId="32359" xr:uid="{A8E9E710-8BA5-4638-ABE0-EBE499A6700D}"/>
    <cellStyle name="Normal 8 6 2 3 3" xfId="41658" xr:uid="{4AF00C56-D2B6-451D-82DB-612ADA57663A}"/>
    <cellStyle name="Normal 8 6 2 3 4" xfId="23060" xr:uid="{2EF16676-9AF0-4926-9F2F-99CE9ED46CF2}"/>
    <cellStyle name="Normal 8 6 2 4" xfId="9386" xr:uid="{45A5CE0D-B006-45BB-A53E-22B23F4367E3}"/>
    <cellStyle name="Normal 8 6 2 4 2" xfId="36447" xr:uid="{223F882E-87B9-46EB-BD6A-B74DF90FF96B}"/>
    <cellStyle name="Normal 8 6 2 4 2 2" xfId="55041" xr:uid="{A28C685C-EFCC-44BB-8EE4-A8C72368A245}"/>
    <cellStyle name="Normal 8 6 2 4 3" xfId="45744" xr:uid="{FE592364-A9A6-485B-8D92-11C82A439F9C}"/>
    <cellStyle name="Normal 8 6 2 4 4" xfId="27148" xr:uid="{C159B932-4020-478B-BF09-ACDFED9A713E}"/>
    <cellStyle name="Normal 8 6 2 5" xfId="10396" xr:uid="{D9D64347-6A7C-43B5-B82D-8D583BC74AE6}"/>
    <cellStyle name="Normal 8 6 2 5 2" xfId="46738" xr:uid="{EB4A3810-F944-4C65-84B4-F0F6BC83DD12}"/>
    <cellStyle name="Normal 8 6 2 5 3" xfId="28142" xr:uid="{31AF3B2A-A22F-4E13-B9C9-8DF5774A8AC9}"/>
    <cellStyle name="Normal 8 6 2 6" xfId="37441" xr:uid="{FA44EE69-A249-4217-B490-5BD47D8A36D3}"/>
    <cellStyle name="Normal 8 6 2 7" xfId="18843" xr:uid="{9DBCD7E4-BC01-4CDE-8110-15EDC4709294}"/>
    <cellStyle name="Normal 8 6 3" xfId="1393" xr:uid="{00000000-0005-0000-0000-00004C1E0000}"/>
    <cellStyle name="Normal 8 6 3 2" xfId="3623" xr:uid="{00000000-0005-0000-0000-00004D1E0000}"/>
    <cellStyle name="Normal 8 6 3 2 2" xfId="7845" xr:uid="{00000000-0005-0000-0000-00004E1E0000}"/>
    <cellStyle name="Normal 8 6 3 2 2 2" xfId="17171" xr:uid="{3E9C1BCC-010B-4DE6-8B68-181E0B324508}"/>
    <cellStyle name="Normal 8 6 3 2 2 2 2" xfId="53513" xr:uid="{F545630D-61A9-4995-A221-0E31D34AF382}"/>
    <cellStyle name="Normal 8 6 3 2 2 2 3" xfId="34917" xr:uid="{FD4C989B-B3C7-4C65-B9A0-A9D5305AA8E1}"/>
    <cellStyle name="Normal 8 6 3 2 2 3" xfId="44216" xr:uid="{650CBF37-7F12-475D-813C-3D3B3D707B59}"/>
    <cellStyle name="Normal 8 6 3 2 2 4" xfId="25618" xr:uid="{14233033-4D55-43F3-92AC-1053A819C6E2}"/>
    <cellStyle name="Normal 8 6 3 2 3" xfId="12954" xr:uid="{909303D9-1183-4D75-BD58-C33DAE7975ED}"/>
    <cellStyle name="Normal 8 6 3 2 3 2" xfId="49296" xr:uid="{4A65DE20-6E0A-4860-91A8-BB55230C6405}"/>
    <cellStyle name="Normal 8 6 3 2 3 3" xfId="30700" xr:uid="{37E238A1-CCF0-4F23-AA69-A0AB5C006EE2}"/>
    <cellStyle name="Normal 8 6 3 2 4" xfId="39999" xr:uid="{D240CDE8-1844-4F52-B793-52356E35A0E1}"/>
    <cellStyle name="Normal 8 6 3 2 5" xfId="21401" xr:uid="{D7F1C808-F2E7-48D5-B137-2375E766EAF7}"/>
    <cellStyle name="Normal 8 6 3 3" xfId="5700" xr:uid="{00000000-0005-0000-0000-00004F1E0000}"/>
    <cellStyle name="Normal 8 6 3 3 2" xfId="15026" xr:uid="{E0079351-519B-42E5-9F6D-5652453313E5}"/>
    <cellStyle name="Normal 8 6 3 3 2 2" xfId="51368" xr:uid="{4F5573A2-BDAA-47E4-B77D-B70EE2A7151E}"/>
    <cellStyle name="Normal 8 6 3 3 2 3" xfId="32772" xr:uid="{2A7FF6E7-FF26-401D-A616-70A0BF7FAF31}"/>
    <cellStyle name="Normal 8 6 3 3 3" xfId="42071" xr:uid="{E8143944-038C-42D5-82D0-4494BC47B1ED}"/>
    <cellStyle name="Normal 8 6 3 3 4" xfId="23473" xr:uid="{32BE0E21-81AC-44F0-9E59-B04E857DF5F7}"/>
    <cellStyle name="Normal 8 6 3 4" xfId="10809" xr:uid="{C45A342D-B398-4238-8EC3-82D8B937D807}"/>
    <cellStyle name="Normal 8 6 3 4 2" xfId="47151" xr:uid="{3FE9507C-D9E2-4CFA-AB67-400BA0668670}"/>
    <cellStyle name="Normal 8 6 3 4 3" xfId="28555" xr:uid="{A034D65B-0718-4A92-A063-268D8D0AEA8C}"/>
    <cellStyle name="Normal 8 6 3 5" xfId="37854" xr:uid="{5899935D-792A-43BE-9342-507A84DD7091}"/>
    <cellStyle name="Normal 8 6 3 6" xfId="19256" xr:uid="{3840C4B2-C5D3-44E8-8CBA-9AAB2ED60EFB}"/>
    <cellStyle name="Normal 8 6 4" xfId="1806" xr:uid="{00000000-0005-0000-0000-0000501E0000}"/>
    <cellStyle name="Normal 8 6 4 2" xfId="4036" xr:uid="{00000000-0005-0000-0000-0000511E0000}"/>
    <cellStyle name="Normal 8 6 4 2 2" xfId="8258" xr:uid="{00000000-0005-0000-0000-0000521E0000}"/>
    <cellStyle name="Normal 8 6 4 2 2 2" xfId="17584" xr:uid="{A1EB9A42-C88F-4277-8A6A-808DFF7A36D9}"/>
    <cellStyle name="Normal 8 6 4 2 2 2 2" xfId="53926" xr:uid="{D93F2697-D85B-4C22-AF65-ECBBA9A5CAE4}"/>
    <cellStyle name="Normal 8 6 4 2 2 2 3" xfId="35330" xr:uid="{85EB7D1A-DA35-4767-A7D5-675C266A6269}"/>
    <cellStyle name="Normal 8 6 4 2 2 3" xfId="44629" xr:uid="{30010BD5-F8F2-4272-BA24-C4B05C06E0FA}"/>
    <cellStyle name="Normal 8 6 4 2 2 4" xfId="26031" xr:uid="{E801CD9A-D49E-4C2C-B1ED-E4915229059F}"/>
    <cellStyle name="Normal 8 6 4 2 3" xfId="13367" xr:uid="{41118322-F869-4851-B115-1F768EA9E60C}"/>
    <cellStyle name="Normal 8 6 4 2 3 2" xfId="49709" xr:uid="{E53879CE-075D-47B2-BF47-F11521508E6C}"/>
    <cellStyle name="Normal 8 6 4 2 3 3" xfId="31113" xr:uid="{D0E99AD8-DE65-4734-BC7B-8B11734FEBE6}"/>
    <cellStyle name="Normal 8 6 4 2 4" xfId="40412" xr:uid="{BB32D269-FACC-4987-9CBA-B10E8C430D69}"/>
    <cellStyle name="Normal 8 6 4 2 5" xfId="21814" xr:uid="{8532CBCF-9B95-4AA6-9906-A1B757588433}"/>
    <cellStyle name="Normal 8 6 4 3" xfId="6113" xr:uid="{00000000-0005-0000-0000-0000531E0000}"/>
    <cellStyle name="Normal 8 6 4 3 2" xfId="15439" xr:uid="{38475B7E-4282-431F-A407-A96B62E068B1}"/>
    <cellStyle name="Normal 8 6 4 3 2 2" xfId="51781" xr:uid="{C8ECB8E6-9233-4681-9818-A4ED30DFD223}"/>
    <cellStyle name="Normal 8 6 4 3 2 3" xfId="33185" xr:uid="{E29AFD7B-794A-47C5-BF9A-68D616994830}"/>
    <cellStyle name="Normal 8 6 4 3 3" xfId="42484" xr:uid="{FF45E20C-2BBB-4497-9A15-12C269B8C80E}"/>
    <cellStyle name="Normal 8 6 4 3 4" xfId="23886" xr:uid="{DA3418A5-B6B9-4184-819B-231639BB0E7D}"/>
    <cellStyle name="Normal 8 6 4 4" xfId="11222" xr:uid="{6F5AB81E-ED9A-4414-A855-04BD72B56928}"/>
    <cellStyle name="Normal 8 6 4 4 2" xfId="47564" xr:uid="{5C0951A6-3BB2-40F2-A242-A197BF8C6948}"/>
    <cellStyle name="Normal 8 6 4 4 3" xfId="28968" xr:uid="{FFE2F780-D55E-4B4D-853A-D576BA8C9A2F}"/>
    <cellStyle name="Normal 8 6 4 5" xfId="38267" xr:uid="{F5D8D277-0388-44F4-96D0-24274F0F8E08}"/>
    <cellStyle name="Normal 8 6 4 6" xfId="19669" xr:uid="{C1CF97BB-BC59-4291-9375-483BAFC3DFA5}"/>
    <cellStyle name="Normal 8 6 5" xfId="2220" xr:uid="{00000000-0005-0000-0000-0000541E0000}"/>
    <cellStyle name="Normal 8 6 5 2" xfId="4449" xr:uid="{00000000-0005-0000-0000-0000551E0000}"/>
    <cellStyle name="Normal 8 6 5 2 2" xfId="8671" xr:uid="{00000000-0005-0000-0000-0000561E0000}"/>
    <cellStyle name="Normal 8 6 5 2 2 2" xfId="17997" xr:uid="{D3430CBC-64B1-47D1-A3A3-77FA4A270C31}"/>
    <cellStyle name="Normal 8 6 5 2 2 2 2" xfId="54339" xr:uid="{FE94FA55-4055-4C20-AA54-376A987E7140}"/>
    <cellStyle name="Normal 8 6 5 2 2 2 3" xfId="35743" xr:uid="{8C078F59-C9FC-4DF1-B94F-BFA50041A4AA}"/>
    <cellStyle name="Normal 8 6 5 2 2 3" xfId="45042" xr:uid="{4673FEA6-62DB-410E-AF59-B1B4609F6930}"/>
    <cellStyle name="Normal 8 6 5 2 2 4" xfId="26444" xr:uid="{3FD65CCA-FFD4-4A57-AF7E-8D3BF53F9619}"/>
    <cellStyle name="Normal 8 6 5 2 3" xfId="13780" xr:uid="{513A4FA0-722C-4729-BC57-30D5E7BC4F4B}"/>
    <cellStyle name="Normal 8 6 5 2 3 2" xfId="50122" xr:uid="{E37BB981-B4EF-45BB-8DEB-7D29FFD22C58}"/>
    <cellStyle name="Normal 8 6 5 2 3 3" xfId="31526" xr:uid="{CB4C8CC7-0A1E-4A04-BA2B-90792B175B8F}"/>
    <cellStyle name="Normal 8 6 5 2 4" xfId="40825" xr:uid="{E98247F7-5101-4EB2-AB80-9DA516B90A19}"/>
    <cellStyle name="Normal 8 6 5 2 5" xfId="22227" xr:uid="{A56C9D49-03EA-45BE-BC19-ADA2222F59FE}"/>
    <cellStyle name="Normal 8 6 5 3" xfId="6526" xr:uid="{00000000-0005-0000-0000-0000571E0000}"/>
    <cellStyle name="Normal 8 6 5 3 2" xfId="15852" xr:uid="{00C4B265-F956-4836-8D5F-49C99A2E5596}"/>
    <cellStyle name="Normal 8 6 5 3 2 2" xfId="52194" xr:uid="{0E031F0C-E482-4CCE-BF4B-63A03F155D3E}"/>
    <cellStyle name="Normal 8 6 5 3 2 3" xfId="33598" xr:uid="{AFE5337A-28D0-4401-BEE6-99232ABF8284}"/>
    <cellStyle name="Normal 8 6 5 3 3" xfId="42897" xr:uid="{1903643F-CC0F-44BD-B04E-467D7DE4C3EE}"/>
    <cellStyle name="Normal 8 6 5 3 4" xfId="24299" xr:uid="{121B73B8-EDAA-4C40-81E9-9F8A00DF5A3A}"/>
    <cellStyle name="Normal 8 6 5 4" xfId="11635" xr:uid="{5E89A4E3-E24A-412A-A8D7-1FBD07E8C545}"/>
    <cellStyle name="Normal 8 6 5 4 2" xfId="47977" xr:uid="{21E6DCF4-D952-415B-B447-58C9DFCFF56D}"/>
    <cellStyle name="Normal 8 6 5 4 3" xfId="29381" xr:uid="{07069A0F-2172-47C4-9F81-8821C5B1494B}"/>
    <cellStyle name="Normal 8 6 5 5" xfId="38680" xr:uid="{DFB80056-3D85-4175-85AC-872F459994BE}"/>
    <cellStyle name="Normal 8 6 5 6" xfId="20082" xr:uid="{874FD338-877D-46D7-A91F-DE617F0AD158}"/>
    <cellStyle name="Normal 8 6 6" xfId="2656" xr:uid="{00000000-0005-0000-0000-0000581E0000}"/>
    <cellStyle name="Normal 8 6 6 2" xfId="6939" xr:uid="{00000000-0005-0000-0000-0000591E0000}"/>
    <cellStyle name="Normal 8 6 6 2 2" xfId="16265" xr:uid="{D7FC34C3-8EB2-4986-BC66-BA133C8ADBDA}"/>
    <cellStyle name="Normal 8 6 6 2 2 2" xfId="52607" xr:uid="{485E6D55-C9FD-42A1-8FBB-C254EAA4590A}"/>
    <cellStyle name="Normal 8 6 6 2 2 3" xfId="34011" xr:uid="{3A2F3A7C-EBDC-41B0-97EE-391A5E475509}"/>
    <cellStyle name="Normal 8 6 6 2 3" xfId="43310" xr:uid="{60D4CADA-10DE-4879-B385-5A1BD8D9541C}"/>
    <cellStyle name="Normal 8 6 6 2 4" xfId="24712" xr:uid="{49B9EB0D-5E50-4711-9240-74A36D98F563}"/>
    <cellStyle name="Normal 8 6 6 3" xfId="12048" xr:uid="{77390775-1E2B-4546-A81E-C1E1D2D7008E}"/>
    <cellStyle name="Normal 8 6 6 3 2" xfId="48390" xr:uid="{4D50CD1D-E4A4-4C15-B2C2-DA5B3D3C0B94}"/>
    <cellStyle name="Normal 8 6 6 3 3" xfId="29794" xr:uid="{40312860-FF36-46A3-9291-4C04A08224A0}"/>
    <cellStyle name="Normal 8 6 6 4" xfId="39093" xr:uid="{6DA2B010-0716-4152-A604-66E5F5EA7B7E}"/>
    <cellStyle name="Normal 8 6 6 5" xfId="20495" xr:uid="{5AA58F6D-B22E-4E62-AA4B-A31B3B9D2B98}"/>
    <cellStyle name="Normal 8 6 7" xfId="4874" xr:uid="{00000000-0005-0000-0000-00005A1E0000}"/>
    <cellStyle name="Normal 8 6 7 2" xfId="14200" xr:uid="{041E0E7D-B912-426F-BB39-938BB863653F}"/>
    <cellStyle name="Normal 8 6 7 2 2" xfId="50542" xr:uid="{322CB23A-1EA7-4C6D-839E-D39FF3D6BAF7}"/>
    <cellStyle name="Normal 8 6 7 2 3" xfId="31946" xr:uid="{7DDDA226-BA46-4BB8-9AB7-7C437691B5B2}"/>
    <cellStyle name="Normal 8 6 7 3" xfId="41245" xr:uid="{8A507E06-78D8-4F9E-849F-A950182467AC}"/>
    <cellStyle name="Normal 8 6 7 4" xfId="22647" xr:uid="{C49D83CA-0E1C-4601-93AA-954B12E3B257}"/>
    <cellStyle name="Normal 8 6 8" xfId="8961" xr:uid="{36060843-7B38-46C3-B2F1-7172ECB11EEE}"/>
    <cellStyle name="Normal 8 6 8 2" xfId="36031" xr:uid="{50720DC4-1913-42F9-B6A3-014768B45322}"/>
    <cellStyle name="Normal 8 6 8 2 2" xfId="54626" xr:uid="{8299E2C2-AB38-42B3-B4EE-56F5C8FB327C}"/>
    <cellStyle name="Normal 8 6 8 3" xfId="45329" xr:uid="{9C27652D-91BA-4570-A1D0-34A42BCC1E5A}"/>
    <cellStyle name="Normal 8 6 8 4" xfId="26732" xr:uid="{884C014D-8EA5-4C5C-B2E7-BFECAAFB84E9}"/>
    <cellStyle name="Normal 8 6 9" xfId="9983" xr:uid="{80E41045-AFFF-49CB-985B-DD4AA789DD7A}"/>
    <cellStyle name="Normal 8 6 9 2" xfId="46325" xr:uid="{75BDC8A2-A0C7-491C-A29F-A69D0FF94E31}"/>
    <cellStyle name="Normal 8 6 9 3" xfId="27729" xr:uid="{751AB8FD-47A4-45D1-A17B-2F2978B55012}"/>
    <cellStyle name="Normal 8 7" xfId="945" xr:uid="{00000000-0005-0000-0000-00005B1E0000}"/>
    <cellStyle name="Normal 8 7 2" xfId="3179" xr:uid="{00000000-0005-0000-0000-00005C1E0000}"/>
    <cellStyle name="Normal 8 7 2 2" xfId="7401" xr:uid="{00000000-0005-0000-0000-00005D1E0000}"/>
    <cellStyle name="Normal 8 7 2 2 2" xfId="16727" xr:uid="{7C32C8C7-C075-4F0B-8607-778DE52B7C1E}"/>
    <cellStyle name="Normal 8 7 2 2 2 2" xfId="53069" xr:uid="{B24530AA-2ABD-4AE3-AEBC-CEA40DBDB909}"/>
    <cellStyle name="Normal 8 7 2 2 2 3" xfId="34473" xr:uid="{59F5D553-1697-420E-BCF2-32A8BF6A5C9A}"/>
    <cellStyle name="Normal 8 7 2 2 3" xfId="43772" xr:uid="{E4C9BF19-5042-4215-BC09-4E98FEF9192C}"/>
    <cellStyle name="Normal 8 7 2 2 4" xfId="25174" xr:uid="{05DE979C-E443-41B8-93EF-F094E625E84B}"/>
    <cellStyle name="Normal 8 7 2 3" xfId="12510" xr:uid="{06188B02-A0CF-4642-9110-6FA171D631FB}"/>
    <cellStyle name="Normal 8 7 2 3 2" xfId="48852" xr:uid="{35DB7C2F-E1DF-4810-B47E-16B2132053DA}"/>
    <cellStyle name="Normal 8 7 2 3 3" xfId="30256" xr:uid="{32CAF94F-0A5E-4E37-98CE-29620BB45395}"/>
    <cellStyle name="Normal 8 7 2 4" xfId="39555" xr:uid="{421AB0AA-8F34-4A9F-8AB1-07C738F64290}"/>
    <cellStyle name="Normal 8 7 2 5" xfId="20957" xr:uid="{2F05381B-3E48-4F54-AC09-E701FB5B6B2C}"/>
    <cellStyle name="Normal 8 7 3" xfId="5256" xr:uid="{00000000-0005-0000-0000-00005E1E0000}"/>
    <cellStyle name="Normal 8 7 3 2" xfId="14582" xr:uid="{998ACA22-8F3F-4726-B0B2-C33D2313C441}"/>
    <cellStyle name="Normal 8 7 3 2 2" xfId="50924" xr:uid="{8D59C58D-CD65-4AEB-82EA-275C4A2013FA}"/>
    <cellStyle name="Normal 8 7 3 2 3" xfId="32328" xr:uid="{96A128E4-2186-41A8-B114-D84B4F0EFCAE}"/>
    <cellStyle name="Normal 8 7 3 3" xfId="41627" xr:uid="{6F983829-2309-45C1-816F-9AB033EB7976}"/>
    <cellStyle name="Normal 8 7 3 4" xfId="23029" xr:uid="{F888E9E6-FE83-40F6-9167-2338800593BE}"/>
    <cellStyle name="Normal 8 7 4" xfId="9164" xr:uid="{EA2ADDDA-E9AC-4FF8-B08B-61B1D6489A46}"/>
    <cellStyle name="Normal 8 7 4 2" xfId="36228" xr:uid="{357A168B-C1C4-4759-A337-5C24AEE4DE8C}"/>
    <cellStyle name="Normal 8 7 4 2 2" xfId="54822" xr:uid="{081736B2-84DE-4AF5-B15E-B0EB96AD409C}"/>
    <cellStyle name="Normal 8 7 4 3" xfId="45525" xr:uid="{71D17A1D-6EB9-44AF-A537-9B4D8632CA24}"/>
    <cellStyle name="Normal 8 7 4 4" xfId="26929" xr:uid="{49970DD0-93AC-4CF1-AC88-9F89E9E92DD7}"/>
    <cellStyle name="Normal 8 7 5" xfId="10365" xr:uid="{17ADE9FB-3E57-40FC-B61C-264539430214}"/>
    <cellStyle name="Normal 8 7 5 2" xfId="46707" xr:uid="{B05A6144-B902-4211-9B1C-199F5A26F7A1}"/>
    <cellStyle name="Normal 8 7 5 3" xfId="28111" xr:uid="{9005BFF5-4B1A-4C49-91B1-E2BA1C3D39A2}"/>
    <cellStyle name="Normal 8 7 6" xfId="37410" xr:uid="{B941F03E-8BE7-4B5A-9D58-1EA8D5662E68}"/>
    <cellStyle name="Normal 8 7 7" xfId="18812" xr:uid="{17BAE818-CBA0-410B-98D4-48EFC8316979}"/>
    <cellStyle name="Normal 8 8" xfId="1362" xr:uid="{00000000-0005-0000-0000-00005F1E0000}"/>
    <cellStyle name="Normal 8 8 2" xfId="3592" xr:uid="{00000000-0005-0000-0000-0000601E0000}"/>
    <cellStyle name="Normal 8 8 2 2" xfId="7814" xr:uid="{00000000-0005-0000-0000-0000611E0000}"/>
    <cellStyle name="Normal 8 8 2 2 2" xfId="17140" xr:uid="{BE085065-F045-4C1D-82E3-4E22D8A2339A}"/>
    <cellStyle name="Normal 8 8 2 2 2 2" xfId="53482" xr:uid="{EEB50219-6EAD-42A0-9957-0648AD5F4B88}"/>
    <cellStyle name="Normal 8 8 2 2 2 3" xfId="34886" xr:uid="{9162FE14-B6DE-4F63-ACB6-21C9F8E85F10}"/>
    <cellStyle name="Normal 8 8 2 2 3" xfId="44185" xr:uid="{A58345F7-866A-45EF-8E5C-90703592BC8B}"/>
    <cellStyle name="Normal 8 8 2 2 4" xfId="25587" xr:uid="{0F89991F-DDB3-4186-959B-461378B20A5F}"/>
    <cellStyle name="Normal 8 8 2 3" xfId="12923" xr:uid="{057E6AC5-C192-4D15-985F-1FBBD60D1C5F}"/>
    <cellStyle name="Normal 8 8 2 3 2" xfId="49265" xr:uid="{E5541A9B-2FD1-44AF-AA54-9F9E99D80122}"/>
    <cellStyle name="Normal 8 8 2 3 3" xfId="30669" xr:uid="{150DFFD9-F9E2-43E1-A071-E3DBDDC8A80E}"/>
    <cellStyle name="Normal 8 8 2 4" xfId="39968" xr:uid="{241BCFDE-E3A7-444F-B97B-8C4791650A4F}"/>
    <cellStyle name="Normal 8 8 2 5" xfId="21370" xr:uid="{7A2FB507-00DE-41B9-87F9-EC299A545745}"/>
    <cellStyle name="Normal 8 8 3" xfId="5669" xr:uid="{00000000-0005-0000-0000-0000621E0000}"/>
    <cellStyle name="Normal 8 8 3 2" xfId="14995" xr:uid="{0DD33302-F10C-472A-8C19-BA4188FABB86}"/>
    <cellStyle name="Normal 8 8 3 2 2" xfId="51337" xr:uid="{4F0C2CDC-7D00-49E8-B16A-7B090AEFA45F}"/>
    <cellStyle name="Normal 8 8 3 2 3" xfId="32741" xr:uid="{3B081138-0EE5-42CE-844B-3EE1C492F0CD}"/>
    <cellStyle name="Normal 8 8 3 3" xfId="42040" xr:uid="{205C7163-ECB5-4558-8B5D-C421AB367BCD}"/>
    <cellStyle name="Normal 8 8 3 4" xfId="23442" xr:uid="{DB598EB9-8391-411E-BE6D-F4533A889C5A}"/>
    <cellStyle name="Normal 8 8 4" xfId="10778" xr:uid="{F6ED8095-5169-4310-8E58-7877E4A63742}"/>
    <cellStyle name="Normal 8 8 4 2" xfId="47120" xr:uid="{7F3E19D4-8C28-41BF-81F6-49D575579B02}"/>
    <cellStyle name="Normal 8 8 4 3" xfId="28524" xr:uid="{99486E82-64DF-4E31-B858-D199CC06D6DE}"/>
    <cellStyle name="Normal 8 8 5" xfId="37823" xr:uid="{C33A0B4D-88C6-4CC5-9862-048863E80676}"/>
    <cellStyle name="Normal 8 8 6" xfId="19225" xr:uid="{1D190519-6EFF-4BB4-A4F6-60814DEEF9DE}"/>
    <cellStyle name="Normal 8 9" xfId="1775" xr:uid="{00000000-0005-0000-0000-0000631E0000}"/>
    <cellStyle name="Normal 8 9 2" xfId="4005" xr:uid="{00000000-0005-0000-0000-0000641E0000}"/>
    <cellStyle name="Normal 8 9 2 2" xfId="8227" xr:uid="{00000000-0005-0000-0000-0000651E0000}"/>
    <cellStyle name="Normal 8 9 2 2 2" xfId="17553" xr:uid="{1D75E997-934D-4508-BBE5-EC6C99B2562E}"/>
    <cellStyle name="Normal 8 9 2 2 2 2" xfId="53895" xr:uid="{CD986AD3-C2D3-4968-BC89-3190F7894C00}"/>
    <cellStyle name="Normal 8 9 2 2 2 3" xfId="35299" xr:uid="{BFA784F9-3FA1-4A81-97E4-64B054CC6DF4}"/>
    <cellStyle name="Normal 8 9 2 2 3" xfId="44598" xr:uid="{9F99FAB8-CE33-4FF8-85E7-B1ED8FD4B159}"/>
    <cellStyle name="Normal 8 9 2 2 4" xfId="26000" xr:uid="{822436B0-54DA-4148-B4E8-5154195F0B42}"/>
    <cellStyle name="Normal 8 9 2 3" xfId="13336" xr:uid="{F3E0FA2D-66B2-4319-8AA6-EE66B252B4AC}"/>
    <cellStyle name="Normal 8 9 2 3 2" xfId="49678" xr:uid="{F0E3DC45-363D-448E-A304-28A1CA27206B}"/>
    <cellStyle name="Normal 8 9 2 3 3" xfId="31082" xr:uid="{58884DCD-04B8-470A-9373-501FC105D040}"/>
    <cellStyle name="Normal 8 9 2 4" xfId="40381" xr:uid="{0DE5F44E-02AE-4450-8390-1455E9A0EECC}"/>
    <cellStyle name="Normal 8 9 2 5" xfId="21783" xr:uid="{C88E6384-4EDB-4657-B832-8DE0D2834F0F}"/>
    <cellStyle name="Normal 8 9 3" xfId="6082" xr:uid="{00000000-0005-0000-0000-0000661E0000}"/>
    <cellStyle name="Normal 8 9 3 2" xfId="15408" xr:uid="{6A1559F2-6CF9-4DC7-943E-37A8C1155DC0}"/>
    <cellStyle name="Normal 8 9 3 2 2" xfId="51750" xr:uid="{2D6D0D2F-880E-485A-BDD0-F13BBDA68C49}"/>
    <cellStyle name="Normal 8 9 3 2 3" xfId="33154" xr:uid="{ED63A63F-D7AB-4602-937A-AE73777527B3}"/>
    <cellStyle name="Normal 8 9 3 3" xfId="42453" xr:uid="{17CED9C1-3C48-4086-ACF8-268176B650C3}"/>
    <cellStyle name="Normal 8 9 3 4" xfId="23855" xr:uid="{F9EACB16-B3BD-473D-AB76-17CA5C6328EB}"/>
    <cellStyle name="Normal 8 9 4" xfId="11191" xr:uid="{BF2B85E0-158C-48CC-8764-5C91D69DFE6A}"/>
    <cellStyle name="Normal 8 9 4 2" xfId="47533" xr:uid="{7F98ADCC-CB8B-4F92-90AC-AA82DDB92703}"/>
    <cellStyle name="Normal 8 9 4 3" xfId="28937" xr:uid="{C6345258-73B6-4E8A-B394-252F3A8B4207}"/>
    <cellStyle name="Normal 8 9 5" xfId="38236" xr:uid="{E961ADC1-3D45-475D-8D0F-7E5BD5E7EF33}"/>
    <cellStyle name="Normal 8 9 6" xfId="19638" xr:uid="{38C7AE2A-4A68-4ADF-AE41-86238CB6FA9C}"/>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16266" xr:uid="{846FCF5E-012D-446A-8221-288292B9C719}"/>
    <cellStyle name="Normal 9 2 10 2 2 2" xfId="52608" xr:uid="{BE8F7077-CA50-4304-9674-715558DB83CC}"/>
    <cellStyle name="Normal 9 2 10 2 2 3" xfId="34012" xr:uid="{96E180A1-C67C-4BC5-9A15-3A4018019419}"/>
    <cellStyle name="Normal 9 2 10 2 3" xfId="43311" xr:uid="{B4946CED-92CD-4710-BC58-393D1714A8D6}"/>
    <cellStyle name="Normal 9 2 10 2 4" xfId="24713" xr:uid="{7FD56D09-26A7-4803-8F5B-9C580C9C0464}"/>
    <cellStyle name="Normal 9 2 10 3" xfId="12049" xr:uid="{50A0B73C-CB57-4C3F-9258-5571B678A328}"/>
    <cellStyle name="Normal 9 2 10 3 2" xfId="48391" xr:uid="{366D3DD6-91FD-4207-B0CD-03478A6BED47}"/>
    <cellStyle name="Normal 9 2 10 3 3" xfId="29795" xr:uid="{063E5F03-96E5-41AA-9EB8-EDE56DC02C23}"/>
    <cellStyle name="Normal 9 2 10 4" xfId="39094" xr:uid="{F9B985C1-0761-4B7F-B44B-F71F1FE6CBDA}"/>
    <cellStyle name="Normal 9 2 10 5" xfId="20496" xr:uid="{92910B9A-220E-42F9-A2D3-620970013DF8}"/>
    <cellStyle name="Normal 9 2 11" xfId="4875" xr:uid="{00000000-0005-0000-0000-00006B1E0000}"/>
    <cellStyle name="Normal 9 2 11 2" xfId="14201" xr:uid="{74B74387-D938-4C1D-96F3-8ABFB6446770}"/>
    <cellStyle name="Normal 9 2 11 2 2" xfId="50543" xr:uid="{76771427-1CE2-4AB0-93C8-501F718E2C90}"/>
    <cellStyle name="Normal 9 2 11 2 3" xfId="31947" xr:uid="{C542F711-EC65-4891-8E05-D59467640D54}"/>
    <cellStyle name="Normal 9 2 11 3" xfId="41246" xr:uid="{D929A30D-187D-4678-AABE-B6993A48C719}"/>
    <cellStyle name="Normal 9 2 11 4" xfId="22648" xr:uid="{371C6CC5-547C-4545-9425-C114B058651E}"/>
    <cellStyle name="Normal 9 2 12" xfId="8754" xr:uid="{9024D06A-4C5F-4C89-BCDB-29B8C924FF52}"/>
    <cellStyle name="Normal 9 2 12 2" xfId="35824" xr:uid="{8D8498A5-B16B-4CDE-BF4F-D399D9CC3F0B}"/>
    <cellStyle name="Normal 9 2 12 2 2" xfId="54419" xr:uid="{DA07437D-FE53-4DFB-93B9-AC5374BB5C2E}"/>
    <cellStyle name="Normal 9 2 12 3" xfId="45122" xr:uid="{EB4220AD-620C-4270-9D68-525963CEB206}"/>
    <cellStyle name="Normal 9 2 12 4" xfId="26525" xr:uid="{4D6D7B90-6615-4879-AB52-ECB08C3E7A20}"/>
    <cellStyle name="Normal 9 2 13" xfId="9984" xr:uid="{24BCD637-732D-488B-8311-223590FFA394}"/>
    <cellStyle name="Normal 9 2 13 2" xfId="46326" xr:uid="{D7B975B5-7A01-4B05-8353-D59C38781EA5}"/>
    <cellStyle name="Normal 9 2 13 3" xfId="27730" xr:uid="{DB1C2022-1030-4C86-8A6F-FD52013891DA}"/>
    <cellStyle name="Normal 9 2 14" xfId="37029" xr:uid="{B3623C95-FC60-4084-B33F-68B92F5FDB63}"/>
    <cellStyle name="Normal 9 2 15" xfId="18431" xr:uid="{83D8CA84-9B35-42B1-9B0A-DBAAAD3E2637}"/>
    <cellStyle name="Normal 9 2 2" xfId="512" xr:uid="{00000000-0005-0000-0000-00006C1E0000}"/>
    <cellStyle name="Normal 9 2 2 10" xfId="4876" xr:uid="{00000000-0005-0000-0000-00006D1E0000}"/>
    <cellStyle name="Normal 9 2 2 10 2" xfId="14202" xr:uid="{472F5CC1-2AB7-47E3-973D-99EAD107A701}"/>
    <cellStyle name="Normal 9 2 2 10 2 2" xfId="50544" xr:uid="{20917B57-E64B-4FCE-A0A7-AA55083C769A}"/>
    <cellStyle name="Normal 9 2 2 10 2 3" xfId="31948" xr:uid="{A82E4C23-1BA9-48F2-87E6-BEDA978340DF}"/>
    <cellStyle name="Normal 9 2 2 10 3" xfId="41247" xr:uid="{628DC2CB-7198-4FB1-B2C0-F207719C4A14}"/>
    <cellStyle name="Normal 9 2 2 10 4" xfId="22649" xr:uid="{FE2A2EBD-A8D9-4B1F-B2CB-C648556C1DDF}"/>
    <cellStyle name="Normal 9 2 2 11" xfId="8785" xr:uid="{3048542E-ED39-45ED-9C91-0140D2CF60D9}"/>
    <cellStyle name="Normal 9 2 2 11 2" xfId="35855" xr:uid="{D6396D33-E459-413D-9B04-B540C2A6B46A}"/>
    <cellStyle name="Normal 9 2 2 11 2 2" xfId="54450" xr:uid="{F44521AA-AE3A-447C-B4FB-11F6602EED3D}"/>
    <cellStyle name="Normal 9 2 2 11 3" xfId="45153" xr:uid="{53833B7B-F05C-4347-85B9-DF32EB7CB4D0}"/>
    <cellStyle name="Normal 9 2 2 11 4" xfId="26556" xr:uid="{A9AB42AE-A358-470D-BECA-A9B2BA1617FA}"/>
    <cellStyle name="Normal 9 2 2 12" xfId="9985" xr:uid="{EF3AE857-E217-4023-8BD4-AEB6E033F588}"/>
    <cellStyle name="Normal 9 2 2 12 2" xfId="46327" xr:uid="{A626806B-D640-4413-B121-21980787B0BE}"/>
    <cellStyle name="Normal 9 2 2 12 3" xfId="27731" xr:uid="{A0E64B83-4A69-4928-9592-52843B28AC5C}"/>
    <cellStyle name="Normal 9 2 2 13" xfId="37030" xr:uid="{554E72D1-8B77-4945-B710-FFAF9E60D39B}"/>
    <cellStyle name="Normal 9 2 2 14" xfId="18432" xr:uid="{986413FD-879A-4402-BC98-07BA75EE756A}"/>
    <cellStyle name="Normal 9 2 2 2" xfId="513" xr:uid="{00000000-0005-0000-0000-00006E1E0000}"/>
    <cellStyle name="Normal 9 2 2 2 10" xfId="8839" xr:uid="{3B2DC7F4-4F49-4AE2-9279-EFD4857A149B}"/>
    <cellStyle name="Normal 9 2 2 2 10 2" xfId="35909" xr:uid="{A84AF4D5-DD0A-4A07-98E5-3A4AE7B5EB1A}"/>
    <cellStyle name="Normal 9 2 2 2 10 2 2" xfId="54504" xr:uid="{A22B7AC6-2B48-4F1C-A535-C871BDFCE54B}"/>
    <cellStyle name="Normal 9 2 2 2 10 3" xfId="45207" xr:uid="{231A43AA-CBE7-498E-B4F0-850353CCCDD0}"/>
    <cellStyle name="Normal 9 2 2 2 10 4" xfId="26610" xr:uid="{F79FBB80-444C-49CA-B712-DA3ACF968970}"/>
    <cellStyle name="Normal 9 2 2 2 11" xfId="9986" xr:uid="{C6E4499B-CE1E-47CA-B3E5-13A9A6E6F0A8}"/>
    <cellStyle name="Normal 9 2 2 2 11 2" xfId="46328" xr:uid="{D9E61BFF-008C-4561-A69B-8B3E47D538EC}"/>
    <cellStyle name="Normal 9 2 2 2 11 3" xfId="27732" xr:uid="{995D9778-C423-45DB-A545-EA5C6D4F3677}"/>
    <cellStyle name="Normal 9 2 2 2 12" xfId="37031" xr:uid="{D81BAC03-85F9-4CD5-BD77-7733FF970A58}"/>
    <cellStyle name="Normal 9 2 2 2 13" xfId="18433" xr:uid="{6140482A-D26C-45F4-AC28-49E0518CB48C}"/>
    <cellStyle name="Normal 9 2 2 2 2" xfId="514" xr:uid="{00000000-0005-0000-0000-00006F1E0000}"/>
    <cellStyle name="Normal 9 2 2 2 2 10" xfId="9987" xr:uid="{3E074EFD-40A6-4631-ACD6-78D0FF3CB8FE}"/>
    <cellStyle name="Normal 9 2 2 2 2 10 2" xfId="46329" xr:uid="{7DE026A7-DF11-4DB6-BE40-88E76EE67CE2}"/>
    <cellStyle name="Normal 9 2 2 2 2 10 3" xfId="27733" xr:uid="{0E23E0BF-484B-4095-BE9B-9D777336FDC4}"/>
    <cellStyle name="Normal 9 2 2 2 2 11" xfId="37032" xr:uid="{ACF59EC6-8809-42F6-989B-B3EF5300029D}"/>
    <cellStyle name="Normal 9 2 2 2 2 12" xfId="18434" xr:uid="{F8D7AAEA-DC14-4D9B-ACA0-F64E56B2C6F1}"/>
    <cellStyle name="Normal 9 2 2 2 2 2" xfId="515" xr:uid="{00000000-0005-0000-0000-0000701E0000}"/>
    <cellStyle name="Normal 9 2 2 2 2 2 10" xfId="37033" xr:uid="{67B999B0-3981-4E03-A1FE-27DB75C015B6}"/>
    <cellStyle name="Normal 9 2 2 2 2 2 11" xfId="18435" xr:uid="{FEB913B9-9275-40F8-A551-841DFF957297}"/>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16763" xr:uid="{BD6D6796-850F-4A16-B069-42548D6797BC}"/>
    <cellStyle name="Normal 9 2 2 2 2 2 2 2 2 2 2" xfId="53105" xr:uid="{04243438-4A9D-4DF9-87F1-3DA5B2245438}"/>
    <cellStyle name="Normal 9 2 2 2 2 2 2 2 2 2 3" xfId="34509" xr:uid="{3090199D-C6A8-4933-BFD6-57F9593763DB}"/>
    <cellStyle name="Normal 9 2 2 2 2 2 2 2 2 3" xfId="43808" xr:uid="{F57611F1-E864-4CD9-BC58-FFFCC5951DC1}"/>
    <cellStyle name="Normal 9 2 2 2 2 2 2 2 2 4" xfId="25210" xr:uid="{5098BB9E-FCAB-4E48-8A3C-C1FBE1C89E98}"/>
    <cellStyle name="Normal 9 2 2 2 2 2 2 2 3" xfId="12546" xr:uid="{0AE0FFA2-74C3-491D-948E-4EBCE9B210E3}"/>
    <cellStyle name="Normal 9 2 2 2 2 2 2 2 3 2" xfId="48888" xr:uid="{D0208CEA-3ED0-483C-8DFA-91D40DC26088}"/>
    <cellStyle name="Normal 9 2 2 2 2 2 2 2 3 3" xfId="30292" xr:uid="{F47CF26D-4774-4051-85C4-8AD63E9AF998}"/>
    <cellStyle name="Normal 9 2 2 2 2 2 2 2 4" xfId="39591" xr:uid="{9B00884E-C30B-497E-B873-61390A2407E3}"/>
    <cellStyle name="Normal 9 2 2 2 2 2 2 2 5" xfId="20993" xr:uid="{A3EF898B-8860-4390-A0DF-BD973D641861}"/>
    <cellStyle name="Normal 9 2 2 2 2 2 2 3" xfId="5292" xr:uid="{00000000-0005-0000-0000-0000741E0000}"/>
    <cellStyle name="Normal 9 2 2 2 2 2 2 3 2" xfId="14618" xr:uid="{5523E622-4C37-45F3-8F38-48E4018C10DD}"/>
    <cellStyle name="Normal 9 2 2 2 2 2 2 3 2 2" xfId="50960" xr:uid="{3CF92C9B-2D94-45BB-BB1A-B34AE95EDB2D}"/>
    <cellStyle name="Normal 9 2 2 2 2 2 2 3 2 3" xfId="32364" xr:uid="{74B43E0A-A340-488D-B504-16DBA95CAE51}"/>
    <cellStyle name="Normal 9 2 2 2 2 2 2 3 3" xfId="41663" xr:uid="{C996FC52-85BC-4B84-BE8F-EE3583F81B6E}"/>
    <cellStyle name="Normal 9 2 2 2 2 2 2 3 4" xfId="23065" xr:uid="{E4F55309-3D98-4479-AF65-C6A913E36EC4}"/>
    <cellStyle name="Normal 9 2 2 2 2 2 2 4" xfId="9574" xr:uid="{00EB170D-8A20-4280-B781-E452C3590555}"/>
    <cellStyle name="Normal 9 2 2 2 2 2 2 4 2" xfId="36635" xr:uid="{B637D6C3-D073-4B96-A57E-863BDDD8C87E}"/>
    <cellStyle name="Normal 9 2 2 2 2 2 2 4 2 2" xfId="55229" xr:uid="{722D9ABE-5016-49C1-BDEC-CF9E010A92F6}"/>
    <cellStyle name="Normal 9 2 2 2 2 2 2 4 3" xfId="45932" xr:uid="{B55065D9-2D79-4445-B611-02FAFEC83FD3}"/>
    <cellStyle name="Normal 9 2 2 2 2 2 2 4 4" xfId="27336" xr:uid="{B9A4A1A9-27E5-474D-A277-A8414282C444}"/>
    <cellStyle name="Normal 9 2 2 2 2 2 2 5" xfId="10401" xr:uid="{98832ED6-0AED-4D6B-8BDE-DD416AB5B85E}"/>
    <cellStyle name="Normal 9 2 2 2 2 2 2 5 2" xfId="46743" xr:uid="{9A0F2C00-9AB1-434C-8924-EB52532BCC31}"/>
    <cellStyle name="Normal 9 2 2 2 2 2 2 5 3" xfId="28147" xr:uid="{A1CD98EE-D5D3-40CC-8ECF-300929014EF5}"/>
    <cellStyle name="Normal 9 2 2 2 2 2 2 6" xfId="37446" xr:uid="{8B942AB6-B250-49AA-80C1-BA22D0F57DB3}"/>
    <cellStyle name="Normal 9 2 2 2 2 2 2 7" xfId="18848" xr:uid="{AAE24966-D51F-4D2E-8968-E3315BAE8882}"/>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17176" xr:uid="{5BDFA40C-F731-469D-8A9F-AE4F712C15C1}"/>
    <cellStyle name="Normal 9 2 2 2 2 2 3 2 2 2 2" xfId="53518" xr:uid="{575E1811-A506-4C7A-8F8F-D2A47E39348D}"/>
    <cellStyle name="Normal 9 2 2 2 2 2 3 2 2 2 3" xfId="34922" xr:uid="{1C4DADF6-8692-4087-87C8-EE702E3B1C77}"/>
    <cellStyle name="Normal 9 2 2 2 2 2 3 2 2 3" xfId="44221" xr:uid="{418EC1D3-FA55-4EAF-BFD2-8FD3A6D03A93}"/>
    <cellStyle name="Normal 9 2 2 2 2 2 3 2 2 4" xfId="25623" xr:uid="{A6F8B4A2-8F84-4256-9F95-93787DBD40A1}"/>
    <cellStyle name="Normal 9 2 2 2 2 2 3 2 3" xfId="12959" xr:uid="{6D7DCF0D-EC8C-428F-A850-8D6A57B5FF80}"/>
    <cellStyle name="Normal 9 2 2 2 2 2 3 2 3 2" xfId="49301" xr:uid="{17DA2E67-A65B-413D-9D12-9DD9F1A5766C}"/>
    <cellStyle name="Normal 9 2 2 2 2 2 3 2 3 3" xfId="30705" xr:uid="{0B9A4C70-82DC-49AA-96A3-F0F866194270}"/>
    <cellStyle name="Normal 9 2 2 2 2 2 3 2 4" xfId="40004" xr:uid="{280DB49E-81F7-43E6-BB91-DE7E7F8A4555}"/>
    <cellStyle name="Normal 9 2 2 2 2 2 3 2 5" xfId="21406" xr:uid="{A587F953-A282-4EBC-A553-0A261893A685}"/>
    <cellStyle name="Normal 9 2 2 2 2 2 3 3" xfId="5705" xr:uid="{00000000-0005-0000-0000-0000781E0000}"/>
    <cellStyle name="Normal 9 2 2 2 2 2 3 3 2" xfId="15031" xr:uid="{CC3AC844-5D91-4A63-B54F-F8C49F5BE20E}"/>
    <cellStyle name="Normal 9 2 2 2 2 2 3 3 2 2" xfId="51373" xr:uid="{8AB59851-1508-477F-A7E2-1487AA27C6FA}"/>
    <cellStyle name="Normal 9 2 2 2 2 2 3 3 2 3" xfId="32777" xr:uid="{1DC20DA2-65C0-4F0A-B162-0E52E45BFC62}"/>
    <cellStyle name="Normal 9 2 2 2 2 2 3 3 3" xfId="42076" xr:uid="{C05C1C7D-C4D7-4D5B-9E67-05DD403179D0}"/>
    <cellStyle name="Normal 9 2 2 2 2 2 3 3 4" xfId="23478" xr:uid="{C8032225-90A2-472F-B002-1A121F7F32D7}"/>
    <cellStyle name="Normal 9 2 2 2 2 2 3 4" xfId="10814" xr:uid="{C82F54CA-C82A-4E3E-B866-83C8E664A0B7}"/>
    <cellStyle name="Normal 9 2 2 2 2 2 3 4 2" xfId="47156" xr:uid="{4528D45E-0C94-4AD6-8866-E47214F706E8}"/>
    <cellStyle name="Normal 9 2 2 2 2 2 3 4 3" xfId="28560" xr:uid="{4D57D73C-BCC4-4A49-BCBD-2A897E3FA62D}"/>
    <cellStyle name="Normal 9 2 2 2 2 2 3 5" xfId="37859" xr:uid="{0BC50B00-F596-40C2-ACAA-741FC721AA4F}"/>
    <cellStyle name="Normal 9 2 2 2 2 2 3 6" xfId="19261" xr:uid="{CAB905EA-3BD4-4C8D-8B88-6C4F030D9AC1}"/>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17589" xr:uid="{BA3B8DB6-2385-483E-9823-50432FC8467C}"/>
    <cellStyle name="Normal 9 2 2 2 2 2 4 2 2 2 2" xfId="53931" xr:uid="{D4DB416B-CCAE-4BDC-864A-82B5761DAD54}"/>
    <cellStyle name="Normal 9 2 2 2 2 2 4 2 2 2 3" xfId="35335" xr:uid="{3425812B-6B32-4863-B470-562EA0F6B5F3}"/>
    <cellStyle name="Normal 9 2 2 2 2 2 4 2 2 3" xfId="44634" xr:uid="{0B5DE800-C4F7-446A-A52D-0C71D934272C}"/>
    <cellStyle name="Normal 9 2 2 2 2 2 4 2 2 4" xfId="26036" xr:uid="{9BEAE2DE-CA40-4117-996C-FA8DA9C691C0}"/>
    <cellStyle name="Normal 9 2 2 2 2 2 4 2 3" xfId="13372" xr:uid="{52B5B541-04D6-4579-A066-8B18B43BBB9A}"/>
    <cellStyle name="Normal 9 2 2 2 2 2 4 2 3 2" xfId="49714" xr:uid="{96FBFAC6-D55B-4F91-A960-ACEDB048C82D}"/>
    <cellStyle name="Normal 9 2 2 2 2 2 4 2 3 3" xfId="31118" xr:uid="{53C38A15-B56F-4139-BF46-4F019CC8D4C9}"/>
    <cellStyle name="Normal 9 2 2 2 2 2 4 2 4" xfId="40417" xr:uid="{CE47987D-2DB0-4BEE-BC3D-368F41723D3A}"/>
    <cellStyle name="Normal 9 2 2 2 2 2 4 2 5" xfId="21819" xr:uid="{D9530B6C-4AA3-4E1D-A4D2-563B42D725DB}"/>
    <cellStyle name="Normal 9 2 2 2 2 2 4 3" xfId="6118" xr:uid="{00000000-0005-0000-0000-00007C1E0000}"/>
    <cellStyle name="Normal 9 2 2 2 2 2 4 3 2" xfId="15444" xr:uid="{CE6A7162-6B0E-47FF-A0EC-68B804A9A305}"/>
    <cellStyle name="Normal 9 2 2 2 2 2 4 3 2 2" xfId="51786" xr:uid="{4B4B1956-2B0C-4978-8B8B-A06214607195}"/>
    <cellStyle name="Normal 9 2 2 2 2 2 4 3 2 3" xfId="33190" xr:uid="{FAE93015-DC9E-4AA0-9E1E-D147F7F2CA6D}"/>
    <cellStyle name="Normal 9 2 2 2 2 2 4 3 3" xfId="42489" xr:uid="{9E8AA48C-0875-4F72-8CD3-170D5301879C}"/>
    <cellStyle name="Normal 9 2 2 2 2 2 4 3 4" xfId="23891" xr:uid="{31290699-AC60-44F6-B218-C0139078E33B}"/>
    <cellStyle name="Normal 9 2 2 2 2 2 4 4" xfId="11227" xr:uid="{1B20C071-003E-4920-ABD7-45375F27DA53}"/>
    <cellStyle name="Normal 9 2 2 2 2 2 4 4 2" xfId="47569" xr:uid="{541A66D9-122A-4C57-800A-D58E11EDDE7B}"/>
    <cellStyle name="Normal 9 2 2 2 2 2 4 4 3" xfId="28973" xr:uid="{35589E68-808B-484E-8665-3E1651259327}"/>
    <cellStyle name="Normal 9 2 2 2 2 2 4 5" xfId="38272" xr:uid="{6793D4C4-5DA3-4136-93B4-F1632B77E759}"/>
    <cellStyle name="Normal 9 2 2 2 2 2 4 6" xfId="19674" xr:uid="{66E46F54-AD2A-41BD-8E43-45689251BB6B}"/>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18002" xr:uid="{6A12E6A3-A994-454C-88F1-5D5FEC9E4BD7}"/>
    <cellStyle name="Normal 9 2 2 2 2 2 5 2 2 2 2" xfId="54344" xr:uid="{361CB8DC-1472-4A89-85CA-1257FB2A2BF1}"/>
    <cellStyle name="Normal 9 2 2 2 2 2 5 2 2 2 3" xfId="35748" xr:uid="{4606469F-AC4E-484C-8897-238D25664C76}"/>
    <cellStyle name="Normal 9 2 2 2 2 2 5 2 2 3" xfId="45047" xr:uid="{503A4468-3950-4CA4-ABB1-0A88DA47B634}"/>
    <cellStyle name="Normal 9 2 2 2 2 2 5 2 2 4" xfId="26449" xr:uid="{9BC4AC05-86FF-453B-8764-A71140CCCDAF}"/>
    <cellStyle name="Normal 9 2 2 2 2 2 5 2 3" xfId="13785" xr:uid="{9CA0F4AC-A2D6-458A-B9D8-C364C386D014}"/>
    <cellStyle name="Normal 9 2 2 2 2 2 5 2 3 2" xfId="50127" xr:uid="{EB8A2302-698C-483B-BEDD-205FE03D42C8}"/>
    <cellStyle name="Normal 9 2 2 2 2 2 5 2 3 3" xfId="31531" xr:uid="{2E5FBF66-D0EE-411A-8D3E-4542204A4DF1}"/>
    <cellStyle name="Normal 9 2 2 2 2 2 5 2 4" xfId="40830" xr:uid="{301722FE-AFD0-4621-A768-B8AD7AEE2B68}"/>
    <cellStyle name="Normal 9 2 2 2 2 2 5 2 5" xfId="22232" xr:uid="{F7708FF1-FB5C-428C-8B13-A10B02C75BC6}"/>
    <cellStyle name="Normal 9 2 2 2 2 2 5 3" xfId="6531" xr:uid="{00000000-0005-0000-0000-0000801E0000}"/>
    <cellStyle name="Normal 9 2 2 2 2 2 5 3 2" xfId="15857" xr:uid="{116E376C-974D-4F6B-A2A5-E5367D89A56D}"/>
    <cellStyle name="Normal 9 2 2 2 2 2 5 3 2 2" xfId="52199" xr:uid="{733B6B78-BBF8-4789-BDD5-591A898D35C4}"/>
    <cellStyle name="Normal 9 2 2 2 2 2 5 3 2 3" xfId="33603" xr:uid="{DCD05244-A88A-49D5-B513-727395881451}"/>
    <cellStyle name="Normal 9 2 2 2 2 2 5 3 3" xfId="42902" xr:uid="{CC933486-60D6-498C-B97B-47600FA724ED}"/>
    <cellStyle name="Normal 9 2 2 2 2 2 5 3 4" xfId="24304" xr:uid="{CF0EB5AB-286A-445C-8F38-8D6AE2CA2610}"/>
    <cellStyle name="Normal 9 2 2 2 2 2 5 4" xfId="11640" xr:uid="{CBB3DE6C-BBAF-4C61-806D-FCF002B3F293}"/>
    <cellStyle name="Normal 9 2 2 2 2 2 5 4 2" xfId="47982" xr:uid="{6BAABF40-4D0C-4743-8FCC-F1E2126EB3AF}"/>
    <cellStyle name="Normal 9 2 2 2 2 2 5 4 3" xfId="29386" xr:uid="{2A6529B8-FB2C-425F-AD58-FB1522AA3723}"/>
    <cellStyle name="Normal 9 2 2 2 2 2 5 5" xfId="38685" xr:uid="{AED39AD8-5082-4C61-9808-B7B111660024}"/>
    <cellStyle name="Normal 9 2 2 2 2 2 5 6" xfId="20087" xr:uid="{A6F8299A-00C4-4190-9FEA-C6FE33B45CB2}"/>
    <cellStyle name="Normal 9 2 2 2 2 2 6" xfId="2661" xr:uid="{00000000-0005-0000-0000-0000811E0000}"/>
    <cellStyle name="Normal 9 2 2 2 2 2 6 2" xfId="6944" xr:uid="{00000000-0005-0000-0000-0000821E0000}"/>
    <cellStyle name="Normal 9 2 2 2 2 2 6 2 2" xfId="16270" xr:uid="{00F5C1AD-3DDF-4F86-8887-E3AADB54DCBC}"/>
    <cellStyle name="Normal 9 2 2 2 2 2 6 2 2 2" xfId="52612" xr:uid="{3DF33C59-6FB9-492E-B51F-01AE878938DD}"/>
    <cellStyle name="Normal 9 2 2 2 2 2 6 2 2 3" xfId="34016" xr:uid="{1E542FE9-9BE5-436F-A4D5-D8E5B55960FB}"/>
    <cellStyle name="Normal 9 2 2 2 2 2 6 2 3" xfId="43315" xr:uid="{13FE320A-B96B-4284-B1FD-77A992654D8E}"/>
    <cellStyle name="Normal 9 2 2 2 2 2 6 2 4" xfId="24717" xr:uid="{EDE7A09E-7A7D-4A4C-89DE-3DA9D5277FF4}"/>
    <cellStyle name="Normal 9 2 2 2 2 2 6 3" xfId="12053" xr:uid="{8260B50A-3F64-4EAC-89E9-324DC1E72D6D}"/>
    <cellStyle name="Normal 9 2 2 2 2 2 6 3 2" xfId="48395" xr:uid="{4F454924-AF92-4DD1-9419-4B607B7E33DA}"/>
    <cellStyle name="Normal 9 2 2 2 2 2 6 3 3" xfId="29799" xr:uid="{E334AECF-1490-4762-AD46-EB155AA49101}"/>
    <cellStyle name="Normal 9 2 2 2 2 2 6 4" xfId="39098" xr:uid="{4267006C-5583-4507-A7B1-29F103F03B1D}"/>
    <cellStyle name="Normal 9 2 2 2 2 2 6 5" xfId="20500" xr:uid="{7B230FFA-65EF-498E-9C3C-D80DCFF1E5B0}"/>
    <cellStyle name="Normal 9 2 2 2 2 2 7" xfId="4879" xr:uid="{00000000-0005-0000-0000-0000831E0000}"/>
    <cellStyle name="Normal 9 2 2 2 2 2 7 2" xfId="14205" xr:uid="{8716DDD5-21B5-4A10-97A0-A0A464602A0F}"/>
    <cellStyle name="Normal 9 2 2 2 2 2 7 2 2" xfId="50547" xr:uid="{4C1B57F8-E28F-4EA0-945C-EE5347763427}"/>
    <cellStyle name="Normal 9 2 2 2 2 2 7 2 3" xfId="31951" xr:uid="{6D4F9988-FECB-412E-A30E-1C93D22C224F}"/>
    <cellStyle name="Normal 9 2 2 2 2 2 7 3" xfId="41250" xr:uid="{2707DA94-3DC7-484E-AFEA-360D0DA4FE38}"/>
    <cellStyle name="Normal 9 2 2 2 2 2 7 4" xfId="22652" xr:uid="{5DF38DA3-98F0-4C56-B151-64FEEEB50D84}"/>
    <cellStyle name="Normal 9 2 2 2 2 2 8" xfId="9149" xr:uid="{6C0BEC1E-EE3B-4956-830C-8775C93DB46A}"/>
    <cellStyle name="Normal 9 2 2 2 2 2 8 2" xfId="36219" xr:uid="{D0755621-EC13-48B9-BE8A-FF254F4A1099}"/>
    <cellStyle name="Normal 9 2 2 2 2 2 8 2 2" xfId="54814" xr:uid="{770C5839-BD0A-4E02-97D6-B4394729B4A1}"/>
    <cellStyle name="Normal 9 2 2 2 2 2 8 3" xfId="45517" xr:uid="{FA37410A-4488-497E-A585-7A74ADEFCB8F}"/>
    <cellStyle name="Normal 9 2 2 2 2 2 8 4" xfId="26920" xr:uid="{EBB46871-ABF4-476A-9104-1B64627B78E8}"/>
    <cellStyle name="Normal 9 2 2 2 2 2 9" xfId="9988" xr:uid="{45BEE4B6-8F7B-443C-B33C-DEAAE53A7737}"/>
    <cellStyle name="Normal 9 2 2 2 2 2 9 2" xfId="46330" xr:uid="{D4868328-0016-4171-96E8-5AC1D0CD179C}"/>
    <cellStyle name="Normal 9 2 2 2 2 2 9 3" xfId="27734" xr:uid="{A412BF49-06E5-4C4D-8284-001D41A300A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16762" xr:uid="{3040AC31-099F-4F63-A2D4-42BE67C0D532}"/>
    <cellStyle name="Normal 9 2 2 2 2 3 2 2 2 2" xfId="53104" xr:uid="{EAD0ABD5-C79F-4E1F-9211-01A8FCFF5AFA}"/>
    <cellStyle name="Normal 9 2 2 2 2 3 2 2 2 3" xfId="34508" xr:uid="{81E1B617-89E7-4B44-9694-8F08ECD51526}"/>
    <cellStyle name="Normal 9 2 2 2 2 3 2 2 3" xfId="43807" xr:uid="{2E15EC2A-C660-4C89-B069-F7673E6D0D43}"/>
    <cellStyle name="Normal 9 2 2 2 2 3 2 2 4" xfId="25209" xr:uid="{F3BFA2E6-C285-415C-A4D5-2C3682C1D169}"/>
    <cellStyle name="Normal 9 2 2 2 2 3 2 3" xfId="12545" xr:uid="{2357CA4E-FA56-4FC2-978B-B91A60D25463}"/>
    <cellStyle name="Normal 9 2 2 2 2 3 2 3 2" xfId="48887" xr:uid="{B502547B-8DD9-41C0-B158-BF084EB2ABFD}"/>
    <cellStyle name="Normal 9 2 2 2 2 3 2 3 3" xfId="30291" xr:uid="{05F21FA9-506D-4F3A-A338-B9AFE80C1D9D}"/>
    <cellStyle name="Normal 9 2 2 2 2 3 2 4" xfId="39590" xr:uid="{90E521A6-DA1C-45F3-919B-8049B0DA7003}"/>
    <cellStyle name="Normal 9 2 2 2 2 3 2 5" xfId="20992" xr:uid="{60799F3F-0218-4380-A39A-FC298995D059}"/>
    <cellStyle name="Normal 9 2 2 2 2 3 3" xfId="5291" xr:uid="{00000000-0005-0000-0000-0000871E0000}"/>
    <cellStyle name="Normal 9 2 2 2 2 3 3 2" xfId="14617" xr:uid="{1FFAE327-89F2-4F1A-8CA2-907A6AD5F71C}"/>
    <cellStyle name="Normal 9 2 2 2 2 3 3 2 2" xfId="50959" xr:uid="{FFA02769-23CD-48E5-82A9-6FB8CF516FDC}"/>
    <cellStyle name="Normal 9 2 2 2 2 3 3 2 3" xfId="32363" xr:uid="{521BE9C7-C235-43D7-AE73-3F164C77C54E}"/>
    <cellStyle name="Normal 9 2 2 2 2 3 3 3" xfId="41662" xr:uid="{4FD81FD7-663C-42FD-B196-5F760ABD4847}"/>
    <cellStyle name="Normal 9 2 2 2 2 3 3 4" xfId="23064" xr:uid="{1AB25CE7-9346-4141-B135-E51B6AE85624}"/>
    <cellStyle name="Normal 9 2 2 2 2 3 4" xfId="9367" xr:uid="{4A654E22-020A-4B0F-8753-639C44EA908A}"/>
    <cellStyle name="Normal 9 2 2 2 2 3 4 2" xfId="36428" xr:uid="{F2A0A646-6003-4067-A03D-E85D8E75EBB2}"/>
    <cellStyle name="Normal 9 2 2 2 2 3 4 2 2" xfId="55022" xr:uid="{26ACC75F-0AAF-45C4-A408-6EB41914789C}"/>
    <cellStyle name="Normal 9 2 2 2 2 3 4 3" xfId="45725" xr:uid="{D80D82AE-B3F6-449F-81FA-BA1225CD733E}"/>
    <cellStyle name="Normal 9 2 2 2 2 3 4 4" xfId="27129" xr:uid="{EE4877B6-BD50-49B1-8CA6-71693517695E}"/>
    <cellStyle name="Normal 9 2 2 2 2 3 5" xfId="10400" xr:uid="{C04C8020-514C-4686-AE87-1236AC039899}"/>
    <cellStyle name="Normal 9 2 2 2 2 3 5 2" xfId="46742" xr:uid="{C2E1DEEB-DEDB-41A9-9E08-726FB7D273BD}"/>
    <cellStyle name="Normal 9 2 2 2 2 3 5 3" xfId="28146" xr:uid="{5AC45D8E-233F-46FF-B536-20104268F644}"/>
    <cellStyle name="Normal 9 2 2 2 2 3 6" xfId="37445" xr:uid="{1B55FD9F-4C61-4FD2-B566-27150D8C30C6}"/>
    <cellStyle name="Normal 9 2 2 2 2 3 7" xfId="18847" xr:uid="{F7A25080-8174-4E2E-9315-F1D23A9C6611}"/>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17175" xr:uid="{85DDB4A3-6CEF-4E46-A12B-B364FC693820}"/>
    <cellStyle name="Normal 9 2 2 2 2 4 2 2 2 2" xfId="53517" xr:uid="{1C7FA173-FA3B-4EB6-9379-A395EBF83556}"/>
    <cellStyle name="Normal 9 2 2 2 2 4 2 2 2 3" xfId="34921" xr:uid="{D5115C28-8A9D-4983-B8D1-7E02F5196EC0}"/>
    <cellStyle name="Normal 9 2 2 2 2 4 2 2 3" xfId="44220" xr:uid="{DD721EED-3A01-412E-971F-307B60F4D130}"/>
    <cellStyle name="Normal 9 2 2 2 2 4 2 2 4" xfId="25622" xr:uid="{EBFEAC71-C72F-4B28-8AF0-BA962B2CF0A7}"/>
    <cellStyle name="Normal 9 2 2 2 2 4 2 3" xfId="12958" xr:uid="{79959BF9-8B9C-41E9-BC1E-33FCA6D0095D}"/>
    <cellStyle name="Normal 9 2 2 2 2 4 2 3 2" xfId="49300" xr:uid="{A42B0B7A-91C0-4012-9733-D78B9461934F}"/>
    <cellStyle name="Normal 9 2 2 2 2 4 2 3 3" xfId="30704" xr:uid="{797F9C27-43FB-4BA9-9A1A-6FEDBB014338}"/>
    <cellStyle name="Normal 9 2 2 2 2 4 2 4" xfId="40003" xr:uid="{84B6EA61-FB71-49A9-B1E7-B655B28142E5}"/>
    <cellStyle name="Normal 9 2 2 2 2 4 2 5" xfId="21405" xr:uid="{FD47D84E-9997-4077-98A8-64F60F45B9AB}"/>
    <cellStyle name="Normal 9 2 2 2 2 4 3" xfId="5704" xr:uid="{00000000-0005-0000-0000-00008B1E0000}"/>
    <cellStyle name="Normal 9 2 2 2 2 4 3 2" xfId="15030" xr:uid="{42077391-7A86-4347-A948-72E9F170A026}"/>
    <cellStyle name="Normal 9 2 2 2 2 4 3 2 2" xfId="51372" xr:uid="{13A54225-2900-4848-9CDC-1AFC0DDA2CFD}"/>
    <cellStyle name="Normal 9 2 2 2 2 4 3 2 3" xfId="32776" xr:uid="{DEB4AA6A-087E-44B6-A693-8B77A31880F0}"/>
    <cellStyle name="Normal 9 2 2 2 2 4 3 3" xfId="42075" xr:uid="{427AC123-D492-4FDC-A0C5-760DB8A70A17}"/>
    <cellStyle name="Normal 9 2 2 2 2 4 3 4" xfId="23477" xr:uid="{0E956CB0-D709-4B13-B355-8EBD0B8ABFEC}"/>
    <cellStyle name="Normal 9 2 2 2 2 4 4" xfId="10813" xr:uid="{F93E7577-13EC-4F02-BC51-2AE939DB39B9}"/>
    <cellStyle name="Normal 9 2 2 2 2 4 4 2" xfId="47155" xr:uid="{21AEE4B6-6F4F-4770-B69C-947B35E53F33}"/>
    <cellStyle name="Normal 9 2 2 2 2 4 4 3" xfId="28559" xr:uid="{EF345605-FD37-4CF1-A7F7-95AA0DAE1962}"/>
    <cellStyle name="Normal 9 2 2 2 2 4 5" xfId="37858" xr:uid="{DF213009-A722-4047-A190-DD98E9578B60}"/>
    <cellStyle name="Normal 9 2 2 2 2 4 6" xfId="19260" xr:uid="{42E21FED-3BBB-41A9-9B5A-EEC6AD256112}"/>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17588" xr:uid="{87806443-64B2-4661-BB5F-4468A89EEA6D}"/>
    <cellStyle name="Normal 9 2 2 2 2 5 2 2 2 2" xfId="53930" xr:uid="{54979CAC-E9D2-484F-9D4B-932215E5D846}"/>
    <cellStyle name="Normal 9 2 2 2 2 5 2 2 2 3" xfId="35334" xr:uid="{BC8F0262-4B34-434B-90E6-302A4D5B1D4D}"/>
    <cellStyle name="Normal 9 2 2 2 2 5 2 2 3" xfId="44633" xr:uid="{C78A00D0-A9E6-40EA-BD3E-D112093BF2AA}"/>
    <cellStyle name="Normal 9 2 2 2 2 5 2 2 4" xfId="26035" xr:uid="{B55A8E8D-09A1-47AA-8C70-6CD11ADEEB08}"/>
    <cellStyle name="Normal 9 2 2 2 2 5 2 3" xfId="13371" xr:uid="{38650C19-1FA9-462E-8444-0B722584933F}"/>
    <cellStyle name="Normal 9 2 2 2 2 5 2 3 2" xfId="49713" xr:uid="{21C5A756-149E-436F-A1A8-17E4A6C75473}"/>
    <cellStyle name="Normal 9 2 2 2 2 5 2 3 3" xfId="31117" xr:uid="{B022EFBD-32E3-4680-B8AD-329B5AACEA04}"/>
    <cellStyle name="Normal 9 2 2 2 2 5 2 4" xfId="40416" xr:uid="{BD7651E8-FC11-45A2-8D35-7992A07318F3}"/>
    <cellStyle name="Normal 9 2 2 2 2 5 2 5" xfId="21818" xr:uid="{6CFC5FCF-C75D-4278-82B7-622885A2A02C}"/>
    <cellStyle name="Normal 9 2 2 2 2 5 3" xfId="6117" xr:uid="{00000000-0005-0000-0000-00008F1E0000}"/>
    <cellStyle name="Normal 9 2 2 2 2 5 3 2" xfId="15443" xr:uid="{5D92D6C4-65B8-4008-A857-8614EB8D0408}"/>
    <cellStyle name="Normal 9 2 2 2 2 5 3 2 2" xfId="51785" xr:uid="{E55D100A-F388-4EA0-9844-D9E76D0197BF}"/>
    <cellStyle name="Normal 9 2 2 2 2 5 3 2 3" xfId="33189" xr:uid="{C721298D-ED9F-4291-8A3B-81FC838FB009}"/>
    <cellStyle name="Normal 9 2 2 2 2 5 3 3" xfId="42488" xr:uid="{B5B79D84-7B51-49CA-AAC4-FC474021300D}"/>
    <cellStyle name="Normal 9 2 2 2 2 5 3 4" xfId="23890" xr:uid="{3C3523D8-C638-4873-AA27-07FB01476273}"/>
    <cellStyle name="Normal 9 2 2 2 2 5 4" xfId="11226" xr:uid="{A89BC216-B3E8-4892-B7B9-1E6B04AA7E83}"/>
    <cellStyle name="Normal 9 2 2 2 2 5 4 2" xfId="47568" xr:uid="{E25ED812-6D33-4272-8751-300BF510148B}"/>
    <cellStyle name="Normal 9 2 2 2 2 5 4 3" xfId="28972" xr:uid="{100C7609-A541-4C66-8E74-658E33299EEB}"/>
    <cellStyle name="Normal 9 2 2 2 2 5 5" xfId="38271" xr:uid="{33160508-1AD8-4921-B42B-CB37D6127D51}"/>
    <cellStyle name="Normal 9 2 2 2 2 5 6" xfId="19673" xr:uid="{990CB839-F461-4ABC-A43B-861A86A4419F}"/>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18001" xr:uid="{6F181238-596A-44D1-8330-9ABB4DE42E27}"/>
    <cellStyle name="Normal 9 2 2 2 2 6 2 2 2 2" xfId="54343" xr:uid="{68316B42-AAC8-4F0D-B54B-9B9EAB938C34}"/>
    <cellStyle name="Normal 9 2 2 2 2 6 2 2 2 3" xfId="35747" xr:uid="{17FCEDE6-7F06-443D-BDD1-46D317AA0E88}"/>
    <cellStyle name="Normal 9 2 2 2 2 6 2 2 3" xfId="45046" xr:uid="{87BF944B-3A29-47C7-A2EF-7B83F6632136}"/>
    <cellStyle name="Normal 9 2 2 2 2 6 2 2 4" xfId="26448" xr:uid="{E260C0A8-D794-4714-82B3-FCE34C9AAFB1}"/>
    <cellStyle name="Normal 9 2 2 2 2 6 2 3" xfId="13784" xr:uid="{3FEC016B-8BFA-4367-ADA0-0C4C0E4BF6A3}"/>
    <cellStyle name="Normal 9 2 2 2 2 6 2 3 2" xfId="50126" xr:uid="{7450767A-7185-4C70-9743-2D0478C2F89C}"/>
    <cellStyle name="Normal 9 2 2 2 2 6 2 3 3" xfId="31530" xr:uid="{C55F496A-7C7D-4F7E-A3B7-5DA415264781}"/>
    <cellStyle name="Normal 9 2 2 2 2 6 2 4" xfId="40829" xr:uid="{83372EF3-1254-43C2-82B8-F1B4CB2ACD29}"/>
    <cellStyle name="Normal 9 2 2 2 2 6 2 5" xfId="22231" xr:uid="{25C77741-0C0A-4C3F-B1F8-E42526CEE2AE}"/>
    <cellStyle name="Normal 9 2 2 2 2 6 3" xfId="6530" xr:uid="{00000000-0005-0000-0000-0000931E0000}"/>
    <cellStyle name="Normal 9 2 2 2 2 6 3 2" xfId="15856" xr:uid="{C05D2AE0-7809-4A56-9E17-A44F4572B10C}"/>
    <cellStyle name="Normal 9 2 2 2 2 6 3 2 2" xfId="52198" xr:uid="{898B859A-021D-4590-9B5C-48B8341844E4}"/>
    <cellStyle name="Normal 9 2 2 2 2 6 3 2 3" xfId="33602" xr:uid="{91775E3B-4AFB-40FB-BA67-3FEDF75F9C55}"/>
    <cellStyle name="Normal 9 2 2 2 2 6 3 3" xfId="42901" xr:uid="{DDA673A1-F2B7-4EBA-8E7A-CCEF2017FB80}"/>
    <cellStyle name="Normal 9 2 2 2 2 6 3 4" xfId="24303" xr:uid="{26624A37-D583-48AC-8809-C03AD27CC23E}"/>
    <cellStyle name="Normal 9 2 2 2 2 6 4" xfId="11639" xr:uid="{D69DDD1F-64D3-4E93-8334-71968A51E350}"/>
    <cellStyle name="Normal 9 2 2 2 2 6 4 2" xfId="47981" xr:uid="{DFB48251-6A8B-4105-97CF-1B2E00BDB011}"/>
    <cellStyle name="Normal 9 2 2 2 2 6 4 3" xfId="29385" xr:uid="{8F5B7EDB-95CF-4E06-B284-21358A2CBA03}"/>
    <cellStyle name="Normal 9 2 2 2 2 6 5" xfId="38684" xr:uid="{A2A1E44A-2E2C-4A1B-86CE-BA48D9C22F97}"/>
    <cellStyle name="Normal 9 2 2 2 2 6 6" xfId="20086" xr:uid="{89EDAB96-2226-4784-9AB1-C0028B7B17C9}"/>
    <cellStyle name="Normal 9 2 2 2 2 7" xfId="2660" xr:uid="{00000000-0005-0000-0000-0000941E0000}"/>
    <cellStyle name="Normal 9 2 2 2 2 7 2" xfId="6943" xr:uid="{00000000-0005-0000-0000-0000951E0000}"/>
    <cellStyle name="Normal 9 2 2 2 2 7 2 2" xfId="16269" xr:uid="{A78533DE-2810-4B25-8ADB-E429C616EBCF}"/>
    <cellStyle name="Normal 9 2 2 2 2 7 2 2 2" xfId="52611" xr:uid="{46FC41FD-5064-4CE7-94A2-EA9F9E3AA76D}"/>
    <cellStyle name="Normal 9 2 2 2 2 7 2 2 3" xfId="34015" xr:uid="{F9930957-17F4-470F-85E7-6AE3B064765C}"/>
    <cellStyle name="Normal 9 2 2 2 2 7 2 3" xfId="43314" xr:uid="{B1F95A92-50BF-4561-B677-CD4B47E92A53}"/>
    <cellStyle name="Normal 9 2 2 2 2 7 2 4" xfId="24716" xr:uid="{AB7758AC-B7E1-4970-A544-AE041832265C}"/>
    <cellStyle name="Normal 9 2 2 2 2 7 3" xfId="12052" xr:uid="{266E8E2F-FAAC-47FA-B4DC-DCF1A8108A08}"/>
    <cellStyle name="Normal 9 2 2 2 2 7 3 2" xfId="48394" xr:uid="{C218CA92-0703-4B7F-A0D7-DEA77C057650}"/>
    <cellStyle name="Normal 9 2 2 2 2 7 3 3" xfId="29798" xr:uid="{5EAA4713-8DC5-4EB5-A5D0-1CBC64D918DA}"/>
    <cellStyle name="Normal 9 2 2 2 2 7 4" xfId="39097" xr:uid="{BB6726AA-20D2-44BA-AFC7-09031F7F85FD}"/>
    <cellStyle name="Normal 9 2 2 2 2 7 5" xfId="20499" xr:uid="{89AFD33D-BA69-40B7-9BCC-53FB70C6BB23}"/>
    <cellStyle name="Normal 9 2 2 2 2 8" xfId="4878" xr:uid="{00000000-0005-0000-0000-0000961E0000}"/>
    <cellStyle name="Normal 9 2 2 2 2 8 2" xfId="14204" xr:uid="{AC59E93F-A7C6-4A09-9E4F-85AC078458D9}"/>
    <cellStyle name="Normal 9 2 2 2 2 8 2 2" xfId="50546" xr:uid="{688A8562-5114-4C52-A167-90BD3E3E48C4}"/>
    <cellStyle name="Normal 9 2 2 2 2 8 2 3" xfId="31950" xr:uid="{BEBA8F09-04A4-4D37-B730-85426DE24953}"/>
    <cellStyle name="Normal 9 2 2 2 2 8 3" xfId="41249" xr:uid="{091E4402-51B0-4A6A-822D-ED04785E70B8}"/>
    <cellStyle name="Normal 9 2 2 2 2 8 4" xfId="22651" xr:uid="{55801EED-DF36-4B29-A1EA-BCD4C2E57C36}"/>
    <cellStyle name="Normal 9 2 2 2 2 9" xfId="8942" xr:uid="{0DE8A022-819C-4D6A-B102-31C1C7F429A5}"/>
    <cellStyle name="Normal 9 2 2 2 2 9 2" xfId="36012" xr:uid="{1C7BF501-0E47-4F4E-97AD-0B0EAD9913A7}"/>
    <cellStyle name="Normal 9 2 2 2 2 9 2 2" xfId="54607" xr:uid="{D2686FBB-0F2F-4B6E-9368-25204DF797CA}"/>
    <cellStyle name="Normal 9 2 2 2 2 9 3" xfId="45310" xr:uid="{BB4FCF79-1136-4458-852D-1F485F7E7894}"/>
    <cellStyle name="Normal 9 2 2 2 2 9 4" xfId="26713" xr:uid="{FCE397AA-0144-4979-8D60-43EC4A82E4B4}"/>
    <cellStyle name="Normal 9 2 2 2 3" xfId="516" xr:uid="{00000000-0005-0000-0000-0000971E0000}"/>
    <cellStyle name="Normal 9 2 2 2 3 10" xfId="37034" xr:uid="{3FD9DEF9-BD94-4097-995A-C6124C3E71FE}"/>
    <cellStyle name="Normal 9 2 2 2 3 11" xfId="18436" xr:uid="{F48C0B08-A26B-4576-9F33-9DC81F185A4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16764" xr:uid="{CC37DDE9-CE46-409C-9473-7CC1042A5C25}"/>
    <cellStyle name="Normal 9 2 2 2 3 2 2 2 2 2" xfId="53106" xr:uid="{8E9055AA-7BEE-4F5A-9192-A3B741357646}"/>
    <cellStyle name="Normal 9 2 2 2 3 2 2 2 2 3" xfId="34510" xr:uid="{C576C6B4-69C1-4FB6-8A53-D2CFFF0096DA}"/>
    <cellStyle name="Normal 9 2 2 2 3 2 2 2 3" xfId="43809" xr:uid="{C3B724FB-AB19-47E2-9AFA-8603C77CA320}"/>
    <cellStyle name="Normal 9 2 2 2 3 2 2 2 4" xfId="25211" xr:uid="{F8AE9F5F-8992-4692-8071-7A64F1F8CE5B}"/>
    <cellStyle name="Normal 9 2 2 2 3 2 2 3" xfId="12547" xr:uid="{E3EFC7E1-6C1B-4F63-BFFE-B86B20DB45A7}"/>
    <cellStyle name="Normal 9 2 2 2 3 2 2 3 2" xfId="48889" xr:uid="{2C3BD35D-CB6B-4F7C-91B5-F7FF7CDA5F34}"/>
    <cellStyle name="Normal 9 2 2 2 3 2 2 3 3" xfId="30293" xr:uid="{410E10A5-9180-4E0C-8912-8C770F512D99}"/>
    <cellStyle name="Normal 9 2 2 2 3 2 2 4" xfId="39592" xr:uid="{B35D4C94-B928-40EB-B961-D2C36BC6380E}"/>
    <cellStyle name="Normal 9 2 2 2 3 2 2 5" xfId="20994" xr:uid="{DDDB6900-FF17-434B-8A17-48D6BEE2411E}"/>
    <cellStyle name="Normal 9 2 2 2 3 2 3" xfId="5293" xr:uid="{00000000-0005-0000-0000-00009B1E0000}"/>
    <cellStyle name="Normal 9 2 2 2 3 2 3 2" xfId="14619" xr:uid="{01F74740-A461-4223-8FD5-03D1BAAEFF3E}"/>
    <cellStyle name="Normal 9 2 2 2 3 2 3 2 2" xfId="50961" xr:uid="{B5C91FC7-F069-4863-965E-19E1F43BAC50}"/>
    <cellStyle name="Normal 9 2 2 2 3 2 3 2 3" xfId="32365" xr:uid="{ECF0EDCD-2008-4372-B33B-C421F8A2F7E7}"/>
    <cellStyle name="Normal 9 2 2 2 3 2 3 3" xfId="41664" xr:uid="{136E1D41-73D7-494A-A5D4-202D129ACF40}"/>
    <cellStyle name="Normal 9 2 2 2 3 2 3 4" xfId="23066" xr:uid="{7EFB4FC6-1DE3-45F8-A3C1-CC1116226584}"/>
    <cellStyle name="Normal 9 2 2 2 3 2 4" xfId="9471" xr:uid="{E472D827-532E-42C0-B781-9E63FEBCFCF5}"/>
    <cellStyle name="Normal 9 2 2 2 3 2 4 2" xfId="36532" xr:uid="{9BA13AB7-3FB4-44E3-A2A8-2BE6C2A42C3B}"/>
    <cellStyle name="Normal 9 2 2 2 3 2 4 2 2" xfId="55126" xr:uid="{2A10755B-3B29-49D4-8E39-7A0CD49C0806}"/>
    <cellStyle name="Normal 9 2 2 2 3 2 4 3" xfId="45829" xr:uid="{5300B6A7-55E0-4EF7-AC2E-6F51474E5C40}"/>
    <cellStyle name="Normal 9 2 2 2 3 2 4 4" xfId="27233" xr:uid="{404DDA59-5786-43F8-A11E-B65559275BD2}"/>
    <cellStyle name="Normal 9 2 2 2 3 2 5" xfId="10402" xr:uid="{FA3FE162-C5D1-457E-9F15-791B1754A0AF}"/>
    <cellStyle name="Normal 9 2 2 2 3 2 5 2" xfId="46744" xr:uid="{F37A990D-C9D1-47F7-B423-672F894DA64D}"/>
    <cellStyle name="Normal 9 2 2 2 3 2 5 3" xfId="28148" xr:uid="{062717F3-B351-4FA9-A61A-ED48E0F788A1}"/>
    <cellStyle name="Normal 9 2 2 2 3 2 6" xfId="37447" xr:uid="{15C36EA5-3564-4E39-8215-009F91EA8BF9}"/>
    <cellStyle name="Normal 9 2 2 2 3 2 7" xfId="18849" xr:uid="{9086DC29-E6B9-4680-B76F-69D48E4AB6CD}"/>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17177" xr:uid="{E848004E-2E14-4D88-B25E-01D3C298EA36}"/>
    <cellStyle name="Normal 9 2 2 2 3 3 2 2 2 2" xfId="53519" xr:uid="{C2D4BB7F-A632-485C-BD81-2BF10AECB191}"/>
    <cellStyle name="Normal 9 2 2 2 3 3 2 2 2 3" xfId="34923" xr:uid="{A51A3376-1265-47C6-B7A8-1DA40F855501}"/>
    <cellStyle name="Normal 9 2 2 2 3 3 2 2 3" xfId="44222" xr:uid="{6B6B5339-65F5-4DBE-9B41-C1A7CCFB4CC1}"/>
    <cellStyle name="Normal 9 2 2 2 3 3 2 2 4" xfId="25624" xr:uid="{CA8B69CA-BEAE-4211-9DA0-16A8952B4588}"/>
    <cellStyle name="Normal 9 2 2 2 3 3 2 3" xfId="12960" xr:uid="{D9A98024-4B61-45DA-A25B-E9742072CEB2}"/>
    <cellStyle name="Normal 9 2 2 2 3 3 2 3 2" xfId="49302" xr:uid="{BED581B1-AE75-4A19-9616-82E2BC6AFE12}"/>
    <cellStyle name="Normal 9 2 2 2 3 3 2 3 3" xfId="30706" xr:uid="{C52C6F03-A069-492D-A3F3-9C073D470985}"/>
    <cellStyle name="Normal 9 2 2 2 3 3 2 4" xfId="40005" xr:uid="{AFCB9CEB-B5A2-4CA5-B998-37471F3C7B53}"/>
    <cellStyle name="Normal 9 2 2 2 3 3 2 5" xfId="21407" xr:uid="{B74130D8-9461-4C19-8BEF-EB2AAD6E10FD}"/>
    <cellStyle name="Normal 9 2 2 2 3 3 3" xfId="5706" xr:uid="{00000000-0005-0000-0000-00009F1E0000}"/>
    <cellStyle name="Normal 9 2 2 2 3 3 3 2" xfId="15032" xr:uid="{20E5F9FA-4253-4C42-A88C-E1DD27ED6135}"/>
    <cellStyle name="Normal 9 2 2 2 3 3 3 2 2" xfId="51374" xr:uid="{3AC65681-93C5-4B00-99AE-6FB0824E8F27}"/>
    <cellStyle name="Normal 9 2 2 2 3 3 3 2 3" xfId="32778" xr:uid="{5302B81E-305E-4FCE-A961-97352F1DFC82}"/>
    <cellStyle name="Normal 9 2 2 2 3 3 3 3" xfId="42077" xr:uid="{3C7AFF85-5872-4B94-92A3-82C58B204985}"/>
    <cellStyle name="Normal 9 2 2 2 3 3 3 4" xfId="23479" xr:uid="{676D20E4-AE6E-4632-B2AA-C21627A0A2AA}"/>
    <cellStyle name="Normal 9 2 2 2 3 3 4" xfId="10815" xr:uid="{2CEB21D9-A87A-4863-AA4E-5D8E5B631CB8}"/>
    <cellStyle name="Normal 9 2 2 2 3 3 4 2" xfId="47157" xr:uid="{E2BA4149-51BA-46BE-866C-74F9C52AAD69}"/>
    <cellStyle name="Normal 9 2 2 2 3 3 4 3" xfId="28561" xr:uid="{F0F7CFAA-0BCE-40F1-B0BF-0CA10D07EEDA}"/>
    <cellStyle name="Normal 9 2 2 2 3 3 5" xfId="37860" xr:uid="{08D9504E-72FA-4903-B012-702DC2877B41}"/>
    <cellStyle name="Normal 9 2 2 2 3 3 6" xfId="19262" xr:uid="{40D7655D-929C-4976-96B6-9ABAA102B83D}"/>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17590" xr:uid="{9072A6BC-873B-47C4-A7B4-95B2CD8B33DD}"/>
    <cellStyle name="Normal 9 2 2 2 3 4 2 2 2 2" xfId="53932" xr:uid="{5BF4332B-FC2E-4738-AAAE-31BE18457FD7}"/>
    <cellStyle name="Normal 9 2 2 2 3 4 2 2 2 3" xfId="35336" xr:uid="{0195193D-F9C1-4B30-BC69-8BC94EBF1A22}"/>
    <cellStyle name="Normal 9 2 2 2 3 4 2 2 3" xfId="44635" xr:uid="{FD1D70FC-538F-4C3E-8870-9740BF75DF56}"/>
    <cellStyle name="Normal 9 2 2 2 3 4 2 2 4" xfId="26037" xr:uid="{388B82A1-EBAA-43E1-8512-3F4B509942F4}"/>
    <cellStyle name="Normal 9 2 2 2 3 4 2 3" xfId="13373" xr:uid="{735AC008-9D1D-40EA-8C08-E7121517C31C}"/>
    <cellStyle name="Normal 9 2 2 2 3 4 2 3 2" xfId="49715" xr:uid="{37D116E9-664D-4BEE-95C2-3C1EE3290813}"/>
    <cellStyle name="Normal 9 2 2 2 3 4 2 3 3" xfId="31119" xr:uid="{F7B098B6-2D27-4227-9280-8CCAFAA36F01}"/>
    <cellStyle name="Normal 9 2 2 2 3 4 2 4" xfId="40418" xr:uid="{25C065EF-A775-4BE0-BA12-0AC82491D63F}"/>
    <cellStyle name="Normal 9 2 2 2 3 4 2 5" xfId="21820" xr:uid="{2FB9E126-A0C8-4523-B592-2940CEDCB88C}"/>
    <cellStyle name="Normal 9 2 2 2 3 4 3" xfId="6119" xr:uid="{00000000-0005-0000-0000-0000A31E0000}"/>
    <cellStyle name="Normal 9 2 2 2 3 4 3 2" xfId="15445" xr:uid="{F8DA7A0C-7F44-4CF8-A24B-0D55DAF0EB22}"/>
    <cellStyle name="Normal 9 2 2 2 3 4 3 2 2" xfId="51787" xr:uid="{6F3D1C4D-269D-4523-A9B2-7D2BE7E3F57A}"/>
    <cellStyle name="Normal 9 2 2 2 3 4 3 2 3" xfId="33191" xr:uid="{7C86BB62-AE4A-4D14-BF37-21CC4800BC52}"/>
    <cellStyle name="Normal 9 2 2 2 3 4 3 3" xfId="42490" xr:uid="{670ABCE9-AB48-4055-97DE-18DC9AA7203E}"/>
    <cellStyle name="Normal 9 2 2 2 3 4 3 4" xfId="23892" xr:uid="{0EF4FFF7-F6DF-42C6-A185-A03EC9449DC6}"/>
    <cellStyle name="Normal 9 2 2 2 3 4 4" xfId="11228" xr:uid="{4D1E59C5-9220-42CF-AA4E-7F6E0EDC59D4}"/>
    <cellStyle name="Normal 9 2 2 2 3 4 4 2" xfId="47570" xr:uid="{C3329A5A-1A50-486D-96F1-C8F2FA796919}"/>
    <cellStyle name="Normal 9 2 2 2 3 4 4 3" xfId="28974" xr:uid="{32DA8954-A3CB-4F3A-8828-6E28C282929D}"/>
    <cellStyle name="Normal 9 2 2 2 3 4 5" xfId="38273" xr:uid="{A8E41591-4A0F-4603-B7BA-9CF93105E56F}"/>
    <cellStyle name="Normal 9 2 2 2 3 4 6" xfId="19675" xr:uid="{E6A19404-EED5-4B86-B908-CB8B29C9B6F2}"/>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18003" xr:uid="{DD302171-5295-43C9-987A-82761AF66FA3}"/>
    <cellStyle name="Normal 9 2 2 2 3 5 2 2 2 2" xfId="54345" xr:uid="{D2274152-5804-4752-BC83-4EEBA799C499}"/>
    <cellStyle name="Normal 9 2 2 2 3 5 2 2 2 3" xfId="35749" xr:uid="{8A8B0F33-7CBC-4054-9536-6FC1E1EC102A}"/>
    <cellStyle name="Normal 9 2 2 2 3 5 2 2 3" xfId="45048" xr:uid="{73697A74-4648-49F9-A9A5-362A68A846E4}"/>
    <cellStyle name="Normal 9 2 2 2 3 5 2 2 4" xfId="26450" xr:uid="{EF9B7969-2A64-444C-B22C-B1DDF70ED15F}"/>
    <cellStyle name="Normal 9 2 2 2 3 5 2 3" xfId="13786" xr:uid="{F2DE396F-BA23-4E41-986A-5B363B258BF9}"/>
    <cellStyle name="Normal 9 2 2 2 3 5 2 3 2" xfId="50128" xr:uid="{E646EBDC-3332-4CD8-9518-5DCAA70AC0A7}"/>
    <cellStyle name="Normal 9 2 2 2 3 5 2 3 3" xfId="31532" xr:uid="{A34795FE-2DB9-4D54-9EB9-B5C527A18667}"/>
    <cellStyle name="Normal 9 2 2 2 3 5 2 4" xfId="40831" xr:uid="{05EFA656-A824-4D45-BBE1-782EF82931B4}"/>
    <cellStyle name="Normal 9 2 2 2 3 5 2 5" xfId="22233" xr:uid="{966E9CB0-2BB0-4578-91FA-6B0501A80DD4}"/>
    <cellStyle name="Normal 9 2 2 2 3 5 3" xfId="6532" xr:uid="{00000000-0005-0000-0000-0000A71E0000}"/>
    <cellStyle name="Normal 9 2 2 2 3 5 3 2" xfId="15858" xr:uid="{080D4EEE-50ED-46B3-9CE3-6B45BD6E7B94}"/>
    <cellStyle name="Normal 9 2 2 2 3 5 3 2 2" xfId="52200" xr:uid="{7FD688A2-9B8D-4BCA-8AFD-3CD628E774E5}"/>
    <cellStyle name="Normal 9 2 2 2 3 5 3 2 3" xfId="33604" xr:uid="{7A62AD99-AA00-4873-A079-A3606661EBEC}"/>
    <cellStyle name="Normal 9 2 2 2 3 5 3 3" xfId="42903" xr:uid="{C7535E92-0006-4EF7-8C74-6A0142A34801}"/>
    <cellStyle name="Normal 9 2 2 2 3 5 3 4" xfId="24305" xr:uid="{909C233C-00E9-4488-B8B7-70921A037360}"/>
    <cellStyle name="Normal 9 2 2 2 3 5 4" xfId="11641" xr:uid="{46584914-408D-4270-BAC4-B2F37117551B}"/>
    <cellStyle name="Normal 9 2 2 2 3 5 4 2" xfId="47983" xr:uid="{C7FF28DF-E202-43BD-B37C-B634A002E7C4}"/>
    <cellStyle name="Normal 9 2 2 2 3 5 4 3" xfId="29387" xr:uid="{94448056-34AB-4322-8EF4-1E85DF29E8BA}"/>
    <cellStyle name="Normal 9 2 2 2 3 5 5" xfId="38686" xr:uid="{409601DE-22BC-4CE8-AEFE-3DFD95E32B2E}"/>
    <cellStyle name="Normal 9 2 2 2 3 5 6" xfId="20088" xr:uid="{0147753E-E5A2-4E61-AD21-1D80F1DAC8F0}"/>
    <cellStyle name="Normal 9 2 2 2 3 6" xfId="2662" xr:uid="{00000000-0005-0000-0000-0000A81E0000}"/>
    <cellStyle name="Normal 9 2 2 2 3 6 2" xfId="6945" xr:uid="{00000000-0005-0000-0000-0000A91E0000}"/>
    <cellStyle name="Normal 9 2 2 2 3 6 2 2" xfId="16271" xr:uid="{44A989D3-F35C-44F2-BF5E-92E9CDC5991A}"/>
    <cellStyle name="Normal 9 2 2 2 3 6 2 2 2" xfId="52613" xr:uid="{ED4E76E4-318B-476B-BA34-D3CA24A9428B}"/>
    <cellStyle name="Normal 9 2 2 2 3 6 2 2 3" xfId="34017" xr:uid="{F9B79594-57A3-486D-B4C7-455A64806AF5}"/>
    <cellStyle name="Normal 9 2 2 2 3 6 2 3" xfId="43316" xr:uid="{C654184B-90B1-4DB4-AD8A-958E4D844931}"/>
    <cellStyle name="Normal 9 2 2 2 3 6 2 4" xfId="24718" xr:uid="{12ED93E8-7099-4762-8647-710C14CA0001}"/>
    <cellStyle name="Normal 9 2 2 2 3 6 3" xfId="12054" xr:uid="{686B02D9-3C3D-42A7-97BD-30307AE00A95}"/>
    <cellStyle name="Normal 9 2 2 2 3 6 3 2" xfId="48396" xr:uid="{168B84BF-61F0-4B82-ABC8-0E22E3032BFD}"/>
    <cellStyle name="Normal 9 2 2 2 3 6 3 3" xfId="29800" xr:uid="{1A65AD06-D136-4E10-8836-CBC011F2757F}"/>
    <cellStyle name="Normal 9 2 2 2 3 6 4" xfId="39099" xr:uid="{8CAD0AD3-9AAD-4DDA-903C-A2A2BC75438E}"/>
    <cellStyle name="Normal 9 2 2 2 3 6 5" xfId="20501" xr:uid="{162A8D61-FEAF-4F54-909A-706546AE2A6C}"/>
    <cellStyle name="Normal 9 2 2 2 3 7" xfId="4880" xr:uid="{00000000-0005-0000-0000-0000AA1E0000}"/>
    <cellStyle name="Normal 9 2 2 2 3 7 2" xfId="14206" xr:uid="{B3A72646-F25C-43DE-A351-6E6A89D7ED8B}"/>
    <cellStyle name="Normal 9 2 2 2 3 7 2 2" xfId="50548" xr:uid="{A919D0BF-3116-4019-9555-A09CD5C3A47F}"/>
    <cellStyle name="Normal 9 2 2 2 3 7 2 3" xfId="31952" xr:uid="{C9FD7E54-37FD-4437-B586-FD63AF5E03C9}"/>
    <cellStyle name="Normal 9 2 2 2 3 7 3" xfId="41251" xr:uid="{E6A43DF6-4329-4706-AE18-BB56EC7EE8E8}"/>
    <cellStyle name="Normal 9 2 2 2 3 7 4" xfId="22653" xr:uid="{C1E3195E-6133-46AA-B653-A59045EE78DF}"/>
    <cellStyle name="Normal 9 2 2 2 3 8" xfId="9046" xr:uid="{6B7E07C7-E90B-4AE9-8FE8-76EF28E8FC85}"/>
    <cellStyle name="Normal 9 2 2 2 3 8 2" xfId="36116" xr:uid="{95C3147B-160F-434E-99E2-81C402BF7155}"/>
    <cellStyle name="Normal 9 2 2 2 3 8 2 2" xfId="54711" xr:uid="{BE803B23-4EAF-44AA-8846-66C0F0307578}"/>
    <cellStyle name="Normal 9 2 2 2 3 8 3" xfId="45414" xr:uid="{B0647336-A164-42BA-A795-42A03407054D}"/>
    <cellStyle name="Normal 9 2 2 2 3 8 4" xfId="26817" xr:uid="{85625FAF-2B0F-47D9-B110-BEC645909CC5}"/>
    <cellStyle name="Normal 9 2 2 2 3 9" xfId="9989" xr:uid="{4D0F41EE-0197-4B14-B38F-ABA038341BE5}"/>
    <cellStyle name="Normal 9 2 2 2 3 9 2" xfId="46331" xr:uid="{A7A3FD97-30B8-474E-9174-F38DEAD1A654}"/>
    <cellStyle name="Normal 9 2 2 2 3 9 3" xfId="27735" xr:uid="{D82D776B-207B-49D8-9100-480DABDD284E}"/>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16761" xr:uid="{39E9D1F8-8F29-4E41-B972-FB14ABD77FC7}"/>
    <cellStyle name="Normal 9 2 2 2 4 2 2 2 2" xfId="53103" xr:uid="{84CA667B-AC6F-442C-8F62-CD36BCBAE59D}"/>
    <cellStyle name="Normal 9 2 2 2 4 2 2 2 3" xfId="34507" xr:uid="{301E774C-4332-4363-A7C7-C6C7AC4A63A5}"/>
    <cellStyle name="Normal 9 2 2 2 4 2 2 3" xfId="43806" xr:uid="{41529D63-E370-44EE-BC77-2B134A3FA192}"/>
    <cellStyle name="Normal 9 2 2 2 4 2 2 4" xfId="25208" xr:uid="{8BC327CB-11BF-4342-B88F-CDC39546EC52}"/>
    <cellStyle name="Normal 9 2 2 2 4 2 3" xfId="12544" xr:uid="{B1C37553-9EC4-4E51-B193-446D447E0495}"/>
    <cellStyle name="Normal 9 2 2 2 4 2 3 2" xfId="48886" xr:uid="{1EB23C03-7D9A-4E40-A217-32C57736B3AB}"/>
    <cellStyle name="Normal 9 2 2 2 4 2 3 3" xfId="30290" xr:uid="{3E41AD29-96D3-47B4-932A-FBFDAE8FF1F0}"/>
    <cellStyle name="Normal 9 2 2 2 4 2 4" xfId="39589" xr:uid="{BB7F8E48-AF81-4281-9465-E0FA569D8DE8}"/>
    <cellStyle name="Normal 9 2 2 2 4 2 5" xfId="20991" xr:uid="{DE142D9E-D1EB-4414-9A3B-BF82634014AB}"/>
    <cellStyle name="Normal 9 2 2 2 4 3" xfId="5290" xr:uid="{00000000-0005-0000-0000-0000AE1E0000}"/>
    <cellStyle name="Normal 9 2 2 2 4 3 2" xfId="14616" xr:uid="{47B203B7-9023-4C0C-BB0B-874E417FEE3A}"/>
    <cellStyle name="Normal 9 2 2 2 4 3 2 2" xfId="50958" xr:uid="{728497C2-6492-4799-AE94-C5EBDE09F960}"/>
    <cellStyle name="Normal 9 2 2 2 4 3 2 3" xfId="32362" xr:uid="{1C4775AD-0410-487A-9121-6EDA7F486310}"/>
    <cellStyle name="Normal 9 2 2 2 4 3 3" xfId="41661" xr:uid="{E9098D2D-C872-4F4A-BDCD-5097E5EE2522}"/>
    <cellStyle name="Normal 9 2 2 2 4 3 4" xfId="23063" xr:uid="{8A392A36-2847-41EA-BD34-31A2082D0017}"/>
    <cellStyle name="Normal 9 2 2 2 4 4" xfId="9264" xr:uid="{0137E036-48D9-4B3B-9B73-0002A19DDE9E}"/>
    <cellStyle name="Normal 9 2 2 2 4 4 2" xfId="36325" xr:uid="{D701A64B-F419-405C-AA0B-0DA11068D3AC}"/>
    <cellStyle name="Normal 9 2 2 2 4 4 2 2" xfId="54919" xr:uid="{051AD783-9D5A-4797-B1A7-EEF480934D74}"/>
    <cellStyle name="Normal 9 2 2 2 4 4 3" xfId="45622" xr:uid="{4BDFFB5D-A252-4791-B603-B400BA3E4EF0}"/>
    <cellStyle name="Normal 9 2 2 2 4 4 4" xfId="27026" xr:uid="{103EDBFE-6EF8-4C82-95E6-E9CB1B8384EB}"/>
    <cellStyle name="Normal 9 2 2 2 4 5" xfId="10399" xr:uid="{DEAA55FE-2631-4C0A-9C52-2307EDC6978C}"/>
    <cellStyle name="Normal 9 2 2 2 4 5 2" xfId="46741" xr:uid="{6B2A3292-B548-449A-B358-B120577C93D7}"/>
    <cellStyle name="Normal 9 2 2 2 4 5 3" xfId="28145" xr:uid="{5DA81CDA-7C84-4F2A-B6F6-A8336C52BD79}"/>
    <cellStyle name="Normal 9 2 2 2 4 6" xfId="37444" xr:uid="{49BAF00B-CCEE-4063-A301-CCFC529B5B49}"/>
    <cellStyle name="Normal 9 2 2 2 4 7" xfId="18846" xr:uid="{B169105B-D178-403A-8354-5B3B40FCFF5C}"/>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17174" xr:uid="{2B6226D2-E0D5-4405-89CF-2B56EDF9C86C}"/>
    <cellStyle name="Normal 9 2 2 2 5 2 2 2 2" xfId="53516" xr:uid="{76E45978-D6E3-4E90-B774-312FDEBA5897}"/>
    <cellStyle name="Normal 9 2 2 2 5 2 2 2 3" xfId="34920" xr:uid="{B4F2961F-6F53-4E92-898C-E3F11FCDD1E2}"/>
    <cellStyle name="Normal 9 2 2 2 5 2 2 3" xfId="44219" xr:uid="{1B05C67E-008E-460C-BE64-FEB5070BD6B4}"/>
    <cellStyle name="Normal 9 2 2 2 5 2 2 4" xfId="25621" xr:uid="{C922525F-62FA-4F88-95F4-5BDDDDF6085E}"/>
    <cellStyle name="Normal 9 2 2 2 5 2 3" xfId="12957" xr:uid="{7B814AC7-8F7D-47B1-A8BD-CAAD9CBC1C6E}"/>
    <cellStyle name="Normal 9 2 2 2 5 2 3 2" xfId="49299" xr:uid="{2868F33B-0E2E-457D-8FA6-817951C31AAA}"/>
    <cellStyle name="Normal 9 2 2 2 5 2 3 3" xfId="30703" xr:uid="{16C27C20-BD1A-4C54-91F0-101EDA922F88}"/>
    <cellStyle name="Normal 9 2 2 2 5 2 4" xfId="40002" xr:uid="{E0EB43F6-C8B3-43D6-BC42-A0DAD77382F6}"/>
    <cellStyle name="Normal 9 2 2 2 5 2 5" xfId="21404" xr:uid="{F8A549BB-3128-4000-99BC-E8E0F9660E62}"/>
    <cellStyle name="Normal 9 2 2 2 5 3" xfId="5703" xr:uid="{00000000-0005-0000-0000-0000B21E0000}"/>
    <cellStyle name="Normal 9 2 2 2 5 3 2" xfId="15029" xr:uid="{7CA76505-FFA1-4301-8E86-CC69761BFE03}"/>
    <cellStyle name="Normal 9 2 2 2 5 3 2 2" xfId="51371" xr:uid="{DA944C05-B80D-4273-9250-80BBB573EC56}"/>
    <cellStyle name="Normal 9 2 2 2 5 3 2 3" xfId="32775" xr:uid="{2A20DD0A-06E1-4E2F-9489-FA32379B3091}"/>
    <cellStyle name="Normal 9 2 2 2 5 3 3" xfId="42074" xr:uid="{1AB3F428-017B-49E7-BBDA-577AC1246A59}"/>
    <cellStyle name="Normal 9 2 2 2 5 3 4" xfId="23476" xr:uid="{03DA023B-8DB4-48F9-B921-616A72013C9F}"/>
    <cellStyle name="Normal 9 2 2 2 5 4" xfId="10812" xr:uid="{4A8E4243-63C1-4865-8769-D26DA77B4C2A}"/>
    <cellStyle name="Normal 9 2 2 2 5 4 2" xfId="47154" xr:uid="{238C9DFA-FECC-4707-AC51-3BE13BFE921C}"/>
    <cellStyle name="Normal 9 2 2 2 5 4 3" xfId="28558" xr:uid="{8B867FAF-28DB-4299-BCD3-31DA8F1ACD88}"/>
    <cellStyle name="Normal 9 2 2 2 5 5" xfId="37857" xr:uid="{20B9AAE4-A16D-49CC-A92D-21DCCCF287E5}"/>
    <cellStyle name="Normal 9 2 2 2 5 6" xfId="19259" xr:uid="{64784F63-5849-49B3-9606-C4F4852FC2B5}"/>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17587" xr:uid="{F8865C28-4EC3-4412-BA6E-D745536CC3BC}"/>
    <cellStyle name="Normal 9 2 2 2 6 2 2 2 2" xfId="53929" xr:uid="{9EF29342-531D-46CD-AB09-92AEF67FE9A4}"/>
    <cellStyle name="Normal 9 2 2 2 6 2 2 2 3" xfId="35333" xr:uid="{C5AD3664-97AE-44E0-A7EB-D6A5757CE623}"/>
    <cellStyle name="Normal 9 2 2 2 6 2 2 3" xfId="44632" xr:uid="{C13ACC9A-34BA-4AB6-8417-6453B1841C9D}"/>
    <cellStyle name="Normal 9 2 2 2 6 2 2 4" xfId="26034" xr:uid="{6592F5E4-3DDE-4669-9AC5-C6575FBD1867}"/>
    <cellStyle name="Normal 9 2 2 2 6 2 3" xfId="13370" xr:uid="{2150559A-8881-4438-9F1D-3F4F295E4310}"/>
    <cellStyle name="Normal 9 2 2 2 6 2 3 2" xfId="49712" xr:uid="{AE949F04-B54F-45B8-9D75-6C1DC96ECFE1}"/>
    <cellStyle name="Normal 9 2 2 2 6 2 3 3" xfId="31116" xr:uid="{8871DD40-E44F-437A-B387-CD7FF32546D3}"/>
    <cellStyle name="Normal 9 2 2 2 6 2 4" xfId="40415" xr:uid="{8DEBD58B-A39A-4570-A027-8495A8D76F27}"/>
    <cellStyle name="Normal 9 2 2 2 6 2 5" xfId="21817" xr:uid="{ECB168F1-B0A0-4399-BE3A-8676E5874460}"/>
    <cellStyle name="Normal 9 2 2 2 6 3" xfId="6116" xr:uid="{00000000-0005-0000-0000-0000B61E0000}"/>
    <cellStyle name="Normal 9 2 2 2 6 3 2" xfId="15442" xr:uid="{01616C85-FA69-4E54-8DDA-E1F2E5C9354E}"/>
    <cellStyle name="Normal 9 2 2 2 6 3 2 2" xfId="51784" xr:uid="{0C76598F-AD43-480D-B880-4B0331EBD680}"/>
    <cellStyle name="Normal 9 2 2 2 6 3 2 3" xfId="33188" xr:uid="{611FA8AF-802B-4361-A457-537B33851477}"/>
    <cellStyle name="Normal 9 2 2 2 6 3 3" xfId="42487" xr:uid="{D1E7ABB3-EEDA-4987-95AA-EDC2EB6E2CAD}"/>
    <cellStyle name="Normal 9 2 2 2 6 3 4" xfId="23889" xr:uid="{0D3AE148-4E90-43C8-BD45-72D33B149FDD}"/>
    <cellStyle name="Normal 9 2 2 2 6 4" xfId="11225" xr:uid="{EBC11F42-1DF4-4513-AEF1-B31E0AB839B1}"/>
    <cellStyle name="Normal 9 2 2 2 6 4 2" xfId="47567" xr:uid="{1389393D-4037-4385-9270-2CA2DE86B3D8}"/>
    <cellStyle name="Normal 9 2 2 2 6 4 3" xfId="28971" xr:uid="{62864E4F-1505-4180-A1AB-68F1F392213C}"/>
    <cellStyle name="Normal 9 2 2 2 6 5" xfId="38270" xr:uid="{FB150002-55C8-44B3-A52E-CFBFBCADB94D}"/>
    <cellStyle name="Normal 9 2 2 2 6 6" xfId="19672" xr:uid="{D8C6D3A6-F52F-4C94-A378-9319BC30E7C0}"/>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18000" xr:uid="{B181F545-8E80-47B4-9EB1-2887A08BD038}"/>
    <cellStyle name="Normal 9 2 2 2 7 2 2 2 2" xfId="54342" xr:uid="{6F61D727-F826-4F3F-B455-5DBD12C53A8C}"/>
    <cellStyle name="Normal 9 2 2 2 7 2 2 2 3" xfId="35746" xr:uid="{8B8FF358-5346-40ED-BD9D-018F134489BC}"/>
    <cellStyle name="Normal 9 2 2 2 7 2 2 3" xfId="45045" xr:uid="{3D511A13-B7AA-4A70-9356-0F3426576409}"/>
    <cellStyle name="Normal 9 2 2 2 7 2 2 4" xfId="26447" xr:uid="{42BD6078-12BD-4EAE-8F4F-F9659AB7B333}"/>
    <cellStyle name="Normal 9 2 2 2 7 2 3" xfId="13783" xr:uid="{405B4986-8B10-4E78-939D-E8DD617C6651}"/>
    <cellStyle name="Normal 9 2 2 2 7 2 3 2" xfId="50125" xr:uid="{7C17EADE-E1C0-4CFF-96E5-63C2D9014953}"/>
    <cellStyle name="Normal 9 2 2 2 7 2 3 3" xfId="31529" xr:uid="{2CCA6256-1CFD-4309-9705-E11E6E532894}"/>
    <cellStyle name="Normal 9 2 2 2 7 2 4" xfId="40828" xr:uid="{44D8BFED-D80E-45CD-87BF-178914EE3359}"/>
    <cellStyle name="Normal 9 2 2 2 7 2 5" xfId="22230" xr:uid="{7380175F-607C-430D-91E3-BB43CB7EF939}"/>
    <cellStyle name="Normal 9 2 2 2 7 3" xfId="6529" xr:uid="{00000000-0005-0000-0000-0000BA1E0000}"/>
    <cellStyle name="Normal 9 2 2 2 7 3 2" xfId="15855" xr:uid="{F9B4189E-CB6F-48AC-8503-AA3DA77F737B}"/>
    <cellStyle name="Normal 9 2 2 2 7 3 2 2" xfId="52197" xr:uid="{475B8BE9-F8B3-42C1-8A93-76350A08144D}"/>
    <cellStyle name="Normal 9 2 2 2 7 3 2 3" xfId="33601" xr:uid="{3262BFD8-2941-4A64-9719-160BA768F1C1}"/>
    <cellStyle name="Normal 9 2 2 2 7 3 3" xfId="42900" xr:uid="{2D336DB8-9AAD-47C1-B597-9F707EC6F737}"/>
    <cellStyle name="Normal 9 2 2 2 7 3 4" xfId="24302" xr:uid="{49C737DD-71FE-4D82-A22D-D1EE3F23780A}"/>
    <cellStyle name="Normal 9 2 2 2 7 4" xfId="11638" xr:uid="{DD5D9C6F-E983-4003-B615-9024D75CDCEC}"/>
    <cellStyle name="Normal 9 2 2 2 7 4 2" xfId="47980" xr:uid="{1C8A666B-2D6C-42CE-B54D-BC2E3BDD2099}"/>
    <cellStyle name="Normal 9 2 2 2 7 4 3" xfId="29384" xr:uid="{DE633071-B7A0-4BE1-839D-2BF997305FED}"/>
    <cellStyle name="Normal 9 2 2 2 7 5" xfId="38683" xr:uid="{BACFDA79-2DF0-41CF-ABC2-3B9C72276641}"/>
    <cellStyle name="Normal 9 2 2 2 7 6" xfId="20085" xr:uid="{2D97F7F6-B305-445F-B218-D9B08FA90E8C}"/>
    <cellStyle name="Normal 9 2 2 2 8" xfId="2659" xr:uid="{00000000-0005-0000-0000-0000BB1E0000}"/>
    <cellStyle name="Normal 9 2 2 2 8 2" xfId="6942" xr:uid="{00000000-0005-0000-0000-0000BC1E0000}"/>
    <cellStyle name="Normal 9 2 2 2 8 2 2" xfId="16268" xr:uid="{BFDA4A9F-875D-4555-B955-FEC5410D11C6}"/>
    <cellStyle name="Normal 9 2 2 2 8 2 2 2" xfId="52610" xr:uid="{A522AF12-9F15-4170-B93E-4CEA10ABB3F0}"/>
    <cellStyle name="Normal 9 2 2 2 8 2 2 3" xfId="34014" xr:uid="{15FC79B1-3CAC-4AF9-A0BD-6F742FB1A8DA}"/>
    <cellStyle name="Normal 9 2 2 2 8 2 3" xfId="43313" xr:uid="{7C7386D7-6B97-4E25-9FB6-C309254A0967}"/>
    <cellStyle name="Normal 9 2 2 2 8 2 4" xfId="24715" xr:uid="{3E9AF704-50B4-4912-A7F0-89F5BBB38F6D}"/>
    <cellStyle name="Normal 9 2 2 2 8 3" xfId="12051" xr:uid="{2E032E2B-41E1-4217-9D5F-01DF3DB47778}"/>
    <cellStyle name="Normal 9 2 2 2 8 3 2" xfId="48393" xr:uid="{C52571FC-4A35-439B-9170-B4A8B3F6B64E}"/>
    <cellStyle name="Normal 9 2 2 2 8 3 3" xfId="29797" xr:uid="{994D9BB5-5539-457D-A655-6514D3F75991}"/>
    <cellStyle name="Normal 9 2 2 2 8 4" xfId="39096" xr:uid="{15484DC3-4F27-47BB-A6A5-C9B73DD52EC7}"/>
    <cellStyle name="Normal 9 2 2 2 8 5" xfId="20498" xr:uid="{1E10AD74-7DBF-49B4-8BC3-D443D2B1DB7D}"/>
    <cellStyle name="Normal 9 2 2 2 9" xfId="4877" xr:uid="{00000000-0005-0000-0000-0000BD1E0000}"/>
    <cellStyle name="Normal 9 2 2 2 9 2" xfId="14203" xr:uid="{C1B297C1-D813-4706-A704-8A588537A136}"/>
    <cellStyle name="Normal 9 2 2 2 9 2 2" xfId="50545" xr:uid="{5CE98102-56D0-4400-98B6-0AB8E15C133B}"/>
    <cellStyle name="Normal 9 2 2 2 9 2 3" xfId="31949" xr:uid="{46067CFE-A42F-4173-A04F-B7E7503DF62F}"/>
    <cellStyle name="Normal 9 2 2 2 9 3" xfId="41248" xr:uid="{9F78EE7A-D9B1-4EAC-A06F-1FB2CDB48439}"/>
    <cellStyle name="Normal 9 2 2 2 9 4" xfId="22650" xr:uid="{98906639-0962-4264-9CFE-05644B393228}"/>
    <cellStyle name="Normal 9 2 2 3" xfId="517" xr:uid="{00000000-0005-0000-0000-0000BE1E0000}"/>
    <cellStyle name="Normal 9 2 2 3 10" xfId="9990" xr:uid="{C9B0EBBB-5DCB-431E-AFDB-13088400B0D0}"/>
    <cellStyle name="Normal 9 2 2 3 10 2" xfId="46332" xr:uid="{55E97C7C-BA96-4CA0-80B6-5660B2D27C46}"/>
    <cellStyle name="Normal 9 2 2 3 10 3" xfId="27736" xr:uid="{80C098EB-345B-424E-B6A2-AF345B21C472}"/>
    <cellStyle name="Normal 9 2 2 3 11" xfId="37035" xr:uid="{59118DCA-C682-4AB6-ADEE-02B7C1FF9036}"/>
    <cellStyle name="Normal 9 2 2 3 12" xfId="18437" xr:uid="{98B35846-6635-486A-850D-3BCD99FBAD82}"/>
    <cellStyle name="Normal 9 2 2 3 2" xfId="518" xr:uid="{00000000-0005-0000-0000-0000BF1E0000}"/>
    <cellStyle name="Normal 9 2 2 3 2 10" xfId="37036" xr:uid="{63CCF987-335A-4D97-AB51-7E94F1AE90A8}"/>
    <cellStyle name="Normal 9 2 2 3 2 11" xfId="18438" xr:uid="{96116B56-A6F1-4CF6-959B-F956138A2999}"/>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16766" xr:uid="{209684E3-EC0B-4EA0-A614-D1B51243880C}"/>
    <cellStyle name="Normal 9 2 2 3 2 2 2 2 2 2" xfId="53108" xr:uid="{853AA29C-4D77-4C5E-AFB7-7E5C07A2B41F}"/>
    <cellStyle name="Normal 9 2 2 3 2 2 2 2 2 3" xfId="34512" xr:uid="{2298E14A-1D32-47F0-9527-AE54938017E4}"/>
    <cellStyle name="Normal 9 2 2 3 2 2 2 2 3" xfId="43811" xr:uid="{86460375-86A2-4D91-80D0-ACD508FD090E}"/>
    <cellStyle name="Normal 9 2 2 3 2 2 2 2 4" xfId="25213" xr:uid="{E18FDEE6-8B1D-4E66-8902-FABBF4902C9E}"/>
    <cellStyle name="Normal 9 2 2 3 2 2 2 3" xfId="12549" xr:uid="{A8009501-C9D4-4BD5-857F-A3BDF2A930B3}"/>
    <cellStyle name="Normal 9 2 2 3 2 2 2 3 2" xfId="48891" xr:uid="{43858829-DBD9-4B84-8737-C3836A87504C}"/>
    <cellStyle name="Normal 9 2 2 3 2 2 2 3 3" xfId="30295" xr:uid="{C732DCA1-8CB9-4FC2-8885-3941E67EC827}"/>
    <cellStyle name="Normal 9 2 2 3 2 2 2 4" xfId="39594" xr:uid="{096E322A-375A-4E14-B503-ED9C992F88AF}"/>
    <cellStyle name="Normal 9 2 2 3 2 2 2 5" xfId="20996" xr:uid="{1C7417F5-807D-4E95-A551-5A3FF6EEB0F2}"/>
    <cellStyle name="Normal 9 2 2 3 2 2 3" xfId="5295" xr:uid="{00000000-0005-0000-0000-0000C31E0000}"/>
    <cellStyle name="Normal 9 2 2 3 2 2 3 2" xfId="14621" xr:uid="{2388C796-7A4A-41AA-BBAA-D35648B6E209}"/>
    <cellStyle name="Normal 9 2 2 3 2 2 3 2 2" xfId="50963" xr:uid="{BF335E9D-B434-4B2F-B402-0709B76EF3C0}"/>
    <cellStyle name="Normal 9 2 2 3 2 2 3 2 3" xfId="32367" xr:uid="{29F87273-DE1F-49D5-B18E-B96F85606A31}"/>
    <cellStyle name="Normal 9 2 2 3 2 2 3 3" xfId="41666" xr:uid="{5D08D075-75F9-4A5C-9CD3-4469EB2EEEA6}"/>
    <cellStyle name="Normal 9 2 2 3 2 2 3 4" xfId="23068" xr:uid="{3A3B903B-FB8A-4ABF-9927-0A361B8C2C36}"/>
    <cellStyle name="Normal 9 2 2 3 2 2 4" xfId="9520" xr:uid="{57CFBD10-691F-4DF8-8020-B75E98FF60DD}"/>
    <cellStyle name="Normal 9 2 2 3 2 2 4 2" xfId="36581" xr:uid="{1E764FD3-30A7-4678-916F-C1FCF756E8D1}"/>
    <cellStyle name="Normal 9 2 2 3 2 2 4 2 2" xfId="55175" xr:uid="{68D74FC2-4FDB-47BB-91C3-0BCDB60EF50C}"/>
    <cellStyle name="Normal 9 2 2 3 2 2 4 3" xfId="45878" xr:uid="{50286F95-5FE6-4CE3-A2AF-BCB58B10E78D}"/>
    <cellStyle name="Normal 9 2 2 3 2 2 4 4" xfId="27282" xr:uid="{9417CD2C-BC23-442E-AD6B-EBC26E36D163}"/>
    <cellStyle name="Normal 9 2 2 3 2 2 5" xfId="10404" xr:uid="{C47BB053-9DEF-4B65-AFAF-EBE5ED1FCAC7}"/>
    <cellStyle name="Normal 9 2 2 3 2 2 5 2" xfId="46746" xr:uid="{AFCAC9A5-7081-4480-9262-6A5A1D2343B4}"/>
    <cellStyle name="Normal 9 2 2 3 2 2 5 3" xfId="28150" xr:uid="{BC26EE25-9F93-4A25-BEE0-2ABADAB40FFC}"/>
    <cellStyle name="Normal 9 2 2 3 2 2 6" xfId="37449" xr:uid="{CD967E65-FA55-442E-BA1A-6F1D9FA517BA}"/>
    <cellStyle name="Normal 9 2 2 3 2 2 7" xfId="18851" xr:uid="{55809BBC-43B6-4C21-BD21-A312F9D17537}"/>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17179" xr:uid="{68A922C8-9FFB-4A23-9E10-2CBC190C503A}"/>
    <cellStyle name="Normal 9 2 2 3 2 3 2 2 2 2" xfId="53521" xr:uid="{2D9FEA44-8068-4029-8A19-A836E34FE7C2}"/>
    <cellStyle name="Normal 9 2 2 3 2 3 2 2 2 3" xfId="34925" xr:uid="{2B73AC54-528C-4E02-B3AD-3525A400763A}"/>
    <cellStyle name="Normal 9 2 2 3 2 3 2 2 3" xfId="44224" xr:uid="{51529503-5678-4F4A-9446-A56E0BEA400B}"/>
    <cellStyle name="Normal 9 2 2 3 2 3 2 2 4" xfId="25626" xr:uid="{F42067EA-CEC7-4301-ACF9-1BB46D12143B}"/>
    <cellStyle name="Normal 9 2 2 3 2 3 2 3" xfId="12962" xr:uid="{A369E5E2-EF2B-4AD5-BA44-A5418A45B354}"/>
    <cellStyle name="Normal 9 2 2 3 2 3 2 3 2" xfId="49304" xr:uid="{B4460D5A-1B46-4062-8D07-50D8DCFE67A1}"/>
    <cellStyle name="Normal 9 2 2 3 2 3 2 3 3" xfId="30708" xr:uid="{2E415290-56A1-454E-8DE3-9C80B26EE121}"/>
    <cellStyle name="Normal 9 2 2 3 2 3 2 4" xfId="40007" xr:uid="{58BDFC68-A8E2-4FAA-958B-0456D97FED62}"/>
    <cellStyle name="Normal 9 2 2 3 2 3 2 5" xfId="21409" xr:uid="{A761C3E1-FF56-4C39-AB99-8A484D08615B}"/>
    <cellStyle name="Normal 9 2 2 3 2 3 3" xfId="5708" xr:uid="{00000000-0005-0000-0000-0000C71E0000}"/>
    <cellStyle name="Normal 9 2 2 3 2 3 3 2" xfId="15034" xr:uid="{BA393333-B2A2-4CD2-9452-DB02F96A915F}"/>
    <cellStyle name="Normal 9 2 2 3 2 3 3 2 2" xfId="51376" xr:uid="{B18E9832-A0BF-4A01-89E9-97D6DF08B81D}"/>
    <cellStyle name="Normal 9 2 2 3 2 3 3 2 3" xfId="32780" xr:uid="{F5B23F9E-07B4-4F51-B65F-7A9C8744477A}"/>
    <cellStyle name="Normal 9 2 2 3 2 3 3 3" xfId="42079" xr:uid="{69ACE218-3000-4B74-B1B2-D21DEFFB3D34}"/>
    <cellStyle name="Normal 9 2 2 3 2 3 3 4" xfId="23481" xr:uid="{B48999F4-3D50-40BD-9FDB-1E1603DD82C4}"/>
    <cellStyle name="Normal 9 2 2 3 2 3 4" xfId="10817" xr:uid="{E7F05CBD-8F70-4F2D-AA2C-2A0DF70CE9C0}"/>
    <cellStyle name="Normal 9 2 2 3 2 3 4 2" xfId="47159" xr:uid="{85427DD0-DCE4-4646-8B64-18309CC50BA2}"/>
    <cellStyle name="Normal 9 2 2 3 2 3 4 3" xfId="28563" xr:uid="{AFD8CF04-AB71-4593-ACDB-A6E8E1A811C2}"/>
    <cellStyle name="Normal 9 2 2 3 2 3 5" xfId="37862" xr:uid="{89A1F1C3-69AE-4029-B64D-BCDCA20CAEB4}"/>
    <cellStyle name="Normal 9 2 2 3 2 3 6" xfId="19264" xr:uid="{DE330CFD-D620-4506-B24F-E0C5612F5EB7}"/>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17592" xr:uid="{7F7AC8E4-A62B-4D30-8F99-FC0E7BF879DA}"/>
    <cellStyle name="Normal 9 2 2 3 2 4 2 2 2 2" xfId="53934" xr:uid="{EE80190F-A013-46D9-9E84-6219A61ADE3F}"/>
    <cellStyle name="Normal 9 2 2 3 2 4 2 2 2 3" xfId="35338" xr:uid="{4AFF9B4F-B21F-4891-8A79-C699836BAA91}"/>
    <cellStyle name="Normal 9 2 2 3 2 4 2 2 3" xfId="44637" xr:uid="{0D4521CF-DFB0-4F15-BB62-34B33C25B999}"/>
    <cellStyle name="Normal 9 2 2 3 2 4 2 2 4" xfId="26039" xr:uid="{A5726184-09D1-4774-BDD2-BA13A80B247D}"/>
    <cellStyle name="Normal 9 2 2 3 2 4 2 3" xfId="13375" xr:uid="{0F73C0D1-E2ED-4F12-8A38-9CB34F9A5765}"/>
    <cellStyle name="Normal 9 2 2 3 2 4 2 3 2" xfId="49717" xr:uid="{109F0330-9B2D-4E38-BA63-94E30F7631D8}"/>
    <cellStyle name="Normal 9 2 2 3 2 4 2 3 3" xfId="31121" xr:uid="{9CB97BB1-F6B5-47DD-9D89-CAEF9CAAF24E}"/>
    <cellStyle name="Normal 9 2 2 3 2 4 2 4" xfId="40420" xr:uid="{3E181B35-4478-4155-9688-6BCFAD666D24}"/>
    <cellStyle name="Normal 9 2 2 3 2 4 2 5" xfId="21822" xr:uid="{2CDDE18E-B085-4878-993D-5419D8B0126F}"/>
    <cellStyle name="Normal 9 2 2 3 2 4 3" xfId="6121" xr:uid="{00000000-0005-0000-0000-0000CB1E0000}"/>
    <cellStyle name="Normal 9 2 2 3 2 4 3 2" xfId="15447" xr:uid="{97047689-C4D3-4D1E-8419-EE1AB09250E5}"/>
    <cellStyle name="Normal 9 2 2 3 2 4 3 2 2" xfId="51789" xr:uid="{4117F5F5-223C-43DC-AE72-6101D60972CE}"/>
    <cellStyle name="Normal 9 2 2 3 2 4 3 2 3" xfId="33193" xr:uid="{BA607630-CCA3-4C28-B3E2-3AF35F536B62}"/>
    <cellStyle name="Normal 9 2 2 3 2 4 3 3" xfId="42492" xr:uid="{DAFDCCFF-FCE0-43D8-A4BA-11AE0AC8B1A9}"/>
    <cellStyle name="Normal 9 2 2 3 2 4 3 4" xfId="23894" xr:uid="{3D78A498-AC4E-4C53-A85C-0930243527A1}"/>
    <cellStyle name="Normal 9 2 2 3 2 4 4" xfId="11230" xr:uid="{2ADEECB6-9552-47F4-B9D5-6C00F3E55A2C}"/>
    <cellStyle name="Normal 9 2 2 3 2 4 4 2" xfId="47572" xr:uid="{2CFE7A74-D3AA-471B-B5CE-71A2AB65C3DD}"/>
    <cellStyle name="Normal 9 2 2 3 2 4 4 3" xfId="28976" xr:uid="{B4AF3EC2-CCCA-4449-B6F7-AD20FBA130A0}"/>
    <cellStyle name="Normal 9 2 2 3 2 4 5" xfId="38275" xr:uid="{8A2AE9D0-093D-44B7-9C48-93A292F9A22C}"/>
    <cellStyle name="Normal 9 2 2 3 2 4 6" xfId="19677" xr:uid="{6DD97947-E856-4F91-A78A-6382976C5A86}"/>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18005" xr:uid="{BF4100BC-E87E-4E29-8C73-75E4E908D7CB}"/>
    <cellStyle name="Normal 9 2 2 3 2 5 2 2 2 2" xfId="54347" xr:uid="{F66D87F4-F222-4F7F-93CB-575988A4F97C}"/>
    <cellStyle name="Normal 9 2 2 3 2 5 2 2 2 3" xfId="35751" xr:uid="{06B95FAD-2CBB-49B2-B684-2B1E7B8EF943}"/>
    <cellStyle name="Normal 9 2 2 3 2 5 2 2 3" xfId="45050" xr:uid="{5D975BD5-97CB-4A21-B67E-DA3E0B686AD2}"/>
    <cellStyle name="Normal 9 2 2 3 2 5 2 2 4" xfId="26452" xr:uid="{12E2342B-38BF-4D38-882D-9E20F5641692}"/>
    <cellStyle name="Normal 9 2 2 3 2 5 2 3" xfId="13788" xr:uid="{77F6B52F-4F81-4860-ADD0-CF3BF018BFF3}"/>
    <cellStyle name="Normal 9 2 2 3 2 5 2 3 2" xfId="50130" xr:uid="{7AED51DE-1F78-42D3-B7A1-0AFD5EE6DCA8}"/>
    <cellStyle name="Normal 9 2 2 3 2 5 2 3 3" xfId="31534" xr:uid="{2932451B-11F9-4768-80CA-748997700452}"/>
    <cellStyle name="Normal 9 2 2 3 2 5 2 4" xfId="40833" xr:uid="{38EB0DEF-8A4B-44B7-B585-0A136717F6CC}"/>
    <cellStyle name="Normal 9 2 2 3 2 5 2 5" xfId="22235" xr:uid="{5ED407F1-07B4-4601-B5E9-43400CFFD21F}"/>
    <cellStyle name="Normal 9 2 2 3 2 5 3" xfId="6534" xr:uid="{00000000-0005-0000-0000-0000CF1E0000}"/>
    <cellStyle name="Normal 9 2 2 3 2 5 3 2" xfId="15860" xr:uid="{2C730431-77D3-403B-8548-7E85315CA3D9}"/>
    <cellStyle name="Normal 9 2 2 3 2 5 3 2 2" xfId="52202" xr:uid="{A1C0BD49-5F46-469F-BFEF-41FF82F7E79E}"/>
    <cellStyle name="Normal 9 2 2 3 2 5 3 2 3" xfId="33606" xr:uid="{515F9AF7-45B4-40F6-9212-BF948B61D2EC}"/>
    <cellStyle name="Normal 9 2 2 3 2 5 3 3" xfId="42905" xr:uid="{8C70B712-48BC-450D-8313-F269EA32B88F}"/>
    <cellStyle name="Normal 9 2 2 3 2 5 3 4" xfId="24307" xr:uid="{17B951EA-54B9-469A-AF6E-270D1BECBF10}"/>
    <cellStyle name="Normal 9 2 2 3 2 5 4" xfId="11643" xr:uid="{B4B0037C-9C5A-4D42-B237-685F45E0B6FA}"/>
    <cellStyle name="Normal 9 2 2 3 2 5 4 2" xfId="47985" xr:uid="{A5210C21-B97F-4BF6-8AEF-AB0A506B285F}"/>
    <cellStyle name="Normal 9 2 2 3 2 5 4 3" xfId="29389" xr:uid="{435187EE-D4AF-4C95-B6F5-015BCF653A44}"/>
    <cellStyle name="Normal 9 2 2 3 2 5 5" xfId="38688" xr:uid="{BBEBC01D-BA20-4E01-81CE-B4AFB8081BC9}"/>
    <cellStyle name="Normal 9 2 2 3 2 5 6" xfId="20090" xr:uid="{88D54297-35EE-4C2C-B665-C58166203D1E}"/>
    <cellStyle name="Normal 9 2 2 3 2 6" xfId="2664" xr:uid="{00000000-0005-0000-0000-0000D01E0000}"/>
    <cellStyle name="Normal 9 2 2 3 2 6 2" xfId="6947" xr:uid="{00000000-0005-0000-0000-0000D11E0000}"/>
    <cellStyle name="Normal 9 2 2 3 2 6 2 2" xfId="16273" xr:uid="{8CB533DB-EB93-433C-AF83-08C405A8CE8F}"/>
    <cellStyle name="Normal 9 2 2 3 2 6 2 2 2" xfId="52615" xr:uid="{93E17E71-70A5-4562-B262-F4D2440B2487}"/>
    <cellStyle name="Normal 9 2 2 3 2 6 2 2 3" xfId="34019" xr:uid="{C4F9232D-99F8-4CD5-AA64-9E0075E41FB7}"/>
    <cellStyle name="Normal 9 2 2 3 2 6 2 3" xfId="43318" xr:uid="{C324A5EC-4F74-4D19-A8D6-EE53D4BB512A}"/>
    <cellStyle name="Normal 9 2 2 3 2 6 2 4" xfId="24720" xr:uid="{95875D9E-9DA5-4494-AEF6-C997CB381CAB}"/>
    <cellStyle name="Normal 9 2 2 3 2 6 3" xfId="12056" xr:uid="{22B410FB-041C-439E-8E22-6C19A4F0526A}"/>
    <cellStyle name="Normal 9 2 2 3 2 6 3 2" xfId="48398" xr:uid="{593B0FDB-326D-4BA7-B7C4-1AF465EFDFBB}"/>
    <cellStyle name="Normal 9 2 2 3 2 6 3 3" xfId="29802" xr:uid="{2576916E-0A76-494D-B25D-ADFC841C04C6}"/>
    <cellStyle name="Normal 9 2 2 3 2 6 4" xfId="39101" xr:uid="{0AF79CD4-45FE-4D0C-97D8-74FE3DC4A4E4}"/>
    <cellStyle name="Normal 9 2 2 3 2 6 5" xfId="20503" xr:uid="{332D34A7-A362-4EC0-8BB1-50A9AAB1E19C}"/>
    <cellStyle name="Normal 9 2 2 3 2 7" xfId="4882" xr:uid="{00000000-0005-0000-0000-0000D21E0000}"/>
    <cellStyle name="Normal 9 2 2 3 2 7 2" xfId="14208" xr:uid="{7AC87FFA-82C7-46F0-AB3B-B0AF15D56371}"/>
    <cellStyle name="Normal 9 2 2 3 2 7 2 2" xfId="50550" xr:uid="{443C8E6D-07ED-45D4-8E00-AA97402772D7}"/>
    <cellStyle name="Normal 9 2 2 3 2 7 2 3" xfId="31954" xr:uid="{0330F86E-89FC-4185-A9B2-24FB19974EFE}"/>
    <cellStyle name="Normal 9 2 2 3 2 7 3" xfId="41253" xr:uid="{EC5818F6-9FD9-4B67-8EC0-4D0B4B9552AA}"/>
    <cellStyle name="Normal 9 2 2 3 2 7 4" xfId="22655" xr:uid="{66391D4F-D90A-4816-97A1-0E79902EEB6E}"/>
    <cellStyle name="Normal 9 2 2 3 2 8" xfId="9095" xr:uid="{D95088B7-D227-4E97-A9B9-DA61436DD386}"/>
    <cellStyle name="Normal 9 2 2 3 2 8 2" xfId="36165" xr:uid="{D08BECE4-F0B8-4D48-9869-7A7122D6CD49}"/>
    <cellStyle name="Normal 9 2 2 3 2 8 2 2" xfId="54760" xr:uid="{E2D495F6-D6F8-42B3-94E8-1EA4B91147E3}"/>
    <cellStyle name="Normal 9 2 2 3 2 8 3" xfId="45463" xr:uid="{6DCDA051-B8F0-433B-A885-98EB67C5C01B}"/>
    <cellStyle name="Normal 9 2 2 3 2 8 4" xfId="26866" xr:uid="{04CEE1BC-DDD1-4A3D-9AF2-69844D3F30AF}"/>
    <cellStyle name="Normal 9 2 2 3 2 9" xfId="9991" xr:uid="{1B42B894-1D58-4A25-95D9-12F3CABC44DB}"/>
    <cellStyle name="Normal 9 2 2 3 2 9 2" xfId="46333" xr:uid="{D8B63DCA-71FB-4F19-B77B-EDEEF5ACA379}"/>
    <cellStyle name="Normal 9 2 2 3 2 9 3" xfId="27737" xr:uid="{364272EB-E238-4EB1-B99E-0B324322F5F6}"/>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16765" xr:uid="{E1236D61-AF76-48A9-9022-2495F0B6B3F0}"/>
    <cellStyle name="Normal 9 2 2 3 3 2 2 2 2" xfId="53107" xr:uid="{E48C0ABC-14FB-491B-A898-EB8AA4617926}"/>
    <cellStyle name="Normal 9 2 2 3 3 2 2 2 3" xfId="34511" xr:uid="{AA82CBE7-FAEF-486F-8274-C62448ED0290}"/>
    <cellStyle name="Normal 9 2 2 3 3 2 2 3" xfId="43810" xr:uid="{794A8CBA-E02F-4159-AB52-5141E44ABF43}"/>
    <cellStyle name="Normal 9 2 2 3 3 2 2 4" xfId="25212" xr:uid="{623CDF54-EA79-493A-81F6-3022380845BD}"/>
    <cellStyle name="Normal 9 2 2 3 3 2 3" xfId="12548" xr:uid="{1921F8A1-4AC5-4E4B-9E1E-4199C30296DF}"/>
    <cellStyle name="Normal 9 2 2 3 3 2 3 2" xfId="48890" xr:uid="{B145D80D-61BC-45E7-B86C-C5C7A483F570}"/>
    <cellStyle name="Normal 9 2 2 3 3 2 3 3" xfId="30294" xr:uid="{3886DB1D-7E5F-43D5-8E8D-CE0C287A1306}"/>
    <cellStyle name="Normal 9 2 2 3 3 2 4" xfId="39593" xr:uid="{8F0E6DB6-D3B4-4B82-8CCA-E61DBCBC8741}"/>
    <cellStyle name="Normal 9 2 2 3 3 2 5" xfId="20995" xr:uid="{958D514E-0FB8-4A7E-9AFA-BF7813227269}"/>
    <cellStyle name="Normal 9 2 2 3 3 3" xfId="5294" xr:uid="{00000000-0005-0000-0000-0000D61E0000}"/>
    <cellStyle name="Normal 9 2 2 3 3 3 2" xfId="14620" xr:uid="{712C93F6-E816-46BA-9949-2A272F337E24}"/>
    <cellStyle name="Normal 9 2 2 3 3 3 2 2" xfId="50962" xr:uid="{F262FA19-5EAE-4646-8DF0-11ACFEB4A4A9}"/>
    <cellStyle name="Normal 9 2 2 3 3 3 2 3" xfId="32366" xr:uid="{6477E675-BE1C-490A-880C-85BB885B68E3}"/>
    <cellStyle name="Normal 9 2 2 3 3 3 3" xfId="41665" xr:uid="{E28EA567-F33B-4071-B4FD-5BF84BB1AB08}"/>
    <cellStyle name="Normal 9 2 2 3 3 3 4" xfId="23067" xr:uid="{B0D8BECA-84EE-4AB6-B0BF-64D30ABC4EAD}"/>
    <cellStyle name="Normal 9 2 2 3 3 4" xfId="9313" xr:uid="{FDDC600D-FDDD-4FFC-9820-DFD7E0768F33}"/>
    <cellStyle name="Normal 9 2 2 3 3 4 2" xfId="36374" xr:uid="{D7C1384D-0AF7-49EA-BD46-46CC582D4C32}"/>
    <cellStyle name="Normal 9 2 2 3 3 4 2 2" xfId="54968" xr:uid="{D154878F-10EB-40FA-BBD7-01A5B6813740}"/>
    <cellStyle name="Normal 9 2 2 3 3 4 3" xfId="45671" xr:uid="{6BDB0324-0FDE-4FCF-805B-02B3D49C44BA}"/>
    <cellStyle name="Normal 9 2 2 3 3 4 4" xfId="27075" xr:uid="{9E118D29-47F8-4F6B-8668-F82F39DE8A4E}"/>
    <cellStyle name="Normal 9 2 2 3 3 5" xfId="10403" xr:uid="{D51161D6-406A-4020-BDA4-2DC70131CC65}"/>
    <cellStyle name="Normal 9 2 2 3 3 5 2" xfId="46745" xr:uid="{92958761-796B-4554-8C48-2B8757E49618}"/>
    <cellStyle name="Normal 9 2 2 3 3 5 3" xfId="28149" xr:uid="{CB68B435-9F84-42D2-9B44-55F7801ED9C0}"/>
    <cellStyle name="Normal 9 2 2 3 3 6" xfId="37448" xr:uid="{FC1F8FEB-6588-4450-8180-28BD88AE3FEE}"/>
    <cellStyle name="Normal 9 2 2 3 3 7" xfId="18850" xr:uid="{E65228AB-DC61-4ED8-B20C-D3B3806B8067}"/>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17178" xr:uid="{8F0D6103-A37A-45DE-AC20-8F0666C2E693}"/>
    <cellStyle name="Normal 9 2 2 3 4 2 2 2 2" xfId="53520" xr:uid="{67A8AEA3-B6D4-4415-8799-5A72DC3F8CC2}"/>
    <cellStyle name="Normal 9 2 2 3 4 2 2 2 3" xfId="34924" xr:uid="{A720950F-395F-4237-AE58-01BD72E49291}"/>
    <cellStyle name="Normal 9 2 2 3 4 2 2 3" xfId="44223" xr:uid="{D9F3E6C0-45E2-472C-A942-1947406A68AC}"/>
    <cellStyle name="Normal 9 2 2 3 4 2 2 4" xfId="25625" xr:uid="{0FA37937-2547-475D-9E05-638BE3AE3190}"/>
    <cellStyle name="Normal 9 2 2 3 4 2 3" xfId="12961" xr:uid="{866A2673-EAF2-47E8-ABC5-6477A8795DF3}"/>
    <cellStyle name="Normal 9 2 2 3 4 2 3 2" xfId="49303" xr:uid="{717D001F-E366-4C4E-A08E-3F4C33A09380}"/>
    <cellStyle name="Normal 9 2 2 3 4 2 3 3" xfId="30707" xr:uid="{7168E174-C2EE-4DBD-A118-87DA7E71BFF8}"/>
    <cellStyle name="Normal 9 2 2 3 4 2 4" xfId="40006" xr:uid="{05827AD9-7F44-482F-A05F-D8D9A84E6118}"/>
    <cellStyle name="Normal 9 2 2 3 4 2 5" xfId="21408" xr:uid="{65842A73-229D-403F-A1EC-A4DCA2425F96}"/>
    <cellStyle name="Normal 9 2 2 3 4 3" xfId="5707" xr:uid="{00000000-0005-0000-0000-0000DA1E0000}"/>
    <cellStyle name="Normal 9 2 2 3 4 3 2" xfId="15033" xr:uid="{7D4CA736-0FC3-4532-BA96-3A035FB294A3}"/>
    <cellStyle name="Normal 9 2 2 3 4 3 2 2" xfId="51375" xr:uid="{0AA40C89-C557-4491-BFAC-8BA2F5804C62}"/>
    <cellStyle name="Normal 9 2 2 3 4 3 2 3" xfId="32779" xr:uid="{5A01D940-6A42-4F6C-80C4-5BBF01AC4137}"/>
    <cellStyle name="Normal 9 2 2 3 4 3 3" xfId="42078" xr:uid="{6A0F713B-8D8C-4F00-8D34-5DDC3C9FBF48}"/>
    <cellStyle name="Normal 9 2 2 3 4 3 4" xfId="23480" xr:uid="{89089CD1-FB56-4803-99F8-BD81E16DAA9F}"/>
    <cellStyle name="Normal 9 2 2 3 4 4" xfId="10816" xr:uid="{B9D48C6E-F7EE-44EA-9B94-019E4D7AA0E4}"/>
    <cellStyle name="Normal 9 2 2 3 4 4 2" xfId="47158" xr:uid="{8D8FE72B-E2A7-4AF8-90C1-614F9815CF32}"/>
    <cellStyle name="Normal 9 2 2 3 4 4 3" xfId="28562" xr:uid="{AF80E710-034E-4229-B55E-D61405DF9D50}"/>
    <cellStyle name="Normal 9 2 2 3 4 5" xfId="37861" xr:uid="{09011D22-34E3-4DDD-AB03-B42E5EB80F09}"/>
    <cellStyle name="Normal 9 2 2 3 4 6" xfId="19263" xr:uid="{46FCB1B1-1F3F-48ED-9E2B-6DE74986CF47}"/>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17591" xr:uid="{FD739C3C-03ED-4625-BFBB-099478C45DC3}"/>
    <cellStyle name="Normal 9 2 2 3 5 2 2 2 2" xfId="53933" xr:uid="{F0F11DE6-D5DE-432F-A0B1-1B6D94AD4283}"/>
    <cellStyle name="Normal 9 2 2 3 5 2 2 2 3" xfId="35337" xr:uid="{B6F1AA07-84DB-42C3-B5BD-0590A932642F}"/>
    <cellStyle name="Normal 9 2 2 3 5 2 2 3" xfId="44636" xr:uid="{1C4C08F7-2EE1-468A-B5BE-0F1B1FF7CA1C}"/>
    <cellStyle name="Normal 9 2 2 3 5 2 2 4" xfId="26038" xr:uid="{B15CB9A1-AE79-48BC-8892-4FEBA2DD63DF}"/>
    <cellStyle name="Normal 9 2 2 3 5 2 3" xfId="13374" xr:uid="{81747852-FACC-4B37-815B-C49363D9BBA9}"/>
    <cellStyle name="Normal 9 2 2 3 5 2 3 2" xfId="49716" xr:uid="{75D4E0F4-1505-4123-AB7E-FDEEB474737E}"/>
    <cellStyle name="Normal 9 2 2 3 5 2 3 3" xfId="31120" xr:uid="{A349F786-4662-4EC7-B7D8-791E2F3619C8}"/>
    <cellStyle name="Normal 9 2 2 3 5 2 4" xfId="40419" xr:uid="{A85C1B9E-D824-4983-898E-998AEF290852}"/>
    <cellStyle name="Normal 9 2 2 3 5 2 5" xfId="21821" xr:uid="{FB3E4BF2-CE67-4826-9BF8-68167BD22C57}"/>
    <cellStyle name="Normal 9 2 2 3 5 3" xfId="6120" xr:uid="{00000000-0005-0000-0000-0000DE1E0000}"/>
    <cellStyle name="Normal 9 2 2 3 5 3 2" xfId="15446" xr:uid="{D2FCC2B9-FEF5-4BD1-A873-419769F6B47C}"/>
    <cellStyle name="Normal 9 2 2 3 5 3 2 2" xfId="51788" xr:uid="{4358FCA0-F73F-412D-82FA-7AD6B7C31C4A}"/>
    <cellStyle name="Normal 9 2 2 3 5 3 2 3" xfId="33192" xr:uid="{3E17B2B5-1445-4D5A-B029-DFE09A2DA3C4}"/>
    <cellStyle name="Normal 9 2 2 3 5 3 3" xfId="42491" xr:uid="{ABF61EB6-F0C7-4A53-A91B-0B3C4382FD86}"/>
    <cellStyle name="Normal 9 2 2 3 5 3 4" xfId="23893" xr:uid="{87BDD134-C654-4C1E-BA96-00BD42F6C7B2}"/>
    <cellStyle name="Normal 9 2 2 3 5 4" xfId="11229" xr:uid="{26B69676-6E2F-4266-BBB2-6EC8F3E7C48A}"/>
    <cellStyle name="Normal 9 2 2 3 5 4 2" xfId="47571" xr:uid="{C12BD90E-2617-482C-A701-CB276C8909A6}"/>
    <cellStyle name="Normal 9 2 2 3 5 4 3" xfId="28975" xr:uid="{CFCABD20-627A-4B7E-8507-ADB678660725}"/>
    <cellStyle name="Normal 9 2 2 3 5 5" xfId="38274" xr:uid="{81FF7C5F-C113-4E5F-904E-54D324F04829}"/>
    <cellStyle name="Normal 9 2 2 3 5 6" xfId="19676" xr:uid="{46E406DB-3274-4D8C-B12D-38178CB16605}"/>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18004" xr:uid="{B4F411CE-D985-4A92-9524-7A520A2B0F35}"/>
    <cellStyle name="Normal 9 2 2 3 6 2 2 2 2" xfId="54346" xr:uid="{5CF656C1-FF10-4839-9A5F-570A9CE92F12}"/>
    <cellStyle name="Normal 9 2 2 3 6 2 2 2 3" xfId="35750" xr:uid="{7269EC04-7C82-4B52-9071-7FEDB4A5187E}"/>
    <cellStyle name="Normal 9 2 2 3 6 2 2 3" xfId="45049" xr:uid="{149029DF-6087-4B03-9807-AF6A305D2F73}"/>
    <cellStyle name="Normal 9 2 2 3 6 2 2 4" xfId="26451" xr:uid="{999DC461-ACCC-4ABA-81AF-1AE8841BDE7B}"/>
    <cellStyle name="Normal 9 2 2 3 6 2 3" xfId="13787" xr:uid="{6A32B581-89D5-4846-ACA0-C91109C2A8E3}"/>
    <cellStyle name="Normal 9 2 2 3 6 2 3 2" xfId="50129" xr:uid="{D1BB4323-F81B-453C-AA6D-EB04BF4C1BD3}"/>
    <cellStyle name="Normal 9 2 2 3 6 2 3 3" xfId="31533" xr:uid="{A39EB616-AFB4-4323-BEFF-6FDE73CCC703}"/>
    <cellStyle name="Normal 9 2 2 3 6 2 4" xfId="40832" xr:uid="{3C35E511-645D-4942-B8EB-7F245A8A136B}"/>
    <cellStyle name="Normal 9 2 2 3 6 2 5" xfId="22234" xr:uid="{81E27FF6-C806-40CC-A29A-0541C5AEF823}"/>
    <cellStyle name="Normal 9 2 2 3 6 3" xfId="6533" xr:uid="{00000000-0005-0000-0000-0000E21E0000}"/>
    <cellStyle name="Normal 9 2 2 3 6 3 2" xfId="15859" xr:uid="{B6838617-75D2-4E32-9B6B-2A97B620AAE3}"/>
    <cellStyle name="Normal 9 2 2 3 6 3 2 2" xfId="52201" xr:uid="{88C02E3D-3D2D-4D28-A231-2597EB081394}"/>
    <cellStyle name="Normal 9 2 2 3 6 3 2 3" xfId="33605" xr:uid="{9C32E8EA-AC74-4530-9EF0-B31B82430137}"/>
    <cellStyle name="Normal 9 2 2 3 6 3 3" xfId="42904" xr:uid="{67714887-A47B-4E2F-BEA7-E0AF674DC72B}"/>
    <cellStyle name="Normal 9 2 2 3 6 3 4" xfId="24306" xr:uid="{8608EACE-975D-45B5-932E-08228934B7D2}"/>
    <cellStyle name="Normal 9 2 2 3 6 4" xfId="11642" xr:uid="{D0EADB13-ADBB-4FCE-A35E-0EAB8EECFB6F}"/>
    <cellStyle name="Normal 9 2 2 3 6 4 2" xfId="47984" xr:uid="{0FF2B2E6-0896-48C5-8747-23DE8A43C4F5}"/>
    <cellStyle name="Normal 9 2 2 3 6 4 3" xfId="29388" xr:uid="{D2D0A315-39EA-41BF-A023-86DF5BBE9502}"/>
    <cellStyle name="Normal 9 2 2 3 6 5" xfId="38687" xr:uid="{21AF84EE-1C86-478A-9056-30FCC90881B8}"/>
    <cellStyle name="Normal 9 2 2 3 6 6" xfId="20089" xr:uid="{3AB08246-D2E2-4856-A76F-4EA2C065F815}"/>
    <cellStyle name="Normal 9 2 2 3 7" xfId="2663" xr:uid="{00000000-0005-0000-0000-0000E31E0000}"/>
    <cellStyle name="Normal 9 2 2 3 7 2" xfId="6946" xr:uid="{00000000-0005-0000-0000-0000E41E0000}"/>
    <cellStyle name="Normal 9 2 2 3 7 2 2" xfId="16272" xr:uid="{106A2949-E572-492B-9BE9-1761B83D8E55}"/>
    <cellStyle name="Normal 9 2 2 3 7 2 2 2" xfId="52614" xr:uid="{FE9CBCF3-55EB-4C51-B4C1-02FA6010828B}"/>
    <cellStyle name="Normal 9 2 2 3 7 2 2 3" xfId="34018" xr:uid="{B3280702-7C39-44E5-88BA-66BE0B09F8B6}"/>
    <cellStyle name="Normal 9 2 2 3 7 2 3" xfId="43317" xr:uid="{8CE76C2A-56F7-4D22-A40C-FF5808795707}"/>
    <cellStyle name="Normal 9 2 2 3 7 2 4" xfId="24719" xr:uid="{10A1C8C9-66B3-4A2C-B814-52F26EF674AC}"/>
    <cellStyle name="Normal 9 2 2 3 7 3" xfId="12055" xr:uid="{C8FDDD60-59F1-4C24-9387-693724A3EA78}"/>
    <cellStyle name="Normal 9 2 2 3 7 3 2" xfId="48397" xr:uid="{73F4366B-1511-4757-8004-1D98D0708A21}"/>
    <cellStyle name="Normal 9 2 2 3 7 3 3" xfId="29801" xr:uid="{255417BD-7E4F-4D50-88A7-4DCA8B7C3D08}"/>
    <cellStyle name="Normal 9 2 2 3 7 4" xfId="39100" xr:uid="{CCD4CC49-BA35-416A-9DE1-8DA73427439E}"/>
    <cellStyle name="Normal 9 2 2 3 7 5" xfId="20502" xr:uid="{00ACC54C-3B0A-4495-AB92-289F0E1B7E58}"/>
    <cellStyle name="Normal 9 2 2 3 8" xfId="4881" xr:uid="{00000000-0005-0000-0000-0000E51E0000}"/>
    <cellStyle name="Normal 9 2 2 3 8 2" xfId="14207" xr:uid="{C2DF4896-7D99-41C7-919D-A15596FC03FD}"/>
    <cellStyle name="Normal 9 2 2 3 8 2 2" xfId="50549" xr:uid="{C5E68CB3-9BCB-4141-8CBB-6D00314BBE65}"/>
    <cellStyle name="Normal 9 2 2 3 8 2 3" xfId="31953" xr:uid="{A9EBC8A3-CE67-4EEA-A5F2-8D1D6C16E1E3}"/>
    <cellStyle name="Normal 9 2 2 3 8 3" xfId="41252" xr:uid="{69A889D8-FD8D-45FC-9776-8B1CBB58E863}"/>
    <cellStyle name="Normal 9 2 2 3 8 4" xfId="22654" xr:uid="{33EF372E-6DF8-4D3F-9172-7A58949DF5A1}"/>
    <cellStyle name="Normal 9 2 2 3 9" xfId="8888" xr:uid="{47457178-62A7-4ACA-95A1-433BF4FD3D65}"/>
    <cellStyle name="Normal 9 2 2 3 9 2" xfId="35958" xr:uid="{13EA9FEF-37DB-4010-90CF-EA6F0147C3C8}"/>
    <cellStyle name="Normal 9 2 2 3 9 2 2" xfId="54553" xr:uid="{9FCC74CD-03BD-4E4E-9CBB-189BC4D2174D}"/>
    <cellStyle name="Normal 9 2 2 3 9 3" xfId="45256" xr:uid="{C1EDB5DE-AC23-4B60-907C-F37DA028AD9A}"/>
    <cellStyle name="Normal 9 2 2 3 9 4" xfId="26659" xr:uid="{052995C3-E3F2-4BC8-8FEB-3214A3F42B81}"/>
    <cellStyle name="Normal 9 2 2 4" xfId="519" xr:uid="{00000000-0005-0000-0000-0000E61E0000}"/>
    <cellStyle name="Normal 9 2 2 4 10" xfId="37037" xr:uid="{79EA151B-8C9D-4A05-8CBE-9D8C16C50DE8}"/>
    <cellStyle name="Normal 9 2 2 4 11" xfId="18439" xr:uid="{1834C273-2CB6-423E-9392-28BC8CA6FB84}"/>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16767" xr:uid="{534597BE-7280-4D61-AE90-AB000576F16C}"/>
    <cellStyle name="Normal 9 2 2 4 2 2 2 2 2" xfId="53109" xr:uid="{9B2FB5D7-B4F4-4293-AC01-30D35C8203EC}"/>
    <cellStyle name="Normal 9 2 2 4 2 2 2 2 3" xfId="34513" xr:uid="{17F1082A-7AA2-431E-94E0-67DE02AF3CA0}"/>
    <cellStyle name="Normal 9 2 2 4 2 2 2 3" xfId="43812" xr:uid="{42B5F3FE-3A34-4358-835C-B1D8805951BB}"/>
    <cellStyle name="Normal 9 2 2 4 2 2 2 4" xfId="25214" xr:uid="{EF799F5F-B88F-4527-81A4-1BE0BF8ED6F6}"/>
    <cellStyle name="Normal 9 2 2 4 2 2 3" xfId="12550" xr:uid="{1DDA8F1C-AB33-42CD-9B50-8FDCAE348389}"/>
    <cellStyle name="Normal 9 2 2 4 2 2 3 2" xfId="48892" xr:uid="{7A110ADB-CCB5-4586-AF48-A410F588ECB3}"/>
    <cellStyle name="Normal 9 2 2 4 2 2 3 3" xfId="30296" xr:uid="{D2A6EC19-37DF-477F-B0AF-660F80658C5A}"/>
    <cellStyle name="Normal 9 2 2 4 2 2 4" xfId="39595" xr:uid="{DDCDC272-767B-4C46-BE60-4070C78201EF}"/>
    <cellStyle name="Normal 9 2 2 4 2 2 5" xfId="20997" xr:uid="{B06A0490-E60E-4415-842E-EAD356471181}"/>
    <cellStyle name="Normal 9 2 2 4 2 3" xfId="5296" xr:uid="{00000000-0005-0000-0000-0000EA1E0000}"/>
    <cellStyle name="Normal 9 2 2 4 2 3 2" xfId="14622" xr:uid="{E441B0D9-3B08-4CD7-9639-32DF4AFC7A27}"/>
    <cellStyle name="Normal 9 2 2 4 2 3 2 2" xfId="50964" xr:uid="{1E6214D1-0C2F-4FE5-9786-B88DA77BEF8E}"/>
    <cellStyle name="Normal 9 2 2 4 2 3 2 3" xfId="32368" xr:uid="{06E0B67B-6AA6-4C51-A4E9-1AD26DCB7EAE}"/>
    <cellStyle name="Normal 9 2 2 4 2 3 3" xfId="41667" xr:uid="{6CAE324A-DC4E-482A-856C-0EB0FF1B4934}"/>
    <cellStyle name="Normal 9 2 2 4 2 3 4" xfId="23069" xr:uid="{3115B51C-BC6C-4477-A18F-A2507CC751BC}"/>
    <cellStyle name="Normal 9 2 2 4 2 4" xfId="9417" xr:uid="{FDB8A679-B5B8-4E9B-808D-E68F6CA01958}"/>
    <cellStyle name="Normal 9 2 2 4 2 4 2" xfId="36478" xr:uid="{0A5BA6D3-C763-49FE-A8AD-417016C2C559}"/>
    <cellStyle name="Normal 9 2 2 4 2 4 2 2" xfId="55072" xr:uid="{6B4A9825-7E8A-4F3D-A7C2-7DC00F9F4CCE}"/>
    <cellStyle name="Normal 9 2 2 4 2 4 3" xfId="45775" xr:uid="{1504F94D-79CB-4D64-A227-54CFE38CE8C1}"/>
    <cellStyle name="Normal 9 2 2 4 2 4 4" xfId="27179" xr:uid="{9449DB5C-B555-4588-8C69-6A4D369228BD}"/>
    <cellStyle name="Normal 9 2 2 4 2 5" xfId="10405" xr:uid="{01D554E7-5EB5-4F44-AC47-856F748C029C}"/>
    <cellStyle name="Normal 9 2 2 4 2 5 2" xfId="46747" xr:uid="{E95AE039-9585-49AB-9880-7390D876BE7A}"/>
    <cellStyle name="Normal 9 2 2 4 2 5 3" xfId="28151" xr:uid="{869C429E-F922-4BA4-A260-217714183665}"/>
    <cellStyle name="Normal 9 2 2 4 2 6" xfId="37450" xr:uid="{94B43924-5708-46B0-BAF4-FAA7520EEAC4}"/>
    <cellStyle name="Normal 9 2 2 4 2 7" xfId="18852" xr:uid="{BD64B596-682E-45BD-9896-10B23EC1E8F8}"/>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17180" xr:uid="{D1A0DF63-7EBF-406B-A8AD-489898DBD037}"/>
    <cellStyle name="Normal 9 2 2 4 3 2 2 2 2" xfId="53522" xr:uid="{27AD5441-9D9A-486D-B3D5-9A4907F58F4A}"/>
    <cellStyle name="Normal 9 2 2 4 3 2 2 2 3" xfId="34926" xr:uid="{07D82E64-734F-4B9F-87C2-EF55169377FC}"/>
    <cellStyle name="Normal 9 2 2 4 3 2 2 3" xfId="44225" xr:uid="{4D89855D-69A2-4CBA-8D90-C56E1572706E}"/>
    <cellStyle name="Normal 9 2 2 4 3 2 2 4" xfId="25627" xr:uid="{28243812-8D1D-49E3-807D-E29F2DDA7A2D}"/>
    <cellStyle name="Normal 9 2 2 4 3 2 3" xfId="12963" xr:uid="{8DE0FF0E-359C-4AD4-A165-BF06BA569E02}"/>
    <cellStyle name="Normal 9 2 2 4 3 2 3 2" xfId="49305" xr:uid="{ECE53988-3591-41F6-80A8-50E52DDCA0C6}"/>
    <cellStyle name="Normal 9 2 2 4 3 2 3 3" xfId="30709" xr:uid="{95A62EBE-A494-4CD2-BDC9-6BAD17C53417}"/>
    <cellStyle name="Normal 9 2 2 4 3 2 4" xfId="40008" xr:uid="{CB148C08-BCCC-4544-82D5-10F7851347E6}"/>
    <cellStyle name="Normal 9 2 2 4 3 2 5" xfId="21410" xr:uid="{F26A7B45-95FB-4D63-B151-F7D4FC67824F}"/>
    <cellStyle name="Normal 9 2 2 4 3 3" xfId="5709" xr:uid="{00000000-0005-0000-0000-0000EE1E0000}"/>
    <cellStyle name="Normal 9 2 2 4 3 3 2" xfId="15035" xr:uid="{18FFFF2C-4D1B-4684-BC54-0DC9AC8E9306}"/>
    <cellStyle name="Normal 9 2 2 4 3 3 2 2" xfId="51377" xr:uid="{F2EEE1E5-B982-4CC3-A729-7F08C4D2B9F5}"/>
    <cellStyle name="Normal 9 2 2 4 3 3 2 3" xfId="32781" xr:uid="{3AFB2DF3-FD59-4856-AF5C-A38AE829A063}"/>
    <cellStyle name="Normal 9 2 2 4 3 3 3" xfId="42080" xr:uid="{E1ED86B3-73C9-4680-8069-60A9F594EBA6}"/>
    <cellStyle name="Normal 9 2 2 4 3 3 4" xfId="23482" xr:uid="{54B03F2D-5640-4AF9-B697-0AD6FE2AF971}"/>
    <cellStyle name="Normal 9 2 2 4 3 4" xfId="10818" xr:uid="{26FB5934-C23A-4951-9F00-2B4401B41FCD}"/>
    <cellStyle name="Normal 9 2 2 4 3 4 2" xfId="47160" xr:uid="{095D56A2-7314-42CE-9EE2-8A89933FDB7E}"/>
    <cellStyle name="Normal 9 2 2 4 3 4 3" xfId="28564" xr:uid="{4F099FC8-1E53-47EF-AC12-57B491BDCCA4}"/>
    <cellStyle name="Normal 9 2 2 4 3 5" xfId="37863" xr:uid="{6F794FC2-7066-45B9-BB6C-4BFD9C29F0D6}"/>
    <cellStyle name="Normal 9 2 2 4 3 6" xfId="19265" xr:uid="{5A1C78CB-F1DD-46F1-88C7-C1AB9829F90E}"/>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17593" xr:uid="{45709CA2-0EB0-449A-8B4B-11110B3FF43A}"/>
    <cellStyle name="Normal 9 2 2 4 4 2 2 2 2" xfId="53935" xr:uid="{B602535F-505C-4334-A75A-5DA777AC991E}"/>
    <cellStyle name="Normal 9 2 2 4 4 2 2 2 3" xfId="35339" xr:uid="{1E4F5A13-C087-4E3D-8406-55FAC106ED1E}"/>
    <cellStyle name="Normal 9 2 2 4 4 2 2 3" xfId="44638" xr:uid="{DB10DA7A-A520-4FCB-9F10-EEDC78038B6F}"/>
    <cellStyle name="Normal 9 2 2 4 4 2 2 4" xfId="26040" xr:uid="{BF40B0FB-EE57-4E61-BBED-06248DE5C30A}"/>
    <cellStyle name="Normal 9 2 2 4 4 2 3" xfId="13376" xr:uid="{12355775-1DDB-4FAC-B22E-09BCFD23F8A0}"/>
    <cellStyle name="Normal 9 2 2 4 4 2 3 2" xfId="49718" xr:uid="{7C0939D3-4B2F-4390-9715-3E0974B10C04}"/>
    <cellStyle name="Normal 9 2 2 4 4 2 3 3" xfId="31122" xr:uid="{FE23BB52-DEA3-4961-BE16-509A0FDF4A2E}"/>
    <cellStyle name="Normal 9 2 2 4 4 2 4" xfId="40421" xr:uid="{55F1F616-134F-435A-B584-CDC5D49E73C6}"/>
    <cellStyle name="Normal 9 2 2 4 4 2 5" xfId="21823" xr:uid="{83CEC55B-DF54-45FB-91FE-D836DAE28E8F}"/>
    <cellStyle name="Normal 9 2 2 4 4 3" xfId="6122" xr:uid="{00000000-0005-0000-0000-0000F21E0000}"/>
    <cellStyle name="Normal 9 2 2 4 4 3 2" xfId="15448" xr:uid="{D7975104-2F19-4723-AC34-360D601F81BB}"/>
    <cellStyle name="Normal 9 2 2 4 4 3 2 2" xfId="51790" xr:uid="{EA827ED3-8EC3-4443-84AC-74CB95E8C96B}"/>
    <cellStyle name="Normal 9 2 2 4 4 3 2 3" xfId="33194" xr:uid="{CC6B021B-895B-48F7-9CCC-F89AAC31CBB1}"/>
    <cellStyle name="Normal 9 2 2 4 4 3 3" xfId="42493" xr:uid="{4C99D0AE-DCA2-40E5-B0EE-17CB5E16FB05}"/>
    <cellStyle name="Normal 9 2 2 4 4 3 4" xfId="23895" xr:uid="{EC50FF42-9F79-449F-B353-E11040E96B39}"/>
    <cellStyle name="Normal 9 2 2 4 4 4" xfId="11231" xr:uid="{06DE2104-30C9-4A51-BD22-F13FB1457A16}"/>
    <cellStyle name="Normal 9 2 2 4 4 4 2" xfId="47573" xr:uid="{AD233399-6101-428F-AF12-96D047047E06}"/>
    <cellStyle name="Normal 9 2 2 4 4 4 3" xfId="28977" xr:uid="{F85DE47D-3D7A-4CC8-8264-0B076E3E3974}"/>
    <cellStyle name="Normal 9 2 2 4 4 5" xfId="38276" xr:uid="{BA9C3FDB-F61D-4EC1-A62D-50B5BBD444DD}"/>
    <cellStyle name="Normal 9 2 2 4 4 6" xfId="19678" xr:uid="{4FACAB01-7472-409E-9A5D-9FE4942EB929}"/>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18006" xr:uid="{7094A4E6-556C-4971-9631-81834BC1E5CC}"/>
    <cellStyle name="Normal 9 2 2 4 5 2 2 2 2" xfId="54348" xr:uid="{207513DB-6BE4-49DD-BDB0-698040020BBF}"/>
    <cellStyle name="Normal 9 2 2 4 5 2 2 2 3" xfId="35752" xr:uid="{4FE0C488-74B2-4988-B1EA-164865D18894}"/>
    <cellStyle name="Normal 9 2 2 4 5 2 2 3" xfId="45051" xr:uid="{75DBD5FD-925D-4A50-B94E-55EC48EAC8BB}"/>
    <cellStyle name="Normal 9 2 2 4 5 2 2 4" xfId="26453" xr:uid="{B8F7C800-89B0-4403-907C-6A7C72A4AD8B}"/>
    <cellStyle name="Normal 9 2 2 4 5 2 3" xfId="13789" xr:uid="{DF322279-EAEF-4057-A432-5BB86FF9D81E}"/>
    <cellStyle name="Normal 9 2 2 4 5 2 3 2" xfId="50131" xr:uid="{1D58290A-14C9-4A72-89B0-370FE88A7319}"/>
    <cellStyle name="Normal 9 2 2 4 5 2 3 3" xfId="31535" xr:uid="{7B620231-D1E2-4C51-940A-25CA0DB0ACF4}"/>
    <cellStyle name="Normal 9 2 2 4 5 2 4" xfId="40834" xr:uid="{C8C615F7-0B34-4FAA-A7FE-76DAD71C0CB2}"/>
    <cellStyle name="Normal 9 2 2 4 5 2 5" xfId="22236" xr:uid="{87E42CBC-1B6A-4A95-BAA2-D6DA3410597D}"/>
    <cellStyle name="Normal 9 2 2 4 5 3" xfId="6535" xr:uid="{00000000-0005-0000-0000-0000F61E0000}"/>
    <cellStyle name="Normal 9 2 2 4 5 3 2" xfId="15861" xr:uid="{1F8BA36B-77E3-446A-8622-2F3EC0F180AE}"/>
    <cellStyle name="Normal 9 2 2 4 5 3 2 2" xfId="52203" xr:uid="{1B6E3E16-BC2F-4F4E-9E8F-11C7CCA2043E}"/>
    <cellStyle name="Normal 9 2 2 4 5 3 2 3" xfId="33607" xr:uid="{626F266F-BE4D-4304-9EF1-E2E893A76503}"/>
    <cellStyle name="Normal 9 2 2 4 5 3 3" xfId="42906" xr:uid="{72BAF739-3A10-4BD2-8462-B237EC9B0733}"/>
    <cellStyle name="Normal 9 2 2 4 5 3 4" xfId="24308" xr:uid="{FB0833EC-6AAF-4460-82FE-38E7A4247E11}"/>
    <cellStyle name="Normal 9 2 2 4 5 4" xfId="11644" xr:uid="{F22F305B-4921-416A-B37C-130396C2C919}"/>
    <cellStyle name="Normal 9 2 2 4 5 4 2" xfId="47986" xr:uid="{22EA47D3-FA31-4BCD-B5A8-6BDEA2C201D6}"/>
    <cellStyle name="Normal 9 2 2 4 5 4 3" xfId="29390" xr:uid="{1708C3F2-2BBE-4206-83C8-5BBC583F52D4}"/>
    <cellStyle name="Normal 9 2 2 4 5 5" xfId="38689" xr:uid="{9FE92E0D-B163-40E0-826E-4523532486D3}"/>
    <cellStyle name="Normal 9 2 2 4 5 6" xfId="20091" xr:uid="{3E5774DE-EE4A-44EB-BE18-8C2DFF1DB704}"/>
    <cellStyle name="Normal 9 2 2 4 6" xfId="2665" xr:uid="{00000000-0005-0000-0000-0000F71E0000}"/>
    <cellStyle name="Normal 9 2 2 4 6 2" xfId="6948" xr:uid="{00000000-0005-0000-0000-0000F81E0000}"/>
    <cellStyle name="Normal 9 2 2 4 6 2 2" xfId="16274" xr:uid="{E8C18049-159A-4022-B414-0652FAC47782}"/>
    <cellStyle name="Normal 9 2 2 4 6 2 2 2" xfId="52616" xr:uid="{EABEF747-B8A0-46C5-BBDF-661E2F37353F}"/>
    <cellStyle name="Normal 9 2 2 4 6 2 2 3" xfId="34020" xr:uid="{159D7138-719D-470F-8DF9-00CB8435CC64}"/>
    <cellStyle name="Normal 9 2 2 4 6 2 3" xfId="43319" xr:uid="{E12FC986-BBC2-4DB3-9F24-93DA2D931075}"/>
    <cellStyle name="Normal 9 2 2 4 6 2 4" xfId="24721" xr:uid="{69B37733-86AC-4C7A-864F-8F79B6D0BCCD}"/>
    <cellStyle name="Normal 9 2 2 4 6 3" xfId="12057" xr:uid="{24EC7247-CCA3-4CFD-B03C-54243BA8CC1C}"/>
    <cellStyle name="Normal 9 2 2 4 6 3 2" xfId="48399" xr:uid="{CB1BF18C-8623-4483-AAC7-AF223CAEF479}"/>
    <cellStyle name="Normal 9 2 2 4 6 3 3" xfId="29803" xr:uid="{3CD7ADF0-2AA9-4291-B005-F3026B37834E}"/>
    <cellStyle name="Normal 9 2 2 4 6 4" xfId="39102" xr:uid="{66DA686A-201F-4F80-BE5A-5B04BB9166B4}"/>
    <cellStyle name="Normal 9 2 2 4 6 5" xfId="20504" xr:uid="{075AB79E-B7DE-47B3-816F-5E9F05584B6E}"/>
    <cellStyle name="Normal 9 2 2 4 7" xfId="4883" xr:uid="{00000000-0005-0000-0000-0000F91E0000}"/>
    <cellStyle name="Normal 9 2 2 4 7 2" xfId="14209" xr:uid="{2AE1A3AE-CFB1-4A16-A820-23DB52F03C0D}"/>
    <cellStyle name="Normal 9 2 2 4 7 2 2" xfId="50551" xr:uid="{6C9DCB28-346F-45CC-93F2-FFC237BDE992}"/>
    <cellStyle name="Normal 9 2 2 4 7 2 3" xfId="31955" xr:uid="{98229C4A-855E-4EA5-BDBE-6594C7F236B5}"/>
    <cellStyle name="Normal 9 2 2 4 7 3" xfId="41254" xr:uid="{DF7FC2A3-9237-4526-9239-1BF6B32B8D2C}"/>
    <cellStyle name="Normal 9 2 2 4 7 4" xfId="22656" xr:uid="{76D09EED-2E66-4D04-A1A3-3FFE172F5858}"/>
    <cellStyle name="Normal 9 2 2 4 8" xfId="8992" xr:uid="{8AFFF8AD-8552-4B33-AAFF-7DACAE25085E}"/>
    <cellStyle name="Normal 9 2 2 4 8 2" xfId="36062" xr:uid="{D4297900-D0BB-422D-BAC7-9865FCA213DD}"/>
    <cellStyle name="Normal 9 2 2 4 8 2 2" xfId="54657" xr:uid="{C9AEE6BB-9E12-4F72-A462-0B712E5A2F86}"/>
    <cellStyle name="Normal 9 2 2 4 8 3" xfId="45360" xr:uid="{C71633B6-B37A-4493-88AA-0E2C34A6C3E1}"/>
    <cellStyle name="Normal 9 2 2 4 8 4" xfId="26763" xr:uid="{F30A9886-60ED-421D-B04A-6E59DEECA6D1}"/>
    <cellStyle name="Normal 9 2 2 4 9" xfId="9992" xr:uid="{9B5B1A82-5B20-4CBF-B746-24AD2D7C7495}"/>
    <cellStyle name="Normal 9 2 2 4 9 2" xfId="46334" xr:uid="{599A76B3-7DDE-47AD-BBD0-A7F9776DBA31}"/>
    <cellStyle name="Normal 9 2 2 4 9 3" xfId="27738" xr:uid="{2C89323E-32F0-4798-AF8E-81F94E1D3309}"/>
    <cellStyle name="Normal 9 2 2 5" xfId="979" xr:uid="{00000000-0005-0000-0000-0000FA1E0000}"/>
    <cellStyle name="Normal 9 2 2 5 2" xfId="3212" xr:uid="{00000000-0005-0000-0000-0000FB1E0000}"/>
    <cellStyle name="Normal 9 2 2 5 2 2" xfId="7434" xr:uid="{00000000-0005-0000-0000-0000FC1E0000}"/>
    <cellStyle name="Normal 9 2 2 5 2 2 2" xfId="16760" xr:uid="{32EBA7E9-4272-440C-A283-A0C4CABD6169}"/>
    <cellStyle name="Normal 9 2 2 5 2 2 2 2" xfId="53102" xr:uid="{6CF99729-B90A-4FF7-B65C-B81B63785165}"/>
    <cellStyle name="Normal 9 2 2 5 2 2 2 3" xfId="34506" xr:uid="{88899358-B04A-468F-A7D7-6A319DEB5037}"/>
    <cellStyle name="Normal 9 2 2 5 2 2 3" xfId="43805" xr:uid="{DDD1DA70-933D-4361-BA22-C9BCC747044E}"/>
    <cellStyle name="Normal 9 2 2 5 2 2 4" xfId="25207" xr:uid="{06379CDE-D0AE-45E2-8C48-00F9AB45E11E}"/>
    <cellStyle name="Normal 9 2 2 5 2 3" xfId="12543" xr:uid="{A7A22FF8-6B0D-4DC4-AA7E-5AE89997F5A8}"/>
    <cellStyle name="Normal 9 2 2 5 2 3 2" xfId="48885" xr:uid="{70B7E8F0-D139-46E9-83B2-9A091C80154A}"/>
    <cellStyle name="Normal 9 2 2 5 2 3 3" xfId="30289" xr:uid="{8350A7B6-2FC6-4C8A-BDFF-8BA6C9547A6E}"/>
    <cellStyle name="Normal 9 2 2 5 2 4" xfId="39588" xr:uid="{FA1B692A-9C55-4D28-BE3F-E184E91A3E4E}"/>
    <cellStyle name="Normal 9 2 2 5 2 5" xfId="20990" xr:uid="{3C2947F5-48ED-4571-8FE6-00A92F9A9F02}"/>
    <cellStyle name="Normal 9 2 2 5 3" xfId="5289" xr:uid="{00000000-0005-0000-0000-0000FD1E0000}"/>
    <cellStyle name="Normal 9 2 2 5 3 2" xfId="14615" xr:uid="{04357C39-760F-4D9F-B47D-A5E7A2D9B446}"/>
    <cellStyle name="Normal 9 2 2 5 3 2 2" xfId="50957" xr:uid="{C94A98D8-74FD-4B68-AC9F-97F663C3E47B}"/>
    <cellStyle name="Normal 9 2 2 5 3 2 3" xfId="32361" xr:uid="{E953AEB1-DF7C-48DC-9D52-57B1E62A1CF3}"/>
    <cellStyle name="Normal 9 2 2 5 3 3" xfId="41660" xr:uid="{37FDC9F6-EC87-4FF3-B4F8-053A458C8B0E}"/>
    <cellStyle name="Normal 9 2 2 5 3 4" xfId="23062" xr:uid="{5557212A-FEB0-48E3-8953-91D295109E61}"/>
    <cellStyle name="Normal 9 2 2 5 4" xfId="9209" xr:uid="{66E66B93-842C-41D8-A807-A065C03CFEBD}"/>
    <cellStyle name="Normal 9 2 2 5 4 2" xfId="36271" xr:uid="{907D8106-0E85-4AD2-A1A5-07EBE237E7CC}"/>
    <cellStyle name="Normal 9 2 2 5 4 2 2" xfId="54865" xr:uid="{BA42BE62-D362-43C3-B222-E773A0DA4592}"/>
    <cellStyle name="Normal 9 2 2 5 4 3" xfId="45568" xr:uid="{0431FBC7-6A23-42BA-8337-C29D26014D15}"/>
    <cellStyle name="Normal 9 2 2 5 4 4" xfId="26972" xr:uid="{5A2D0866-FBC9-4845-B051-EC03ADFF3BE5}"/>
    <cellStyle name="Normal 9 2 2 5 5" xfId="10398" xr:uid="{065DF30F-5A66-4388-9B03-0E9E47672D92}"/>
    <cellStyle name="Normal 9 2 2 5 5 2" xfId="46740" xr:uid="{E553CAB5-5E84-4429-B158-88DD0AD56F73}"/>
    <cellStyle name="Normal 9 2 2 5 5 3" xfId="28144" xr:uid="{1A4E5008-F4E2-41C8-93FE-A1092898AA77}"/>
    <cellStyle name="Normal 9 2 2 5 6" xfId="37443" xr:uid="{8C0CB6C0-8145-4923-921C-0C91DAA1EF74}"/>
    <cellStyle name="Normal 9 2 2 5 7" xfId="18845" xr:uid="{8FABA80E-EA0B-4822-B1C1-BBEA5A99E032}"/>
    <cellStyle name="Normal 9 2 2 6" xfId="1395" xr:uid="{00000000-0005-0000-0000-0000FE1E0000}"/>
    <cellStyle name="Normal 9 2 2 6 2" xfId="3625" xr:uid="{00000000-0005-0000-0000-0000FF1E0000}"/>
    <cellStyle name="Normal 9 2 2 6 2 2" xfId="7847" xr:uid="{00000000-0005-0000-0000-0000001F0000}"/>
    <cellStyle name="Normal 9 2 2 6 2 2 2" xfId="17173" xr:uid="{6880B7F1-0714-4555-8A52-0CFFE424622D}"/>
    <cellStyle name="Normal 9 2 2 6 2 2 2 2" xfId="53515" xr:uid="{1EF316E7-DB14-4BCA-B54A-03FE2BA44A02}"/>
    <cellStyle name="Normal 9 2 2 6 2 2 2 3" xfId="34919" xr:uid="{233CD366-BD47-4D20-AFB3-93262050596F}"/>
    <cellStyle name="Normal 9 2 2 6 2 2 3" xfId="44218" xr:uid="{C71DA106-7376-4E66-A1D2-BB5621808CAA}"/>
    <cellStyle name="Normal 9 2 2 6 2 2 4" xfId="25620" xr:uid="{495E0ED9-6C0E-4828-A622-E73DB6DE0897}"/>
    <cellStyle name="Normal 9 2 2 6 2 3" xfId="12956" xr:uid="{6D8D4F9D-5BEF-4671-87B6-79B91F0B0B48}"/>
    <cellStyle name="Normal 9 2 2 6 2 3 2" xfId="49298" xr:uid="{B61E84D1-36A7-4C0D-97BD-40FC1CE41C08}"/>
    <cellStyle name="Normal 9 2 2 6 2 3 3" xfId="30702" xr:uid="{FE9FCFB4-D6D6-49D3-B86D-41EB4795D813}"/>
    <cellStyle name="Normal 9 2 2 6 2 4" xfId="40001" xr:uid="{EEE9E6FB-D466-4AAA-997F-E1B2F0CF9C99}"/>
    <cellStyle name="Normal 9 2 2 6 2 5" xfId="21403" xr:uid="{BC84AFBC-D94F-494E-8F99-A6A5F1B6A405}"/>
    <cellStyle name="Normal 9 2 2 6 3" xfId="5702" xr:uid="{00000000-0005-0000-0000-0000011F0000}"/>
    <cellStyle name="Normal 9 2 2 6 3 2" xfId="15028" xr:uid="{68F89315-00C8-4CF5-A225-0B16C59E0110}"/>
    <cellStyle name="Normal 9 2 2 6 3 2 2" xfId="51370" xr:uid="{B9DC111B-7D8F-439E-91F5-9522FA6EDA11}"/>
    <cellStyle name="Normal 9 2 2 6 3 2 3" xfId="32774" xr:uid="{7E57BF27-9171-4601-8CB4-D87C7CB09102}"/>
    <cellStyle name="Normal 9 2 2 6 3 3" xfId="42073" xr:uid="{5BFD2DB2-5EC8-466D-A05C-EEC86A8E65F3}"/>
    <cellStyle name="Normal 9 2 2 6 3 4" xfId="23475" xr:uid="{33A35772-6A63-41F9-9D4B-6BA22D762D10}"/>
    <cellStyle name="Normal 9 2 2 6 4" xfId="10811" xr:uid="{973FB526-6A94-461F-9D82-F4CE6A96BA10}"/>
    <cellStyle name="Normal 9 2 2 6 4 2" xfId="47153" xr:uid="{51AD9EA9-8649-47A7-9B73-6AA94662883D}"/>
    <cellStyle name="Normal 9 2 2 6 4 3" xfId="28557" xr:uid="{E6A4BE42-5130-4BC1-BCE9-ABD04B7C1C9A}"/>
    <cellStyle name="Normal 9 2 2 6 5" xfId="37856" xr:uid="{D0A16DB3-FAB3-4AA9-B91B-5D4B23C66DBC}"/>
    <cellStyle name="Normal 9 2 2 6 6" xfId="19258" xr:uid="{38E4123D-D523-420B-903F-EC366118C07E}"/>
    <cellStyle name="Normal 9 2 2 7" xfId="1808" xr:uid="{00000000-0005-0000-0000-0000021F0000}"/>
    <cellStyle name="Normal 9 2 2 7 2" xfId="4038" xr:uid="{00000000-0005-0000-0000-0000031F0000}"/>
    <cellStyle name="Normal 9 2 2 7 2 2" xfId="8260" xr:uid="{00000000-0005-0000-0000-0000041F0000}"/>
    <cellStyle name="Normal 9 2 2 7 2 2 2" xfId="17586" xr:uid="{82ED232A-1674-407F-A6E4-AFF143E2527B}"/>
    <cellStyle name="Normal 9 2 2 7 2 2 2 2" xfId="53928" xr:uid="{BE40C764-D214-46E6-B89A-FB3E71BEB039}"/>
    <cellStyle name="Normal 9 2 2 7 2 2 2 3" xfId="35332" xr:uid="{78AC647D-9350-4E81-9D58-EBB4EA6F37D9}"/>
    <cellStyle name="Normal 9 2 2 7 2 2 3" xfId="44631" xr:uid="{02906869-8F86-4098-97F8-B077F19C1EBB}"/>
    <cellStyle name="Normal 9 2 2 7 2 2 4" xfId="26033" xr:uid="{83178847-2D12-4A1A-82A7-30D28E0CCFEF}"/>
    <cellStyle name="Normal 9 2 2 7 2 3" xfId="13369" xr:uid="{B00697F1-E7E8-4FF2-AAFC-98418C73BEF0}"/>
    <cellStyle name="Normal 9 2 2 7 2 3 2" xfId="49711" xr:uid="{3E89FCCE-CDCE-41BC-8F3E-56A185C300C1}"/>
    <cellStyle name="Normal 9 2 2 7 2 3 3" xfId="31115" xr:uid="{94E6E64D-916C-4C53-ABCF-62015E561117}"/>
    <cellStyle name="Normal 9 2 2 7 2 4" xfId="40414" xr:uid="{D892BB98-6BB8-4FA8-87DE-C649750C27FA}"/>
    <cellStyle name="Normal 9 2 2 7 2 5" xfId="21816" xr:uid="{0DC6E15C-6B68-40CF-9E74-171A97CB7FFB}"/>
    <cellStyle name="Normal 9 2 2 7 3" xfId="6115" xr:uid="{00000000-0005-0000-0000-0000051F0000}"/>
    <cellStyle name="Normal 9 2 2 7 3 2" xfId="15441" xr:uid="{93B5F11B-5819-48EA-B596-A4CECC0836E1}"/>
    <cellStyle name="Normal 9 2 2 7 3 2 2" xfId="51783" xr:uid="{0CEA0C4D-C8C9-4EDD-B541-1168F34CD330}"/>
    <cellStyle name="Normal 9 2 2 7 3 2 3" xfId="33187" xr:uid="{B918519C-5B8E-4334-81E5-7BC2FE8DD04B}"/>
    <cellStyle name="Normal 9 2 2 7 3 3" xfId="42486" xr:uid="{784C84A9-DDE3-4DC7-A2DA-09FCE934DE32}"/>
    <cellStyle name="Normal 9 2 2 7 3 4" xfId="23888" xr:uid="{3A6F24C7-E2C2-4C98-9F30-71FBF8A82F11}"/>
    <cellStyle name="Normal 9 2 2 7 4" xfId="11224" xr:uid="{EC5FBF81-67BF-42A6-873B-1FF431991F43}"/>
    <cellStyle name="Normal 9 2 2 7 4 2" xfId="47566" xr:uid="{5A474FEF-2835-4C42-8C30-75D6842B6637}"/>
    <cellStyle name="Normal 9 2 2 7 4 3" xfId="28970" xr:uid="{32D22FAD-C8D4-4029-9BD1-D89F067A7B56}"/>
    <cellStyle name="Normal 9 2 2 7 5" xfId="38269" xr:uid="{B3F1A43D-0E73-4F73-83C3-8B052D883EBA}"/>
    <cellStyle name="Normal 9 2 2 7 6" xfId="19671" xr:uid="{4DC83784-19CB-4502-B227-AF6C435EDDB1}"/>
    <cellStyle name="Normal 9 2 2 8" xfId="2222" xr:uid="{00000000-0005-0000-0000-0000061F0000}"/>
    <cellStyle name="Normal 9 2 2 8 2" xfId="4451" xr:uid="{00000000-0005-0000-0000-0000071F0000}"/>
    <cellStyle name="Normal 9 2 2 8 2 2" xfId="8673" xr:uid="{00000000-0005-0000-0000-0000081F0000}"/>
    <cellStyle name="Normal 9 2 2 8 2 2 2" xfId="17999" xr:uid="{9F3A1D64-F8C0-4A3C-9635-95CD54FBB2FC}"/>
    <cellStyle name="Normal 9 2 2 8 2 2 2 2" xfId="54341" xr:uid="{FBBD7A4A-6A1B-493B-A4F2-A45AFE26D98E}"/>
    <cellStyle name="Normal 9 2 2 8 2 2 2 3" xfId="35745" xr:uid="{D824B39A-7803-4758-AAAC-C75277574D5E}"/>
    <cellStyle name="Normal 9 2 2 8 2 2 3" xfId="45044" xr:uid="{0EDB9B5C-FE31-42D4-9AB5-32171E226C6B}"/>
    <cellStyle name="Normal 9 2 2 8 2 2 4" xfId="26446" xr:uid="{026BECDC-86A2-44ED-9BAC-3394C2E504E4}"/>
    <cellStyle name="Normal 9 2 2 8 2 3" xfId="13782" xr:uid="{EDB08E0C-0690-4586-8926-1C8F2B31EE7A}"/>
    <cellStyle name="Normal 9 2 2 8 2 3 2" xfId="50124" xr:uid="{0079B0D8-6BF5-437E-AA95-195840A90115}"/>
    <cellStyle name="Normal 9 2 2 8 2 3 3" xfId="31528" xr:uid="{AA7CF0C2-C4A7-4C29-87BA-F838B46DF018}"/>
    <cellStyle name="Normal 9 2 2 8 2 4" xfId="40827" xr:uid="{9F57DA63-609F-4C72-836E-D23A9953B068}"/>
    <cellStyle name="Normal 9 2 2 8 2 5" xfId="22229" xr:uid="{5691149B-149C-409F-90F0-7B35CCA07968}"/>
    <cellStyle name="Normal 9 2 2 8 3" xfId="6528" xr:uid="{00000000-0005-0000-0000-0000091F0000}"/>
    <cellStyle name="Normal 9 2 2 8 3 2" xfId="15854" xr:uid="{4D58FAFF-97DC-4E86-A525-A66CEB70B31A}"/>
    <cellStyle name="Normal 9 2 2 8 3 2 2" xfId="52196" xr:uid="{2C7716D2-F1C4-4FFD-9987-96B187C1B644}"/>
    <cellStyle name="Normal 9 2 2 8 3 2 3" xfId="33600" xr:uid="{3EF62A0B-A3F4-41BB-9611-32115BAD8879}"/>
    <cellStyle name="Normal 9 2 2 8 3 3" xfId="42899" xr:uid="{768BF74D-6715-40E5-8673-340B5257BA04}"/>
    <cellStyle name="Normal 9 2 2 8 3 4" xfId="24301" xr:uid="{8CDEEFC6-9094-4EE3-9E05-8123BFE6529E}"/>
    <cellStyle name="Normal 9 2 2 8 4" xfId="11637" xr:uid="{6C9D42D5-6A3D-4EDD-8468-7A392EF6DBED}"/>
    <cellStyle name="Normal 9 2 2 8 4 2" xfId="47979" xr:uid="{B1FC9773-2212-47B3-A8F1-BB1D81FD95E9}"/>
    <cellStyle name="Normal 9 2 2 8 4 3" xfId="29383" xr:uid="{AF9FCADC-BFE4-4595-82C6-58650C3A9BB8}"/>
    <cellStyle name="Normal 9 2 2 8 5" xfId="38682" xr:uid="{4383839E-4814-4948-8344-E81B778C2B6C}"/>
    <cellStyle name="Normal 9 2 2 8 6" xfId="20084" xr:uid="{B9AAA390-9C29-424F-83D8-7F98AE2BA754}"/>
    <cellStyle name="Normal 9 2 2 9" xfId="2658" xr:uid="{00000000-0005-0000-0000-00000A1F0000}"/>
    <cellStyle name="Normal 9 2 2 9 2" xfId="6941" xr:uid="{00000000-0005-0000-0000-00000B1F0000}"/>
    <cellStyle name="Normal 9 2 2 9 2 2" xfId="16267" xr:uid="{864A78CC-3BFD-4824-96AC-D95E163F7017}"/>
    <cellStyle name="Normal 9 2 2 9 2 2 2" xfId="52609" xr:uid="{99D66830-D81E-4503-9479-CDE534D6F424}"/>
    <cellStyle name="Normal 9 2 2 9 2 2 3" xfId="34013" xr:uid="{6AE63EB2-4B88-42CF-88F7-4D9126535870}"/>
    <cellStyle name="Normal 9 2 2 9 2 3" xfId="43312" xr:uid="{6BBAC9B6-03C4-4FE0-AF7E-20D1662F9A5D}"/>
    <cellStyle name="Normal 9 2 2 9 2 4" xfId="24714" xr:uid="{C3C01A50-5531-43EB-90E9-2252CCC53BCD}"/>
    <cellStyle name="Normal 9 2 2 9 3" xfId="12050" xr:uid="{CA70B301-98CE-4A14-8100-02BAB9146FB2}"/>
    <cellStyle name="Normal 9 2 2 9 3 2" xfId="48392" xr:uid="{74D18DF2-01E4-4FAA-810C-5010E3538899}"/>
    <cellStyle name="Normal 9 2 2 9 3 3" xfId="29796" xr:uid="{5F237784-B3F1-46A1-8AD7-FBBA4E46D062}"/>
    <cellStyle name="Normal 9 2 2 9 4" xfId="39095" xr:uid="{3EC91F3E-3DF7-431D-98F3-A2080F9F7BF7}"/>
    <cellStyle name="Normal 9 2 2 9 5" xfId="20497" xr:uid="{2200264C-0052-47D0-9D5B-501FF14C4133}"/>
    <cellStyle name="Normal 9 2 3" xfId="520" xr:uid="{00000000-0005-0000-0000-00000C1F0000}"/>
    <cellStyle name="Normal 9 2 3 10" xfId="8838" xr:uid="{3F59BADF-95CF-4831-9CE1-8ACBDD585DF1}"/>
    <cellStyle name="Normal 9 2 3 10 2" xfId="35908" xr:uid="{780D2CE4-7641-40E7-A5A5-643DEEF334D3}"/>
    <cellStyle name="Normal 9 2 3 10 2 2" xfId="54503" xr:uid="{F6AB610F-2388-4DBF-BE02-71E29AFD4781}"/>
    <cellStyle name="Normal 9 2 3 10 3" xfId="45206" xr:uid="{EDF45A16-6E18-4327-B0EB-C36B3A9A8878}"/>
    <cellStyle name="Normal 9 2 3 10 4" xfId="26609" xr:uid="{FEE753CF-1F51-4934-B0E0-FA2044ACE89A}"/>
    <cellStyle name="Normal 9 2 3 11" xfId="9993" xr:uid="{C8FBA1C3-4F1C-474F-90E6-E3C34EA627FA}"/>
    <cellStyle name="Normal 9 2 3 11 2" xfId="46335" xr:uid="{E393B28C-9B9C-4F44-BAD2-9B293A7C055B}"/>
    <cellStyle name="Normal 9 2 3 11 3" xfId="27739" xr:uid="{9023620E-77A2-426F-A641-356348807DB5}"/>
    <cellStyle name="Normal 9 2 3 12" xfId="37038" xr:uid="{15B66568-EE7B-486F-B33E-7FA3B245B8C8}"/>
    <cellStyle name="Normal 9 2 3 13" xfId="18440" xr:uid="{3ED0501A-8CCC-4842-8EB9-9BF1B56DE144}"/>
    <cellStyle name="Normal 9 2 3 2" xfId="521" xr:uid="{00000000-0005-0000-0000-00000D1F0000}"/>
    <cellStyle name="Normal 9 2 3 2 10" xfId="9994" xr:uid="{4D5052B6-F583-4B49-8DA3-1EFB3D59BBEC}"/>
    <cellStyle name="Normal 9 2 3 2 10 2" xfId="46336" xr:uid="{8320613F-8DB1-4B07-B3B0-F42B68A62137}"/>
    <cellStyle name="Normal 9 2 3 2 10 3" xfId="27740" xr:uid="{DC2BFE00-670D-4E08-9F59-EB52C8142ECE}"/>
    <cellStyle name="Normal 9 2 3 2 11" xfId="37039" xr:uid="{1CBC6444-3825-411D-826C-9D4DEAF563E4}"/>
    <cellStyle name="Normal 9 2 3 2 12" xfId="18441" xr:uid="{4BCCC4C2-B4A8-459F-84BF-9EBA93480212}"/>
    <cellStyle name="Normal 9 2 3 2 2" xfId="522" xr:uid="{00000000-0005-0000-0000-00000E1F0000}"/>
    <cellStyle name="Normal 9 2 3 2 2 10" xfId="37040" xr:uid="{A99055DD-6A60-4695-9534-601F8C27121C}"/>
    <cellStyle name="Normal 9 2 3 2 2 11" xfId="18442" xr:uid="{C97BC592-C6DC-40FC-8924-07A8D08B9D7F}"/>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16770" xr:uid="{9B3112F6-CF67-493D-AEBA-446109F5E7DC}"/>
    <cellStyle name="Normal 9 2 3 2 2 2 2 2 2 2" xfId="53112" xr:uid="{F41A11AC-6EC9-43E3-A5FE-284368BAB6C4}"/>
    <cellStyle name="Normal 9 2 3 2 2 2 2 2 2 3" xfId="34516" xr:uid="{0C482DDB-23B9-455D-B714-B3BBD3FAA71F}"/>
    <cellStyle name="Normal 9 2 3 2 2 2 2 2 3" xfId="43815" xr:uid="{75B19CC7-561D-415D-A7D5-01CE08ABBC65}"/>
    <cellStyle name="Normal 9 2 3 2 2 2 2 2 4" xfId="25217" xr:uid="{A7DB64BB-8632-4211-9EBA-28E75A21D610}"/>
    <cellStyle name="Normal 9 2 3 2 2 2 2 3" xfId="12553" xr:uid="{7D3BAB80-61B5-4535-868A-6618C6859DDC}"/>
    <cellStyle name="Normal 9 2 3 2 2 2 2 3 2" xfId="48895" xr:uid="{DFB7B1E3-F703-4BA6-8402-D25D730F1079}"/>
    <cellStyle name="Normal 9 2 3 2 2 2 2 3 3" xfId="30299" xr:uid="{D07ECC91-D969-40BE-9AC1-5854B1BE5D32}"/>
    <cellStyle name="Normal 9 2 3 2 2 2 2 4" xfId="39598" xr:uid="{146D7EB1-9640-4E99-B407-BD8CFF798764}"/>
    <cellStyle name="Normal 9 2 3 2 2 2 2 5" xfId="21000" xr:uid="{073950D4-1372-4D4F-9F56-016912AE80AB}"/>
    <cellStyle name="Normal 9 2 3 2 2 2 3" xfId="5299" xr:uid="{00000000-0005-0000-0000-0000121F0000}"/>
    <cellStyle name="Normal 9 2 3 2 2 2 3 2" xfId="14625" xr:uid="{C9DB71B8-A79A-4D28-B892-61C478A52553}"/>
    <cellStyle name="Normal 9 2 3 2 2 2 3 2 2" xfId="50967" xr:uid="{B2B976D4-1401-4D44-8B12-6F55A0952A57}"/>
    <cellStyle name="Normal 9 2 3 2 2 2 3 2 3" xfId="32371" xr:uid="{AA197F7D-4250-4730-8FFD-E7B35639B04A}"/>
    <cellStyle name="Normal 9 2 3 2 2 2 3 3" xfId="41670" xr:uid="{74904DAB-A3F1-4118-99AB-05534716FD57}"/>
    <cellStyle name="Normal 9 2 3 2 2 2 3 4" xfId="23072" xr:uid="{EEFABEA2-5A3E-4978-ACD8-B1894A862D9E}"/>
    <cellStyle name="Normal 9 2 3 2 2 2 4" xfId="9573" xr:uid="{376F8566-2407-40B8-9531-D3E757BE7A23}"/>
    <cellStyle name="Normal 9 2 3 2 2 2 4 2" xfId="36634" xr:uid="{E4763EBB-D120-4C0D-A7AF-C4C686AC874E}"/>
    <cellStyle name="Normal 9 2 3 2 2 2 4 2 2" xfId="55228" xr:uid="{B5B747D0-30A8-48CA-A030-511EC54D57BA}"/>
    <cellStyle name="Normal 9 2 3 2 2 2 4 3" xfId="45931" xr:uid="{BFE98957-EBD3-44A0-A5CA-328E81E7BA69}"/>
    <cellStyle name="Normal 9 2 3 2 2 2 4 4" xfId="27335" xr:uid="{5C4F8FC1-FD2F-4F88-A42B-6A01D872FC4B}"/>
    <cellStyle name="Normal 9 2 3 2 2 2 5" xfId="10408" xr:uid="{5F46CB3D-AA38-4B6D-96DF-30DC7301C06D}"/>
    <cellStyle name="Normal 9 2 3 2 2 2 5 2" xfId="46750" xr:uid="{4BB9A6A1-76A4-4887-A156-ADCDBA87BDF5}"/>
    <cellStyle name="Normal 9 2 3 2 2 2 5 3" xfId="28154" xr:uid="{3BC807BA-D97A-4FEF-9F2B-F19845034367}"/>
    <cellStyle name="Normal 9 2 3 2 2 2 6" xfId="37453" xr:uid="{82E94E96-2A6F-45A7-BA8C-5CE6413466DC}"/>
    <cellStyle name="Normal 9 2 3 2 2 2 7" xfId="18855" xr:uid="{750F77A9-3F81-4DC7-AD6F-5CAE68B5706D}"/>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17183" xr:uid="{82C7422D-4563-4D9A-8CCE-E8430AE3084C}"/>
    <cellStyle name="Normal 9 2 3 2 2 3 2 2 2 2" xfId="53525" xr:uid="{6684A900-706E-4997-A21A-78D69CE47D6A}"/>
    <cellStyle name="Normal 9 2 3 2 2 3 2 2 2 3" xfId="34929" xr:uid="{A4F29170-79E8-4557-A33E-4603CD250157}"/>
    <cellStyle name="Normal 9 2 3 2 2 3 2 2 3" xfId="44228" xr:uid="{102795BA-F013-4825-99F0-BA1BF30C1959}"/>
    <cellStyle name="Normal 9 2 3 2 2 3 2 2 4" xfId="25630" xr:uid="{E35C8F01-6A0F-475B-A304-0C6FC921FBD0}"/>
    <cellStyle name="Normal 9 2 3 2 2 3 2 3" xfId="12966" xr:uid="{4F220306-E377-46CA-A6E9-7C573D6629AE}"/>
    <cellStyle name="Normal 9 2 3 2 2 3 2 3 2" xfId="49308" xr:uid="{BB171AA2-6606-478A-A519-A9B498E9D9CC}"/>
    <cellStyle name="Normal 9 2 3 2 2 3 2 3 3" xfId="30712" xr:uid="{694DB456-4996-46E0-9354-211398DFA62F}"/>
    <cellStyle name="Normal 9 2 3 2 2 3 2 4" xfId="40011" xr:uid="{2D2ABEBC-AA42-49EB-AF22-4CCED14DA0B0}"/>
    <cellStyle name="Normal 9 2 3 2 2 3 2 5" xfId="21413" xr:uid="{06BB1BE2-CEBF-4998-935F-7299DC5B09AC}"/>
    <cellStyle name="Normal 9 2 3 2 2 3 3" xfId="5712" xr:uid="{00000000-0005-0000-0000-0000161F0000}"/>
    <cellStyle name="Normal 9 2 3 2 2 3 3 2" xfId="15038" xr:uid="{12B4163A-054D-410C-91E3-7871F2449EF1}"/>
    <cellStyle name="Normal 9 2 3 2 2 3 3 2 2" xfId="51380" xr:uid="{2CE80520-BA0D-4848-9A65-8E9619FA53CB}"/>
    <cellStyle name="Normal 9 2 3 2 2 3 3 2 3" xfId="32784" xr:uid="{5CCEB54D-57E9-4A0D-909E-6C3FF5F7BFF9}"/>
    <cellStyle name="Normal 9 2 3 2 2 3 3 3" xfId="42083" xr:uid="{8155E20E-A97C-4642-A799-204B11E37A39}"/>
    <cellStyle name="Normal 9 2 3 2 2 3 3 4" xfId="23485" xr:uid="{E427B8EF-A0F3-4050-A7D9-44A9E0D2B39D}"/>
    <cellStyle name="Normal 9 2 3 2 2 3 4" xfId="10821" xr:uid="{0F534F2C-D9A3-4089-9C4B-0BB946FBD626}"/>
    <cellStyle name="Normal 9 2 3 2 2 3 4 2" xfId="47163" xr:uid="{4BACEE98-4CD9-4FD3-9690-FCB69492E04E}"/>
    <cellStyle name="Normal 9 2 3 2 2 3 4 3" xfId="28567" xr:uid="{3187AD89-7F26-4921-A142-2BD031EE1190}"/>
    <cellStyle name="Normal 9 2 3 2 2 3 5" xfId="37866" xr:uid="{666CE2F2-0ECF-4D6C-B7C7-56F23B0569E5}"/>
    <cellStyle name="Normal 9 2 3 2 2 3 6" xfId="19268" xr:uid="{5272554A-46D3-4FAD-973E-A5390FB6507B}"/>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17596" xr:uid="{3D1C4714-AAE7-4DD7-85EC-07A7739AE132}"/>
    <cellStyle name="Normal 9 2 3 2 2 4 2 2 2 2" xfId="53938" xr:uid="{BDD107B7-4C77-4792-8AC4-5C96A559D71A}"/>
    <cellStyle name="Normal 9 2 3 2 2 4 2 2 2 3" xfId="35342" xr:uid="{5C11B305-A01D-4E99-A5C4-578B0A517C91}"/>
    <cellStyle name="Normal 9 2 3 2 2 4 2 2 3" xfId="44641" xr:uid="{23AE72A9-F426-425B-AC98-7F44D0607332}"/>
    <cellStyle name="Normal 9 2 3 2 2 4 2 2 4" xfId="26043" xr:uid="{41854FFE-A12D-4EE6-B4AF-F72229371295}"/>
    <cellStyle name="Normal 9 2 3 2 2 4 2 3" xfId="13379" xr:uid="{1FA1B3F2-DBCD-4B52-999D-FBF8DB99AB49}"/>
    <cellStyle name="Normal 9 2 3 2 2 4 2 3 2" xfId="49721" xr:uid="{2E0488B7-199A-4896-AE49-1CC4CE4A49EE}"/>
    <cellStyle name="Normal 9 2 3 2 2 4 2 3 3" xfId="31125" xr:uid="{23BAF08A-FFAE-408E-9EB4-C5B3F3E1A567}"/>
    <cellStyle name="Normal 9 2 3 2 2 4 2 4" xfId="40424" xr:uid="{7D967492-3F2F-445C-B044-00DA0E96B8D2}"/>
    <cellStyle name="Normal 9 2 3 2 2 4 2 5" xfId="21826" xr:uid="{90C5CC36-48EE-4B3D-86E5-5F6ED604E0CA}"/>
    <cellStyle name="Normal 9 2 3 2 2 4 3" xfId="6125" xr:uid="{00000000-0005-0000-0000-00001A1F0000}"/>
    <cellStyle name="Normal 9 2 3 2 2 4 3 2" xfId="15451" xr:uid="{D54BC1CF-12E1-44CA-8845-4968F2C536A0}"/>
    <cellStyle name="Normal 9 2 3 2 2 4 3 2 2" xfId="51793" xr:uid="{DE58EDA8-8FCB-4642-9763-8A954C35AED0}"/>
    <cellStyle name="Normal 9 2 3 2 2 4 3 2 3" xfId="33197" xr:uid="{C33E02B6-D7F3-4F99-99F8-3D53273CF678}"/>
    <cellStyle name="Normal 9 2 3 2 2 4 3 3" xfId="42496" xr:uid="{D1807A4F-1CBA-44D0-9BD7-46436AA5AC1B}"/>
    <cellStyle name="Normal 9 2 3 2 2 4 3 4" xfId="23898" xr:uid="{EE1182B5-9C76-43D4-A354-3EBF7F8CE215}"/>
    <cellStyle name="Normal 9 2 3 2 2 4 4" xfId="11234" xr:uid="{0E71B10D-6B29-43C6-A8F9-3A78473CF98A}"/>
    <cellStyle name="Normal 9 2 3 2 2 4 4 2" xfId="47576" xr:uid="{25108474-51D9-4269-BD25-5DF995233698}"/>
    <cellStyle name="Normal 9 2 3 2 2 4 4 3" xfId="28980" xr:uid="{21F494E1-FD2D-4C69-8E95-B3386E0D47F0}"/>
    <cellStyle name="Normal 9 2 3 2 2 4 5" xfId="38279" xr:uid="{13DA14A4-F9B9-4072-A49F-21E9FB992B5B}"/>
    <cellStyle name="Normal 9 2 3 2 2 4 6" xfId="19681" xr:uid="{B91571C3-7456-4322-9C75-A3AC92A5EAFB}"/>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18009" xr:uid="{DA0FEBAD-B538-49CC-B76B-9346B86B048A}"/>
    <cellStyle name="Normal 9 2 3 2 2 5 2 2 2 2" xfId="54351" xr:uid="{750EE2A7-F5B5-452D-8CFF-2719C8DC18E8}"/>
    <cellStyle name="Normal 9 2 3 2 2 5 2 2 2 3" xfId="35755" xr:uid="{B63E3009-4441-4D45-AA6E-0A84B3D0C466}"/>
    <cellStyle name="Normal 9 2 3 2 2 5 2 2 3" xfId="45054" xr:uid="{8E412D65-E87C-4AF2-A9C5-9E15ACA023F3}"/>
    <cellStyle name="Normal 9 2 3 2 2 5 2 2 4" xfId="26456" xr:uid="{B6421E19-0BE1-43F9-947B-825D9CB69044}"/>
    <cellStyle name="Normal 9 2 3 2 2 5 2 3" xfId="13792" xr:uid="{09E0DBA0-BB08-4C64-A42A-37A8CB80992C}"/>
    <cellStyle name="Normal 9 2 3 2 2 5 2 3 2" xfId="50134" xr:uid="{57DBD49B-731C-4C5D-B9B6-F42582DA33B4}"/>
    <cellStyle name="Normal 9 2 3 2 2 5 2 3 3" xfId="31538" xr:uid="{B041A82D-4629-416A-9432-A22A0F1B1A6A}"/>
    <cellStyle name="Normal 9 2 3 2 2 5 2 4" xfId="40837" xr:uid="{706B69FF-A075-4DFE-974D-F1A00A151DB9}"/>
    <cellStyle name="Normal 9 2 3 2 2 5 2 5" xfId="22239" xr:uid="{1180188B-0F2E-4455-BCB0-3FB59C5A5E83}"/>
    <cellStyle name="Normal 9 2 3 2 2 5 3" xfId="6538" xr:uid="{00000000-0005-0000-0000-00001E1F0000}"/>
    <cellStyle name="Normal 9 2 3 2 2 5 3 2" xfId="15864" xr:uid="{33693973-4B4F-42A8-BAD7-2B8E67FE1D5B}"/>
    <cellStyle name="Normal 9 2 3 2 2 5 3 2 2" xfId="52206" xr:uid="{F39FA828-69C0-4122-8AFB-CB7C9803AB1F}"/>
    <cellStyle name="Normal 9 2 3 2 2 5 3 2 3" xfId="33610" xr:uid="{7F209586-4507-42F9-AE64-AD6F4F3467AB}"/>
    <cellStyle name="Normal 9 2 3 2 2 5 3 3" xfId="42909" xr:uid="{899DDBDF-CCF8-4DA1-A17F-A997A4750E44}"/>
    <cellStyle name="Normal 9 2 3 2 2 5 3 4" xfId="24311" xr:uid="{3B9287B3-C333-4410-B6D7-AF1044CA0E80}"/>
    <cellStyle name="Normal 9 2 3 2 2 5 4" xfId="11647" xr:uid="{C03B8A08-9B76-445D-A225-D409B0E9C4CA}"/>
    <cellStyle name="Normal 9 2 3 2 2 5 4 2" xfId="47989" xr:uid="{A09D6A0D-D53C-47A9-99A2-9A390C325592}"/>
    <cellStyle name="Normal 9 2 3 2 2 5 4 3" xfId="29393" xr:uid="{63C70D11-DD04-4066-8DCE-1E6245261BC8}"/>
    <cellStyle name="Normal 9 2 3 2 2 5 5" xfId="38692" xr:uid="{BAB238F6-7745-4441-ACA6-6C4B783257BC}"/>
    <cellStyle name="Normal 9 2 3 2 2 5 6" xfId="20094" xr:uid="{1CC7BA64-0617-4458-9C77-FF948704C881}"/>
    <cellStyle name="Normal 9 2 3 2 2 6" xfId="2668" xr:uid="{00000000-0005-0000-0000-00001F1F0000}"/>
    <cellStyle name="Normal 9 2 3 2 2 6 2" xfId="6951" xr:uid="{00000000-0005-0000-0000-0000201F0000}"/>
    <cellStyle name="Normal 9 2 3 2 2 6 2 2" xfId="16277" xr:uid="{E14290A0-14D2-435C-BA38-F5345B5B5A47}"/>
    <cellStyle name="Normal 9 2 3 2 2 6 2 2 2" xfId="52619" xr:uid="{41FE7E61-BBA1-4D2E-96AE-970540852B45}"/>
    <cellStyle name="Normal 9 2 3 2 2 6 2 2 3" xfId="34023" xr:uid="{1312725E-8F0A-482B-B55A-FD2CFECDBF87}"/>
    <cellStyle name="Normal 9 2 3 2 2 6 2 3" xfId="43322" xr:uid="{860FD9A4-A277-4B66-A954-2F24BC60E58B}"/>
    <cellStyle name="Normal 9 2 3 2 2 6 2 4" xfId="24724" xr:uid="{9671D570-6FF1-4E62-9DE8-07C7887409AF}"/>
    <cellStyle name="Normal 9 2 3 2 2 6 3" xfId="12060" xr:uid="{CF570055-4EEA-4FE8-BB06-09526EF86672}"/>
    <cellStyle name="Normal 9 2 3 2 2 6 3 2" xfId="48402" xr:uid="{42ECCDE7-6AB9-4D03-BDF9-A4B3CF4509CA}"/>
    <cellStyle name="Normal 9 2 3 2 2 6 3 3" xfId="29806" xr:uid="{FA2CDBC9-7B29-4E1E-A25C-9CE2CE86264C}"/>
    <cellStyle name="Normal 9 2 3 2 2 6 4" xfId="39105" xr:uid="{45A97D69-B8B4-49C0-B42D-B96F9A6790E0}"/>
    <cellStyle name="Normal 9 2 3 2 2 6 5" xfId="20507" xr:uid="{1731FB52-D42B-4FE0-9744-7C4F4B7169F4}"/>
    <cellStyle name="Normal 9 2 3 2 2 7" xfId="4886" xr:uid="{00000000-0005-0000-0000-0000211F0000}"/>
    <cellStyle name="Normal 9 2 3 2 2 7 2" xfId="14212" xr:uid="{05B7B888-0AD4-4355-A881-3E13E4B2F6D5}"/>
    <cellStyle name="Normal 9 2 3 2 2 7 2 2" xfId="50554" xr:uid="{A0E977F1-EC10-4FAA-B706-A192F7299578}"/>
    <cellStyle name="Normal 9 2 3 2 2 7 2 3" xfId="31958" xr:uid="{299894C2-8D3B-4EC7-8A87-2D5CE5AB24CD}"/>
    <cellStyle name="Normal 9 2 3 2 2 7 3" xfId="41257" xr:uid="{2C0FA704-F4BA-4E5E-A811-714DCD073B73}"/>
    <cellStyle name="Normal 9 2 3 2 2 7 4" xfId="22659" xr:uid="{87782E3B-A588-4436-815C-9C6B2C704DE6}"/>
    <cellStyle name="Normal 9 2 3 2 2 8" xfId="9148" xr:uid="{E1A2F3F0-C8EA-47FA-BB37-18F117041A87}"/>
    <cellStyle name="Normal 9 2 3 2 2 8 2" xfId="36218" xr:uid="{27B95F84-E70E-4388-A285-7D5CAD059F18}"/>
    <cellStyle name="Normal 9 2 3 2 2 8 2 2" xfId="54813" xr:uid="{117CDF4B-32B6-4009-BEAB-6DEACE5AADF5}"/>
    <cellStyle name="Normal 9 2 3 2 2 8 3" xfId="45516" xr:uid="{DE6AC5DF-EF6F-4805-8606-7A2FC0950E4F}"/>
    <cellStyle name="Normal 9 2 3 2 2 8 4" xfId="26919" xr:uid="{77088C84-1A93-43C7-A3E7-6EF8CDF7BD0B}"/>
    <cellStyle name="Normal 9 2 3 2 2 9" xfId="9995" xr:uid="{CB425445-6323-4C2C-A755-E6D1F1384E58}"/>
    <cellStyle name="Normal 9 2 3 2 2 9 2" xfId="46337" xr:uid="{9327DCFD-D242-4AA8-A18F-ACF7CAD14D58}"/>
    <cellStyle name="Normal 9 2 3 2 2 9 3" xfId="27741" xr:uid="{7E77DF33-D7BB-4772-93D4-B89EBBD9D920}"/>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16769" xr:uid="{4DFA1CD3-3B5A-41B7-91AD-679BA30E765F}"/>
    <cellStyle name="Normal 9 2 3 2 3 2 2 2 2" xfId="53111" xr:uid="{45064F2A-B25E-4954-90DB-D09E1089DB24}"/>
    <cellStyle name="Normal 9 2 3 2 3 2 2 2 3" xfId="34515" xr:uid="{38CF9BBC-2C07-4F43-871F-680DD18EEBD3}"/>
    <cellStyle name="Normal 9 2 3 2 3 2 2 3" xfId="43814" xr:uid="{5DB1A46E-14DE-4625-921B-346374D057F5}"/>
    <cellStyle name="Normal 9 2 3 2 3 2 2 4" xfId="25216" xr:uid="{0CDD2A60-B66C-442A-8EA4-D423DC0F6873}"/>
    <cellStyle name="Normal 9 2 3 2 3 2 3" xfId="12552" xr:uid="{EA7E9A6C-5E81-4FBD-B8E3-BB47EAF7360A}"/>
    <cellStyle name="Normal 9 2 3 2 3 2 3 2" xfId="48894" xr:uid="{066F9002-1238-4801-BFA9-359FB9888CDE}"/>
    <cellStyle name="Normal 9 2 3 2 3 2 3 3" xfId="30298" xr:uid="{A976DCAA-0222-482B-971C-FAD547C50A6F}"/>
    <cellStyle name="Normal 9 2 3 2 3 2 4" xfId="39597" xr:uid="{87BE830A-3094-42A3-81C9-FA45AB18D7B9}"/>
    <cellStyle name="Normal 9 2 3 2 3 2 5" xfId="20999" xr:uid="{BC1EFA3F-F6A8-41C5-95AC-7490CBD857DE}"/>
    <cellStyle name="Normal 9 2 3 2 3 3" xfId="5298" xr:uid="{00000000-0005-0000-0000-0000251F0000}"/>
    <cellStyle name="Normal 9 2 3 2 3 3 2" xfId="14624" xr:uid="{54A3DB7C-5CE6-4BFE-911D-BF0139BB104B}"/>
    <cellStyle name="Normal 9 2 3 2 3 3 2 2" xfId="50966" xr:uid="{9AA446D6-BD6E-48E8-B482-EB5990C963C2}"/>
    <cellStyle name="Normal 9 2 3 2 3 3 2 3" xfId="32370" xr:uid="{532D270B-D055-42A2-9CA9-CB955BF41166}"/>
    <cellStyle name="Normal 9 2 3 2 3 3 3" xfId="41669" xr:uid="{BE882D8E-FBC6-4218-AD56-53B05C9B7652}"/>
    <cellStyle name="Normal 9 2 3 2 3 3 4" xfId="23071" xr:uid="{6DB8A759-838B-4E51-A1BE-E3B4BCE780A1}"/>
    <cellStyle name="Normal 9 2 3 2 3 4" xfId="9366" xr:uid="{136A6B94-9CAA-4F6C-B09D-7385900FCA38}"/>
    <cellStyle name="Normal 9 2 3 2 3 4 2" xfId="36427" xr:uid="{4B103381-1976-4EEE-9387-578D99C94827}"/>
    <cellStyle name="Normal 9 2 3 2 3 4 2 2" xfId="55021" xr:uid="{FD0449F5-0DB6-4D0B-A0E0-0B5F532258A6}"/>
    <cellStyle name="Normal 9 2 3 2 3 4 3" xfId="45724" xr:uid="{0E7CA439-BAC7-4D53-BD18-A4D1D6C174F0}"/>
    <cellStyle name="Normal 9 2 3 2 3 4 4" xfId="27128" xr:uid="{07BBFB95-18BE-41A7-8BD7-5D4FAE502D7F}"/>
    <cellStyle name="Normal 9 2 3 2 3 5" xfId="10407" xr:uid="{F4D6978C-DBCE-435E-BE91-A8E7DBA42870}"/>
    <cellStyle name="Normal 9 2 3 2 3 5 2" xfId="46749" xr:uid="{641E14D0-1D8E-4566-A5D9-F0956B9BA1A0}"/>
    <cellStyle name="Normal 9 2 3 2 3 5 3" xfId="28153" xr:uid="{0A2E3A0C-9D43-40D0-B3B5-E6E1EA1C00B8}"/>
    <cellStyle name="Normal 9 2 3 2 3 6" xfId="37452" xr:uid="{DBB080F0-1807-41CD-96BE-EA063FA1B994}"/>
    <cellStyle name="Normal 9 2 3 2 3 7" xfId="18854" xr:uid="{D43ED824-9E62-4A28-B1F6-D339D7D2FE8A}"/>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17182" xr:uid="{0DBF9448-231A-48D7-9868-CE4E571B11CB}"/>
    <cellStyle name="Normal 9 2 3 2 4 2 2 2 2" xfId="53524" xr:uid="{B31F5D75-F277-409E-A14C-408278B8899E}"/>
    <cellStyle name="Normal 9 2 3 2 4 2 2 2 3" xfId="34928" xr:uid="{A4074A0B-62BE-4094-B4C4-8A668AD67DE3}"/>
    <cellStyle name="Normal 9 2 3 2 4 2 2 3" xfId="44227" xr:uid="{CCF1C759-158B-4DA2-8459-093CFB4AE770}"/>
    <cellStyle name="Normal 9 2 3 2 4 2 2 4" xfId="25629" xr:uid="{8EE1CB97-3C20-4CEF-BB65-B5C0737AF361}"/>
    <cellStyle name="Normal 9 2 3 2 4 2 3" xfId="12965" xr:uid="{A0D53040-9AEB-486A-97F6-D999C784A245}"/>
    <cellStyle name="Normal 9 2 3 2 4 2 3 2" xfId="49307" xr:uid="{4C070E6B-E6F7-4940-B3AE-5770B8D19374}"/>
    <cellStyle name="Normal 9 2 3 2 4 2 3 3" xfId="30711" xr:uid="{4CF4F13B-AC3A-42E1-9919-57CFF160A62F}"/>
    <cellStyle name="Normal 9 2 3 2 4 2 4" xfId="40010" xr:uid="{6B554E3B-2003-428C-A877-E148DB675866}"/>
    <cellStyle name="Normal 9 2 3 2 4 2 5" xfId="21412" xr:uid="{60DD7A6C-EE9F-49F3-B05E-FF0B456D33A2}"/>
    <cellStyle name="Normal 9 2 3 2 4 3" xfId="5711" xr:uid="{00000000-0005-0000-0000-0000291F0000}"/>
    <cellStyle name="Normal 9 2 3 2 4 3 2" xfId="15037" xr:uid="{91B605CB-C329-46F0-A46E-D900EE260A51}"/>
    <cellStyle name="Normal 9 2 3 2 4 3 2 2" xfId="51379" xr:uid="{5F5C01B4-2F27-4F79-A4FE-315FD27FC20D}"/>
    <cellStyle name="Normal 9 2 3 2 4 3 2 3" xfId="32783" xr:uid="{4196290A-0DDE-4A8D-A3BD-E9531DBFAD11}"/>
    <cellStyle name="Normal 9 2 3 2 4 3 3" xfId="42082" xr:uid="{EA75C113-9914-45C1-86AA-13DD4B2581EB}"/>
    <cellStyle name="Normal 9 2 3 2 4 3 4" xfId="23484" xr:uid="{1529C3D3-D5A6-4A06-83DF-545C1566C743}"/>
    <cellStyle name="Normal 9 2 3 2 4 4" xfId="10820" xr:uid="{F66298C2-3384-4476-B790-857FD14F11E9}"/>
    <cellStyle name="Normal 9 2 3 2 4 4 2" xfId="47162" xr:uid="{4FFCF194-26DF-42A0-890F-A85011DB2561}"/>
    <cellStyle name="Normal 9 2 3 2 4 4 3" xfId="28566" xr:uid="{374181F5-5E5C-4713-8713-80357D3B5F93}"/>
    <cellStyle name="Normal 9 2 3 2 4 5" xfId="37865" xr:uid="{F2ABBE20-C0A0-40FE-BE94-91E0034F8991}"/>
    <cellStyle name="Normal 9 2 3 2 4 6" xfId="19267" xr:uid="{F155861C-F4E4-4E85-8758-80BA14044500}"/>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17595" xr:uid="{97E13081-156E-41A1-9E49-3BCE36322F02}"/>
    <cellStyle name="Normal 9 2 3 2 5 2 2 2 2" xfId="53937" xr:uid="{F9CC63C0-A341-41F6-B18F-3F64A5550C37}"/>
    <cellStyle name="Normal 9 2 3 2 5 2 2 2 3" xfId="35341" xr:uid="{B99165DA-E794-47E3-9551-135858B3DFEF}"/>
    <cellStyle name="Normal 9 2 3 2 5 2 2 3" xfId="44640" xr:uid="{E149DBA9-F4BA-4C0D-B555-C884A10ECAA9}"/>
    <cellStyle name="Normal 9 2 3 2 5 2 2 4" xfId="26042" xr:uid="{1569EF6F-CA31-472F-94B0-EBC1C489CF7D}"/>
    <cellStyle name="Normal 9 2 3 2 5 2 3" xfId="13378" xr:uid="{A516A2D7-4A91-4B45-ABDA-7C5AB3A7D562}"/>
    <cellStyle name="Normal 9 2 3 2 5 2 3 2" xfId="49720" xr:uid="{AB7FC2BB-2AAC-4B67-AF1B-E298C1A01967}"/>
    <cellStyle name="Normal 9 2 3 2 5 2 3 3" xfId="31124" xr:uid="{8991BD3A-BF73-414E-847B-D62C14283C64}"/>
    <cellStyle name="Normal 9 2 3 2 5 2 4" xfId="40423" xr:uid="{1DB32B55-0A80-4033-A38B-96DEE41C8154}"/>
    <cellStyle name="Normal 9 2 3 2 5 2 5" xfId="21825" xr:uid="{998799F6-2CC7-4AB2-95E2-1B1960EADA29}"/>
    <cellStyle name="Normal 9 2 3 2 5 3" xfId="6124" xr:uid="{00000000-0005-0000-0000-00002D1F0000}"/>
    <cellStyle name="Normal 9 2 3 2 5 3 2" xfId="15450" xr:uid="{8354C70D-E9F1-419A-A0AB-66C1706D16EF}"/>
    <cellStyle name="Normal 9 2 3 2 5 3 2 2" xfId="51792" xr:uid="{4C2A866E-30DC-4DA6-8605-3EC0A9D002DA}"/>
    <cellStyle name="Normal 9 2 3 2 5 3 2 3" xfId="33196" xr:uid="{ACD7362F-5D65-4152-9444-9DE69EB328B1}"/>
    <cellStyle name="Normal 9 2 3 2 5 3 3" xfId="42495" xr:uid="{2F1DD943-18D0-47C1-9065-6A375DC7FAB0}"/>
    <cellStyle name="Normal 9 2 3 2 5 3 4" xfId="23897" xr:uid="{EBCBBEA8-2D00-4AA2-9EE9-89359ABBB6CB}"/>
    <cellStyle name="Normal 9 2 3 2 5 4" xfId="11233" xr:uid="{FFE8F06C-DC1A-467F-9191-C9B83D8F18C4}"/>
    <cellStyle name="Normal 9 2 3 2 5 4 2" xfId="47575" xr:uid="{86E5EC4B-5EB9-4D8A-9E5C-E9E671C6DDC5}"/>
    <cellStyle name="Normal 9 2 3 2 5 4 3" xfId="28979" xr:uid="{56DA879D-CC24-4F7A-9913-11E213D7F020}"/>
    <cellStyle name="Normal 9 2 3 2 5 5" xfId="38278" xr:uid="{69BE2FD8-D57A-413C-B65B-122A37B55E69}"/>
    <cellStyle name="Normal 9 2 3 2 5 6" xfId="19680" xr:uid="{81DB56D5-F2E8-48A6-8466-059084BD017C}"/>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18008" xr:uid="{B872ED18-8556-4DAC-AF46-38C3907C42C8}"/>
    <cellStyle name="Normal 9 2 3 2 6 2 2 2 2" xfId="54350" xr:uid="{CD158A1C-65B2-481D-9BB4-544645DBD4D6}"/>
    <cellStyle name="Normal 9 2 3 2 6 2 2 2 3" xfId="35754" xr:uid="{20EFDC70-76B1-4A46-AF08-B015A0CB2F43}"/>
    <cellStyle name="Normal 9 2 3 2 6 2 2 3" xfId="45053" xr:uid="{97D2F4C5-C0B5-4EE3-AEAE-597E360F1C82}"/>
    <cellStyle name="Normal 9 2 3 2 6 2 2 4" xfId="26455" xr:uid="{E2C6BF23-89F8-4562-92AB-6D13A6D4B008}"/>
    <cellStyle name="Normal 9 2 3 2 6 2 3" xfId="13791" xr:uid="{39FF2107-1246-4EC5-91D8-991BC03357D8}"/>
    <cellStyle name="Normal 9 2 3 2 6 2 3 2" xfId="50133" xr:uid="{32A6A08C-788F-4EC5-A6B2-6BB798949B44}"/>
    <cellStyle name="Normal 9 2 3 2 6 2 3 3" xfId="31537" xr:uid="{D4BDAD88-0150-4BC5-A2A5-EE84A77FBE1D}"/>
    <cellStyle name="Normal 9 2 3 2 6 2 4" xfId="40836" xr:uid="{863A82A0-098E-4449-BDD2-644717535679}"/>
    <cellStyle name="Normal 9 2 3 2 6 2 5" xfId="22238" xr:uid="{67AD7142-954B-4544-9C97-F504F231B990}"/>
    <cellStyle name="Normal 9 2 3 2 6 3" xfId="6537" xr:uid="{00000000-0005-0000-0000-0000311F0000}"/>
    <cellStyle name="Normal 9 2 3 2 6 3 2" xfId="15863" xr:uid="{10EA586C-929A-4127-A9DC-5F40C18C0C1E}"/>
    <cellStyle name="Normal 9 2 3 2 6 3 2 2" xfId="52205" xr:uid="{B9D46941-430D-49A2-986E-C47A7842B333}"/>
    <cellStyle name="Normal 9 2 3 2 6 3 2 3" xfId="33609" xr:uid="{525E4559-BF9C-4CB5-9A25-5A92C83B84B0}"/>
    <cellStyle name="Normal 9 2 3 2 6 3 3" xfId="42908" xr:uid="{EC23FBA6-5A1F-486D-9E86-639365D40B10}"/>
    <cellStyle name="Normal 9 2 3 2 6 3 4" xfId="24310" xr:uid="{248DA0A1-66CB-4AC5-B44D-5C5E4A985ED8}"/>
    <cellStyle name="Normal 9 2 3 2 6 4" xfId="11646" xr:uid="{FFE94FDC-2E99-4D62-9DD2-E9155D01C8A1}"/>
    <cellStyle name="Normal 9 2 3 2 6 4 2" xfId="47988" xr:uid="{0600D129-AA87-4C53-8EAE-FFC63ABE2156}"/>
    <cellStyle name="Normal 9 2 3 2 6 4 3" xfId="29392" xr:uid="{A09F781E-D948-48FE-8705-8F1E45495225}"/>
    <cellStyle name="Normal 9 2 3 2 6 5" xfId="38691" xr:uid="{7950CD16-771A-4232-92C7-45A3FD69B165}"/>
    <cellStyle name="Normal 9 2 3 2 6 6" xfId="20093" xr:uid="{E5016425-AE6C-4CC7-A7C5-3172410BEB96}"/>
    <cellStyle name="Normal 9 2 3 2 7" xfId="2667" xr:uid="{00000000-0005-0000-0000-0000321F0000}"/>
    <cellStyle name="Normal 9 2 3 2 7 2" xfId="6950" xr:uid="{00000000-0005-0000-0000-0000331F0000}"/>
    <cellStyle name="Normal 9 2 3 2 7 2 2" xfId="16276" xr:uid="{F7894198-132B-47C8-A0A8-98666F71938C}"/>
    <cellStyle name="Normal 9 2 3 2 7 2 2 2" xfId="52618" xr:uid="{D2FB0407-78F7-44A4-A51C-CF6CAB08C431}"/>
    <cellStyle name="Normal 9 2 3 2 7 2 2 3" xfId="34022" xr:uid="{5B2AA382-6DFC-4CB4-98A0-28E012BF89C3}"/>
    <cellStyle name="Normal 9 2 3 2 7 2 3" xfId="43321" xr:uid="{2CFEF3AD-32D6-4352-9E6D-F353325D6203}"/>
    <cellStyle name="Normal 9 2 3 2 7 2 4" xfId="24723" xr:uid="{958D460C-9EE0-4B28-AE8F-FCD5867100FB}"/>
    <cellStyle name="Normal 9 2 3 2 7 3" xfId="12059" xr:uid="{28443B6E-88B6-4033-99D1-340E25205E3D}"/>
    <cellStyle name="Normal 9 2 3 2 7 3 2" xfId="48401" xr:uid="{5A26FE17-E8C5-41F7-9938-126DDDA430E2}"/>
    <cellStyle name="Normal 9 2 3 2 7 3 3" xfId="29805" xr:uid="{FC56384F-0268-4C8A-A8FF-79DD696E48FF}"/>
    <cellStyle name="Normal 9 2 3 2 7 4" xfId="39104" xr:uid="{042D3B77-86AC-4EC5-82A6-3D7242B160B4}"/>
    <cellStyle name="Normal 9 2 3 2 7 5" xfId="20506" xr:uid="{70C51E81-0858-4976-8BE5-8CC41306270D}"/>
    <cellStyle name="Normal 9 2 3 2 8" xfId="4885" xr:uid="{00000000-0005-0000-0000-0000341F0000}"/>
    <cellStyle name="Normal 9 2 3 2 8 2" xfId="14211" xr:uid="{58F5667F-68EE-4A96-8B1A-8E9A91CF7A18}"/>
    <cellStyle name="Normal 9 2 3 2 8 2 2" xfId="50553" xr:uid="{E352D0E5-D4A5-4723-B3B3-3FEE8915A2EB}"/>
    <cellStyle name="Normal 9 2 3 2 8 2 3" xfId="31957" xr:uid="{8B13F3C6-927F-4893-A639-54BC537CDBC7}"/>
    <cellStyle name="Normal 9 2 3 2 8 3" xfId="41256" xr:uid="{8E975C28-FC52-4BC0-8DF8-0948C9FCA9AF}"/>
    <cellStyle name="Normal 9 2 3 2 8 4" xfId="22658" xr:uid="{37CC2C0B-6A67-49EA-B625-C3DBA324F4F7}"/>
    <cellStyle name="Normal 9 2 3 2 9" xfId="8941" xr:uid="{DDA1E375-E708-45D0-9119-207D493A75BA}"/>
    <cellStyle name="Normal 9 2 3 2 9 2" xfId="36011" xr:uid="{7941F282-89D6-4E23-AAA2-9CB488EBD510}"/>
    <cellStyle name="Normal 9 2 3 2 9 2 2" xfId="54606" xr:uid="{A4D7D744-9209-40B2-A16F-9CA62638E88A}"/>
    <cellStyle name="Normal 9 2 3 2 9 3" xfId="45309" xr:uid="{3DBDF4DE-C43A-4875-8B4E-3CA7A0B44CF4}"/>
    <cellStyle name="Normal 9 2 3 2 9 4" xfId="26712" xr:uid="{97326EA8-9FB7-410C-91A4-DC60F859030B}"/>
    <cellStyle name="Normal 9 2 3 3" xfId="523" xr:uid="{00000000-0005-0000-0000-0000351F0000}"/>
    <cellStyle name="Normal 9 2 3 3 10" xfId="37041" xr:uid="{40207757-482F-41C2-B64C-D585D6C07EF2}"/>
    <cellStyle name="Normal 9 2 3 3 11" xfId="18443" xr:uid="{5FE9D74E-BD8F-428B-90EC-8C6C4083B084}"/>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16771" xr:uid="{D03E95F2-E310-48D5-A6B3-17FFEF69644C}"/>
    <cellStyle name="Normal 9 2 3 3 2 2 2 2 2" xfId="53113" xr:uid="{3FE7E856-B04B-44C8-B0CA-477A16C6BFB6}"/>
    <cellStyle name="Normal 9 2 3 3 2 2 2 2 3" xfId="34517" xr:uid="{A2EBE222-FD41-4959-8332-EB9F19F4B200}"/>
    <cellStyle name="Normal 9 2 3 3 2 2 2 3" xfId="43816" xr:uid="{E2D9FF73-FEE3-4F5F-933D-3E273A4749F4}"/>
    <cellStyle name="Normal 9 2 3 3 2 2 2 4" xfId="25218" xr:uid="{1761B738-D36A-4B07-8043-96E132BD0CA3}"/>
    <cellStyle name="Normal 9 2 3 3 2 2 3" xfId="12554" xr:uid="{5328D687-AC24-4660-9B6B-F4C8417F2778}"/>
    <cellStyle name="Normal 9 2 3 3 2 2 3 2" xfId="48896" xr:uid="{B5C453BF-9CD7-4B51-BE18-FEDA47853BF8}"/>
    <cellStyle name="Normal 9 2 3 3 2 2 3 3" xfId="30300" xr:uid="{D62B4171-8DE1-4FF7-B585-828CDF6FCC00}"/>
    <cellStyle name="Normal 9 2 3 3 2 2 4" xfId="39599" xr:uid="{D9FF227E-45C9-4997-93CD-BBBD336811AC}"/>
    <cellStyle name="Normal 9 2 3 3 2 2 5" xfId="21001" xr:uid="{7ECD81A7-D4E8-4859-8A8A-3267BC2AE16E}"/>
    <cellStyle name="Normal 9 2 3 3 2 3" xfId="5300" xr:uid="{00000000-0005-0000-0000-0000391F0000}"/>
    <cellStyle name="Normal 9 2 3 3 2 3 2" xfId="14626" xr:uid="{BDA6C68D-C96F-4778-9F17-BEB4BB4072B2}"/>
    <cellStyle name="Normal 9 2 3 3 2 3 2 2" xfId="50968" xr:uid="{5ED3F61F-9032-4C27-B5B8-E631AE73AC8E}"/>
    <cellStyle name="Normal 9 2 3 3 2 3 2 3" xfId="32372" xr:uid="{EF82E51E-B893-42DC-9EE5-DE38A4F1B770}"/>
    <cellStyle name="Normal 9 2 3 3 2 3 3" xfId="41671" xr:uid="{F4D3C4E5-EABD-41E6-94B9-D5E5D76A024C}"/>
    <cellStyle name="Normal 9 2 3 3 2 3 4" xfId="23073" xr:uid="{81B4FC76-91A7-43D1-9E21-AFABAE3D60F4}"/>
    <cellStyle name="Normal 9 2 3 3 2 4" xfId="9470" xr:uid="{B46EA5E7-4A9D-405A-94B0-2C155F0DE1F1}"/>
    <cellStyle name="Normal 9 2 3 3 2 4 2" xfId="36531" xr:uid="{C50DBB9C-664A-4EF1-ABD8-49BE6A765005}"/>
    <cellStyle name="Normal 9 2 3 3 2 4 2 2" xfId="55125" xr:uid="{819E107D-08C0-4530-B6BB-4EBF725EA71A}"/>
    <cellStyle name="Normal 9 2 3 3 2 4 3" xfId="45828" xr:uid="{C93CE6C6-ADA2-4FD6-9E84-43E2A30127AA}"/>
    <cellStyle name="Normal 9 2 3 3 2 4 4" xfId="27232" xr:uid="{F378D8AD-4697-4A6C-AFA3-F3B3750CA1A8}"/>
    <cellStyle name="Normal 9 2 3 3 2 5" xfId="10409" xr:uid="{E21D3138-C399-4620-9E66-8E3D6BF5A5AF}"/>
    <cellStyle name="Normal 9 2 3 3 2 5 2" xfId="46751" xr:uid="{6DBFF5FE-BFC4-4FD8-8454-63350BD272B7}"/>
    <cellStyle name="Normal 9 2 3 3 2 5 3" xfId="28155" xr:uid="{48507933-3E13-46C2-915B-F3834E80D0A9}"/>
    <cellStyle name="Normal 9 2 3 3 2 6" xfId="37454" xr:uid="{2E003E0B-3F9F-40CE-994F-73F6612971EA}"/>
    <cellStyle name="Normal 9 2 3 3 2 7" xfId="18856" xr:uid="{13DD60A8-2C3F-4A9B-B0C8-FB949E509DBA}"/>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17184" xr:uid="{FDD6C16C-166C-46FF-9B39-E74C1CBF10F6}"/>
    <cellStyle name="Normal 9 2 3 3 3 2 2 2 2" xfId="53526" xr:uid="{4B93D0F0-15F3-4DF0-8B00-1C0CBE81554E}"/>
    <cellStyle name="Normal 9 2 3 3 3 2 2 2 3" xfId="34930" xr:uid="{9B0E55B6-098D-45F4-BFAF-80A108CB74B2}"/>
    <cellStyle name="Normal 9 2 3 3 3 2 2 3" xfId="44229" xr:uid="{CB4648B4-0A4C-47E5-81BE-635F699FB76B}"/>
    <cellStyle name="Normal 9 2 3 3 3 2 2 4" xfId="25631" xr:uid="{2ADF0D68-361D-49A9-A472-6B856E7FA193}"/>
    <cellStyle name="Normal 9 2 3 3 3 2 3" xfId="12967" xr:uid="{69973CA6-6BCC-4982-85EE-A878A038E5EF}"/>
    <cellStyle name="Normal 9 2 3 3 3 2 3 2" xfId="49309" xr:uid="{25EE65B4-AA52-4D65-AB5B-D5C452AF6D10}"/>
    <cellStyle name="Normal 9 2 3 3 3 2 3 3" xfId="30713" xr:uid="{CE99CA21-D80E-48FF-8B89-02436E96EE8C}"/>
    <cellStyle name="Normal 9 2 3 3 3 2 4" xfId="40012" xr:uid="{266EDF00-283A-492D-94D7-29CC26935DE9}"/>
    <cellStyle name="Normal 9 2 3 3 3 2 5" xfId="21414" xr:uid="{BA85CD0F-BA57-409F-A888-A609C3749A05}"/>
    <cellStyle name="Normal 9 2 3 3 3 3" xfId="5713" xr:uid="{00000000-0005-0000-0000-00003D1F0000}"/>
    <cellStyle name="Normal 9 2 3 3 3 3 2" xfId="15039" xr:uid="{85717394-57B0-4358-A6D9-43CB51E171A0}"/>
    <cellStyle name="Normal 9 2 3 3 3 3 2 2" xfId="51381" xr:uid="{4A21B2F0-1C76-4421-B582-105736B4C2AE}"/>
    <cellStyle name="Normal 9 2 3 3 3 3 2 3" xfId="32785" xr:uid="{9D77D195-3952-4646-953F-5C69A45E88B4}"/>
    <cellStyle name="Normal 9 2 3 3 3 3 3" xfId="42084" xr:uid="{434A94B2-60D2-4383-AC8E-DA8698EC7D79}"/>
    <cellStyle name="Normal 9 2 3 3 3 3 4" xfId="23486" xr:uid="{9CE112BF-7FDE-4506-A15A-486F0AFBEDFA}"/>
    <cellStyle name="Normal 9 2 3 3 3 4" xfId="10822" xr:uid="{129D706B-72BA-4CA5-9EC9-27A424B9AE3F}"/>
    <cellStyle name="Normal 9 2 3 3 3 4 2" xfId="47164" xr:uid="{8EDB7548-7259-483C-8C9E-E43352743134}"/>
    <cellStyle name="Normal 9 2 3 3 3 4 3" xfId="28568" xr:uid="{D462B4FF-7149-48D7-B3F3-96B7610DBBD2}"/>
    <cellStyle name="Normal 9 2 3 3 3 5" xfId="37867" xr:uid="{0761C8A5-577D-4ABF-A8F1-AAB74A426306}"/>
    <cellStyle name="Normal 9 2 3 3 3 6" xfId="19269" xr:uid="{2291E0F7-2391-442A-89AE-95FBC096EC66}"/>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17597" xr:uid="{288A2E90-978B-4A0D-9CAB-0CF2822C0432}"/>
    <cellStyle name="Normal 9 2 3 3 4 2 2 2 2" xfId="53939" xr:uid="{A335A1F5-2D5A-44CC-890C-9E37D990BDCC}"/>
    <cellStyle name="Normal 9 2 3 3 4 2 2 2 3" xfId="35343" xr:uid="{9666933A-B6C6-4609-A7F0-0BA4955823C4}"/>
    <cellStyle name="Normal 9 2 3 3 4 2 2 3" xfId="44642" xr:uid="{5A921701-3808-47F2-B0CF-90CC51762493}"/>
    <cellStyle name="Normal 9 2 3 3 4 2 2 4" xfId="26044" xr:uid="{939A05C2-12C2-46C3-96A8-00D34915DF25}"/>
    <cellStyle name="Normal 9 2 3 3 4 2 3" xfId="13380" xr:uid="{E631CE4F-D0CA-48C5-89C8-D561DEBFB4D2}"/>
    <cellStyle name="Normal 9 2 3 3 4 2 3 2" xfId="49722" xr:uid="{BF462938-20C1-46C9-8A71-DBBC96B9A062}"/>
    <cellStyle name="Normal 9 2 3 3 4 2 3 3" xfId="31126" xr:uid="{4372D178-5039-4828-A8AC-1494E2FB4C1D}"/>
    <cellStyle name="Normal 9 2 3 3 4 2 4" xfId="40425" xr:uid="{07FC5E3A-D04F-4039-84E0-6BA810105018}"/>
    <cellStyle name="Normal 9 2 3 3 4 2 5" xfId="21827" xr:uid="{4EB022AA-D4EB-4C48-BA85-252BA3B5A4DC}"/>
    <cellStyle name="Normal 9 2 3 3 4 3" xfId="6126" xr:uid="{00000000-0005-0000-0000-0000411F0000}"/>
    <cellStyle name="Normal 9 2 3 3 4 3 2" xfId="15452" xr:uid="{5E4A55AE-CDE7-4FF2-BBB6-D95AA988B1A3}"/>
    <cellStyle name="Normal 9 2 3 3 4 3 2 2" xfId="51794" xr:uid="{ADB90422-48F6-4F7B-A4E5-1C977715D807}"/>
    <cellStyle name="Normal 9 2 3 3 4 3 2 3" xfId="33198" xr:uid="{7251C8AF-B818-4CC7-861C-1982458D05DB}"/>
    <cellStyle name="Normal 9 2 3 3 4 3 3" xfId="42497" xr:uid="{F2C1B85D-D4F3-40CD-959A-0A7B7EB55C3B}"/>
    <cellStyle name="Normal 9 2 3 3 4 3 4" xfId="23899" xr:uid="{5FBF9C46-7D3C-4C1F-A1AF-F5EDB3486C6B}"/>
    <cellStyle name="Normal 9 2 3 3 4 4" xfId="11235" xr:uid="{982EDEA0-CF27-485E-AFD7-E760D731304F}"/>
    <cellStyle name="Normal 9 2 3 3 4 4 2" xfId="47577" xr:uid="{776F4DFE-8F0C-4A0F-862F-F6E45F103FD8}"/>
    <cellStyle name="Normal 9 2 3 3 4 4 3" xfId="28981" xr:uid="{A6AE2286-D789-4F79-B1CB-5598128FCE73}"/>
    <cellStyle name="Normal 9 2 3 3 4 5" xfId="38280" xr:uid="{843660D9-C6C6-4856-9289-47C9A8F3D862}"/>
    <cellStyle name="Normal 9 2 3 3 4 6" xfId="19682" xr:uid="{47DEA78D-3627-484C-8462-EF49B17811E7}"/>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18010" xr:uid="{B62F05F5-92CE-4DA4-BADC-FB8303462D33}"/>
    <cellStyle name="Normal 9 2 3 3 5 2 2 2 2" xfId="54352" xr:uid="{EE999241-D7D7-4B52-9076-1C93D3F5B877}"/>
    <cellStyle name="Normal 9 2 3 3 5 2 2 2 3" xfId="35756" xr:uid="{82865597-0243-4903-8190-15A9BF06D9CD}"/>
    <cellStyle name="Normal 9 2 3 3 5 2 2 3" xfId="45055" xr:uid="{FA2C8848-A4BE-40E7-956C-CF7E7513909B}"/>
    <cellStyle name="Normal 9 2 3 3 5 2 2 4" xfId="26457" xr:uid="{07AD7A1F-7D6B-42D6-BED4-99F57FFCAD24}"/>
    <cellStyle name="Normal 9 2 3 3 5 2 3" xfId="13793" xr:uid="{D4BE7087-4BF6-48BE-9CA2-DE36C53D8B8E}"/>
    <cellStyle name="Normal 9 2 3 3 5 2 3 2" xfId="50135" xr:uid="{A63CDE48-FAC5-4733-B44B-B3B10EF7FAB7}"/>
    <cellStyle name="Normal 9 2 3 3 5 2 3 3" xfId="31539" xr:uid="{45BBC8E3-89BC-4D4A-BB31-3DA6CBEDC23A}"/>
    <cellStyle name="Normal 9 2 3 3 5 2 4" xfId="40838" xr:uid="{F2AE7191-33BF-49DD-B555-C2DEDBA30E36}"/>
    <cellStyle name="Normal 9 2 3 3 5 2 5" xfId="22240" xr:uid="{598C999D-9C3F-4B7A-89D4-D2F52BE08B7C}"/>
    <cellStyle name="Normal 9 2 3 3 5 3" xfId="6539" xr:uid="{00000000-0005-0000-0000-0000451F0000}"/>
    <cellStyle name="Normal 9 2 3 3 5 3 2" xfId="15865" xr:uid="{E2B3E516-2428-4BDE-BCDD-3D8F7773541F}"/>
    <cellStyle name="Normal 9 2 3 3 5 3 2 2" xfId="52207" xr:uid="{BECA0FCC-9C90-400A-86F0-F69406A023A9}"/>
    <cellStyle name="Normal 9 2 3 3 5 3 2 3" xfId="33611" xr:uid="{F4110C91-41FC-4D30-9833-1D1AE628DD14}"/>
    <cellStyle name="Normal 9 2 3 3 5 3 3" xfId="42910" xr:uid="{B0920AA8-DF97-44C7-BA50-54B638A95BE2}"/>
    <cellStyle name="Normal 9 2 3 3 5 3 4" xfId="24312" xr:uid="{B3E770C4-9FE3-4B88-8009-A46F2615D0DD}"/>
    <cellStyle name="Normal 9 2 3 3 5 4" xfId="11648" xr:uid="{DB18738C-3C9A-4787-9247-6A77847CA21D}"/>
    <cellStyle name="Normal 9 2 3 3 5 4 2" xfId="47990" xr:uid="{EEC56104-F0C3-40B6-89B2-AC4295EE4AC9}"/>
    <cellStyle name="Normal 9 2 3 3 5 4 3" xfId="29394" xr:uid="{038A09AA-4425-4CD7-A15E-B811BC71144E}"/>
    <cellStyle name="Normal 9 2 3 3 5 5" xfId="38693" xr:uid="{88E4B02D-278E-4B9A-A075-F6B7D0C67F68}"/>
    <cellStyle name="Normal 9 2 3 3 5 6" xfId="20095" xr:uid="{3E7DE963-4D86-4D50-ADA6-71474858C2A7}"/>
    <cellStyle name="Normal 9 2 3 3 6" xfId="2669" xr:uid="{00000000-0005-0000-0000-0000461F0000}"/>
    <cellStyle name="Normal 9 2 3 3 6 2" xfId="6952" xr:uid="{00000000-0005-0000-0000-0000471F0000}"/>
    <cellStyle name="Normal 9 2 3 3 6 2 2" xfId="16278" xr:uid="{41FF0EB3-6703-4AEE-8263-65CBA8CD47B2}"/>
    <cellStyle name="Normal 9 2 3 3 6 2 2 2" xfId="52620" xr:uid="{12FE984A-76C6-48BB-9F02-83B942559D1C}"/>
    <cellStyle name="Normal 9 2 3 3 6 2 2 3" xfId="34024" xr:uid="{09E92002-40B7-4129-9E49-607AA3B5D9CC}"/>
    <cellStyle name="Normal 9 2 3 3 6 2 3" xfId="43323" xr:uid="{D91A8413-7B0E-4B05-9DE5-8C27ECB52C4B}"/>
    <cellStyle name="Normal 9 2 3 3 6 2 4" xfId="24725" xr:uid="{C886D3E2-94FC-4873-9B47-2B00316261EB}"/>
    <cellStyle name="Normal 9 2 3 3 6 3" xfId="12061" xr:uid="{53358AC6-DA3C-46EF-926A-F7988867B11A}"/>
    <cellStyle name="Normal 9 2 3 3 6 3 2" xfId="48403" xr:uid="{5F112DCC-4E9D-4EE0-A678-2EC8AC52C688}"/>
    <cellStyle name="Normal 9 2 3 3 6 3 3" xfId="29807" xr:uid="{E0B323B6-CD02-4AC3-A6D8-C071F1F07A11}"/>
    <cellStyle name="Normal 9 2 3 3 6 4" xfId="39106" xr:uid="{AA90D093-87D5-4EC6-A6F4-E52430DB8CF0}"/>
    <cellStyle name="Normal 9 2 3 3 6 5" xfId="20508" xr:uid="{86FC37EC-DEC9-426F-A36C-2B62E43C0AA7}"/>
    <cellStyle name="Normal 9 2 3 3 7" xfId="4887" xr:uid="{00000000-0005-0000-0000-0000481F0000}"/>
    <cellStyle name="Normal 9 2 3 3 7 2" xfId="14213" xr:uid="{9CD893CC-178E-478F-AD04-41FF93F531E9}"/>
    <cellStyle name="Normal 9 2 3 3 7 2 2" xfId="50555" xr:uid="{8BB8EE5B-D701-4DC5-8E11-D253DDD81882}"/>
    <cellStyle name="Normal 9 2 3 3 7 2 3" xfId="31959" xr:uid="{43EEB812-85E3-4F54-90F3-BCC58F55D1A2}"/>
    <cellStyle name="Normal 9 2 3 3 7 3" xfId="41258" xr:uid="{7BB48308-49C1-4AB7-9BDD-ED99B270498C}"/>
    <cellStyle name="Normal 9 2 3 3 7 4" xfId="22660" xr:uid="{4763B89B-D186-489E-81A8-78794F01F4AE}"/>
    <cellStyle name="Normal 9 2 3 3 8" xfId="9045" xr:uid="{CD23D75F-FCE1-471A-A55A-DAC6FB15D069}"/>
    <cellStyle name="Normal 9 2 3 3 8 2" xfId="36115" xr:uid="{666B0F76-4795-4D65-AC7D-D72E0BEAC111}"/>
    <cellStyle name="Normal 9 2 3 3 8 2 2" xfId="54710" xr:uid="{FDAE2B08-51C5-4F90-8E86-7813F0421CF6}"/>
    <cellStyle name="Normal 9 2 3 3 8 3" xfId="45413" xr:uid="{B9F3624F-B476-4075-B749-3585BB194A7E}"/>
    <cellStyle name="Normal 9 2 3 3 8 4" xfId="26816" xr:uid="{773CCB11-F126-493E-AF2D-FD3BFE3C0271}"/>
    <cellStyle name="Normal 9 2 3 3 9" xfId="9996" xr:uid="{2679C4E5-BB81-4B46-A9DC-61DB81C0154F}"/>
    <cellStyle name="Normal 9 2 3 3 9 2" xfId="46338" xr:uid="{91FB8E12-0039-48A6-B4CA-827978280EB9}"/>
    <cellStyle name="Normal 9 2 3 3 9 3" xfId="27742" xr:uid="{D0EEDE2D-97A0-4A26-A29A-7378F485F9EA}"/>
    <cellStyle name="Normal 9 2 3 4" xfId="987" xr:uid="{00000000-0005-0000-0000-0000491F0000}"/>
    <cellStyle name="Normal 9 2 3 4 2" xfId="3220" xr:uid="{00000000-0005-0000-0000-00004A1F0000}"/>
    <cellStyle name="Normal 9 2 3 4 2 2" xfId="7442" xr:uid="{00000000-0005-0000-0000-00004B1F0000}"/>
    <cellStyle name="Normal 9 2 3 4 2 2 2" xfId="16768" xr:uid="{91B54190-50DB-46A1-B0D2-EDB59C430470}"/>
    <cellStyle name="Normal 9 2 3 4 2 2 2 2" xfId="53110" xr:uid="{E3AC3770-3BF2-4549-B854-66D6BC0A5DF4}"/>
    <cellStyle name="Normal 9 2 3 4 2 2 2 3" xfId="34514" xr:uid="{F2A6A723-6A38-48A1-B676-1FC4731B6A41}"/>
    <cellStyle name="Normal 9 2 3 4 2 2 3" xfId="43813" xr:uid="{BBE08A26-BCE8-44C9-91F1-F1B3C0BC6AAA}"/>
    <cellStyle name="Normal 9 2 3 4 2 2 4" xfId="25215" xr:uid="{AC22DCBD-D1AF-4E56-A5EF-6E00079C4F56}"/>
    <cellStyle name="Normal 9 2 3 4 2 3" xfId="12551" xr:uid="{85E10FE2-DD59-4E5C-902D-CCFDBF851077}"/>
    <cellStyle name="Normal 9 2 3 4 2 3 2" xfId="48893" xr:uid="{8678FF71-57D8-4A48-A59F-4FA9C6476DDA}"/>
    <cellStyle name="Normal 9 2 3 4 2 3 3" xfId="30297" xr:uid="{69BEB4D3-DD50-4106-822C-4EBBE7D2405D}"/>
    <cellStyle name="Normal 9 2 3 4 2 4" xfId="39596" xr:uid="{0E54007E-CD38-466D-82B9-2A119A3A5AF2}"/>
    <cellStyle name="Normal 9 2 3 4 2 5" xfId="20998" xr:uid="{8EF3BEDD-4977-4822-93C0-EEF727B1F305}"/>
    <cellStyle name="Normal 9 2 3 4 3" xfId="5297" xr:uid="{00000000-0005-0000-0000-00004C1F0000}"/>
    <cellStyle name="Normal 9 2 3 4 3 2" xfId="14623" xr:uid="{86F43F4D-898B-4906-8EE7-40FB3A35E164}"/>
    <cellStyle name="Normal 9 2 3 4 3 2 2" xfId="50965" xr:uid="{FCA0A2FD-63A7-41CD-9241-F385E4910180}"/>
    <cellStyle name="Normal 9 2 3 4 3 2 3" xfId="32369" xr:uid="{44D63E9D-1633-40EB-96EA-731730596593}"/>
    <cellStyle name="Normal 9 2 3 4 3 3" xfId="41668" xr:uid="{707A51C9-B8E4-42C3-B169-22FE89AB62F9}"/>
    <cellStyle name="Normal 9 2 3 4 3 4" xfId="23070" xr:uid="{A7255B61-2582-499D-9FD9-128E508158DD}"/>
    <cellStyle name="Normal 9 2 3 4 4" xfId="9263" xr:uid="{8E7B719A-F76B-4A2B-A5A7-1A883FD6976F}"/>
    <cellStyle name="Normal 9 2 3 4 4 2" xfId="36324" xr:uid="{CC7AF4B6-8A71-40C0-80DB-9398EE96ECFA}"/>
    <cellStyle name="Normal 9 2 3 4 4 2 2" xfId="54918" xr:uid="{1C87F93E-5B17-401B-9F04-7EAF9EAAE766}"/>
    <cellStyle name="Normal 9 2 3 4 4 3" xfId="45621" xr:uid="{48ACC03B-0802-4E7B-AB0F-657C4B5E2D98}"/>
    <cellStyle name="Normal 9 2 3 4 4 4" xfId="27025" xr:uid="{D6A64F33-71D6-4CAF-86E2-E8A390F4BA5C}"/>
    <cellStyle name="Normal 9 2 3 4 5" xfId="10406" xr:uid="{7FDEB891-758B-4AC2-A0C0-3954E89FE929}"/>
    <cellStyle name="Normal 9 2 3 4 5 2" xfId="46748" xr:uid="{1A5B5FE1-8E90-4892-B07C-00EEC16C77AA}"/>
    <cellStyle name="Normal 9 2 3 4 5 3" xfId="28152" xr:uid="{ECB063D0-E3D2-443B-80A0-7B1AD9F6C06C}"/>
    <cellStyle name="Normal 9 2 3 4 6" xfId="37451" xr:uid="{E3B02043-E4F9-4F6D-875C-06DACF026733}"/>
    <cellStyle name="Normal 9 2 3 4 7" xfId="18853" xr:uid="{5D2AFDAD-E692-4401-BFFC-E1699BBB1FEC}"/>
    <cellStyle name="Normal 9 2 3 5" xfId="1403" xr:uid="{00000000-0005-0000-0000-00004D1F0000}"/>
    <cellStyle name="Normal 9 2 3 5 2" xfId="3633" xr:uid="{00000000-0005-0000-0000-00004E1F0000}"/>
    <cellStyle name="Normal 9 2 3 5 2 2" xfId="7855" xr:uid="{00000000-0005-0000-0000-00004F1F0000}"/>
    <cellStyle name="Normal 9 2 3 5 2 2 2" xfId="17181" xr:uid="{32E54176-B0B8-45BE-9DEE-75CF1E970984}"/>
    <cellStyle name="Normal 9 2 3 5 2 2 2 2" xfId="53523" xr:uid="{3607FEC3-D78A-49B6-B5D2-85BD18CF254B}"/>
    <cellStyle name="Normal 9 2 3 5 2 2 2 3" xfId="34927" xr:uid="{EBC76D23-0FED-4C75-89D0-9FF94643E89B}"/>
    <cellStyle name="Normal 9 2 3 5 2 2 3" xfId="44226" xr:uid="{E8ED1E7A-0B5E-49A5-88E1-264D59E7B526}"/>
    <cellStyle name="Normal 9 2 3 5 2 2 4" xfId="25628" xr:uid="{B77B932F-3BF4-48AE-BD78-03A66965D7C7}"/>
    <cellStyle name="Normal 9 2 3 5 2 3" xfId="12964" xr:uid="{912C3C0D-47DC-4345-BF56-92A8338B6B60}"/>
    <cellStyle name="Normal 9 2 3 5 2 3 2" xfId="49306" xr:uid="{4DD10458-92E6-430C-AEF2-CAA0B4261474}"/>
    <cellStyle name="Normal 9 2 3 5 2 3 3" xfId="30710" xr:uid="{6F9C992B-F489-4D9B-B72A-ACDF68DBF6A9}"/>
    <cellStyle name="Normal 9 2 3 5 2 4" xfId="40009" xr:uid="{F278CE43-68CA-49BF-88ED-962FE061820B}"/>
    <cellStyle name="Normal 9 2 3 5 2 5" xfId="21411" xr:uid="{B60950FE-E320-4BEC-8829-30D127DD76C9}"/>
    <cellStyle name="Normal 9 2 3 5 3" xfId="5710" xr:uid="{00000000-0005-0000-0000-0000501F0000}"/>
    <cellStyle name="Normal 9 2 3 5 3 2" xfId="15036" xr:uid="{CE5EA00B-0CC1-4382-9920-DDC436ACC889}"/>
    <cellStyle name="Normal 9 2 3 5 3 2 2" xfId="51378" xr:uid="{EF58ECFF-C45C-4624-89B9-ED39DE6C71D2}"/>
    <cellStyle name="Normal 9 2 3 5 3 2 3" xfId="32782" xr:uid="{C743C5E3-9D86-4DF4-9F3E-5B97EB78A505}"/>
    <cellStyle name="Normal 9 2 3 5 3 3" xfId="42081" xr:uid="{C90670D1-91B3-470E-A3AD-957E067C01BF}"/>
    <cellStyle name="Normal 9 2 3 5 3 4" xfId="23483" xr:uid="{B1BD1E53-574B-4DCA-B705-2CF306EE532E}"/>
    <cellStyle name="Normal 9 2 3 5 4" xfId="10819" xr:uid="{8349BFD3-A675-49B4-9C1F-DFCFFB01F095}"/>
    <cellStyle name="Normal 9 2 3 5 4 2" xfId="47161" xr:uid="{3471047B-1F98-4598-BFC6-60233E48EB36}"/>
    <cellStyle name="Normal 9 2 3 5 4 3" xfId="28565" xr:uid="{215D0934-28D3-483E-8618-EADD13B0CB18}"/>
    <cellStyle name="Normal 9 2 3 5 5" xfId="37864" xr:uid="{6C09807A-3390-497D-8658-AF26F7308329}"/>
    <cellStyle name="Normal 9 2 3 5 6" xfId="19266" xr:uid="{483DB461-7895-4950-99FA-5D2501746467}"/>
    <cellStyle name="Normal 9 2 3 6" xfId="1816" xr:uid="{00000000-0005-0000-0000-0000511F0000}"/>
    <cellStyle name="Normal 9 2 3 6 2" xfId="4046" xr:uid="{00000000-0005-0000-0000-0000521F0000}"/>
    <cellStyle name="Normal 9 2 3 6 2 2" xfId="8268" xr:uid="{00000000-0005-0000-0000-0000531F0000}"/>
    <cellStyle name="Normal 9 2 3 6 2 2 2" xfId="17594" xr:uid="{9370B02D-528F-4F92-BBBB-340C481570AC}"/>
    <cellStyle name="Normal 9 2 3 6 2 2 2 2" xfId="53936" xr:uid="{442D349E-085A-46AE-9B7C-3FDADEC24E71}"/>
    <cellStyle name="Normal 9 2 3 6 2 2 2 3" xfId="35340" xr:uid="{1C8D4B84-3DC3-42BF-B8CD-BAE394970BEC}"/>
    <cellStyle name="Normal 9 2 3 6 2 2 3" xfId="44639" xr:uid="{5482B6D7-9053-475C-A2EB-66B2756A575A}"/>
    <cellStyle name="Normal 9 2 3 6 2 2 4" xfId="26041" xr:uid="{98E03563-8632-4D56-BCA8-A63AA87E7E80}"/>
    <cellStyle name="Normal 9 2 3 6 2 3" xfId="13377" xr:uid="{93132CA3-0DC4-4709-9F59-2BBBEDD34292}"/>
    <cellStyle name="Normal 9 2 3 6 2 3 2" xfId="49719" xr:uid="{C4287FC6-E636-4F3D-8451-1D4B1C861E77}"/>
    <cellStyle name="Normal 9 2 3 6 2 3 3" xfId="31123" xr:uid="{93C4B333-41CA-4D64-BEEA-504849AE9CBE}"/>
    <cellStyle name="Normal 9 2 3 6 2 4" xfId="40422" xr:uid="{3B2FBF5B-48C6-4F0A-8222-DACD7F2EC569}"/>
    <cellStyle name="Normal 9 2 3 6 2 5" xfId="21824" xr:uid="{2D345324-F96C-4ED4-BF47-E9E3DDE30718}"/>
    <cellStyle name="Normal 9 2 3 6 3" xfId="6123" xr:uid="{00000000-0005-0000-0000-0000541F0000}"/>
    <cellStyle name="Normal 9 2 3 6 3 2" xfId="15449" xr:uid="{E44892CF-ECDF-452F-96D6-A396774BD2DE}"/>
    <cellStyle name="Normal 9 2 3 6 3 2 2" xfId="51791" xr:uid="{ECAA65A1-F508-47EB-9622-3CE855308821}"/>
    <cellStyle name="Normal 9 2 3 6 3 2 3" xfId="33195" xr:uid="{EF0F79F3-38CC-4101-AE22-956930F98EF5}"/>
    <cellStyle name="Normal 9 2 3 6 3 3" xfId="42494" xr:uid="{1495D59D-D62B-4449-9171-AFEDBB5CFCB9}"/>
    <cellStyle name="Normal 9 2 3 6 3 4" xfId="23896" xr:uid="{CA9F08B1-FE70-40FF-97AF-1F4A678C1370}"/>
    <cellStyle name="Normal 9 2 3 6 4" xfId="11232" xr:uid="{BFE6398D-DB62-4B31-AA77-DC9BF2028560}"/>
    <cellStyle name="Normal 9 2 3 6 4 2" xfId="47574" xr:uid="{7555B8AF-4CD7-4923-9F6D-5B4BF0A4B555}"/>
    <cellStyle name="Normal 9 2 3 6 4 3" xfId="28978" xr:uid="{1858E8B8-AE76-4375-96A8-76C9E855EF72}"/>
    <cellStyle name="Normal 9 2 3 6 5" xfId="38277" xr:uid="{15A16906-5645-4875-AF24-59284BB643DD}"/>
    <cellStyle name="Normal 9 2 3 6 6" xfId="19679" xr:uid="{BAE4EC45-9FBF-4270-970A-64227EF90518}"/>
    <cellStyle name="Normal 9 2 3 7" xfId="2230" xr:uid="{00000000-0005-0000-0000-0000551F0000}"/>
    <cellStyle name="Normal 9 2 3 7 2" xfId="4459" xr:uid="{00000000-0005-0000-0000-0000561F0000}"/>
    <cellStyle name="Normal 9 2 3 7 2 2" xfId="8681" xr:uid="{00000000-0005-0000-0000-0000571F0000}"/>
    <cellStyle name="Normal 9 2 3 7 2 2 2" xfId="18007" xr:uid="{986F1952-3DBA-49DD-95B9-E9E417931B6F}"/>
    <cellStyle name="Normal 9 2 3 7 2 2 2 2" xfId="54349" xr:uid="{0F8441BA-E83A-42ED-9BFD-FF4E2D044C8B}"/>
    <cellStyle name="Normal 9 2 3 7 2 2 2 3" xfId="35753" xr:uid="{FFE842B6-F68A-413F-BC0E-91EE50D2A732}"/>
    <cellStyle name="Normal 9 2 3 7 2 2 3" xfId="45052" xr:uid="{201C5F24-49DA-4108-8F6C-C4D104599AF0}"/>
    <cellStyle name="Normal 9 2 3 7 2 2 4" xfId="26454" xr:uid="{94EA5421-B756-421A-A653-154900AD0678}"/>
    <cellStyle name="Normal 9 2 3 7 2 3" xfId="13790" xr:uid="{26D76183-8959-4D1D-86D8-850804351B29}"/>
    <cellStyle name="Normal 9 2 3 7 2 3 2" xfId="50132" xr:uid="{F5A1052B-9FC3-4E6A-8C16-EC469832885C}"/>
    <cellStyle name="Normal 9 2 3 7 2 3 3" xfId="31536" xr:uid="{EC4757B3-631F-4B7D-9D06-108D699002E4}"/>
    <cellStyle name="Normal 9 2 3 7 2 4" xfId="40835" xr:uid="{7B33D5AF-A73E-460F-B695-A9A818592B78}"/>
    <cellStyle name="Normal 9 2 3 7 2 5" xfId="22237" xr:uid="{8519D93A-F96E-4713-9B48-F741E791CEFA}"/>
    <cellStyle name="Normal 9 2 3 7 3" xfId="6536" xr:uid="{00000000-0005-0000-0000-0000581F0000}"/>
    <cellStyle name="Normal 9 2 3 7 3 2" xfId="15862" xr:uid="{FEA924E0-66A7-4193-9CD6-AF7BC97AE72E}"/>
    <cellStyle name="Normal 9 2 3 7 3 2 2" xfId="52204" xr:uid="{AA60152E-8F1A-4B6B-95A9-6F35BCDDF81C}"/>
    <cellStyle name="Normal 9 2 3 7 3 2 3" xfId="33608" xr:uid="{5A8CCCE1-0D69-48B6-8427-F8618D9C8FC3}"/>
    <cellStyle name="Normal 9 2 3 7 3 3" xfId="42907" xr:uid="{6E8E34FD-0B7D-401F-8CFF-981406CC90A7}"/>
    <cellStyle name="Normal 9 2 3 7 3 4" xfId="24309" xr:uid="{4FAD5F6B-CBA7-42B5-ABD6-7550D0177147}"/>
    <cellStyle name="Normal 9 2 3 7 4" xfId="11645" xr:uid="{1BD141B1-CC9B-41DE-A182-B926D685E083}"/>
    <cellStyle name="Normal 9 2 3 7 4 2" xfId="47987" xr:uid="{FE9A9814-AA36-44B3-893A-65F1EBE07488}"/>
    <cellStyle name="Normal 9 2 3 7 4 3" xfId="29391" xr:uid="{4916CC67-98F7-4CA2-8573-32084EB7C25F}"/>
    <cellStyle name="Normal 9 2 3 7 5" xfId="38690" xr:uid="{FDAC8652-845F-4610-BB97-19EBF349072D}"/>
    <cellStyle name="Normal 9 2 3 7 6" xfId="20092" xr:uid="{69A32462-C45F-4D63-A06B-252C5161C3B3}"/>
    <cellStyle name="Normal 9 2 3 8" xfId="2666" xr:uid="{00000000-0005-0000-0000-0000591F0000}"/>
    <cellStyle name="Normal 9 2 3 8 2" xfId="6949" xr:uid="{00000000-0005-0000-0000-00005A1F0000}"/>
    <cellStyle name="Normal 9 2 3 8 2 2" xfId="16275" xr:uid="{5FA3C6CC-3260-46B9-B6D3-2B45C1DE428D}"/>
    <cellStyle name="Normal 9 2 3 8 2 2 2" xfId="52617" xr:uid="{C1D467B8-3E2F-48B5-8895-5DEAAB7A8B0D}"/>
    <cellStyle name="Normal 9 2 3 8 2 2 3" xfId="34021" xr:uid="{102E77DD-3FEC-4E0E-9264-ECA48FB3284A}"/>
    <cellStyle name="Normal 9 2 3 8 2 3" xfId="43320" xr:uid="{4A45B296-E66A-45B3-9E0B-98F3A4EC1762}"/>
    <cellStyle name="Normal 9 2 3 8 2 4" xfId="24722" xr:uid="{2242DECF-8450-4089-BDE6-4EECFEB38BE6}"/>
    <cellStyle name="Normal 9 2 3 8 3" xfId="12058" xr:uid="{38403CD5-77A0-405D-9826-15215981B5D9}"/>
    <cellStyle name="Normal 9 2 3 8 3 2" xfId="48400" xr:uid="{4F9B9E0B-3044-4554-8DD2-DD0063367C87}"/>
    <cellStyle name="Normal 9 2 3 8 3 3" xfId="29804" xr:uid="{BCC11DD4-1832-4773-93B1-B8C2CDFAFB3F}"/>
    <cellStyle name="Normal 9 2 3 8 4" xfId="39103" xr:uid="{A698C752-7A16-4F42-80D5-153E97646C6A}"/>
    <cellStyle name="Normal 9 2 3 8 5" xfId="20505" xr:uid="{2331EE35-53D5-4B68-B209-F78E6B9C7991}"/>
    <cellStyle name="Normal 9 2 3 9" xfId="4884" xr:uid="{00000000-0005-0000-0000-00005B1F0000}"/>
    <cellStyle name="Normal 9 2 3 9 2" xfId="14210" xr:uid="{4BF855AD-B5AC-4A3B-B6C2-FB75D28BCB21}"/>
    <cellStyle name="Normal 9 2 3 9 2 2" xfId="50552" xr:uid="{04E29E3C-3814-4580-A576-F24993059828}"/>
    <cellStyle name="Normal 9 2 3 9 2 3" xfId="31956" xr:uid="{CE3E0200-BC81-4F50-B8B8-211936468514}"/>
    <cellStyle name="Normal 9 2 3 9 3" xfId="41255" xr:uid="{77251C1F-B2D5-4E20-86D8-499E2E9E0664}"/>
    <cellStyle name="Normal 9 2 3 9 4" xfId="22657" xr:uid="{ED08E31C-48F4-4B0B-A051-616A3D436ACC}"/>
    <cellStyle name="Normal 9 2 4" xfId="524" xr:uid="{00000000-0005-0000-0000-00005C1F0000}"/>
    <cellStyle name="Normal 9 2 4 10" xfId="9997" xr:uid="{AC8C9F85-96BE-4DA1-A11C-3E79E72F95FF}"/>
    <cellStyle name="Normal 9 2 4 10 2" xfId="46339" xr:uid="{8D71A15C-9447-49EE-805F-8E273E82BBF2}"/>
    <cellStyle name="Normal 9 2 4 10 3" xfId="27743" xr:uid="{2EA3C4F1-F52D-4EAA-873B-788120400B06}"/>
    <cellStyle name="Normal 9 2 4 11" xfId="37042" xr:uid="{56756EFD-E5DD-46ED-BAD9-FDBB18DA1BE1}"/>
    <cellStyle name="Normal 9 2 4 12" xfId="18444" xr:uid="{9095083B-6B96-49EF-82B5-C1C96CEF80A5}"/>
    <cellStyle name="Normal 9 2 4 2" xfId="525" xr:uid="{00000000-0005-0000-0000-00005D1F0000}"/>
    <cellStyle name="Normal 9 2 4 2 10" xfId="37043" xr:uid="{E026F4A2-0253-4C42-8F55-D6F753391F07}"/>
    <cellStyle name="Normal 9 2 4 2 11" xfId="18445" xr:uid="{878C65EE-F43E-4341-8672-9F05058D5F21}"/>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16773" xr:uid="{D807AF1C-BA37-481D-AD16-B7903D6091E1}"/>
    <cellStyle name="Normal 9 2 4 2 2 2 2 2 2" xfId="53115" xr:uid="{5BE525F4-371D-4F98-A0AF-CFC7BF7E99A6}"/>
    <cellStyle name="Normal 9 2 4 2 2 2 2 2 3" xfId="34519" xr:uid="{D2F59793-E8CF-48FF-B18E-98D62CBF1390}"/>
    <cellStyle name="Normal 9 2 4 2 2 2 2 3" xfId="43818" xr:uid="{95981263-2099-46E7-A58A-0A687E115046}"/>
    <cellStyle name="Normal 9 2 4 2 2 2 2 4" xfId="25220" xr:uid="{C4D45D88-7A7A-43B2-B352-B8F1931B4E11}"/>
    <cellStyle name="Normal 9 2 4 2 2 2 3" xfId="12556" xr:uid="{541F8C2F-F009-4494-B1F0-8581058B8F12}"/>
    <cellStyle name="Normal 9 2 4 2 2 2 3 2" xfId="48898" xr:uid="{49512375-610B-4298-8A15-0F831D06368A}"/>
    <cellStyle name="Normal 9 2 4 2 2 2 3 3" xfId="30302" xr:uid="{CD03E998-79C9-4239-97FF-648C322C19C5}"/>
    <cellStyle name="Normal 9 2 4 2 2 2 4" xfId="39601" xr:uid="{CC7D0752-9EA2-4CFC-8519-4353F1E33B3B}"/>
    <cellStyle name="Normal 9 2 4 2 2 2 5" xfId="21003" xr:uid="{87360AF1-BEA8-4803-933E-7F1BB4E3F847}"/>
    <cellStyle name="Normal 9 2 4 2 2 3" xfId="5302" xr:uid="{00000000-0005-0000-0000-0000611F0000}"/>
    <cellStyle name="Normal 9 2 4 2 2 3 2" xfId="14628" xr:uid="{F2E26283-F34C-4DA0-A39E-51901F70E3F6}"/>
    <cellStyle name="Normal 9 2 4 2 2 3 2 2" xfId="50970" xr:uid="{82D3259F-ECD3-4DA0-8A61-C5F333BFDF9F}"/>
    <cellStyle name="Normal 9 2 4 2 2 3 2 3" xfId="32374" xr:uid="{226A2832-38BB-4615-8850-419404C35F03}"/>
    <cellStyle name="Normal 9 2 4 2 2 3 3" xfId="41673" xr:uid="{EF3A767F-D813-4137-974D-6F8E4F2524EB}"/>
    <cellStyle name="Normal 9 2 4 2 2 3 4" xfId="23075" xr:uid="{68F521B8-08C6-4467-8356-252C17CC9270}"/>
    <cellStyle name="Normal 9 2 4 2 2 4" xfId="9489" xr:uid="{4BA9DC16-58A7-4D6B-90A6-6BB0C51A0279}"/>
    <cellStyle name="Normal 9 2 4 2 2 4 2" xfId="36550" xr:uid="{3C371037-7286-4672-9273-90EB26C28E07}"/>
    <cellStyle name="Normal 9 2 4 2 2 4 2 2" xfId="55144" xr:uid="{54D875D3-35F4-42E0-BFD7-C3F1D58D26A1}"/>
    <cellStyle name="Normal 9 2 4 2 2 4 3" xfId="45847" xr:uid="{2B126B98-517A-4C0C-8033-044948E8F935}"/>
    <cellStyle name="Normal 9 2 4 2 2 4 4" xfId="27251" xr:uid="{C76035B7-E044-4BA6-82E7-7555AB32A29B}"/>
    <cellStyle name="Normal 9 2 4 2 2 5" xfId="10411" xr:uid="{678AD227-2B81-42F0-BCFA-C1CD3B9C3A28}"/>
    <cellStyle name="Normal 9 2 4 2 2 5 2" xfId="46753" xr:uid="{85ACF119-A564-46B5-9AC8-71F0417D21C8}"/>
    <cellStyle name="Normal 9 2 4 2 2 5 3" xfId="28157" xr:uid="{83258BCB-3705-45C2-8BA1-E713D74B97BC}"/>
    <cellStyle name="Normal 9 2 4 2 2 6" xfId="37456" xr:uid="{42B8151A-04DC-4D46-9AB9-5F3A1F4BF40A}"/>
    <cellStyle name="Normal 9 2 4 2 2 7" xfId="18858" xr:uid="{045A03C7-D3AA-4659-80DD-3B17740D7AE7}"/>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17186" xr:uid="{E5B5C85A-B120-45BE-A060-2E22598E087C}"/>
    <cellStyle name="Normal 9 2 4 2 3 2 2 2 2" xfId="53528" xr:uid="{0530DA99-7713-4D80-8894-15FCDD94D588}"/>
    <cellStyle name="Normal 9 2 4 2 3 2 2 2 3" xfId="34932" xr:uid="{3C02EDCE-C998-4951-B3A7-612DF3753656}"/>
    <cellStyle name="Normal 9 2 4 2 3 2 2 3" xfId="44231" xr:uid="{84CACE20-CFBB-438D-A74A-02A52C129C59}"/>
    <cellStyle name="Normal 9 2 4 2 3 2 2 4" xfId="25633" xr:uid="{95DD7199-5F6C-42C9-A2EE-A23AAAC30436}"/>
    <cellStyle name="Normal 9 2 4 2 3 2 3" xfId="12969" xr:uid="{28430E7A-D477-406B-B2ED-587DE68740EB}"/>
    <cellStyle name="Normal 9 2 4 2 3 2 3 2" xfId="49311" xr:uid="{B71B2B59-9D7A-4655-B5CE-C88232DB0730}"/>
    <cellStyle name="Normal 9 2 4 2 3 2 3 3" xfId="30715" xr:uid="{7D04D540-A0A2-4EEA-93CB-B5705EA8B349}"/>
    <cellStyle name="Normal 9 2 4 2 3 2 4" xfId="40014" xr:uid="{C0E12AE6-53E7-4494-8C79-0F0194D6C47F}"/>
    <cellStyle name="Normal 9 2 4 2 3 2 5" xfId="21416" xr:uid="{D35E9175-6626-4C85-97A7-7D175797D378}"/>
    <cellStyle name="Normal 9 2 4 2 3 3" xfId="5715" xr:uid="{00000000-0005-0000-0000-0000651F0000}"/>
    <cellStyle name="Normal 9 2 4 2 3 3 2" xfId="15041" xr:uid="{C9462057-EEE4-4552-87EE-0F3F9B8CC7F6}"/>
    <cellStyle name="Normal 9 2 4 2 3 3 2 2" xfId="51383" xr:uid="{27C59B85-BDB3-4FED-A51D-5D765347B522}"/>
    <cellStyle name="Normal 9 2 4 2 3 3 2 3" xfId="32787" xr:uid="{1FD374FB-508A-4BE2-9014-CB2614191F72}"/>
    <cellStyle name="Normal 9 2 4 2 3 3 3" xfId="42086" xr:uid="{EF3F7E68-2A60-4287-8557-8044B8C6804B}"/>
    <cellStyle name="Normal 9 2 4 2 3 3 4" xfId="23488" xr:uid="{A910B4D0-C20A-4E54-B582-FBA08CFD62E9}"/>
    <cellStyle name="Normal 9 2 4 2 3 4" xfId="10824" xr:uid="{F3EE1ADF-DF48-4424-A613-B8E359FDCFBF}"/>
    <cellStyle name="Normal 9 2 4 2 3 4 2" xfId="47166" xr:uid="{49B0A5E8-49B7-40D6-B7F5-EC20E5AFB31F}"/>
    <cellStyle name="Normal 9 2 4 2 3 4 3" xfId="28570" xr:uid="{DD0EC889-15F2-4013-8339-F99ED0DE2A1B}"/>
    <cellStyle name="Normal 9 2 4 2 3 5" xfId="37869" xr:uid="{24583B86-AD08-4039-9507-47BA1BACE303}"/>
    <cellStyle name="Normal 9 2 4 2 3 6" xfId="19271" xr:uid="{8795440F-287C-4C87-B866-A229273C94FF}"/>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17599" xr:uid="{35B08C64-86AE-4648-9B9C-B3DC85373962}"/>
    <cellStyle name="Normal 9 2 4 2 4 2 2 2 2" xfId="53941" xr:uid="{7E2458E2-6742-42AE-8827-042D519606A5}"/>
    <cellStyle name="Normal 9 2 4 2 4 2 2 2 3" xfId="35345" xr:uid="{B98AFD39-0285-4C23-93CC-12CA9CF412D5}"/>
    <cellStyle name="Normal 9 2 4 2 4 2 2 3" xfId="44644" xr:uid="{3B648BD1-2186-404A-8C44-158783034785}"/>
    <cellStyle name="Normal 9 2 4 2 4 2 2 4" xfId="26046" xr:uid="{389069A5-692B-4774-981D-F89630EADB89}"/>
    <cellStyle name="Normal 9 2 4 2 4 2 3" xfId="13382" xr:uid="{F2E46008-A97E-42A4-AD24-6B642A91F7D5}"/>
    <cellStyle name="Normal 9 2 4 2 4 2 3 2" xfId="49724" xr:uid="{493C366F-7CA6-41AA-BF76-AB81E9DEADF1}"/>
    <cellStyle name="Normal 9 2 4 2 4 2 3 3" xfId="31128" xr:uid="{D0B08824-D8BD-478A-9D63-F972FA5F0186}"/>
    <cellStyle name="Normal 9 2 4 2 4 2 4" xfId="40427" xr:uid="{A79BD629-D687-4A49-9978-81EB71AD6A17}"/>
    <cellStyle name="Normal 9 2 4 2 4 2 5" xfId="21829" xr:uid="{C30ADB9A-2778-4932-9254-88DB6A6DF73C}"/>
    <cellStyle name="Normal 9 2 4 2 4 3" xfId="6128" xr:uid="{00000000-0005-0000-0000-0000691F0000}"/>
    <cellStyle name="Normal 9 2 4 2 4 3 2" xfId="15454" xr:uid="{2B4643A1-D8D7-4795-BE19-FC042C1035E4}"/>
    <cellStyle name="Normal 9 2 4 2 4 3 2 2" xfId="51796" xr:uid="{89C055DF-5C5A-4122-8A6B-CAB420ECB9D5}"/>
    <cellStyle name="Normal 9 2 4 2 4 3 2 3" xfId="33200" xr:uid="{509578CE-DFC3-4ED0-B223-A76FAD129942}"/>
    <cellStyle name="Normal 9 2 4 2 4 3 3" xfId="42499" xr:uid="{80F4F56C-B731-4C18-9FA5-8B6CF496035C}"/>
    <cellStyle name="Normal 9 2 4 2 4 3 4" xfId="23901" xr:uid="{D7060325-BE3F-4204-B4B0-AD339915414A}"/>
    <cellStyle name="Normal 9 2 4 2 4 4" xfId="11237" xr:uid="{00A06FFB-3209-4099-A431-CC08D8761B62}"/>
    <cellStyle name="Normal 9 2 4 2 4 4 2" xfId="47579" xr:uid="{1F46494F-098B-4FD0-943B-3F5425E78B41}"/>
    <cellStyle name="Normal 9 2 4 2 4 4 3" xfId="28983" xr:uid="{C6B1ACF2-477C-4972-B267-930A6FD98EFC}"/>
    <cellStyle name="Normal 9 2 4 2 4 5" xfId="38282" xr:uid="{194479EE-619F-4A23-A635-EFABE1886C29}"/>
    <cellStyle name="Normal 9 2 4 2 4 6" xfId="19684" xr:uid="{D4A4C738-E7CE-4AFD-9658-4B32FB83187E}"/>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18012" xr:uid="{4F3F0393-FC70-4809-A9A7-BD3FE6C2F0E3}"/>
    <cellStyle name="Normal 9 2 4 2 5 2 2 2 2" xfId="54354" xr:uid="{67FACF5B-8754-46B7-9E13-FEC2B2E39BB6}"/>
    <cellStyle name="Normal 9 2 4 2 5 2 2 2 3" xfId="35758" xr:uid="{AB28CD30-261C-4F86-A09C-7789E08CAD9C}"/>
    <cellStyle name="Normal 9 2 4 2 5 2 2 3" xfId="45057" xr:uid="{B23BF88D-9A4E-414E-96B9-7E068A3501C2}"/>
    <cellStyle name="Normal 9 2 4 2 5 2 2 4" xfId="26459" xr:uid="{6B051753-F858-4F2E-B2DA-253D89F6A931}"/>
    <cellStyle name="Normal 9 2 4 2 5 2 3" xfId="13795" xr:uid="{A26E9460-8019-4C00-B938-F3CC2DDA6E33}"/>
    <cellStyle name="Normal 9 2 4 2 5 2 3 2" xfId="50137" xr:uid="{B2FEF3BA-A616-4E5A-982C-AF28B0AADB61}"/>
    <cellStyle name="Normal 9 2 4 2 5 2 3 3" xfId="31541" xr:uid="{EA300BB9-BC5E-4E5A-B241-66CB7C10564E}"/>
    <cellStyle name="Normal 9 2 4 2 5 2 4" xfId="40840" xr:uid="{7E0E613D-6ECE-42CE-9AC9-25DE5DCF4449}"/>
    <cellStyle name="Normal 9 2 4 2 5 2 5" xfId="22242" xr:uid="{5FB3EC09-9B6D-416E-8C03-E0384011607D}"/>
    <cellStyle name="Normal 9 2 4 2 5 3" xfId="6541" xr:uid="{00000000-0005-0000-0000-00006D1F0000}"/>
    <cellStyle name="Normal 9 2 4 2 5 3 2" xfId="15867" xr:uid="{0D4EB4D3-7046-4A19-9DE8-D71D402099FB}"/>
    <cellStyle name="Normal 9 2 4 2 5 3 2 2" xfId="52209" xr:uid="{46288CDB-9B53-40DB-A0B0-7FF048332357}"/>
    <cellStyle name="Normal 9 2 4 2 5 3 2 3" xfId="33613" xr:uid="{7E9297CB-7CED-4CCC-96FE-CB9E52303809}"/>
    <cellStyle name="Normal 9 2 4 2 5 3 3" xfId="42912" xr:uid="{E1AD9709-1594-4BE3-A76E-804DD7B632FB}"/>
    <cellStyle name="Normal 9 2 4 2 5 3 4" xfId="24314" xr:uid="{A8297837-767C-47EC-B2E2-C32DD9EE0B7A}"/>
    <cellStyle name="Normal 9 2 4 2 5 4" xfId="11650" xr:uid="{977492C8-9BB5-4387-B1CD-6DFD4FCC8D13}"/>
    <cellStyle name="Normal 9 2 4 2 5 4 2" xfId="47992" xr:uid="{4282BBBF-70E8-4A51-9EEA-DA15B9DFCF58}"/>
    <cellStyle name="Normal 9 2 4 2 5 4 3" xfId="29396" xr:uid="{E776B8A1-254F-4C96-A1B4-B8588F15290C}"/>
    <cellStyle name="Normal 9 2 4 2 5 5" xfId="38695" xr:uid="{1CCC413B-18FB-4D16-B5E7-BB0F9984B68E}"/>
    <cellStyle name="Normal 9 2 4 2 5 6" xfId="20097" xr:uid="{437AAA35-5197-47A1-88E2-E718B157840D}"/>
    <cellStyle name="Normal 9 2 4 2 6" xfId="2671" xr:uid="{00000000-0005-0000-0000-00006E1F0000}"/>
    <cellStyle name="Normal 9 2 4 2 6 2" xfId="6954" xr:uid="{00000000-0005-0000-0000-00006F1F0000}"/>
    <cellStyle name="Normal 9 2 4 2 6 2 2" xfId="16280" xr:uid="{338F7D98-CE76-4B36-BAF2-2915FB4BECBA}"/>
    <cellStyle name="Normal 9 2 4 2 6 2 2 2" xfId="52622" xr:uid="{FF5708E7-A320-4341-ADBB-FA813323A8D3}"/>
    <cellStyle name="Normal 9 2 4 2 6 2 2 3" xfId="34026" xr:uid="{597920D3-42BE-4F45-A301-FE5DF4D0FF37}"/>
    <cellStyle name="Normal 9 2 4 2 6 2 3" xfId="43325" xr:uid="{B303A726-19D4-4C8F-AB5B-FB979D9944DE}"/>
    <cellStyle name="Normal 9 2 4 2 6 2 4" xfId="24727" xr:uid="{09C8293B-1DC6-4490-92C3-FB2D622938EF}"/>
    <cellStyle name="Normal 9 2 4 2 6 3" xfId="12063" xr:uid="{89948AB0-3C0B-4511-B095-7D2C6E81E0C6}"/>
    <cellStyle name="Normal 9 2 4 2 6 3 2" xfId="48405" xr:uid="{0436EB6F-7C0D-4C4E-8E0B-B120A0BCE139}"/>
    <cellStyle name="Normal 9 2 4 2 6 3 3" xfId="29809" xr:uid="{F33CE861-D8CE-4866-9FA5-AAF676B42511}"/>
    <cellStyle name="Normal 9 2 4 2 6 4" xfId="39108" xr:uid="{31EAAB3F-83F0-4808-9006-4CB97048D12C}"/>
    <cellStyle name="Normal 9 2 4 2 6 5" xfId="20510" xr:uid="{D76883AD-9FDA-4F7B-B6A8-3E2327F1268D}"/>
    <cellStyle name="Normal 9 2 4 2 7" xfId="4889" xr:uid="{00000000-0005-0000-0000-0000701F0000}"/>
    <cellStyle name="Normal 9 2 4 2 7 2" xfId="14215" xr:uid="{F194BDAD-164B-4F8F-8BA6-649582D84AFA}"/>
    <cellStyle name="Normal 9 2 4 2 7 2 2" xfId="50557" xr:uid="{6C40035F-E94B-4948-97AF-2D9F1B6631CF}"/>
    <cellStyle name="Normal 9 2 4 2 7 2 3" xfId="31961" xr:uid="{3870F5F8-E23E-4202-97A6-0B9DF5B7788A}"/>
    <cellStyle name="Normal 9 2 4 2 7 3" xfId="41260" xr:uid="{B8E39796-6296-4E97-93ED-5C702087454E}"/>
    <cellStyle name="Normal 9 2 4 2 7 4" xfId="22662" xr:uid="{244A53E9-A17E-41BE-A0A3-F6E9E6385A71}"/>
    <cellStyle name="Normal 9 2 4 2 8" xfId="9064" xr:uid="{7D4090C3-C767-4FFF-8A1F-282B2C8BAE68}"/>
    <cellStyle name="Normal 9 2 4 2 8 2" xfId="36134" xr:uid="{31935652-836C-457D-BE41-6F6C6838F5E5}"/>
    <cellStyle name="Normal 9 2 4 2 8 2 2" xfId="54729" xr:uid="{E56E2783-5005-4502-B99F-E7888FF090B7}"/>
    <cellStyle name="Normal 9 2 4 2 8 3" xfId="45432" xr:uid="{9DD30A9A-5F9D-4100-AE29-D25C58F56FFC}"/>
    <cellStyle name="Normal 9 2 4 2 8 4" xfId="26835" xr:uid="{B06B0D81-824E-4256-9AD2-37B3BB638B05}"/>
    <cellStyle name="Normal 9 2 4 2 9" xfId="9998" xr:uid="{91F01789-F778-45D6-A3EE-02BCD63DC852}"/>
    <cellStyle name="Normal 9 2 4 2 9 2" xfId="46340" xr:uid="{EF8016F5-E778-4623-ADA3-71E54F23A901}"/>
    <cellStyle name="Normal 9 2 4 2 9 3" xfId="27744" xr:uid="{E75C89B0-D0E9-490A-98DB-D2D613F3AB59}"/>
    <cellStyle name="Normal 9 2 4 3" xfId="991" xr:uid="{00000000-0005-0000-0000-0000711F0000}"/>
    <cellStyle name="Normal 9 2 4 3 2" xfId="3224" xr:uid="{00000000-0005-0000-0000-0000721F0000}"/>
    <cellStyle name="Normal 9 2 4 3 2 2" xfId="7446" xr:uid="{00000000-0005-0000-0000-0000731F0000}"/>
    <cellStyle name="Normal 9 2 4 3 2 2 2" xfId="16772" xr:uid="{2D884D1B-16FC-46C4-9148-0AA3553CE617}"/>
    <cellStyle name="Normal 9 2 4 3 2 2 2 2" xfId="53114" xr:uid="{65F8977F-F97E-4368-A2A8-BAE2D6053EAA}"/>
    <cellStyle name="Normal 9 2 4 3 2 2 2 3" xfId="34518" xr:uid="{F7193BD7-C681-401F-A243-0C55C625CB16}"/>
    <cellStyle name="Normal 9 2 4 3 2 2 3" xfId="43817" xr:uid="{5B8A97C6-F84C-4177-8946-877F91351E7E}"/>
    <cellStyle name="Normal 9 2 4 3 2 2 4" xfId="25219" xr:uid="{FD144755-30A2-407B-8C1B-07FC6CF64137}"/>
    <cellStyle name="Normal 9 2 4 3 2 3" xfId="12555" xr:uid="{CD403895-5861-4F80-A427-68D426A9809A}"/>
    <cellStyle name="Normal 9 2 4 3 2 3 2" xfId="48897" xr:uid="{E2A93EBE-3ABE-485D-AB5A-D35A7F45BB8C}"/>
    <cellStyle name="Normal 9 2 4 3 2 3 3" xfId="30301" xr:uid="{8861DFB9-4911-40E8-A89C-E8B8C8862E28}"/>
    <cellStyle name="Normal 9 2 4 3 2 4" xfId="39600" xr:uid="{16A9678C-17E3-40BD-A72A-E2F8315D45E3}"/>
    <cellStyle name="Normal 9 2 4 3 2 5" xfId="21002" xr:uid="{641AF3BB-8101-46DB-8F97-AB98D5CB51A2}"/>
    <cellStyle name="Normal 9 2 4 3 3" xfId="5301" xr:uid="{00000000-0005-0000-0000-0000741F0000}"/>
    <cellStyle name="Normal 9 2 4 3 3 2" xfId="14627" xr:uid="{D04536CC-B149-4FA7-B814-75412BAADF39}"/>
    <cellStyle name="Normal 9 2 4 3 3 2 2" xfId="50969" xr:uid="{7FA0F621-0EC7-4BDF-97C0-7A74E30FC748}"/>
    <cellStyle name="Normal 9 2 4 3 3 2 3" xfId="32373" xr:uid="{CA1F2691-D1CF-4724-8C0F-7489DEAB0F24}"/>
    <cellStyle name="Normal 9 2 4 3 3 3" xfId="41672" xr:uid="{B33F157C-E17D-40E2-8DA0-0C17FCC41E97}"/>
    <cellStyle name="Normal 9 2 4 3 3 4" xfId="23074" xr:uid="{70E76F50-B8F8-4E3C-BFFF-D1AD9190F897}"/>
    <cellStyle name="Normal 9 2 4 3 4" xfId="9282" xr:uid="{2471E5AC-3D06-4E90-9462-C54FACA9B22B}"/>
    <cellStyle name="Normal 9 2 4 3 4 2" xfId="36343" xr:uid="{3A3D882A-87DE-4C8D-9EEA-770C6D1BADD8}"/>
    <cellStyle name="Normal 9 2 4 3 4 2 2" xfId="54937" xr:uid="{DA0F135C-184D-43FE-97E0-D8FFE4DE41EA}"/>
    <cellStyle name="Normal 9 2 4 3 4 3" xfId="45640" xr:uid="{DC0CB4B1-CF2A-44FA-BCEC-B39A4846CDEE}"/>
    <cellStyle name="Normal 9 2 4 3 4 4" xfId="27044" xr:uid="{738DF6FA-3979-4710-B390-F2FDBD0B51FA}"/>
    <cellStyle name="Normal 9 2 4 3 5" xfId="10410" xr:uid="{66C00580-CFE1-43F1-BAE5-7BC79CDC6E76}"/>
    <cellStyle name="Normal 9 2 4 3 5 2" xfId="46752" xr:uid="{05AECA92-6F5B-4F52-BCBB-90D2885BD6C5}"/>
    <cellStyle name="Normal 9 2 4 3 5 3" xfId="28156" xr:uid="{D18B8070-E5E5-4791-A27F-453EBBBC4E1E}"/>
    <cellStyle name="Normal 9 2 4 3 6" xfId="37455" xr:uid="{B222D427-BF61-4AB1-9234-125648DC096F}"/>
    <cellStyle name="Normal 9 2 4 3 7" xfId="18857" xr:uid="{4F7E8673-4CF9-4A10-9155-A7150C0C9C1D}"/>
    <cellStyle name="Normal 9 2 4 4" xfId="1407" xr:uid="{00000000-0005-0000-0000-0000751F0000}"/>
    <cellStyle name="Normal 9 2 4 4 2" xfId="3637" xr:uid="{00000000-0005-0000-0000-0000761F0000}"/>
    <cellStyle name="Normal 9 2 4 4 2 2" xfId="7859" xr:uid="{00000000-0005-0000-0000-0000771F0000}"/>
    <cellStyle name="Normal 9 2 4 4 2 2 2" xfId="17185" xr:uid="{F632638D-F02F-4A8C-9F00-5B89F370F219}"/>
    <cellStyle name="Normal 9 2 4 4 2 2 2 2" xfId="53527" xr:uid="{F40B3258-42D1-4767-B9BC-D4F99830844A}"/>
    <cellStyle name="Normal 9 2 4 4 2 2 2 3" xfId="34931" xr:uid="{72031733-2F69-4B92-9E02-720B32DA4F13}"/>
    <cellStyle name="Normal 9 2 4 4 2 2 3" xfId="44230" xr:uid="{9A8B6580-6A66-4B45-ABED-01C865FE51C9}"/>
    <cellStyle name="Normal 9 2 4 4 2 2 4" xfId="25632" xr:uid="{67827DA5-9954-4E8F-89A1-8F7E482D1EBA}"/>
    <cellStyle name="Normal 9 2 4 4 2 3" xfId="12968" xr:uid="{CD2B732E-E38A-4E21-A936-BF15ED503224}"/>
    <cellStyle name="Normal 9 2 4 4 2 3 2" xfId="49310" xr:uid="{40F85AF2-C7E9-4632-86C2-8CD8656828CA}"/>
    <cellStyle name="Normal 9 2 4 4 2 3 3" xfId="30714" xr:uid="{66277D2A-34F7-45A3-92A8-EDF715884221}"/>
    <cellStyle name="Normal 9 2 4 4 2 4" xfId="40013" xr:uid="{D65BB37D-8672-47D9-9D57-9D378DEA1EB1}"/>
    <cellStyle name="Normal 9 2 4 4 2 5" xfId="21415" xr:uid="{99AF9BBE-67ED-48C5-BFE3-9094143002FF}"/>
    <cellStyle name="Normal 9 2 4 4 3" xfId="5714" xr:uid="{00000000-0005-0000-0000-0000781F0000}"/>
    <cellStyle name="Normal 9 2 4 4 3 2" xfId="15040" xr:uid="{0B699FA0-157B-4D5D-8D09-111C0BC39500}"/>
    <cellStyle name="Normal 9 2 4 4 3 2 2" xfId="51382" xr:uid="{C07E54EA-BD5C-4D9D-B12A-B8D5D85E8099}"/>
    <cellStyle name="Normal 9 2 4 4 3 2 3" xfId="32786" xr:uid="{2856DE98-E6C5-4A39-B71E-78E443547B02}"/>
    <cellStyle name="Normal 9 2 4 4 3 3" xfId="42085" xr:uid="{7DE3258B-E6B0-43B6-881F-627D9FAAE3DF}"/>
    <cellStyle name="Normal 9 2 4 4 3 4" xfId="23487" xr:uid="{C31EA91A-5DE9-43E1-A689-FF91F272193B}"/>
    <cellStyle name="Normal 9 2 4 4 4" xfId="10823" xr:uid="{DC36BCE0-6F34-4EA3-8566-2BD7564C7262}"/>
    <cellStyle name="Normal 9 2 4 4 4 2" xfId="47165" xr:uid="{F04B54F3-2861-4D63-B56B-2CA669C239ED}"/>
    <cellStyle name="Normal 9 2 4 4 4 3" xfId="28569" xr:uid="{5F60C897-EFB1-457B-B365-27B869678202}"/>
    <cellStyle name="Normal 9 2 4 4 5" xfId="37868" xr:uid="{518A3520-5E2A-49A9-9981-2E7059C2606D}"/>
    <cellStyle name="Normal 9 2 4 4 6" xfId="19270" xr:uid="{F5B5D725-4B2D-4708-AD5B-C17A6AFF817B}"/>
    <cellStyle name="Normal 9 2 4 5" xfId="1820" xr:uid="{00000000-0005-0000-0000-0000791F0000}"/>
    <cellStyle name="Normal 9 2 4 5 2" xfId="4050" xr:uid="{00000000-0005-0000-0000-00007A1F0000}"/>
    <cellStyle name="Normal 9 2 4 5 2 2" xfId="8272" xr:uid="{00000000-0005-0000-0000-00007B1F0000}"/>
    <cellStyle name="Normal 9 2 4 5 2 2 2" xfId="17598" xr:uid="{022AFB9C-ADB0-46B9-AB21-6D562183FCD8}"/>
    <cellStyle name="Normal 9 2 4 5 2 2 2 2" xfId="53940" xr:uid="{1259C548-73D1-4286-949F-8109ACE08759}"/>
    <cellStyle name="Normal 9 2 4 5 2 2 2 3" xfId="35344" xr:uid="{57D52893-CF81-42FA-9D88-3C053DE0DB2D}"/>
    <cellStyle name="Normal 9 2 4 5 2 2 3" xfId="44643" xr:uid="{0E4B1BF4-3F06-4CAE-9CC7-85D10E48B3BF}"/>
    <cellStyle name="Normal 9 2 4 5 2 2 4" xfId="26045" xr:uid="{A3D7A553-77DD-4A7B-AE6B-706D9E3DDC70}"/>
    <cellStyle name="Normal 9 2 4 5 2 3" xfId="13381" xr:uid="{EC619A31-2182-4614-B4F2-41A0DF7223CB}"/>
    <cellStyle name="Normal 9 2 4 5 2 3 2" xfId="49723" xr:uid="{87ED81CD-F119-4C42-B3F3-F041FF2A1906}"/>
    <cellStyle name="Normal 9 2 4 5 2 3 3" xfId="31127" xr:uid="{B1487E79-8EC7-4AD1-9A0F-20FB8FB8D35B}"/>
    <cellStyle name="Normal 9 2 4 5 2 4" xfId="40426" xr:uid="{65C403BF-96AF-450D-9702-F32EBC2D212D}"/>
    <cellStyle name="Normal 9 2 4 5 2 5" xfId="21828" xr:uid="{10C134F5-4800-4E9D-809A-C421484A619D}"/>
    <cellStyle name="Normal 9 2 4 5 3" xfId="6127" xr:uid="{00000000-0005-0000-0000-00007C1F0000}"/>
    <cellStyle name="Normal 9 2 4 5 3 2" xfId="15453" xr:uid="{572A5E5A-A37B-4AE2-8045-B5BD352CFD75}"/>
    <cellStyle name="Normal 9 2 4 5 3 2 2" xfId="51795" xr:uid="{0CED15FF-E5CF-4CEB-BE17-9D422F6DDE36}"/>
    <cellStyle name="Normal 9 2 4 5 3 2 3" xfId="33199" xr:uid="{F33262A4-5F4E-4C52-BB29-EDB087DB9B84}"/>
    <cellStyle name="Normal 9 2 4 5 3 3" xfId="42498" xr:uid="{4C0AEAAD-0BAE-44DD-B4C6-35FAC4CFA21F}"/>
    <cellStyle name="Normal 9 2 4 5 3 4" xfId="23900" xr:uid="{4A91BB4D-ACEE-4658-BAD9-4B7C14F11B6B}"/>
    <cellStyle name="Normal 9 2 4 5 4" xfId="11236" xr:uid="{9FAA33F0-5CB4-4260-B45C-48DBB58203D4}"/>
    <cellStyle name="Normal 9 2 4 5 4 2" xfId="47578" xr:uid="{71B154AE-86B0-47FB-92A4-1F09AAA00976}"/>
    <cellStyle name="Normal 9 2 4 5 4 3" xfId="28982" xr:uid="{2A716560-BB8F-4DFE-97B0-3341B3E5F532}"/>
    <cellStyle name="Normal 9 2 4 5 5" xfId="38281" xr:uid="{C510A76F-E1E7-4A00-AEAC-7B78335FF026}"/>
    <cellStyle name="Normal 9 2 4 5 6" xfId="19683" xr:uid="{1C489CB6-C8F2-4B32-B210-D6BBFFE49107}"/>
    <cellStyle name="Normal 9 2 4 6" xfId="2234" xr:uid="{00000000-0005-0000-0000-00007D1F0000}"/>
    <cellStyle name="Normal 9 2 4 6 2" xfId="4463" xr:uid="{00000000-0005-0000-0000-00007E1F0000}"/>
    <cellStyle name="Normal 9 2 4 6 2 2" xfId="8685" xr:uid="{00000000-0005-0000-0000-00007F1F0000}"/>
    <cellStyle name="Normal 9 2 4 6 2 2 2" xfId="18011" xr:uid="{6B8D93BE-4300-4D48-9E74-BAD1D814714A}"/>
    <cellStyle name="Normal 9 2 4 6 2 2 2 2" xfId="54353" xr:uid="{204DED38-006D-4F30-A25A-20DFBBAF3832}"/>
    <cellStyle name="Normal 9 2 4 6 2 2 2 3" xfId="35757" xr:uid="{417EFCE6-2948-4CE3-B312-BAF91763D016}"/>
    <cellStyle name="Normal 9 2 4 6 2 2 3" xfId="45056" xr:uid="{E5E136C3-D1AB-4544-9D09-DD6662B51A4F}"/>
    <cellStyle name="Normal 9 2 4 6 2 2 4" xfId="26458" xr:uid="{B6DF4FD7-913B-4123-B8E5-B933C5727D00}"/>
    <cellStyle name="Normal 9 2 4 6 2 3" xfId="13794" xr:uid="{6F31C7EF-ADD6-4DAD-9A26-1B0636A34CAF}"/>
    <cellStyle name="Normal 9 2 4 6 2 3 2" xfId="50136" xr:uid="{A58A0F52-CE9E-48A8-93DC-7BDFCB6C27B8}"/>
    <cellStyle name="Normal 9 2 4 6 2 3 3" xfId="31540" xr:uid="{43AD52EB-9B78-4375-A7CD-7420B63DAC2B}"/>
    <cellStyle name="Normal 9 2 4 6 2 4" xfId="40839" xr:uid="{B0FE99CA-D036-4DEB-A23B-B947FFE671F7}"/>
    <cellStyle name="Normal 9 2 4 6 2 5" xfId="22241" xr:uid="{128FBA75-7676-44FE-89B1-071DC3EAED5C}"/>
    <cellStyle name="Normal 9 2 4 6 3" xfId="6540" xr:uid="{00000000-0005-0000-0000-0000801F0000}"/>
    <cellStyle name="Normal 9 2 4 6 3 2" xfId="15866" xr:uid="{CAACE9A5-4FB5-4AEB-BA85-B4EDC9C6ADB6}"/>
    <cellStyle name="Normal 9 2 4 6 3 2 2" xfId="52208" xr:uid="{E7E5C659-C55C-4D6F-B56C-E03EB1280F86}"/>
    <cellStyle name="Normal 9 2 4 6 3 2 3" xfId="33612" xr:uid="{2567D120-3B5F-4BD7-B140-B806E3D61EC2}"/>
    <cellStyle name="Normal 9 2 4 6 3 3" xfId="42911" xr:uid="{594D4237-A6F2-42EA-A963-4BF6C306901D}"/>
    <cellStyle name="Normal 9 2 4 6 3 4" xfId="24313" xr:uid="{9DD513A4-119A-4165-8008-9BDECE870127}"/>
    <cellStyle name="Normal 9 2 4 6 4" xfId="11649" xr:uid="{5508786D-466E-42BB-8A04-0E965BC3491B}"/>
    <cellStyle name="Normal 9 2 4 6 4 2" xfId="47991" xr:uid="{13FDDE58-7B7C-4857-9E93-0F333F60EB54}"/>
    <cellStyle name="Normal 9 2 4 6 4 3" xfId="29395" xr:uid="{DCAB99CA-30A9-45CF-A452-D0171B40C9C8}"/>
    <cellStyle name="Normal 9 2 4 6 5" xfId="38694" xr:uid="{69569386-0AE0-4561-AF89-F890C0BBE7CF}"/>
    <cellStyle name="Normal 9 2 4 6 6" xfId="20096" xr:uid="{B6F72786-44D6-40DA-90F5-F2075EBFA0B7}"/>
    <cellStyle name="Normal 9 2 4 7" xfId="2670" xr:uid="{00000000-0005-0000-0000-0000811F0000}"/>
    <cellStyle name="Normal 9 2 4 7 2" xfId="6953" xr:uid="{00000000-0005-0000-0000-0000821F0000}"/>
    <cellStyle name="Normal 9 2 4 7 2 2" xfId="16279" xr:uid="{E405D0AF-DE18-4B79-8172-0811C778AF97}"/>
    <cellStyle name="Normal 9 2 4 7 2 2 2" xfId="52621" xr:uid="{160B8FA8-383D-4A77-A8BB-A8155A2AE1A4}"/>
    <cellStyle name="Normal 9 2 4 7 2 2 3" xfId="34025" xr:uid="{25F024C7-F809-4387-86A7-D85B795030C7}"/>
    <cellStyle name="Normal 9 2 4 7 2 3" xfId="43324" xr:uid="{76986B20-1CC3-42F1-A60D-99DD128792C2}"/>
    <cellStyle name="Normal 9 2 4 7 2 4" xfId="24726" xr:uid="{1E684D3A-97E7-4153-A856-6C673DB05961}"/>
    <cellStyle name="Normal 9 2 4 7 3" xfId="12062" xr:uid="{864EDDEC-C1DE-4ED0-BD0C-06399A4C7B37}"/>
    <cellStyle name="Normal 9 2 4 7 3 2" xfId="48404" xr:uid="{0129CF38-164E-494D-B664-C4A89DA75E81}"/>
    <cellStyle name="Normal 9 2 4 7 3 3" xfId="29808" xr:uid="{1BD17D73-DDD7-4A83-AC6A-E9F9C4F13AEA}"/>
    <cellStyle name="Normal 9 2 4 7 4" xfId="39107" xr:uid="{267A165C-CC1B-46FD-9567-1E3842CA9F82}"/>
    <cellStyle name="Normal 9 2 4 7 5" xfId="20509" xr:uid="{75E125A5-B6AF-4163-949E-26C1D977D956}"/>
    <cellStyle name="Normal 9 2 4 8" xfId="4888" xr:uid="{00000000-0005-0000-0000-0000831F0000}"/>
    <cellStyle name="Normal 9 2 4 8 2" xfId="14214" xr:uid="{7DE8EB30-D3D7-4C8E-8A32-F97DCB7DFE8C}"/>
    <cellStyle name="Normal 9 2 4 8 2 2" xfId="50556" xr:uid="{01269178-812A-4575-A242-309834F8AB72}"/>
    <cellStyle name="Normal 9 2 4 8 2 3" xfId="31960" xr:uid="{D0B32E73-358B-4C9B-9201-611AD819735C}"/>
    <cellStyle name="Normal 9 2 4 8 3" xfId="41259" xr:uid="{1EA19803-4F04-4F8E-9327-68FAB450C2FA}"/>
    <cellStyle name="Normal 9 2 4 8 4" xfId="22661" xr:uid="{1849BB13-991A-43B6-941C-0F71D0E6990E}"/>
    <cellStyle name="Normal 9 2 4 9" xfId="8857" xr:uid="{D785C0E6-B403-4CCC-AB0B-78E822EF1E40}"/>
    <cellStyle name="Normal 9 2 4 9 2" xfId="35927" xr:uid="{0C988795-38C4-4A00-AFA7-580BD622C220}"/>
    <cellStyle name="Normal 9 2 4 9 2 2" xfId="54522" xr:uid="{CB7AE97C-234D-431D-A824-5B1F9C179D90}"/>
    <cellStyle name="Normal 9 2 4 9 3" xfId="45225" xr:uid="{691E9B7A-986C-4288-ABCE-40FC29A76B41}"/>
    <cellStyle name="Normal 9 2 4 9 4" xfId="26628" xr:uid="{76C38301-0203-4F70-B832-C937FB4E392E}"/>
    <cellStyle name="Normal 9 2 5" xfId="526" xr:uid="{00000000-0005-0000-0000-0000841F0000}"/>
    <cellStyle name="Normal 9 2 5 10" xfId="37044" xr:uid="{93E8203B-380C-411A-8AE6-56B2AC6934A8}"/>
    <cellStyle name="Normal 9 2 5 11" xfId="18446" xr:uid="{9ED78C57-FDD4-4D36-A95E-22B5F8238577}"/>
    <cellStyle name="Normal 9 2 5 2" xfId="993" xr:uid="{00000000-0005-0000-0000-0000851F0000}"/>
    <cellStyle name="Normal 9 2 5 2 2" xfId="3226" xr:uid="{00000000-0005-0000-0000-0000861F0000}"/>
    <cellStyle name="Normal 9 2 5 2 2 2" xfId="7448" xr:uid="{00000000-0005-0000-0000-0000871F0000}"/>
    <cellStyle name="Normal 9 2 5 2 2 2 2" xfId="16774" xr:uid="{6545947C-16DA-4BAD-9900-7E476DDE2D39}"/>
    <cellStyle name="Normal 9 2 5 2 2 2 2 2" xfId="53116" xr:uid="{D5C9E7CB-7AB1-4325-97B9-69D0A2F0E704}"/>
    <cellStyle name="Normal 9 2 5 2 2 2 2 3" xfId="34520" xr:uid="{B41B4345-4AA4-45F4-BF91-5F0499554D85}"/>
    <cellStyle name="Normal 9 2 5 2 2 2 3" xfId="43819" xr:uid="{80E20828-8820-447F-8437-25D18D1690B8}"/>
    <cellStyle name="Normal 9 2 5 2 2 2 4" xfId="25221" xr:uid="{06060E89-A120-4838-B9AB-E4B25E06DA8A}"/>
    <cellStyle name="Normal 9 2 5 2 2 3" xfId="12557" xr:uid="{8421AFAB-157B-4C0C-ADE9-B277B46D8731}"/>
    <cellStyle name="Normal 9 2 5 2 2 3 2" xfId="48899" xr:uid="{468A61E7-6CEA-42EA-8859-AFADC7C9B903}"/>
    <cellStyle name="Normal 9 2 5 2 2 3 3" xfId="30303" xr:uid="{B2F7698E-84E2-40D0-B5BC-B151FDE32940}"/>
    <cellStyle name="Normal 9 2 5 2 2 4" xfId="39602" xr:uid="{90E4864D-3992-40C4-BE49-32ABE5A775A6}"/>
    <cellStyle name="Normal 9 2 5 2 2 5" xfId="21004" xr:uid="{8EF3F391-CF79-44D4-818C-A0252559975B}"/>
    <cellStyle name="Normal 9 2 5 2 3" xfId="5303" xr:uid="{00000000-0005-0000-0000-0000881F0000}"/>
    <cellStyle name="Normal 9 2 5 2 3 2" xfId="14629" xr:uid="{2282E85C-3B35-4BE5-92B2-441863E67036}"/>
    <cellStyle name="Normal 9 2 5 2 3 2 2" xfId="50971" xr:uid="{9096293E-9BE6-4781-862F-33AE2978965D}"/>
    <cellStyle name="Normal 9 2 5 2 3 2 3" xfId="32375" xr:uid="{2D216AF5-E2FB-4367-80CD-7BF2637B7D23}"/>
    <cellStyle name="Normal 9 2 5 2 3 3" xfId="41674" xr:uid="{9A3F3B3B-CCBA-46E1-97DB-14C198F11152}"/>
    <cellStyle name="Normal 9 2 5 2 3 4" xfId="23076" xr:uid="{2D6C7EA8-518F-461A-9231-A0D8D39FDD42}"/>
    <cellStyle name="Normal 9 2 5 2 4" xfId="9398" xr:uid="{5B2A416E-986C-4898-8893-9EAFDDDBCDD4}"/>
    <cellStyle name="Normal 9 2 5 2 4 2" xfId="36459" xr:uid="{0E55EC5A-863F-4FAD-94DC-16DE90C2A16E}"/>
    <cellStyle name="Normal 9 2 5 2 4 2 2" xfId="55053" xr:uid="{4DBEFF0B-E407-4E42-AC35-7B9A3FE6BBCF}"/>
    <cellStyle name="Normal 9 2 5 2 4 3" xfId="45756" xr:uid="{14F32322-7FE1-44E4-A6EC-084190803C4B}"/>
    <cellStyle name="Normal 9 2 5 2 4 4" xfId="27160" xr:uid="{A68B1E7A-9930-42D6-AAA5-B740DA2133DA}"/>
    <cellStyle name="Normal 9 2 5 2 5" xfId="10412" xr:uid="{51898124-BA80-4D9E-A879-C425F67D9207}"/>
    <cellStyle name="Normal 9 2 5 2 5 2" xfId="46754" xr:uid="{14C5071F-A07C-478C-844A-F5D22C289640}"/>
    <cellStyle name="Normal 9 2 5 2 5 3" xfId="28158" xr:uid="{83D0D433-931B-405A-B56F-32CD3B220726}"/>
    <cellStyle name="Normal 9 2 5 2 6" xfId="37457" xr:uid="{61B4E24F-6C2F-4280-8CC7-04E9B5511C02}"/>
    <cellStyle name="Normal 9 2 5 2 7" xfId="18859" xr:uid="{B1C3DEA8-C77D-4240-8843-8935FF5DA2DC}"/>
    <cellStyle name="Normal 9 2 5 3" xfId="1409" xr:uid="{00000000-0005-0000-0000-0000891F0000}"/>
    <cellStyle name="Normal 9 2 5 3 2" xfId="3639" xr:uid="{00000000-0005-0000-0000-00008A1F0000}"/>
    <cellStyle name="Normal 9 2 5 3 2 2" xfId="7861" xr:uid="{00000000-0005-0000-0000-00008B1F0000}"/>
    <cellStyle name="Normal 9 2 5 3 2 2 2" xfId="17187" xr:uid="{1F3D1C68-6801-415D-B450-8C70665E3064}"/>
    <cellStyle name="Normal 9 2 5 3 2 2 2 2" xfId="53529" xr:uid="{B66F5BD9-8373-489F-9E56-ECE795129F5A}"/>
    <cellStyle name="Normal 9 2 5 3 2 2 2 3" xfId="34933" xr:uid="{F101C065-F9BF-4FB8-BE0C-A3A6D23A3D80}"/>
    <cellStyle name="Normal 9 2 5 3 2 2 3" xfId="44232" xr:uid="{836950C9-E980-4889-BBDD-D00B1E4FC5A3}"/>
    <cellStyle name="Normal 9 2 5 3 2 2 4" xfId="25634" xr:uid="{42E61E8D-FD59-4B6C-84AD-E53A8583F343}"/>
    <cellStyle name="Normal 9 2 5 3 2 3" xfId="12970" xr:uid="{1E4D00C7-7D2C-4086-A49A-F8B91C1F969A}"/>
    <cellStyle name="Normal 9 2 5 3 2 3 2" xfId="49312" xr:uid="{DA2DE966-382E-496D-A258-1D835305816F}"/>
    <cellStyle name="Normal 9 2 5 3 2 3 3" xfId="30716" xr:uid="{7A91159E-3EA0-447B-9CC1-CD1BD64DEB1E}"/>
    <cellStyle name="Normal 9 2 5 3 2 4" xfId="40015" xr:uid="{C687475D-4364-4D3D-93AA-C0B07B5FAA63}"/>
    <cellStyle name="Normal 9 2 5 3 2 5" xfId="21417" xr:uid="{28A7F474-D25E-4B7C-88E3-26372E6B4D4B}"/>
    <cellStyle name="Normal 9 2 5 3 3" xfId="5716" xr:uid="{00000000-0005-0000-0000-00008C1F0000}"/>
    <cellStyle name="Normal 9 2 5 3 3 2" xfId="15042" xr:uid="{86DE77C9-C14E-4753-B0AC-ACBBA5B2083D}"/>
    <cellStyle name="Normal 9 2 5 3 3 2 2" xfId="51384" xr:uid="{C886A02E-1B60-46A1-913B-8B85750622CB}"/>
    <cellStyle name="Normal 9 2 5 3 3 2 3" xfId="32788" xr:uid="{E6244CBE-4387-4D04-B11F-120E9F249058}"/>
    <cellStyle name="Normal 9 2 5 3 3 3" xfId="42087" xr:uid="{F3E74157-F67F-407E-9427-E9DBE04D7F28}"/>
    <cellStyle name="Normal 9 2 5 3 3 4" xfId="23489" xr:uid="{5258298A-5EF3-4C17-853F-1F80D819CA23}"/>
    <cellStyle name="Normal 9 2 5 3 4" xfId="10825" xr:uid="{7A50944E-FB11-4DBC-8DEC-590E3731FB88}"/>
    <cellStyle name="Normal 9 2 5 3 4 2" xfId="47167" xr:uid="{644CD2BA-0DF4-4722-B2E3-EEE9D5D4FDBC}"/>
    <cellStyle name="Normal 9 2 5 3 4 3" xfId="28571" xr:uid="{94C62857-1D8E-4C86-AC03-E7CD7723821D}"/>
    <cellStyle name="Normal 9 2 5 3 5" xfId="37870" xr:uid="{25CDD322-8912-4036-850C-C58B5EC2DF1D}"/>
    <cellStyle name="Normal 9 2 5 3 6" xfId="19272" xr:uid="{9E1062F9-9F68-4A6E-855D-FB0C96224AE7}"/>
    <cellStyle name="Normal 9 2 5 4" xfId="1822" xr:uid="{00000000-0005-0000-0000-00008D1F0000}"/>
    <cellStyle name="Normal 9 2 5 4 2" xfId="4052" xr:uid="{00000000-0005-0000-0000-00008E1F0000}"/>
    <cellStyle name="Normal 9 2 5 4 2 2" xfId="8274" xr:uid="{00000000-0005-0000-0000-00008F1F0000}"/>
    <cellStyle name="Normal 9 2 5 4 2 2 2" xfId="17600" xr:uid="{9DFB2843-39D2-46EE-B9BC-EC31B2B32110}"/>
    <cellStyle name="Normal 9 2 5 4 2 2 2 2" xfId="53942" xr:uid="{C9155330-5DF1-4240-A1CC-A5EA4CF6691D}"/>
    <cellStyle name="Normal 9 2 5 4 2 2 2 3" xfId="35346" xr:uid="{9DFCEC41-A97D-4452-8D3B-AB20312BDC77}"/>
    <cellStyle name="Normal 9 2 5 4 2 2 3" xfId="44645" xr:uid="{BC538863-3887-4CB8-98D3-E814C4ABE2F0}"/>
    <cellStyle name="Normal 9 2 5 4 2 2 4" xfId="26047" xr:uid="{4AC278E8-EECC-4A5F-A558-6CF7D1BAEF5F}"/>
    <cellStyle name="Normal 9 2 5 4 2 3" xfId="13383" xr:uid="{A5B2AD48-6F58-4AA5-A28A-C5D8C5CEC60B}"/>
    <cellStyle name="Normal 9 2 5 4 2 3 2" xfId="49725" xr:uid="{FD626140-E848-4159-BC8E-4D77CDC7305A}"/>
    <cellStyle name="Normal 9 2 5 4 2 3 3" xfId="31129" xr:uid="{D52AA527-5985-4535-8ABD-75E83863DA9D}"/>
    <cellStyle name="Normal 9 2 5 4 2 4" xfId="40428" xr:uid="{771A38DB-7060-44D4-AE03-80D4951DA48E}"/>
    <cellStyle name="Normal 9 2 5 4 2 5" xfId="21830" xr:uid="{AC731476-D48F-4082-9C56-4BDB8344DE0D}"/>
    <cellStyle name="Normal 9 2 5 4 3" xfId="6129" xr:uid="{00000000-0005-0000-0000-0000901F0000}"/>
    <cellStyle name="Normal 9 2 5 4 3 2" xfId="15455" xr:uid="{BE43C965-6667-49DB-B5B3-210C96C62991}"/>
    <cellStyle name="Normal 9 2 5 4 3 2 2" xfId="51797" xr:uid="{EDC0D274-53E2-4E91-8E92-D687E6E49754}"/>
    <cellStyle name="Normal 9 2 5 4 3 2 3" xfId="33201" xr:uid="{7AF27721-0AF7-469E-B5A1-1E5244C9E716}"/>
    <cellStyle name="Normal 9 2 5 4 3 3" xfId="42500" xr:uid="{99AEE095-AC86-43DA-A774-74F29059DDCE}"/>
    <cellStyle name="Normal 9 2 5 4 3 4" xfId="23902" xr:uid="{E2304302-9A39-4E0B-89B7-97B0B1CBBC89}"/>
    <cellStyle name="Normal 9 2 5 4 4" xfId="11238" xr:uid="{94B9B820-A5DB-4434-A264-B34C2884B811}"/>
    <cellStyle name="Normal 9 2 5 4 4 2" xfId="47580" xr:uid="{6613AB06-C161-4AFD-AB75-A2E157673D2E}"/>
    <cellStyle name="Normal 9 2 5 4 4 3" xfId="28984" xr:uid="{DC918DAF-B826-4502-BA8B-55F5D07C13EF}"/>
    <cellStyle name="Normal 9 2 5 4 5" xfId="38283" xr:uid="{460222B6-E05C-47A2-891E-9E8878DCC3B5}"/>
    <cellStyle name="Normal 9 2 5 4 6" xfId="19685" xr:uid="{1F0D3B01-54A2-4275-9003-902F0FA9D8CE}"/>
    <cellStyle name="Normal 9 2 5 5" xfId="2236" xr:uid="{00000000-0005-0000-0000-0000911F0000}"/>
    <cellStyle name="Normal 9 2 5 5 2" xfId="4465" xr:uid="{00000000-0005-0000-0000-0000921F0000}"/>
    <cellStyle name="Normal 9 2 5 5 2 2" xfId="8687" xr:uid="{00000000-0005-0000-0000-0000931F0000}"/>
    <cellStyle name="Normal 9 2 5 5 2 2 2" xfId="18013" xr:uid="{AC1C5599-4AF2-4D19-8117-FD9F98FEB633}"/>
    <cellStyle name="Normal 9 2 5 5 2 2 2 2" xfId="54355" xr:uid="{E68B3F12-BA79-4060-A74A-577F976DBA03}"/>
    <cellStyle name="Normal 9 2 5 5 2 2 2 3" xfId="35759" xr:uid="{FDBD6C40-DBA5-4D87-A47F-B17187729E2E}"/>
    <cellStyle name="Normal 9 2 5 5 2 2 3" xfId="45058" xr:uid="{AD1C48B9-45D9-4513-9601-9FAA1C8ACFBC}"/>
    <cellStyle name="Normal 9 2 5 5 2 2 4" xfId="26460" xr:uid="{3001BECF-F172-4060-8C75-00237DEA677B}"/>
    <cellStyle name="Normal 9 2 5 5 2 3" xfId="13796" xr:uid="{2C0DDE0A-6120-4166-BD41-FA5617F9EFEA}"/>
    <cellStyle name="Normal 9 2 5 5 2 3 2" xfId="50138" xr:uid="{D7F91B34-641E-40DE-954E-C78753C7AA37}"/>
    <cellStyle name="Normal 9 2 5 5 2 3 3" xfId="31542" xr:uid="{722B7681-AC05-490D-9DA7-1063FEA59599}"/>
    <cellStyle name="Normal 9 2 5 5 2 4" xfId="40841" xr:uid="{2C412DD8-9B20-455D-8A1E-83ECAFC922C1}"/>
    <cellStyle name="Normal 9 2 5 5 2 5" xfId="22243" xr:uid="{E8C62D5A-0C9E-49EE-B1CE-A9B47FCED441}"/>
    <cellStyle name="Normal 9 2 5 5 3" xfId="6542" xr:uid="{00000000-0005-0000-0000-0000941F0000}"/>
    <cellStyle name="Normal 9 2 5 5 3 2" xfId="15868" xr:uid="{484481D8-554C-4B82-BF3B-E960707648AC}"/>
    <cellStyle name="Normal 9 2 5 5 3 2 2" xfId="52210" xr:uid="{73E310CC-9F02-4C71-8B0A-DF422D181047}"/>
    <cellStyle name="Normal 9 2 5 5 3 2 3" xfId="33614" xr:uid="{73A27CE7-7394-4A51-8485-4A74B7CABC0D}"/>
    <cellStyle name="Normal 9 2 5 5 3 3" xfId="42913" xr:uid="{BDE5EA53-08D1-44F4-B376-1AFFBEEDDD9D}"/>
    <cellStyle name="Normal 9 2 5 5 3 4" xfId="24315" xr:uid="{50579A17-5310-473C-94E0-EB7737E02CEA}"/>
    <cellStyle name="Normal 9 2 5 5 4" xfId="11651" xr:uid="{ABBD3445-3951-45F5-A586-86935D5AACDE}"/>
    <cellStyle name="Normal 9 2 5 5 4 2" xfId="47993" xr:uid="{FAE7EA3C-2F5E-48C5-A315-DE6E20ABF8CA}"/>
    <cellStyle name="Normal 9 2 5 5 4 3" xfId="29397" xr:uid="{7C852D25-EA7D-465A-9775-E012F42B0A37}"/>
    <cellStyle name="Normal 9 2 5 5 5" xfId="38696" xr:uid="{83302BCF-EDC6-4862-A04F-74EE95070048}"/>
    <cellStyle name="Normal 9 2 5 5 6" xfId="20098" xr:uid="{6C5F201A-CF2C-4C63-B346-C129029AFAD0}"/>
    <cellStyle name="Normal 9 2 5 6" xfId="2672" xr:uid="{00000000-0005-0000-0000-0000951F0000}"/>
    <cellStyle name="Normal 9 2 5 6 2" xfId="6955" xr:uid="{00000000-0005-0000-0000-0000961F0000}"/>
    <cellStyle name="Normal 9 2 5 6 2 2" xfId="16281" xr:uid="{CD328569-22E5-411D-BD0A-204EF654EC4B}"/>
    <cellStyle name="Normal 9 2 5 6 2 2 2" xfId="52623" xr:uid="{D6FE51A9-3E05-4296-B475-6C5545B86013}"/>
    <cellStyle name="Normal 9 2 5 6 2 2 3" xfId="34027" xr:uid="{DF9CF09E-488C-4671-9777-92D82CE635F3}"/>
    <cellStyle name="Normal 9 2 5 6 2 3" xfId="43326" xr:uid="{342AEFB5-43DA-47C5-89BC-994BE013F0FD}"/>
    <cellStyle name="Normal 9 2 5 6 2 4" xfId="24728" xr:uid="{9758D28B-FDD6-4D5E-A153-6A4D6D1B91AF}"/>
    <cellStyle name="Normal 9 2 5 6 3" xfId="12064" xr:uid="{40CF2C4E-E305-47EA-8237-0CEC50516715}"/>
    <cellStyle name="Normal 9 2 5 6 3 2" xfId="48406" xr:uid="{ED7264E1-F4C8-49F2-8F34-28B9894B838B}"/>
    <cellStyle name="Normal 9 2 5 6 3 3" xfId="29810" xr:uid="{09679560-C780-4AE5-837C-70429B206202}"/>
    <cellStyle name="Normal 9 2 5 6 4" xfId="39109" xr:uid="{58BCDAA2-F7EE-4515-81B1-ABABF82FE365}"/>
    <cellStyle name="Normal 9 2 5 6 5" xfId="20511" xr:uid="{B7EAE8B4-1285-4682-9ADC-15BD8251A6FD}"/>
    <cellStyle name="Normal 9 2 5 7" xfId="4890" xr:uid="{00000000-0005-0000-0000-0000971F0000}"/>
    <cellStyle name="Normal 9 2 5 7 2" xfId="14216" xr:uid="{98E9A896-2A6D-4719-ABEE-9119DFEB8064}"/>
    <cellStyle name="Normal 9 2 5 7 2 2" xfId="50558" xr:uid="{FE434E1E-58D8-4930-AA76-DE001C32B311}"/>
    <cellStyle name="Normal 9 2 5 7 2 3" xfId="31962" xr:uid="{1CFE0370-3545-41F8-A537-A22D10418EF2}"/>
    <cellStyle name="Normal 9 2 5 7 3" xfId="41261" xr:uid="{94918EC4-2CE1-4D91-8EED-6C5EE96F50CE}"/>
    <cellStyle name="Normal 9 2 5 7 4" xfId="22663" xr:uid="{7C68E504-DAB6-495B-B972-9CB4FD47528C}"/>
    <cellStyle name="Normal 9 2 5 8" xfId="8973" xr:uid="{BA9464C2-72F7-4B38-B1BD-6986FFA433D9}"/>
    <cellStyle name="Normal 9 2 5 8 2" xfId="36043" xr:uid="{B52CA505-E443-40FC-8A22-53799813B30B}"/>
    <cellStyle name="Normal 9 2 5 8 2 2" xfId="54638" xr:uid="{E094BD12-9322-4E49-81D4-5036C744A7B7}"/>
    <cellStyle name="Normal 9 2 5 8 3" xfId="45341" xr:uid="{712CDFE2-3A5C-483E-AB6E-3F58C788158D}"/>
    <cellStyle name="Normal 9 2 5 8 4" xfId="26744" xr:uid="{CDD3F0A6-6133-45A9-8459-2ADA1C04FD18}"/>
    <cellStyle name="Normal 9 2 5 9" xfId="9999" xr:uid="{4D485AC9-381A-449B-AA79-0C7F33BDF6B6}"/>
    <cellStyle name="Normal 9 2 5 9 2" xfId="46341" xr:uid="{4DA59911-10A3-4107-960A-BAF197FB3726}"/>
    <cellStyle name="Normal 9 2 5 9 3" xfId="27745" xr:uid="{5DF19A09-915F-46A3-A7C4-D0E86BB44C3B}"/>
    <cellStyle name="Normal 9 2 6" xfId="978" xr:uid="{00000000-0005-0000-0000-0000981F0000}"/>
    <cellStyle name="Normal 9 2 6 2" xfId="3211" xr:uid="{00000000-0005-0000-0000-0000991F0000}"/>
    <cellStyle name="Normal 9 2 6 2 2" xfId="7433" xr:uid="{00000000-0005-0000-0000-00009A1F0000}"/>
    <cellStyle name="Normal 9 2 6 2 2 2" xfId="16759" xr:uid="{0D03E03C-E770-4475-9BC7-AD2D2FE13A03}"/>
    <cellStyle name="Normal 9 2 6 2 2 2 2" xfId="53101" xr:uid="{229A47AF-3D6B-4938-AE57-13D8095D4667}"/>
    <cellStyle name="Normal 9 2 6 2 2 2 3" xfId="34505" xr:uid="{2A62DBEE-7373-4A13-9838-916609F1F5ED}"/>
    <cellStyle name="Normal 9 2 6 2 2 3" xfId="43804" xr:uid="{F86D1FFE-5FCD-4B5A-9F3F-E5BABF7825B3}"/>
    <cellStyle name="Normal 9 2 6 2 2 4" xfId="25206" xr:uid="{7A953617-01E9-498A-9FD4-0C0336B79E7D}"/>
    <cellStyle name="Normal 9 2 6 2 3" xfId="12542" xr:uid="{9ABEB844-3959-43F4-B338-07C37FD35C7D}"/>
    <cellStyle name="Normal 9 2 6 2 3 2" xfId="48884" xr:uid="{EC7AFDC2-5688-40D3-8ED9-DC4AAC21B282}"/>
    <cellStyle name="Normal 9 2 6 2 3 3" xfId="30288" xr:uid="{F7B005F1-5A3E-4172-B93C-30EDEAD63D0B}"/>
    <cellStyle name="Normal 9 2 6 2 4" xfId="39587" xr:uid="{72B77736-529A-4C9B-9C55-6435D19C77E9}"/>
    <cellStyle name="Normal 9 2 6 2 5" xfId="20989" xr:uid="{B870A9D4-8F02-4FE0-BCC4-6973453865F0}"/>
    <cellStyle name="Normal 9 2 6 3" xfId="5288" xr:uid="{00000000-0005-0000-0000-00009B1F0000}"/>
    <cellStyle name="Normal 9 2 6 3 2" xfId="14614" xr:uid="{3E93C5CD-88CC-4EC1-A99E-E0E24ABC9941}"/>
    <cellStyle name="Normal 9 2 6 3 2 2" xfId="50956" xr:uid="{BE2F03F1-B4A1-426E-AF3D-FF319D7B5F99}"/>
    <cellStyle name="Normal 9 2 6 3 2 3" xfId="32360" xr:uid="{36D6D32C-988D-4E75-87F4-AEB67A19BF1F}"/>
    <cellStyle name="Normal 9 2 6 3 3" xfId="41659" xr:uid="{057D8279-C020-4A9A-B01C-95B53A7E4938}"/>
    <cellStyle name="Normal 9 2 6 3 4" xfId="23061" xr:uid="{F92308D2-986C-4DEB-AAF7-BDB5FCE371EB}"/>
    <cellStyle name="Normal 9 2 6 4" xfId="9176" xr:uid="{F3933A08-5B20-47C9-B0FC-7B73F4B0BA7D}"/>
    <cellStyle name="Normal 9 2 6 4 2" xfId="36240" xr:uid="{1B8600DB-13BA-4ADA-B9BA-846AEB1E7C70}"/>
    <cellStyle name="Normal 9 2 6 4 2 2" xfId="54834" xr:uid="{1BD78FE1-1929-4EFD-8A5D-19A5F7A406EC}"/>
    <cellStyle name="Normal 9 2 6 4 3" xfId="45537" xr:uid="{234C33B4-A0CF-4195-8604-F56E3FF5CC28}"/>
    <cellStyle name="Normal 9 2 6 4 4" xfId="26941" xr:uid="{7226F7BF-33F1-425D-A7FB-DD4EF8A8212F}"/>
    <cellStyle name="Normal 9 2 6 5" xfId="10397" xr:uid="{9C919C1A-AE7A-4B2D-8A19-EE25334F92DB}"/>
    <cellStyle name="Normal 9 2 6 5 2" xfId="46739" xr:uid="{DA2A82BD-5B10-431E-A8BD-51A958C2C4FA}"/>
    <cellStyle name="Normal 9 2 6 5 3" xfId="28143" xr:uid="{5BE6E2FC-EC34-442D-AE30-7A61E0A28801}"/>
    <cellStyle name="Normal 9 2 6 6" xfId="37442" xr:uid="{E7C02ED1-BB41-4F1A-94CA-4FF42EE81108}"/>
    <cellStyle name="Normal 9 2 6 7" xfId="18844" xr:uid="{5D84BB8E-C50A-49A2-BA60-87812A79005C}"/>
    <cellStyle name="Normal 9 2 7" xfId="1394" xr:uid="{00000000-0005-0000-0000-00009C1F0000}"/>
    <cellStyle name="Normal 9 2 7 2" xfId="3624" xr:uid="{00000000-0005-0000-0000-00009D1F0000}"/>
    <cellStyle name="Normal 9 2 7 2 2" xfId="7846" xr:uid="{00000000-0005-0000-0000-00009E1F0000}"/>
    <cellStyle name="Normal 9 2 7 2 2 2" xfId="17172" xr:uid="{9D4DDACC-A722-4D38-B466-AE6EEF4A5444}"/>
    <cellStyle name="Normal 9 2 7 2 2 2 2" xfId="53514" xr:uid="{306AD72E-18BF-407C-9996-05EE211B898E}"/>
    <cellStyle name="Normal 9 2 7 2 2 2 3" xfId="34918" xr:uid="{76FF6811-122A-4EE3-9572-2A98FAFABE1A}"/>
    <cellStyle name="Normal 9 2 7 2 2 3" xfId="44217" xr:uid="{7B8ADC05-A3BC-46C0-A11D-5375FDBDCB17}"/>
    <cellStyle name="Normal 9 2 7 2 2 4" xfId="25619" xr:uid="{FFA146AE-6C3B-4A7A-805C-EFCB6A0B57E2}"/>
    <cellStyle name="Normal 9 2 7 2 3" xfId="12955" xr:uid="{138AF2F0-97E8-45D5-A688-E25FD6E351F3}"/>
    <cellStyle name="Normal 9 2 7 2 3 2" xfId="49297" xr:uid="{AA065F29-AEF6-4A55-80C8-21DC7EB77735}"/>
    <cellStyle name="Normal 9 2 7 2 3 3" xfId="30701" xr:uid="{88557F5E-FB61-49BF-B171-CFF45A11D0F4}"/>
    <cellStyle name="Normal 9 2 7 2 4" xfId="40000" xr:uid="{DC1A9909-56B2-4C1F-90C5-42DF84F2EB4B}"/>
    <cellStyle name="Normal 9 2 7 2 5" xfId="21402" xr:uid="{DE540FAC-53F2-40F6-9701-0C80E1DC19B7}"/>
    <cellStyle name="Normal 9 2 7 3" xfId="5701" xr:uid="{00000000-0005-0000-0000-00009F1F0000}"/>
    <cellStyle name="Normal 9 2 7 3 2" xfId="15027" xr:uid="{B9228E70-23E1-46A9-A0C5-B993D643003A}"/>
    <cellStyle name="Normal 9 2 7 3 2 2" xfId="51369" xr:uid="{4BAAD9A5-B582-4AA0-A8FE-B294A1B404FD}"/>
    <cellStyle name="Normal 9 2 7 3 2 3" xfId="32773" xr:uid="{E38C0F27-BD81-4ACA-A386-CAB311F07842}"/>
    <cellStyle name="Normal 9 2 7 3 3" xfId="42072" xr:uid="{5F5E7931-CFD9-406E-B9AF-3DC819D47D52}"/>
    <cellStyle name="Normal 9 2 7 3 4" xfId="23474" xr:uid="{F0809820-5C90-4E79-81D1-111C0EDCA966}"/>
    <cellStyle name="Normal 9 2 7 4" xfId="10810" xr:uid="{D48E2B86-E1A5-4215-9EC2-21D419926D42}"/>
    <cellStyle name="Normal 9 2 7 4 2" xfId="47152" xr:uid="{EB8E473D-E75D-4DE2-8294-C0F4E93C2AE2}"/>
    <cellStyle name="Normal 9 2 7 4 3" xfId="28556" xr:uid="{D02EADED-CD3B-4BBA-9B67-2796B2DF0FC3}"/>
    <cellStyle name="Normal 9 2 7 5" xfId="37855" xr:uid="{4BE39CDF-2CD4-40A4-8277-E6989AA39044}"/>
    <cellStyle name="Normal 9 2 7 6" xfId="19257" xr:uid="{BC387973-2F02-4B7F-8499-93B4E01123AC}"/>
    <cellStyle name="Normal 9 2 8" xfId="1807" xr:uid="{00000000-0005-0000-0000-0000A01F0000}"/>
    <cellStyle name="Normal 9 2 8 2" xfId="4037" xr:uid="{00000000-0005-0000-0000-0000A11F0000}"/>
    <cellStyle name="Normal 9 2 8 2 2" xfId="8259" xr:uid="{00000000-0005-0000-0000-0000A21F0000}"/>
    <cellStyle name="Normal 9 2 8 2 2 2" xfId="17585" xr:uid="{5567BE62-C115-41BD-BA17-5B73F98A1016}"/>
    <cellStyle name="Normal 9 2 8 2 2 2 2" xfId="53927" xr:uid="{034AAA4D-6A1B-498B-990B-A8E58FE612A0}"/>
    <cellStyle name="Normal 9 2 8 2 2 2 3" xfId="35331" xr:uid="{2572FF0F-D78C-4D89-84E9-DCCE4461A85B}"/>
    <cellStyle name="Normal 9 2 8 2 2 3" xfId="44630" xr:uid="{CCC48131-BC81-4486-AAE9-836BF938E2E3}"/>
    <cellStyle name="Normal 9 2 8 2 2 4" xfId="26032" xr:uid="{A1DDAC01-54C6-48AB-B987-27BB4FC1C780}"/>
    <cellStyle name="Normal 9 2 8 2 3" xfId="13368" xr:uid="{EBAC18D7-7B8B-44DB-A9E2-1141B37B2379}"/>
    <cellStyle name="Normal 9 2 8 2 3 2" xfId="49710" xr:uid="{85F12FEB-28C9-4E07-A041-4B111270C1E9}"/>
    <cellStyle name="Normal 9 2 8 2 3 3" xfId="31114" xr:uid="{A55A0D61-1BD1-474A-8EF5-7C880B31E387}"/>
    <cellStyle name="Normal 9 2 8 2 4" xfId="40413" xr:uid="{17F4ED70-4F88-4B0B-88C7-D4D008A82D51}"/>
    <cellStyle name="Normal 9 2 8 2 5" xfId="21815" xr:uid="{C0922E3B-51E7-4164-AA7F-B7A698B151B8}"/>
    <cellStyle name="Normal 9 2 8 3" xfId="6114" xr:uid="{00000000-0005-0000-0000-0000A31F0000}"/>
    <cellStyle name="Normal 9 2 8 3 2" xfId="15440" xr:uid="{B5A3DC6F-8FA3-4985-95C2-4C44C751974B}"/>
    <cellStyle name="Normal 9 2 8 3 2 2" xfId="51782" xr:uid="{33D3B9D1-4F71-474B-ADC2-D55A6E7270CD}"/>
    <cellStyle name="Normal 9 2 8 3 2 3" xfId="33186" xr:uid="{145493F5-46B7-450E-B71F-EFCC93C8191A}"/>
    <cellStyle name="Normal 9 2 8 3 3" xfId="42485" xr:uid="{B8C3F7C4-2154-493B-A003-70553570A933}"/>
    <cellStyle name="Normal 9 2 8 3 4" xfId="23887" xr:uid="{9CA93875-66FB-4AFB-A660-D647D19D974A}"/>
    <cellStyle name="Normal 9 2 8 4" xfId="11223" xr:uid="{579C9C49-F9F7-424C-9461-9F399633539C}"/>
    <cellStyle name="Normal 9 2 8 4 2" xfId="47565" xr:uid="{5727D6DF-AA19-4752-AB18-DE4F2ACB4138}"/>
    <cellStyle name="Normal 9 2 8 4 3" xfId="28969" xr:uid="{63147325-6D54-4F9F-B7AE-1994DECBED76}"/>
    <cellStyle name="Normal 9 2 8 5" xfId="38268" xr:uid="{36917EE3-AF04-4F12-AC76-C657F56A2534}"/>
    <cellStyle name="Normal 9 2 8 6" xfId="19670" xr:uid="{2859C1AF-E8FF-49A7-9032-19E6061558BC}"/>
    <cellStyle name="Normal 9 2 9" xfId="2221" xr:uid="{00000000-0005-0000-0000-0000A41F0000}"/>
    <cellStyle name="Normal 9 2 9 2" xfId="4450" xr:uid="{00000000-0005-0000-0000-0000A51F0000}"/>
    <cellStyle name="Normal 9 2 9 2 2" xfId="8672" xr:uid="{00000000-0005-0000-0000-0000A61F0000}"/>
    <cellStyle name="Normal 9 2 9 2 2 2" xfId="17998" xr:uid="{938BBBA5-C0E1-4042-8BBF-B251BCE1B722}"/>
    <cellStyle name="Normal 9 2 9 2 2 2 2" xfId="54340" xr:uid="{F75A4259-5536-4B7D-B152-C888219BC0B7}"/>
    <cellStyle name="Normal 9 2 9 2 2 2 3" xfId="35744" xr:uid="{516DCB85-A13C-41E8-9DD2-F2FBAB218579}"/>
    <cellStyle name="Normal 9 2 9 2 2 3" xfId="45043" xr:uid="{D2409737-5D0A-47FA-B816-EFE7C80DFA03}"/>
    <cellStyle name="Normal 9 2 9 2 2 4" xfId="26445" xr:uid="{BB626B69-69E8-4480-9965-3F1599B8286B}"/>
    <cellStyle name="Normal 9 2 9 2 3" xfId="13781" xr:uid="{89D65D30-E26A-4BFD-9702-97B52E1D2657}"/>
    <cellStyle name="Normal 9 2 9 2 3 2" xfId="50123" xr:uid="{BB9FEFF6-B24D-41A4-B6CF-3615DECADA1C}"/>
    <cellStyle name="Normal 9 2 9 2 3 3" xfId="31527" xr:uid="{A3A2DBDE-CA5E-47F0-BD4F-2EF65C152CCA}"/>
    <cellStyle name="Normal 9 2 9 2 4" xfId="40826" xr:uid="{1ABDFB1F-FB18-4FA9-9556-A8B86EA5452F}"/>
    <cellStyle name="Normal 9 2 9 2 5" xfId="22228" xr:uid="{231F8561-A362-418B-B47A-FF7737D7320F}"/>
    <cellStyle name="Normal 9 2 9 3" xfId="6527" xr:uid="{00000000-0005-0000-0000-0000A71F0000}"/>
    <cellStyle name="Normal 9 2 9 3 2" xfId="15853" xr:uid="{9E78E19A-ECB9-4B79-8B18-64769D286B96}"/>
    <cellStyle name="Normal 9 2 9 3 2 2" xfId="52195" xr:uid="{065CCD55-50E0-4214-B357-C64298721426}"/>
    <cellStyle name="Normal 9 2 9 3 2 3" xfId="33599" xr:uid="{F7D4A0AC-52AE-46D5-B515-87F469EDE52D}"/>
    <cellStyle name="Normal 9 2 9 3 3" xfId="42898" xr:uid="{5FEEDA18-0048-4BCB-ADA3-4198249C7163}"/>
    <cellStyle name="Normal 9 2 9 3 4" xfId="24300" xr:uid="{408ADDA2-2861-482E-9818-D4455E720DD4}"/>
    <cellStyle name="Normal 9 2 9 4" xfId="11636" xr:uid="{CF141F86-6038-469E-AB67-CBF051E02D7D}"/>
    <cellStyle name="Normal 9 2 9 4 2" xfId="47978" xr:uid="{F101ACCF-CEC7-4737-B17F-A1DCA3516CDE}"/>
    <cellStyle name="Normal 9 2 9 4 3" xfId="29382" xr:uid="{9802250B-0189-4B0F-A279-8C20B3A6F3A2}"/>
    <cellStyle name="Normal 9 2 9 5" xfId="38681" xr:uid="{F9DA65A6-8A83-4C45-B31E-7F8F6D778F47}"/>
    <cellStyle name="Normal 9 2 9 6" xfId="20083" xr:uid="{EBA000C2-945F-49DD-B99D-7E25C01AE167}"/>
    <cellStyle name="Normal 9 3" xfId="527" xr:uid="{00000000-0005-0000-0000-0000A81F0000}"/>
    <cellStyle name="Normal 9 3 10" xfId="4891" xr:uid="{00000000-0005-0000-0000-0000A91F0000}"/>
    <cellStyle name="Normal 9 3 10 2" xfId="14217" xr:uid="{2EFDEE5B-C111-433C-B5B8-6EF608087A0D}"/>
    <cellStyle name="Normal 9 3 10 2 2" xfId="50559" xr:uid="{137F0CB7-C972-41EF-B703-9033D514FAD9}"/>
    <cellStyle name="Normal 9 3 10 2 3" xfId="31963" xr:uid="{E557A40A-4309-480F-84E9-036AB17D01C1}"/>
    <cellStyle name="Normal 9 3 10 3" xfId="41262" xr:uid="{6BAB0D0D-1ED2-4AF2-8A07-D96F49C0F3C7}"/>
    <cellStyle name="Normal 9 3 10 4" xfId="22664" xr:uid="{BBA3D8D7-C903-485D-B856-76A5AF87BEC8}"/>
    <cellStyle name="Normal 9 3 11" xfId="8777" xr:uid="{1F3D7E21-FC22-4F0C-9371-3D8250746BB7}"/>
    <cellStyle name="Normal 9 3 11 2" xfId="35847" xr:uid="{60332371-3BA5-4148-B171-04E878380730}"/>
    <cellStyle name="Normal 9 3 11 2 2" xfId="54442" xr:uid="{DCBC0A62-437E-4E1A-ABF6-0BA1DDF8AC4F}"/>
    <cellStyle name="Normal 9 3 11 3" xfId="45145" xr:uid="{8FFDB384-93AA-44B1-AC54-AD6A80444E74}"/>
    <cellStyle name="Normal 9 3 11 4" xfId="26548" xr:uid="{BC0794E4-743A-4CCC-8FF2-504C66528556}"/>
    <cellStyle name="Normal 9 3 12" xfId="10000" xr:uid="{1A3B23CE-79AA-4773-9D97-1CB1E7E58673}"/>
    <cellStyle name="Normal 9 3 12 2" xfId="46342" xr:uid="{32D67980-0404-4E67-8DF1-FF59D441A28C}"/>
    <cellStyle name="Normal 9 3 12 3" xfId="27746" xr:uid="{335F823E-2C3B-44A6-B0F2-3445DAEFB6A1}"/>
    <cellStyle name="Normal 9 3 13" xfId="37045" xr:uid="{B3210567-7208-4D39-A96D-3305805D3166}"/>
    <cellStyle name="Normal 9 3 14" xfId="18447" xr:uid="{309A1B65-E763-493B-A8C7-A2A2F1EC8202}"/>
    <cellStyle name="Normal 9 3 2" xfId="528" xr:uid="{00000000-0005-0000-0000-0000AA1F0000}"/>
    <cellStyle name="Normal 9 3 2 10" xfId="8840" xr:uid="{94797BE2-1721-4871-A768-79D4D45F48BB}"/>
    <cellStyle name="Normal 9 3 2 10 2" xfId="35910" xr:uid="{81896E4D-9F08-429F-8971-58EA00071B8B}"/>
    <cellStyle name="Normal 9 3 2 10 2 2" xfId="54505" xr:uid="{81C83C8F-8E83-4156-84C4-1F41CD529093}"/>
    <cellStyle name="Normal 9 3 2 10 3" xfId="45208" xr:uid="{7DF20307-A773-4808-8C53-CBF8BB3EB7B0}"/>
    <cellStyle name="Normal 9 3 2 10 4" xfId="26611" xr:uid="{11A82B36-E2D0-4944-8652-E3B524FF4F1B}"/>
    <cellStyle name="Normal 9 3 2 11" xfId="10001" xr:uid="{41240FF6-1049-40AA-B865-194A2D3D3E7B}"/>
    <cellStyle name="Normal 9 3 2 11 2" xfId="46343" xr:uid="{9047BF95-833A-44A2-A01F-CBBBBA899E78}"/>
    <cellStyle name="Normal 9 3 2 11 3" xfId="27747" xr:uid="{F0DE22E7-8563-4A91-AA37-FDDEFBCBFE2C}"/>
    <cellStyle name="Normal 9 3 2 12" xfId="37046" xr:uid="{01CB8D9B-7F7C-48E5-BEE9-CB8C60509B9E}"/>
    <cellStyle name="Normal 9 3 2 13" xfId="18448" xr:uid="{D84645B9-C132-428E-9C97-C678B9226366}"/>
    <cellStyle name="Normal 9 3 2 2" xfId="529" xr:uid="{00000000-0005-0000-0000-0000AB1F0000}"/>
    <cellStyle name="Normal 9 3 2 2 10" xfId="10002" xr:uid="{3AF28ACB-1730-459C-96B9-52855D1929CD}"/>
    <cellStyle name="Normal 9 3 2 2 10 2" xfId="46344" xr:uid="{562AA7BC-246D-4FAE-9AA0-81AC195D6B3E}"/>
    <cellStyle name="Normal 9 3 2 2 10 3" xfId="27748" xr:uid="{39D3353D-37C9-4925-9E27-73B8A607E225}"/>
    <cellStyle name="Normal 9 3 2 2 11" xfId="37047" xr:uid="{240EEFF2-FAD2-49AC-A635-6653D19F0434}"/>
    <cellStyle name="Normal 9 3 2 2 12" xfId="18449" xr:uid="{83C27E3C-12E1-436E-8A76-C4F9A717DE69}"/>
    <cellStyle name="Normal 9 3 2 2 2" xfId="530" xr:uid="{00000000-0005-0000-0000-0000AC1F0000}"/>
    <cellStyle name="Normal 9 3 2 2 2 10" xfId="37048" xr:uid="{0803C607-C01B-4320-9C01-2D53D1073A20}"/>
    <cellStyle name="Normal 9 3 2 2 2 11" xfId="18450" xr:uid="{321336CF-5904-4432-8A77-7B84A56F4472}"/>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16778" xr:uid="{04055487-B982-4B85-BFC1-676AAB4F2E34}"/>
    <cellStyle name="Normal 9 3 2 2 2 2 2 2 2 2" xfId="53120" xr:uid="{44718FFD-1FFA-4A91-A252-925EEDA9AF65}"/>
    <cellStyle name="Normal 9 3 2 2 2 2 2 2 2 3" xfId="34524" xr:uid="{F78D15A6-7DB9-40AD-A5C5-D2597D883DBE}"/>
    <cellStyle name="Normal 9 3 2 2 2 2 2 2 3" xfId="43823" xr:uid="{5768B9B4-9553-49C2-B12F-B954355F6CA5}"/>
    <cellStyle name="Normal 9 3 2 2 2 2 2 2 4" xfId="25225" xr:uid="{10410853-EA70-4303-8A52-399BA4DA679D}"/>
    <cellStyle name="Normal 9 3 2 2 2 2 2 3" xfId="12561" xr:uid="{D2C811CB-55A8-4CE6-B25F-AA90E444A820}"/>
    <cellStyle name="Normal 9 3 2 2 2 2 2 3 2" xfId="48903" xr:uid="{AFE23E66-C044-4316-8F22-7F4D2F7823B7}"/>
    <cellStyle name="Normal 9 3 2 2 2 2 2 3 3" xfId="30307" xr:uid="{26157BEC-87BF-4524-8694-0F751E1FA873}"/>
    <cellStyle name="Normal 9 3 2 2 2 2 2 4" xfId="39606" xr:uid="{25BE01DB-322D-4AB0-9081-287BE57FBCA6}"/>
    <cellStyle name="Normal 9 3 2 2 2 2 2 5" xfId="21008" xr:uid="{8B9B6215-998D-46F6-9354-D0E4B4A3B01C}"/>
    <cellStyle name="Normal 9 3 2 2 2 2 3" xfId="5307" xr:uid="{00000000-0005-0000-0000-0000B01F0000}"/>
    <cellStyle name="Normal 9 3 2 2 2 2 3 2" xfId="14633" xr:uid="{8E0A8611-3251-4A6E-A044-3AE3BF6D13BC}"/>
    <cellStyle name="Normal 9 3 2 2 2 2 3 2 2" xfId="50975" xr:uid="{BFC70C01-00AE-42F8-BCCD-4FFF10173BAD}"/>
    <cellStyle name="Normal 9 3 2 2 2 2 3 2 3" xfId="32379" xr:uid="{18AB08F1-6B38-49D2-9BDC-5A190E1C7593}"/>
    <cellStyle name="Normal 9 3 2 2 2 2 3 3" xfId="41678" xr:uid="{F6F1503E-FCC3-46A7-B583-88C904061371}"/>
    <cellStyle name="Normal 9 3 2 2 2 2 3 4" xfId="23080" xr:uid="{E4C2D52E-5E86-4AF1-B342-B1030E8D3B88}"/>
    <cellStyle name="Normal 9 3 2 2 2 2 4" xfId="9575" xr:uid="{DA05DE06-1987-4B8E-8439-C692853FF296}"/>
    <cellStyle name="Normal 9 3 2 2 2 2 4 2" xfId="36636" xr:uid="{AD4A4FCF-3C58-4721-8FDC-E3A42F08595D}"/>
    <cellStyle name="Normal 9 3 2 2 2 2 4 2 2" xfId="55230" xr:uid="{1F6D50FD-A84D-409F-AF0E-AC7AAA492E8E}"/>
    <cellStyle name="Normal 9 3 2 2 2 2 4 3" xfId="45933" xr:uid="{8B588308-F754-4AF9-88B0-561370A413A1}"/>
    <cellStyle name="Normal 9 3 2 2 2 2 4 4" xfId="27337" xr:uid="{C0AFDBF8-3BC7-4076-94BD-702918488738}"/>
    <cellStyle name="Normal 9 3 2 2 2 2 5" xfId="10416" xr:uid="{ECF4676F-E801-4D14-9D78-51DC115D2142}"/>
    <cellStyle name="Normal 9 3 2 2 2 2 5 2" xfId="46758" xr:uid="{FBB5BAA1-C387-43E8-8397-CAD5D7B2CF31}"/>
    <cellStyle name="Normal 9 3 2 2 2 2 5 3" xfId="28162" xr:uid="{B1B4445B-6A6A-4DAC-8ABC-E3B55882DED5}"/>
    <cellStyle name="Normal 9 3 2 2 2 2 6" xfId="37461" xr:uid="{D3F7F678-D9E6-4BC0-B22F-5E5DB0D77116}"/>
    <cellStyle name="Normal 9 3 2 2 2 2 7" xfId="18863" xr:uid="{2CE518DF-7BC3-4CF8-ACEA-795902DEDC3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17191" xr:uid="{3CC2C7BD-68BA-46BC-8D81-603ECB6C86E3}"/>
    <cellStyle name="Normal 9 3 2 2 2 3 2 2 2 2" xfId="53533" xr:uid="{1DBEB13C-8C26-4F0A-90DE-7BC69DA421A8}"/>
    <cellStyle name="Normal 9 3 2 2 2 3 2 2 2 3" xfId="34937" xr:uid="{F0FB3263-A9CF-45A5-BAC5-14DDE5273D99}"/>
    <cellStyle name="Normal 9 3 2 2 2 3 2 2 3" xfId="44236" xr:uid="{A7277A6A-A628-45D2-9AE5-1B148806830C}"/>
    <cellStyle name="Normal 9 3 2 2 2 3 2 2 4" xfId="25638" xr:uid="{09DA4515-7EB3-44E2-BFCB-13473B9069C7}"/>
    <cellStyle name="Normal 9 3 2 2 2 3 2 3" xfId="12974" xr:uid="{14881F95-F5B3-4532-9F3F-91738E7AAB80}"/>
    <cellStyle name="Normal 9 3 2 2 2 3 2 3 2" xfId="49316" xr:uid="{4C69F5AE-E370-4A3C-85B1-90D33C172A60}"/>
    <cellStyle name="Normal 9 3 2 2 2 3 2 3 3" xfId="30720" xr:uid="{425F0A12-F47F-405C-A9F1-EE312277B548}"/>
    <cellStyle name="Normal 9 3 2 2 2 3 2 4" xfId="40019" xr:uid="{884168CC-E992-47EC-88BE-F75FA0592A46}"/>
    <cellStyle name="Normal 9 3 2 2 2 3 2 5" xfId="21421" xr:uid="{02A1F8DB-4B57-4D15-825F-E7FD95F201FB}"/>
    <cellStyle name="Normal 9 3 2 2 2 3 3" xfId="5720" xr:uid="{00000000-0005-0000-0000-0000B41F0000}"/>
    <cellStyle name="Normal 9 3 2 2 2 3 3 2" xfId="15046" xr:uid="{32E4B690-E5D2-430D-8ACD-0B5A164F4103}"/>
    <cellStyle name="Normal 9 3 2 2 2 3 3 2 2" xfId="51388" xr:uid="{C757F6EB-F47B-4B95-A085-7CEB82E8C7D1}"/>
    <cellStyle name="Normal 9 3 2 2 2 3 3 2 3" xfId="32792" xr:uid="{EB99F432-0B0E-4443-A1FF-95C903009AEB}"/>
    <cellStyle name="Normal 9 3 2 2 2 3 3 3" xfId="42091" xr:uid="{735FB666-105F-4F6B-9456-22F89594ED95}"/>
    <cellStyle name="Normal 9 3 2 2 2 3 3 4" xfId="23493" xr:uid="{40F96513-55DA-4951-B0DB-7BEB99608158}"/>
    <cellStyle name="Normal 9 3 2 2 2 3 4" xfId="10829" xr:uid="{38FB2B19-3773-4344-9FEC-D83D108FE554}"/>
    <cellStyle name="Normal 9 3 2 2 2 3 4 2" xfId="47171" xr:uid="{8C03CD6A-D205-4EF5-8902-526193735FAC}"/>
    <cellStyle name="Normal 9 3 2 2 2 3 4 3" xfId="28575" xr:uid="{1EFE151B-FDB3-4A90-9967-B9F92F8083D4}"/>
    <cellStyle name="Normal 9 3 2 2 2 3 5" xfId="37874" xr:uid="{16ADA6BB-CBE0-4342-9140-893271BB624F}"/>
    <cellStyle name="Normal 9 3 2 2 2 3 6" xfId="19276" xr:uid="{6CF9AC39-37D0-4B22-AF56-8EC25FB74A5B}"/>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17604" xr:uid="{0EF040C8-5235-49B6-A1B3-390C53142996}"/>
    <cellStyle name="Normal 9 3 2 2 2 4 2 2 2 2" xfId="53946" xr:uid="{41D9F3A3-7380-4514-94C7-CF4733A14410}"/>
    <cellStyle name="Normal 9 3 2 2 2 4 2 2 2 3" xfId="35350" xr:uid="{76441E3C-CC52-4D33-BB32-343FFEF9D250}"/>
    <cellStyle name="Normal 9 3 2 2 2 4 2 2 3" xfId="44649" xr:uid="{5C0032E9-CB0D-41C4-9813-CC8B37636985}"/>
    <cellStyle name="Normal 9 3 2 2 2 4 2 2 4" xfId="26051" xr:uid="{A633BDAB-F965-46F2-A287-095E0BE5CBA3}"/>
    <cellStyle name="Normal 9 3 2 2 2 4 2 3" xfId="13387" xr:uid="{332780AA-4AC9-4889-A973-5DBA66B396D2}"/>
    <cellStyle name="Normal 9 3 2 2 2 4 2 3 2" xfId="49729" xr:uid="{1E046162-B518-426F-9EAC-3E1C02F42F8F}"/>
    <cellStyle name="Normal 9 3 2 2 2 4 2 3 3" xfId="31133" xr:uid="{5EAB0F2D-FF4B-4749-ABA2-058DC9E10B3E}"/>
    <cellStyle name="Normal 9 3 2 2 2 4 2 4" xfId="40432" xr:uid="{16A12047-58AD-4FA8-B8B7-687AB49E2737}"/>
    <cellStyle name="Normal 9 3 2 2 2 4 2 5" xfId="21834" xr:uid="{A523241A-F6EC-4A31-9896-A62ECC080359}"/>
    <cellStyle name="Normal 9 3 2 2 2 4 3" xfId="6133" xr:uid="{00000000-0005-0000-0000-0000B81F0000}"/>
    <cellStyle name="Normal 9 3 2 2 2 4 3 2" xfId="15459" xr:uid="{FBB94DBE-75E1-4ED0-B7FC-6E7F4E15317B}"/>
    <cellStyle name="Normal 9 3 2 2 2 4 3 2 2" xfId="51801" xr:uid="{B7309DBD-9A2E-4151-A0DD-9B6A7C518BA9}"/>
    <cellStyle name="Normal 9 3 2 2 2 4 3 2 3" xfId="33205" xr:uid="{E9CD0CBF-29ED-4DCC-B949-AEDF4277D067}"/>
    <cellStyle name="Normal 9 3 2 2 2 4 3 3" xfId="42504" xr:uid="{537642F4-3491-4587-B56B-63BF42E61B5B}"/>
    <cellStyle name="Normal 9 3 2 2 2 4 3 4" xfId="23906" xr:uid="{FD157C0B-4246-4530-9F54-1E398F6C7CDD}"/>
    <cellStyle name="Normal 9 3 2 2 2 4 4" xfId="11242" xr:uid="{0BFDC830-1BA1-440A-9AC8-9068BA929F95}"/>
    <cellStyle name="Normal 9 3 2 2 2 4 4 2" xfId="47584" xr:uid="{9485AB8D-2932-4459-B9D0-1F2CBFD40AE0}"/>
    <cellStyle name="Normal 9 3 2 2 2 4 4 3" xfId="28988" xr:uid="{C46A521F-3F3B-4E33-9C7E-3FBD86B807F6}"/>
    <cellStyle name="Normal 9 3 2 2 2 4 5" xfId="38287" xr:uid="{998F5291-C42A-4B3E-92B7-8BA943FA3C35}"/>
    <cellStyle name="Normal 9 3 2 2 2 4 6" xfId="19689" xr:uid="{52C399A6-C44E-4D54-B40A-266DD2BB8FA4}"/>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18017" xr:uid="{C48044E6-C678-4CB3-B248-172006399119}"/>
    <cellStyle name="Normal 9 3 2 2 2 5 2 2 2 2" xfId="54359" xr:uid="{E9AC86DD-4C8C-41C8-A041-C8C2EDB79F5F}"/>
    <cellStyle name="Normal 9 3 2 2 2 5 2 2 2 3" xfId="35763" xr:uid="{ACC8E37D-D56B-49DE-BCA8-89D14941187C}"/>
    <cellStyle name="Normal 9 3 2 2 2 5 2 2 3" xfId="45062" xr:uid="{F97CDE8E-2BBE-4D5C-8F63-83AAA81C804B}"/>
    <cellStyle name="Normal 9 3 2 2 2 5 2 2 4" xfId="26464" xr:uid="{46FED0F8-609D-46F7-9450-3FBA2D16F50C}"/>
    <cellStyle name="Normal 9 3 2 2 2 5 2 3" xfId="13800" xr:uid="{84D3F24C-8512-4FC7-9065-B68B2F300DC7}"/>
    <cellStyle name="Normal 9 3 2 2 2 5 2 3 2" xfId="50142" xr:uid="{CE00CCB1-C223-4750-9168-229B58A9EC4D}"/>
    <cellStyle name="Normal 9 3 2 2 2 5 2 3 3" xfId="31546" xr:uid="{E45CC35E-5918-4D0F-9875-D7E16C30970A}"/>
    <cellStyle name="Normal 9 3 2 2 2 5 2 4" xfId="40845" xr:uid="{0C5A170A-CCF0-4B1E-99E1-8D0321BB5A4C}"/>
    <cellStyle name="Normal 9 3 2 2 2 5 2 5" xfId="22247" xr:uid="{4C09EB0E-B74C-439F-BAD6-9B4E74D362F5}"/>
    <cellStyle name="Normal 9 3 2 2 2 5 3" xfId="6546" xr:uid="{00000000-0005-0000-0000-0000BC1F0000}"/>
    <cellStyle name="Normal 9 3 2 2 2 5 3 2" xfId="15872" xr:uid="{F3D00B65-BFC5-45D7-8F9A-752D81CB227C}"/>
    <cellStyle name="Normal 9 3 2 2 2 5 3 2 2" xfId="52214" xr:uid="{25F1F8AD-2E6F-4F60-B727-557326E818B6}"/>
    <cellStyle name="Normal 9 3 2 2 2 5 3 2 3" xfId="33618" xr:uid="{2DFE88E4-6651-4259-9748-B7931E516508}"/>
    <cellStyle name="Normal 9 3 2 2 2 5 3 3" xfId="42917" xr:uid="{74EC6796-A9C0-4D1D-A4E7-FB0CE0155F7D}"/>
    <cellStyle name="Normal 9 3 2 2 2 5 3 4" xfId="24319" xr:uid="{44538429-B6BF-4684-AD28-0232756022DA}"/>
    <cellStyle name="Normal 9 3 2 2 2 5 4" xfId="11655" xr:uid="{038A429F-614F-48BF-9688-F0890B5F0835}"/>
    <cellStyle name="Normal 9 3 2 2 2 5 4 2" xfId="47997" xr:uid="{B7ECD08C-EA2F-47D6-B5CF-1EC28466316E}"/>
    <cellStyle name="Normal 9 3 2 2 2 5 4 3" xfId="29401" xr:uid="{F83CCBC0-561F-4612-AFEC-CFF58B8E4B86}"/>
    <cellStyle name="Normal 9 3 2 2 2 5 5" xfId="38700" xr:uid="{840A5D4A-EBFF-438F-885A-D39FFE1BAD43}"/>
    <cellStyle name="Normal 9 3 2 2 2 5 6" xfId="20102" xr:uid="{8A29426C-99C9-467E-A086-3325C5E111E4}"/>
    <cellStyle name="Normal 9 3 2 2 2 6" xfId="2676" xr:uid="{00000000-0005-0000-0000-0000BD1F0000}"/>
    <cellStyle name="Normal 9 3 2 2 2 6 2" xfId="6959" xr:uid="{00000000-0005-0000-0000-0000BE1F0000}"/>
    <cellStyle name="Normal 9 3 2 2 2 6 2 2" xfId="16285" xr:uid="{B1730E3A-063C-4F9A-9F18-85723CCB5EFD}"/>
    <cellStyle name="Normal 9 3 2 2 2 6 2 2 2" xfId="52627" xr:uid="{E59051E7-4DC2-4434-B2D6-2E779963D82B}"/>
    <cellStyle name="Normal 9 3 2 2 2 6 2 2 3" xfId="34031" xr:uid="{BD7AA332-A452-4DFE-A448-298B30B8193B}"/>
    <cellStyle name="Normal 9 3 2 2 2 6 2 3" xfId="43330" xr:uid="{9E5EC5DE-5A97-4F89-AB6B-D570F2684F1C}"/>
    <cellStyle name="Normal 9 3 2 2 2 6 2 4" xfId="24732" xr:uid="{EDB7707D-9E90-47A5-838E-40C50D73F70E}"/>
    <cellStyle name="Normal 9 3 2 2 2 6 3" xfId="12068" xr:uid="{71EDD72D-443D-4E25-A41D-071EDBE66EB3}"/>
    <cellStyle name="Normal 9 3 2 2 2 6 3 2" xfId="48410" xr:uid="{8F6B78AD-E99C-4A20-9507-B484B627CBCC}"/>
    <cellStyle name="Normal 9 3 2 2 2 6 3 3" xfId="29814" xr:uid="{EE54DC01-E7F7-4DAF-AC0A-8E7AD31A2B35}"/>
    <cellStyle name="Normal 9 3 2 2 2 6 4" xfId="39113" xr:uid="{5D7BB549-B8B6-42F8-B4D8-5A3D2A446731}"/>
    <cellStyle name="Normal 9 3 2 2 2 6 5" xfId="20515" xr:uid="{065754C1-01D3-49F7-B2D3-FCFB12A45422}"/>
    <cellStyle name="Normal 9 3 2 2 2 7" xfId="4894" xr:uid="{00000000-0005-0000-0000-0000BF1F0000}"/>
    <cellStyle name="Normal 9 3 2 2 2 7 2" xfId="14220" xr:uid="{0C787F19-2326-4BE5-9DC9-75D82AEB797C}"/>
    <cellStyle name="Normal 9 3 2 2 2 7 2 2" xfId="50562" xr:uid="{7453414A-39BC-443C-ACAD-8B1ECCACB532}"/>
    <cellStyle name="Normal 9 3 2 2 2 7 2 3" xfId="31966" xr:uid="{55EC41C4-BF4A-4721-94ED-D57EB3750BB1}"/>
    <cellStyle name="Normal 9 3 2 2 2 7 3" xfId="41265" xr:uid="{696C721A-0816-4D89-AFDD-22858A3A0A25}"/>
    <cellStyle name="Normal 9 3 2 2 2 7 4" xfId="22667" xr:uid="{5B1F9998-1F07-41AC-9DF4-62CD52277D05}"/>
    <cellStyle name="Normal 9 3 2 2 2 8" xfId="9150" xr:uid="{F54F74BE-A583-4C94-A198-8E0D27AD7F4F}"/>
    <cellStyle name="Normal 9 3 2 2 2 8 2" xfId="36220" xr:uid="{ABC0E50C-5C54-49ED-AF88-0EB21B50F23F}"/>
    <cellStyle name="Normal 9 3 2 2 2 8 2 2" xfId="54815" xr:uid="{30C82971-4179-453A-9D93-EFCE40E4F3F0}"/>
    <cellStyle name="Normal 9 3 2 2 2 8 3" xfId="45518" xr:uid="{E5181EC3-C832-48CD-9B68-FD7C735CE674}"/>
    <cellStyle name="Normal 9 3 2 2 2 8 4" xfId="26921" xr:uid="{80ED6BBB-ED44-434F-BE66-1B5E3B1BB114}"/>
    <cellStyle name="Normal 9 3 2 2 2 9" xfId="10003" xr:uid="{9C3847FD-9172-4738-B2AB-87AF0F597C64}"/>
    <cellStyle name="Normal 9 3 2 2 2 9 2" xfId="46345" xr:uid="{3B711FE9-CA78-4433-9EF3-77B8D49F6E49}"/>
    <cellStyle name="Normal 9 3 2 2 2 9 3" xfId="27749" xr:uid="{5E941175-D06C-498B-A68B-45F82231594F}"/>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16777" xr:uid="{BA456DCF-581B-44A7-A85E-3A35A4C0462F}"/>
    <cellStyle name="Normal 9 3 2 2 3 2 2 2 2" xfId="53119" xr:uid="{5D53AC06-66AC-4083-B607-56F202FE4FFD}"/>
    <cellStyle name="Normal 9 3 2 2 3 2 2 2 3" xfId="34523" xr:uid="{731BEBE8-36D9-45A3-BF48-1DF8E29D5895}"/>
    <cellStyle name="Normal 9 3 2 2 3 2 2 3" xfId="43822" xr:uid="{4ED2342A-FA4F-4A57-B577-C30762AC75B6}"/>
    <cellStyle name="Normal 9 3 2 2 3 2 2 4" xfId="25224" xr:uid="{03086FE1-D8EB-4689-858A-3A7BB9E92498}"/>
    <cellStyle name="Normal 9 3 2 2 3 2 3" xfId="12560" xr:uid="{C3061CBB-2899-4CBA-869A-B0AD7CADC227}"/>
    <cellStyle name="Normal 9 3 2 2 3 2 3 2" xfId="48902" xr:uid="{4A3FC4F6-85F1-42D6-9B5F-21EF5CD430EE}"/>
    <cellStyle name="Normal 9 3 2 2 3 2 3 3" xfId="30306" xr:uid="{E63AC05D-9F79-4111-BCC8-26C68AB8BACA}"/>
    <cellStyle name="Normal 9 3 2 2 3 2 4" xfId="39605" xr:uid="{EF00E74E-58D8-4C7C-8A73-B6F9FC69D7C9}"/>
    <cellStyle name="Normal 9 3 2 2 3 2 5" xfId="21007" xr:uid="{513ADF9E-9CC7-4331-82BB-F33D0D35789D}"/>
    <cellStyle name="Normal 9 3 2 2 3 3" xfId="5306" xr:uid="{00000000-0005-0000-0000-0000C31F0000}"/>
    <cellStyle name="Normal 9 3 2 2 3 3 2" xfId="14632" xr:uid="{A943A5DB-7147-44A8-95A0-446732F7AB2A}"/>
    <cellStyle name="Normal 9 3 2 2 3 3 2 2" xfId="50974" xr:uid="{05445CDD-6D7F-437C-A6D1-EA1FC0A6CB8F}"/>
    <cellStyle name="Normal 9 3 2 2 3 3 2 3" xfId="32378" xr:uid="{AA8AE1F5-2E4A-4415-8721-ECCC5E829477}"/>
    <cellStyle name="Normal 9 3 2 2 3 3 3" xfId="41677" xr:uid="{643414DA-1C0C-4AEE-ABDC-EF4A23FBB46F}"/>
    <cellStyle name="Normal 9 3 2 2 3 3 4" xfId="23079" xr:uid="{B219BB12-C327-4D98-B2A4-C73F7CE4C765}"/>
    <cellStyle name="Normal 9 3 2 2 3 4" xfId="9368" xr:uid="{B3189122-1774-442D-BD5B-8DA329618536}"/>
    <cellStyle name="Normal 9 3 2 2 3 4 2" xfId="36429" xr:uid="{23DB0C84-D556-4E6C-9A16-397820C3C448}"/>
    <cellStyle name="Normal 9 3 2 2 3 4 2 2" xfId="55023" xr:uid="{C7B3666F-EB7E-4C18-865C-2C3B91B5BCCB}"/>
    <cellStyle name="Normal 9 3 2 2 3 4 3" xfId="45726" xr:uid="{539A2915-98F9-4573-A655-5412A1E47BDC}"/>
    <cellStyle name="Normal 9 3 2 2 3 4 4" xfId="27130" xr:uid="{62F9F735-EDCB-4CC2-9A06-B4E728B70BB2}"/>
    <cellStyle name="Normal 9 3 2 2 3 5" xfId="10415" xr:uid="{DFC0F925-113A-4049-8DF8-680F375E235E}"/>
    <cellStyle name="Normal 9 3 2 2 3 5 2" xfId="46757" xr:uid="{77050729-2100-4953-BCB7-ED841409C9D9}"/>
    <cellStyle name="Normal 9 3 2 2 3 5 3" xfId="28161" xr:uid="{DC2081AD-231B-4C1F-AFB7-CB3C6B4191E6}"/>
    <cellStyle name="Normal 9 3 2 2 3 6" xfId="37460" xr:uid="{D130EA74-CA0B-429B-B52C-639ECABD47E8}"/>
    <cellStyle name="Normal 9 3 2 2 3 7" xfId="18862" xr:uid="{C38D18C8-814D-43AE-93D4-D85C790F3D3A}"/>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17190" xr:uid="{258316F0-B5DF-42B1-9361-8F77E706671D}"/>
    <cellStyle name="Normal 9 3 2 2 4 2 2 2 2" xfId="53532" xr:uid="{C28CA848-6F9A-401A-B7FE-10CD0393ACA9}"/>
    <cellStyle name="Normal 9 3 2 2 4 2 2 2 3" xfId="34936" xr:uid="{5A4920D5-50B3-476A-91E3-43BF923DD1D3}"/>
    <cellStyle name="Normal 9 3 2 2 4 2 2 3" xfId="44235" xr:uid="{5FEC6FC7-8818-4A5A-BCF2-1861EED27497}"/>
    <cellStyle name="Normal 9 3 2 2 4 2 2 4" xfId="25637" xr:uid="{A30EADC2-1B90-41CC-BA3B-27186688DBC9}"/>
    <cellStyle name="Normal 9 3 2 2 4 2 3" xfId="12973" xr:uid="{13CAFD92-35B1-4B4C-B5EC-584FB5435227}"/>
    <cellStyle name="Normal 9 3 2 2 4 2 3 2" xfId="49315" xr:uid="{209EBDB9-AB40-43EC-8C03-D65464E6C4A5}"/>
    <cellStyle name="Normal 9 3 2 2 4 2 3 3" xfId="30719" xr:uid="{145FCF22-AB6A-47AE-A231-DCEC6639E66C}"/>
    <cellStyle name="Normal 9 3 2 2 4 2 4" xfId="40018" xr:uid="{96A59FEA-F5A5-4214-B41F-4A3048615328}"/>
    <cellStyle name="Normal 9 3 2 2 4 2 5" xfId="21420" xr:uid="{6B00A3DB-2968-4359-BC86-A298D42D9541}"/>
    <cellStyle name="Normal 9 3 2 2 4 3" xfId="5719" xr:uid="{00000000-0005-0000-0000-0000C71F0000}"/>
    <cellStyle name="Normal 9 3 2 2 4 3 2" xfId="15045" xr:uid="{9B7B44B9-405E-45C6-950E-51187F86D85D}"/>
    <cellStyle name="Normal 9 3 2 2 4 3 2 2" xfId="51387" xr:uid="{E0B834EF-BF77-460C-9A06-E11A4A0E15F9}"/>
    <cellStyle name="Normal 9 3 2 2 4 3 2 3" xfId="32791" xr:uid="{CA6B5DBD-2569-433A-BB94-AB34467334CD}"/>
    <cellStyle name="Normal 9 3 2 2 4 3 3" xfId="42090" xr:uid="{3E169E9C-1E19-486B-A763-0E0DB7B7DE69}"/>
    <cellStyle name="Normal 9 3 2 2 4 3 4" xfId="23492" xr:uid="{B29110FC-E162-46D0-90B0-2E748DEF8E49}"/>
    <cellStyle name="Normal 9 3 2 2 4 4" xfId="10828" xr:uid="{B0F844DF-5511-492C-8E91-7DE9C31C977C}"/>
    <cellStyle name="Normal 9 3 2 2 4 4 2" xfId="47170" xr:uid="{D7B5EA20-0C8C-489C-9A86-1707073CCF54}"/>
    <cellStyle name="Normal 9 3 2 2 4 4 3" xfId="28574" xr:uid="{EB925C3F-6894-49C5-8A3D-2531E031CC02}"/>
    <cellStyle name="Normal 9 3 2 2 4 5" xfId="37873" xr:uid="{B1038BD9-E9CA-46F9-BDC0-A4D565528B0F}"/>
    <cellStyle name="Normal 9 3 2 2 4 6" xfId="19275" xr:uid="{8C6294CC-7E51-49E7-8800-92A8421AB8E6}"/>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17603" xr:uid="{E52D1A88-E127-48DD-B3DD-E4F42948B5A0}"/>
    <cellStyle name="Normal 9 3 2 2 5 2 2 2 2" xfId="53945" xr:uid="{0B2E83AE-C5B7-4D8F-9495-8D840D230E8D}"/>
    <cellStyle name="Normal 9 3 2 2 5 2 2 2 3" xfId="35349" xr:uid="{04A11E5D-A800-4655-8C78-093DC6568F6C}"/>
    <cellStyle name="Normal 9 3 2 2 5 2 2 3" xfId="44648" xr:uid="{2F312F7C-6C32-4D91-83ED-C77791D379D5}"/>
    <cellStyle name="Normal 9 3 2 2 5 2 2 4" xfId="26050" xr:uid="{D0E2CF20-1D1E-438B-8A5C-4C9E0E53960F}"/>
    <cellStyle name="Normal 9 3 2 2 5 2 3" xfId="13386" xr:uid="{27A648CF-DA07-4009-8C15-F1EF52D2251F}"/>
    <cellStyle name="Normal 9 3 2 2 5 2 3 2" xfId="49728" xr:uid="{6341B2AD-E201-4434-8CBA-EB8222C87718}"/>
    <cellStyle name="Normal 9 3 2 2 5 2 3 3" xfId="31132" xr:uid="{56D1DD5E-8734-4410-98D4-FA6FD8206520}"/>
    <cellStyle name="Normal 9 3 2 2 5 2 4" xfId="40431" xr:uid="{FDDC708A-48A3-4533-936D-9C0DC4FF965C}"/>
    <cellStyle name="Normal 9 3 2 2 5 2 5" xfId="21833" xr:uid="{3006B6FC-9EEF-46F5-AB71-9A31E5218692}"/>
    <cellStyle name="Normal 9 3 2 2 5 3" xfId="6132" xr:uid="{00000000-0005-0000-0000-0000CB1F0000}"/>
    <cellStyle name="Normal 9 3 2 2 5 3 2" xfId="15458" xr:uid="{9FB6039D-044F-4488-8CDE-C1218C96C15C}"/>
    <cellStyle name="Normal 9 3 2 2 5 3 2 2" xfId="51800" xr:uid="{13F6C3E5-C79A-411E-B4B3-BBF55CCA37D4}"/>
    <cellStyle name="Normal 9 3 2 2 5 3 2 3" xfId="33204" xr:uid="{C029B787-B954-4218-BA5F-EDF11C69BB15}"/>
    <cellStyle name="Normal 9 3 2 2 5 3 3" xfId="42503" xr:uid="{22B4154B-14A6-4230-BCC6-AEF9F1E087CF}"/>
    <cellStyle name="Normal 9 3 2 2 5 3 4" xfId="23905" xr:uid="{8D16870C-E00D-415F-9D7A-4DBA0496F246}"/>
    <cellStyle name="Normal 9 3 2 2 5 4" xfId="11241" xr:uid="{B217BC1C-EF0F-4D78-A69D-DFE5AE450ADC}"/>
    <cellStyle name="Normal 9 3 2 2 5 4 2" xfId="47583" xr:uid="{3225FCFD-25D3-49A4-9C0B-22390E0409F9}"/>
    <cellStyle name="Normal 9 3 2 2 5 4 3" xfId="28987" xr:uid="{A78749C6-B05B-4C32-A3E8-5DEB869DE1C4}"/>
    <cellStyle name="Normal 9 3 2 2 5 5" xfId="38286" xr:uid="{D7246D2E-3D10-4D4D-BEA7-E0D8F9C351E5}"/>
    <cellStyle name="Normal 9 3 2 2 5 6" xfId="19688" xr:uid="{0F616A3A-A34B-4ED3-80CF-7529779499CF}"/>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18016" xr:uid="{1FE36D72-91FC-45F7-AFDE-1255269FC838}"/>
    <cellStyle name="Normal 9 3 2 2 6 2 2 2 2" xfId="54358" xr:uid="{35C14E6C-A59C-47FD-8B83-EA79D2E9F1B7}"/>
    <cellStyle name="Normal 9 3 2 2 6 2 2 2 3" xfId="35762" xr:uid="{EE00FBBC-3D4F-4213-AA9A-4A70A5D1459B}"/>
    <cellStyle name="Normal 9 3 2 2 6 2 2 3" xfId="45061" xr:uid="{4EF9DE48-1F6A-4FB1-A05D-9CA3AD6DEFB7}"/>
    <cellStyle name="Normal 9 3 2 2 6 2 2 4" xfId="26463" xr:uid="{00AECDFC-7A44-4380-8BBB-A37D5B46AE70}"/>
    <cellStyle name="Normal 9 3 2 2 6 2 3" xfId="13799" xr:uid="{E095E29E-B19C-46B2-873E-8EC87EC5A78D}"/>
    <cellStyle name="Normal 9 3 2 2 6 2 3 2" xfId="50141" xr:uid="{232C8B5A-9D73-403D-B82F-0044449B9ED8}"/>
    <cellStyle name="Normal 9 3 2 2 6 2 3 3" xfId="31545" xr:uid="{7D3F0D11-F630-4814-B0FD-9171F92F8497}"/>
    <cellStyle name="Normal 9 3 2 2 6 2 4" xfId="40844" xr:uid="{B5A0F830-1415-4361-9126-D6825660DE1D}"/>
    <cellStyle name="Normal 9 3 2 2 6 2 5" xfId="22246" xr:uid="{9D559D3A-1734-4087-9FAD-7E3580700C3F}"/>
    <cellStyle name="Normal 9 3 2 2 6 3" xfId="6545" xr:uid="{00000000-0005-0000-0000-0000CF1F0000}"/>
    <cellStyle name="Normal 9 3 2 2 6 3 2" xfId="15871" xr:uid="{81054EC7-9593-4645-B218-9FEDB67D3467}"/>
    <cellStyle name="Normal 9 3 2 2 6 3 2 2" xfId="52213" xr:uid="{5567755E-1487-4A4A-A211-4396C623385F}"/>
    <cellStyle name="Normal 9 3 2 2 6 3 2 3" xfId="33617" xr:uid="{C3A7200C-3B1E-49AC-9BAD-786CE0BD0A08}"/>
    <cellStyle name="Normal 9 3 2 2 6 3 3" xfId="42916" xr:uid="{AD917994-6138-4684-970C-D7BC1F941D65}"/>
    <cellStyle name="Normal 9 3 2 2 6 3 4" xfId="24318" xr:uid="{68F462A4-10D3-480C-9284-B295B036BF51}"/>
    <cellStyle name="Normal 9 3 2 2 6 4" xfId="11654" xr:uid="{C7A2C1F5-1EDD-4B82-BAD9-8909641D808B}"/>
    <cellStyle name="Normal 9 3 2 2 6 4 2" xfId="47996" xr:uid="{623A46FE-C80B-40A2-B6CF-B08AD1E2A79B}"/>
    <cellStyle name="Normal 9 3 2 2 6 4 3" xfId="29400" xr:uid="{49029CE5-17B5-4E5B-B801-55435523C04F}"/>
    <cellStyle name="Normal 9 3 2 2 6 5" xfId="38699" xr:uid="{92BAEC17-933C-4D91-96C4-2962EFD2DD76}"/>
    <cellStyle name="Normal 9 3 2 2 6 6" xfId="20101" xr:uid="{5D8C03EC-A3A8-4663-AA4A-825F43E2E8FA}"/>
    <cellStyle name="Normal 9 3 2 2 7" xfId="2675" xr:uid="{00000000-0005-0000-0000-0000D01F0000}"/>
    <cellStyle name="Normal 9 3 2 2 7 2" xfId="6958" xr:uid="{00000000-0005-0000-0000-0000D11F0000}"/>
    <cellStyle name="Normal 9 3 2 2 7 2 2" xfId="16284" xr:uid="{C9B50E23-3249-4E4F-96B7-1F387CA0CD7C}"/>
    <cellStyle name="Normal 9 3 2 2 7 2 2 2" xfId="52626" xr:uid="{EC644AAC-43FE-4D2B-8BAE-C3CE84DEA35B}"/>
    <cellStyle name="Normal 9 3 2 2 7 2 2 3" xfId="34030" xr:uid="{C211E144-F574-4C68-B473-2574B02D6182}"/>
    <cellStyle name="Normal 9 3 2 2 7 2 3" xfId="43329" xr:uid="{A3F11516-3653-486D-8FCA-4B4B4CA4C15A}"/>
    <cellStyle name="Normal 9 3 2 2 7 2 4" xfId="24731" xr:uid="{C3667AEB-2DE0-4620-A6C4-BDF278A5BBA2}"/>
    <cellStyle name="Normal 9 3 2 2 7 3" xfId="12067" xr:uid="{2F5B1D66-5CCD-41A7-8982-52E6E0477ECE}"/>
    <cellStyle name="Normal 9 3 2 2 7 3 2" xfId="48409" xr:uid="{A8360F0C-AC3C-4218-9C10-D6FAC96305A2}"/>
    <cellStyle name="Normal 9 3 2 2 7 3 3" xfId="29813" xr:uid="{F8C8350C-3132-43DA-8577-E3DC8DEDFA09}"/>
    <cellStyle name="Normal 9 3 2 2 7 4" xfId="39112" xr:uid="{72C87EF4-ADB0-44B2-A69E-3FF8B3FC6004}"/>
    <cellStyle name="Normal 9 3 2 2 7 5" xfId="20514" xr:uid="{DF920FD8-3580-4A7B-BE9E-C4DEAD0A2F5D}"/>
    <cellStyle name="Normal 9 3 2 2 8" xfId="4893" xr:uid="{00000000-0005-0000-0000-0000D21F0000}"/>
    <cellStyle name="Normal 9 3 2 2 8 2" xfId="14219" xr:uid="{23436638-C6AE-408D-9B9A-02E07BEB480B}"/>
    <cellStyle name="Normal 9 3 2 2 8 2 2" xfId="50561" xr:uid="{B6C4127E-E931-4C38-92E5-723498CD01AE}"/>
    <cellStyle name="Normal 9 3 2 2 8 2 3" xfId="31965" xr:uid="{5CC3EC46-5289-41A8-BD26-7D7AAC87D0F7}"/>
    <cellStyle name="Normal 9 3 2 2 8 3" xfId="41264" xr:uid="{A37B3383-841D-4065-82B9-057D3D549923}"/>
    <cellStyle name="Normal 9 3 2 2 8 4" xfId="22666" xr:uid="{E37C3875-F062-4D76-A4C4-5BFB3F0A71F9}"/>
    <cellStyle name="Normal 9 3 2 2 9" xfId="8943" xr:uid="{1E59706A-169E-45B8-A6E4-1A0514B9DDBD}"/>
    <cellStyle name="Normal 9 3 2 2 9 2" xfId="36013" xr:uid="{08C8A0F3-AF64-4BFE-9EC6-00086C00D524}"/>
    <cellStyle name="Normal 9 3 2 2 9 2 2" xfId="54608" xr:uid="{CDBDC8F0-954E-4BBA-84D0-19FFCCBD77BC}"/>
    <cellStyle name="Normal 9 3 2 2 9 3" xfId="45311" xr:uid="{D29EC303-068A-481B-8482-1F5A540B0E30}"/>
    <cellStyle name="Normal 9 3 2 2 9 4" xfId="26714" xr:uid="{374B7659-C7D1-4EF4-BE4B-23C65A42A723}"/>
    <cellStyle name="Normal 9 3 2 3" xfId="531" xr:uid="{00000000-0005-0000-0000-0000D31F0000}"/>
    <cellStyle name="Normal 9 3 2 3 10" xfId="37049" xr:uid="{F705CEBA-53DB-4371-A338-F66C72488DCC}"/>
    <cellStyle name="Normal 9 3 2 3 11" xfId="18451" xr:uid="{8C13F0CA-2C4B-4F06-B9CF-C61960185EDC}"/>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16779" xr:uid="{3872B31B-FE84-4263-8848-0AD6A71F1541}"/>
    <cellStyle name="Normal 9 3 2 3 2 2 2 2 2" xfId="53121" xr:uid="{F9F0D43B-46B0-4498-BDE1-2E145024C4E7}"/>
    <cellStyle name="Normal 9 3 2 3 2 2 2 2 3" xfId="34525" xr:uid="{3C5FA3C2-8271-462E-94E6-EA1D64052ECA}"/>
    <cellStyle name="Normal 9 3 2 3 2 2 2 3" xfId="43824" xr:uid="{39073ECF-0976-4247-820D-7C0336B807D2}"/>
    <cellStyle name="Normal 9 3 2 3 2 2 2 4" xfId="25226" xr:uid="{1B699DA1-F16C-4EF4-9961-84300A50270B}"/>
    <cellStyle name="Normal 9 3 2 3 2 2 3" xfId="12562" xr:uid="{110DE25E-2DD0-4F87-ADE2-1777B6965B31}"/>
    <cellStyle name="Normal 9 3 2 3 2 2 3 2" xfId="48904" xr:uid="{BB04C198-720F-4CC6-BF55-314FE2850D40}"/>
    <cellStyle name="Normal 9 3 2 3 2 2 3 3" xfId="30308" xr:uid="{7BCD955B-98C3-433D-B2A4-E32E5818AD95}"/>
    <cellStyle name="Normal 9 3 2 3 2 2 4" xfId="39607" xr:uid="{BE9BB40F-657C-4E38-A3C3-50BD7C0642ED}"/>
    <cellStyle name="Normal 9 3 2 3 2 2 5" xfId="21009" xr:uid="{E8E1880A-8022-4FCA-B1DF-4D1DEE7EFB11}"/>
    <cellStyle name="Normal 9 3 2 3 2 3" xfId="5308" xr:uid="{00000000-0005-0000-0000-0000D71F0000}"/>
    <cellStyle name="Normal 9 3 2 3 2 3 2" xfId="14634" xr:uid="{2D1862E3-82D4-4AD5-A007-81A1F547AA1A}"/>
    <cellStyle name="Normal 9 3 2 3 2 3 2 2" xfId="50976" xr:uid="{9CDF8292-CBF3-4745-8A5D-FF2FF5F096DB}"/>
    <cellStyle name="Normal 9 3 2 3 2 3 2 3" xfId="32380" xr:uid="{B69A0DA9-6D8B-4FAF-AB39-43B1B8609DF0}"/>
    <cellStyle name="Normal 9 3 2 3 2 3 3" xfId="41679" xr:uid="{2BD71D95-6482-4902-AA9B-172A25C995F6}"/>
    <cellStyle name="Normal 9 3 2 3 2 3 4" xfId="23081" xr:uid="{C40000F0-F918-451C-837A-644D3E5A91A5}"/>
    <cellStyle name="Normal 9 3 2 3 2 4" xfId="9472" xr:uid="{427A8E71-9BC4-47C0-A855-6886AF96C97E}"/>
    <cellStyle name="Normal 9 3 2 3 2 4 2" xfId="36533" xr:uid="{4F02BC3E-14B7-4702-80C2-CA25373EFD62}"/>
    <cellStyle name="Normal 9 3 2 3 2 4 2 2" xfId="55127" xr:uid="{1B0881BF-DB0B-4D6E-9DA3-DD41047DF40E}"/>
    <cellStyle name="Normal 9 3 2 3 2 4 3" xfId="45830" xr:uid="{8591AF6C-EE41-40D4-B68A-335464B643F2}"/>
    <cellStyle name="Normal 9 3 2 3 2 4 4" xfId="27234" xr:uid="{995826DD-5129-4777-8738-C60F6700B013}"/>
    <cellStyle name="Normal 9 3 2 3 2 5" xfId="10417" xr:uid="{47B7403C-FAEB-4F3C-A470-58E68039D2DA}"/>
    <cellStyle name="Normal 9 3 2 3 2 5 2" xfId="46759" xr:uid="{DE37D177-D0B7-4733-97FF-C4D619E06415}"/>
    <cellStyle name="Normal 9 3 2 3 2 5 3" xfId="28163" xr:uid="{0B66A528-74CD-4E6C-8156-FC3CD35456FF}"/>
    <cellStyle name="Normal 9 3 2 3 2 6" xfId="37462" xr:uid="{E4434ED4-D0C0-42C6-8FA3-EF52D813CBFF}"/>
    <cellStyle name="Normal 9 3 2 3 2 7" xfId="18864" xr:uid="{750DEC67-B000-4A79-9275-6C3F0D05D229}"/>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17192" xr:uid="{00475440-83FE-43D1-B1D4-8F2034611C9D}"/>
    <cellStyle name="Normal 9 3 2 3 3 2 2 2 2" xfId="53534" xr:uid="{5F3FE810-66C3-42E5-926C-7D76E5F291F1}"/>
    <cellStyle name="Normal 9 3 2 3 3 2 2 2 3" xfId="34938" xr:uid="{9809FBC9-1744-4664-9C9C-FC2A121B0379}"/>
    <cellStyle name="Normal 9 3 2 3 3 2 2 3" xfId="44237" xr:uid="{69E201B4-1D64-4F70-AF90-6D06108FA7C0}"/>
    <cellStyle name="Normal 9 3 2 3 3 2 2 4" xfId="25639" xr:uid="{2DB69E46-A509-4236-958E-27B4695DCC08}"/>
    <cellStyle name="Normal 9 3 2 3 3 2 3" xfId="12975" xr:uid="{03428E5D-CA58-4E4C-A59E-1095EA61F3A1}"/>
    <cellStyle name="Normal 9 3 2 3 3 2 3 2" xfId="49317" xr:uid="{F2DEAED9-1E78-4F92-942A-72CDE9CBACCA}"/>
    <cellStyle name="Normal 9 3 2 3 3 2 3 3" xfId="30721" xr:uid="{230E228B-B63F-4C2E-89C1-6CF4B3CA72BD}"/>
    <cellStyle name="Normal 9 3 2 3 3 2 4" xfId="40020" xr:uid="{FD8F0695-F640-4EFB-9C4F-37F3C47D78EA}"/>
    <cellStyle name="Normal 9 3 2 3 3 2 5" xfId="21422" xr:uid="{0357DE68-EBF9-4233-A7DD-D141B7127A2F}"/>
    <cellStyle name="Normal 9 3 2 3 3 3" xfId="5721" xr:uid="{00000000-0005-0000-0000-0000DB1F0000}"/>
    <cellStyle name="Normal 9 3 2 3 3 3 2" xfId="15047" xr:uid="{0E076E46-0859-4B6D-A853-B85314D78BB8}"/>
    <cellStyle name="Normal 9 3 2 3 3 3 2 2" xfId="51389" xr:uid="{09647894-7300-4AC6-8DA8-FA8B68FC4DF6}"/>
    <cellStyle name="Normal 9 3 2 3 3 3 2 3" xfId="32793" xr:uid="{6A21D200-2E6C-4337-A171-425C3AEB94FA}"/>
    <cellStyle name="Normal 9 3 2 3 3 3 3" xfId="42092" xr:uid="{28AC9E0D-6BEA-42B4-9709-893E198E6222}"/>
    <cellStyle name="Normal 9 3 2 3 3 3 4" xfId="23494" xr:uid="{769E1369-43C1-406A-AEC6-869FDC43FB51}"/>
    <cellStyle name="Normal 9 3 2 3 3 4" xfId="10830" xr:uid="{2E4F13FF-0439-485F-822C-576960CAE867}"/>
    <cellStyle name="Normal 9 3 2 3 3 4 2" xfId="47172" xr:uid="{FF565823-CE12-4ED6-9A25-14543D41B502}"/>
    <cellStyle name="Normal 9 3 2 3 3 4 3" xfId="28576" xr:uid="{89AADAFA-69CC-441A-8B26-BC7D58FBE6E8}"/>
    <cellStyle name="Normal 9 3 2 3 3 5" xfId="37875" xr:uid="{9E9F9260-A154-4518-8AC9-34432AD16558}"/>
    <cellStyle name="Normal 9 3 2 3 3 6" xfId="19277" xr:uid="{D9863B8F-FFD0-4A54-A12C-467338F37690}"/>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17605" xr:uid="{50289A42-38E5-4AFE-B889-20D2B660C21A}"/>
    <cellStyle name="Normal 9 3 2 3 4 2 2 2 2" xfId="53947" xr:uid="{DAEBE3E1-E864-4E22-AD84-D700126328AB}"/>
    <cellStyle name="Normal 9 3 2 3 4 2 2 2 3" xfId="35351" xr:uid="{5BEFDA84-1BB4-4036-8581-B98D948732FE}"/>
    <cellStyle name="Normal 9 3 2 3 4 2 2 3" xfId="44650" xr:uid="{666C802E-011B-4DF3-B8B3-A62349B05604}"/>
    <cellStyle name="Normal 9 3 2 3 4 2 2 4" xfId="26052" xr:uid="{5D1777C3-374F-4879-821D-B71FBA00D53E}"/>
    <cellStyle name="Normal 9 3 2 3 4 2 3" xfId="13388" xr:uid="{7D5C5471-D63E-455D-8BE9-7B328A36A7A2}"/>
    <cellStyle name="Normal 9 3 2 3 4 2 3 2" xfId="49730" xr:uid="{0E12219A-C191-4D42-AE50-524AD61E53A9}"/>
    <cellStyle name="Normal 9 3 2 3 4 2 3 3" xfId="31134" xr:uid="{03FFE8CE-41AD-4135-9936-0F9B5ECB89B4}"/>
    <cellStyle name="Normal 9 3 2 3 4 2 4" xfId="40433" xr:uid="{DEB3797B-19B1-4AE5-82FA-368688973687}"/>
    <cellStyle name="Normal 9 3 2 3 4 2 5" xfId="21835" xr:uid="{181956DD-8EF5-457E-B4E8-D986F85944C8}"/>
    <cellStyle name="Normal 9 3 2 3 4 3" xfId="6134" xr:uid="{00000000-0005-0000-0000-0000DF1F0000}"/>
    <cellStyle name="Normal 9 3 2 3 4 3 2" xfId="15460" xr:uid="{D81D0783-399D-48BF-B31D-57EFF5ADF178}"/>
    <cellStyle name="Normal 9 3 2 3 4 3 2 2" xfId="51802" xr:uid="{2B6025E7-20F2-447B-896B-E9690AF0A436}"/>
    <cellStyle name="Normal 9 3 2 3 4 3 2 3" xfId="33206" xr:uid="{D518A44B-9BB2-4C17-9C99-65FEAB987723}"/>
    <cellStyle name="Normal 9 3 2 3 4 3 3" xfId="42505" xr:uid="{C91982CE-A35D-410D-8B83-F910F081DE97}"/>
    <cellStyle name="Normal 9 3 2 3 4 3 4" xfId="23907" xr:uid="{2D1A8E99-6FB7-4EEC-95A0-4F290A3F1B5A}"/>
    <cellStyle name="Normal 9 3 2 3 4 4" xfId="11243" xr:uid="{2512F54C-9A93-466F-BB6E-C1A3C80B472E}"/>
    <cellStyle name="Normal 9 3 2 3 4 4 2" xfId="47585" xr:uid="{116A72B1-7827-4CB9-BE7E-ACC34964813D}"/>
    <cellStyle name="Normal 9 3 2 3 4 4 3" xfId="28989" xr:uid="{D4E68454-3EC0-478A-A87E-3FE733494F14}"/>
    <cellStyle name="Normal 9 3 2 3 4 5" xfId="38288" xr:uid="{038CBACD-576A-4483-8CA4-466C0C4F5420}"/>
    <cellStyle name="Normal 9 3 2 3 4 6" xfId="19690" xr:uid="{CA24FA6E-7A0E-4895-9E28-B763E72071FE}"/>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18018" xr:uid="{610B2B28-2909-4530-B022-7FF051E81B6A}"/>
    <cellStyle name="Normal 9 3 2 3 5 2 2 2 2" xfId="54360" xr:uid="{E0FC4E6B-F0D9-47C8-AD3C-5CC15A22F111}"/>
    <cellStyle name="Normal 9 3 2 3 5 2 2 2 3" xfId="35764" xr:uid="{9D6A3D69-1569-44A7-9B31-B5FF37267885}"/>
    <cellStyle name="Normal 9 3 2 3 5 2 2 3" xfId="45063" xr:uid="{DEB4F844-EB56-4B51-B848-A8681690B338}"/>
    <cellStyle name="Normal 9 3 2 3 5 2 2 4" xfId="26465" xr:uid="{E63FD661-E2C5-4EEB-99FA-AC3B337BE1EA}"/>
    <cellStyle name="Normal 9 3 2 3 5 2 3" xfId="13801" xr:uid="{74CE566A-BF3F-46F4-857A-10BFC1313B33}"/>
    <cellStyle name="Normal 9 3 2 3 5 2 3 2" xfId="50143" xr:uid="{349C8E17-10CA-4477-A782-3CCF22B3D99A}"/>
    <cellStyle name="Normal 9 3 2 3 5 2 3 3" xfId="31547" xr:uid="{F056CE82-8EDF-4BBF-83E8-2C51F2919850}"/>
    <cellStyle name="Normal 9 3 2 3 5 2 4" xfId="40846" xr:uid="{05AF19E5-AC40-4FA0-A280-7BD5BB48E902}"/>
    <cellStyle name="Normal 9 3 2 3 5 2 5" xfId="22248" xr:uid="{7254C99A-479A-4461-B8B7-85760BB056EC}"/>
    <cellStyle name="Normal 9 3 2 3 5 3" xfId="6547" xr:uid="{00000000-0005-0000-0000-0000E31F0000}"/>
    <cellStyle name="Normal 9 3 2 3 5 3 2" xfId="15873" xr:uid="{F3470979-F134-46FC-A210-2D440EDE5B8E}"/>
    <cellStyle name="Normal 9 3 2 3 5 3 2 2" xfId="52215" xr:uid="{288B3807-8F6D-4E5C-AA9A-0929534D019F}"/>
    <cellStyle name="Normal 9 3 2 3 5 3 2 3" xfId="33619" xr:uid="{39A2F574-FC51-43A3-98C7-5D1CA183890A}"/>
    <cellStyle name="Normal 9 3 2 3 5 3 3" xfId="42918" xr:uid="{BF32FBA6-0223-4126-8877-26834D47ED86}"/>
    <cellStyle name="Normal 9 3 2 3 5 3 4" xfId="24320" xr:uid="{348EE296-13BB-41BC-B52A-A1A2D1DCF425}"/>
    <cellStyle name="Normal 9 3 2 3 5 4" xfId="11656" xr:uid="{CEBE391E-0C67-448A-AF16-D6266D3978AB}"/>
    <cellStyle name="Normal 9 3 2 3 5 4 2" xfId="47998" xr:uid="{B19D29FD-5F38-4B2D-9954-A6DFBE289733}"/>
    <cellStyle name="Normal 9 3 2 3 5 4 3" xfId="29402" xr:uid="{02BF3C6F-610E-482E-948E-7C67B3A9CFBE}"/>
    <cellStyle name="Normal 9 3 2 3 5 5" xfId="38701" xr:uid="{959633C5-11E2-4712-A242-301A48645157}"/>
    <cellStyle name="Normal 9 3 2 3 5 6" xfId="20103" xr:uid="{B203A2D7-8F65-45E3-9C1C-F26C298DE3A1}"/>
    <cellStyle name="Normal 9 3 2 3 6" xfId="2677" xr:uid="{00000000-0005-0000-0000-0000E41F0000}"/>
    <cellStyle name="Normal 9 3 2 3 6 2" xfId="6960" xr:uid="{00000000-0005-0000-0000-0000E51F0000}"/>
    <cellStyle name="Normal 9 3 2 3 6 2 2" xfId="16286" xr:uid="{F66E8BD7-A5B1-4573-B2DA-761F4166DC65}"/>
    <cellStyle name="Normal 9 3 2 3 6 2 2 2" xfId="52628" xr:uid="{751151A0-337D-4B86-A6A8-83261C896EF1}"/>
    <cellStyle name="Normal 9 3 2 3 6 2 2 3" xfId="34032" xr:uid="{F495F434-233E-4C2E-9AB1-369FD83D2AA1}"/>
    <cellStyle name="Normal 9 3 2 3 6 2 3" xfId="43331" xr:uid="{89BBC426-DCFF-4EAD-937C-537081823C32}"/>
    <cellStyle name="Normal 9 3 2 3 6 2 4" xfId="24733" xr:uid="{9ABB4B89-4DCB-4C68-BDE5-64DBD2AE7FFF}"/>
    <cellStyle name="Normal 9 3 2 3 6 3" xfId="12069" xr:uid="{39C7D8CA-A691-4CAC-9570-4B3B1D110495}"/>
    <cellStyle name="Normal 9 3 2 3 6 3 2" xfId="48411" xr:uid="{AB83A63C-1DCA-4665-BE9C-F39303557AFF}"/>
    <cellStyle name="Normal 9 3 2 3 6 3 3" xfId="29815" xr:uid="{2CFD1849-92C4-4C36-88F4-C7E1A1A371D4}"/>
    <cellStyle name="Normal 9 3 2 3 6 4" xfId="39114" xr:uid="{A93C8E55-EFEE-4790-8910-15F6FDADDA9A}"/>
    <cellStyle name="Normal 9 3 2 3 6 5" xfId="20516" xr:uid="{ADF405A9-E41B-4E10-826B-09F97292B471}"/>
    <cellStyle name="Normal 9 3 2 3 7" xfId="4895" xr:uid="{00000000-0005-0000-0000-0000E61F0000}"/>
    <cellStyle name="Normal 9 3 2 3 7 2" xfId="14221" xr:uid="{54CCFE67-F83B-4708-99E5-3BEBC9CD2E42}"/>
    <cellStyle name="Normal 9 3 2 3 7 2 2" xfId="50563" xr:uid="{41DB343C-9D3F-4A37-857A-A73203C9F694}"/>
    <cellStyle name="Normal 9 3 2 3 7 2 3" xfId="31967" xr:uid="{CD623784-7978-49AE-B314-4B10F6DFB366}"/>
    <cellStyle name="Normal 9 3 2 3 7 3" xfId="41266" xr:uid="{9793ECD3-E03B-468C-8F7A-A6CB9DB2A0D7}"/>
    <cellStyle name="Normal 9 3 2 3 7 4" xfId="22668" xr:uid="{FE1DD85C-4659-407D-B804-D440CCAF2244}"/>
    <cellStyle name="Normal 9 3 2 3 8" xfId="9047" xr:uid="{4CBBBE80-D24B-484D-910E-0072EA0E95DD}"/>
    <cellStyle name="Normal 9 3 2 3 8 2" xfId="36117" xr:uid="{448D8602-6138-469D-8FE1-0606734603A2}"/>
    <cellStyle name="Normal 9 3 2 3 8 2 2" xfId="54712" xr:uid="{19DC76C9-CD11-433E-9EA1-395EF3F006D8}"/>
    <cellStyle name="Normal 9 3 2 3 8 3" xfId="45415" xr:uid="{F0C31426-1635-4238-A746-9FF82A7ADF44}"/>
    <cellStyle name="Normal 9 3 2 3 8 4" xfId="26818" xr:uid="{40B02E4E-97E3-426C-B070-98386C9310DB}"/>
    <cellStyle name="Normal 9 3 2 3 9" xfId="10004" xr:uid="{8868FAEA-8819-43BA-9A4D-2D3F4C4150AF}"/>
    <cellStyle name="Normal 9 3 2 3 9 2" xfId="46346" xr:uid="{99D1B041-611F-4E65-9909-683111935F03}"/>
    <cellStyle name="Normal 9 3 2 3 9 3" xfId="27750" xr:uid="{957BDF4B-184C-49D7-B0E8-3A4E6B6F3CEA}"/>
    <cellStyle name="Normal 9 3 2 4" xfId="995" xr:uid="{00000000-0005-0000-0000-0000E71F0000}"/>
    <cellStyle name="Normal 9 3 2 4 2" xfId="3228" xr:uid="{00000000-0005-0000-0000-0000E81F0000}"/>
    <cellStyle name="Normal 9 3 2 4 2 2" xfId="7450" xr:uid="{00000000-0005-0000-0000-0000E91F0000}"/>
    <cellStyle name="Normal 9 3 2 4 2 2 2" xfId="16776" xr:uid="{2209F1DC-7B1A-4C68-8E4C-6904AB43BC07}"/>
    <cellStyle name="Normal 9 3 2 4 2 2 2 2" xfId="53118" xr:uid="{6DF62846-65B3-42AF-BAEB-C60A47633DF7}"/>
    <cellStyle name="Normal 9 3 2 4 2 2 2 3" xfId="34522" xr:uid="{CC5815B9-CB05-4306-BAE2-8060ECD8F1B4}"/>
    <cellStyle name="Normal 9 3 2 4 2 2 3" xfId="43821" xr:uid="{079274A0-DE30-4B23-A1EE-B0BB3A5B40B8}"/>
    <cellStyle name="Normal 9 3 2 4 2 2 4" xfId="25223" xr:uid="{3D4011DA-F635-4DF9-90B5-86D5CD9F1708}"/>
    <cellStyle name="Normal 9 3 2 4 2 3" xfId="12559" xr:uid="{15776FB8-B812-427A-A7BB-DCD93BBB6367}"/>
    <cellStyle name="Normal 9 3 2 4 2 3 2" xfId="48901" xr:uid="{2DD81433-59DE-4D39-AB9E-A1A1A5257A85}"/>
    <cellStyle name="Normal 9 3 2 4 2 3 3" xfId="30305" xr:uid="{E13BBE53-2108-451F-A1AA-7ADEE8C85A87}"/>
    <cellStyle name="Normal 9 3 2 4 2 4" xfId="39604" xr:uid="{F9A2F1F4-BDDA-44BC-9B32-EC3A81315A6B}"/>
    <cellStyle name="Normal 9 3 2 4 2 5" xfId="21006" xr:uid="{F470B83D-BB89-456C-ADCE-AB8D56EAC141}"/>
    <cellStyle name="Normal 9 3 2 4 3" xfId="5305" xr:uid="{00000000-0005-0000-0000-0000EA1F0000}"/>
    <cellStyle name="Normal 9 3 2 4 3 2" xfId="14631" xr:uid="{0D1EB62F-AB8D-407D-BB4D-3DD960C32331}"/>
    <cellStyle name="Normal 9 3 2 4 3 2 2" xfId="50973" xr:uid="{6E1EA1CC-B9AC-42EE-97CC-78FE1657239C}"/>
    <cellStyle name="Normal 9 3 2 4 3 2 3" xfId="32377" xr:uid="{DCDDD3A4-B846-4F48-8E6F-8D05F1A58FCA}"/>
    <cellStyle name="Normal 9 3 2 4 3 3" xfId="41676" xr:uid="{4D6EE039-5848-4680-902F-C6357A37E68E}"/>
    <cellStyle name="Normal 9 3 2 4 3 4" xfId="23078" xr:uid="{31796594-B970-4D09-B16F-ACD659A35E60}"/>
    <cellStyle name="Normal 9 3 2 4 4" xfId="9265" xr:uid="{BF00A9B8-67BA-48F6-8D48-0E4380D60577}"/>
    <cellStyle name="Normal 9 3 2 4 4 2" xfId="36326" xr:uid="{C0AA9006-0BA2-4475-AD6C-F1EBBC53C12C}"/>
    <cellStyle name="Normal 9 3 2 4 4 2 2" xfId="54920" xr:uid="{161A606C-3993-467B-A17C-F1B837613E4E}"/>
    <cellStyle name="Normal 9 3 2 4 4 3" xfId="45623" xr:uid="{F2C68B32-28F6-4809-9C38-481CEAE21DE1}"/>
    <cellStyle name="Normal 9 3 2 4 4 4" xfId="27027" xr:uid="{7577C91A-5D15-44C2-AEAF-86F4B5B865E9}"/>
    <cellStyle name="Normal 9 3 2 4 5" xfId="10414" xr:uid="{05CB191C-CD50-49B1-882B-315AB57F35C3}"/>
    <cellStyle name="Normal 9 3 2 4 5 2" xfId="46756" xr:uid="{26DDA1D3-454B-43DA-9B40-040586B41C34}"/>
    <cellStyle name="Normal 9 3 2 4 5 3" xfId="28160" xr:uid="{D8FAB8E3-DF22-4421-9224-93CDCAC29238}"/>
    <cellStyle name="Normal 9 3 2 4 6" xfId="37459" xr:uid="{E2F2DB67-4548-4429-9F67-500898415516}"/>
    <cellStyle name="Normal 9 3 2 4 7" xfId="18861" xr:uid="{BD3B0DB1-6225-47B7-984F-02332C19BBFC}"/>
    <cellStyle name="Normal 9 3 2 5" xfId="1411" xr:uid="{00000000-0005-0000-0000-0000EB1F0000}"/>
    <cellStyle name="Normal 9 3 2 5 2" xfId="3641" xr:uid="{00000000-0005-0000-0000-0000EC1F0000}"/>
    <cellStyle name="Normal 9 3 2 5 2 2" xfId="7863" xr:uid="{00000000-0005-0000-0000-0000ED1F0000}"/>
    <cellStyle name="Normal 9 3 2 5 2 2 2" xfId="17189" xr:uid="{BC267AEC-408F-4BAE-9B5E-B3313E5FAA75}"/>
    <cellStyle name="Normal 9 3 2 5 2 2 2 2" xfId="53531" xr:uid="{3A218071-A01F-4BAB-B4C3-E0F7036DC575}"/>
    <cellStyle name="Normal 9 3 2 5 2 2 2 3" xfId="34935" xr:uid="{C053DA45-FFBC-4083-97E3-B680BD07F705}"/>
    <cellStyle name="Normal 9 3 2 5 2 2 3" xfId="44234" xr:uid="{58A8C763-9790-4B79-82A0-6D8AA9BF3BCA}"/>
    <cellStyle name="Normal 9 3 2 5 2 2 4" xfId="25636" xr:uid="{D67DB173-6494-43A3-AE6B-137C3BDB6853}"/>
    <cellStyle name="Normal 9 3 2 5 2 3" xfId="12972" xr:uid="{99D863B0-1EED-4103-9D86-15D8394AD468}"/>
    <cellStyle name="Normal 9 3 2 5 2 3 2" xfId="49314" xr:uid="{31C0A7F9-62B0-43E4-8B93-92966D3D22C6}"/>
    <cellStyle name="Normal 9 3 2 5 2 3 3" xfId="30718" xr:uid="{215CB066-7E29-49AB-ADD5-8D85AA5FD5BD}"/>
    <cellStyle name="Normal 9 3 2 5 2 4" xfId="40017" xr:uid="{8AFDDB62-B10C-4137-AFCE-0732C3E3DC60}"/>
    <cellStyle name="Normal 9 3 2 5 2 5" xfId="21419" xr:uid="{3F2A2A1F-A249-4C75-B1B9-4737C50AE816}"/>
    <cellStyle name="Normal 9 3 2 5 3" xfId="5718" xr:uid="{00000000-0005-0000-0000-0000EE1F0000}"/>
    <cellStyle name="Normal 9 3 2 5 3 2" xfId="15044" xr:uid="{880D7480-5FDC-4AF5-95B1-605621E521B9}"/>
    <cellStyle name="Normal 9 3 2 5 3 2 2" xfId="51386" xr:uid="{4F99FB21-8A46-45C2-ACA6-A74F4A5E838C}"/>
    <cellStyle name="Normal 9 3 2 5 3 2 3" xfId="32790" xr:uid="{B412FF08-8628-45B1-8A21-AA52A3CDE29A}"/>
    <cellStyle name="Normal 9 3 2 5 3 3" xfId="42089" xr:uid="{C394F519-EA5C-4C27-B5E4-B5E3DCBD852E}"/>
    <cellStyle name="Normal 9 3 2 5 3 4" xfId="23491" xr:uid="{500748C9-06AA-4990-AE8F-55F115838367}"/>
    <cellStyle name="Normal 9 3 2 5 4" xfId="10827" xr:uid="{0230E718-E802-4176-942D-BA93A931D3A5}"/>
    <cellStyle name="Normal 9 3 2 5 4 2" xfId="47169" xr:uid="{A3057D62-0DA7-47EC-B4A8-9F54AF12DD45}"/>
    <cellStyle name="Normal 9 3 2 5 4 3" xfId="28573" xr:uid="{0FA1509F-41FC-4C1E-8779-B2572153E080}"/>
    <cellStyle name="Normal 9 3 2 5 5" xfId="37872" xr:uid="{3F2B265D-98C8-452D-9A21-3DF0C8BA2E3D}"/>
    <cellStyle name="Normal 9 3 2 5 6" xfId="19274" xr:uid="{47DC66BF-75A8-4011-B010-C375C2A62A5F}"/>
    <cellStyle name="Normal 9 3 2 6" xfId="1824" xr:uid="{00000000-0005-0000-0000-0000EF1F0000}"/>
    <cellStyle name="Normal 9 3 2 6 2" xfId="4054" xr:uid="{00000000-0005-0000-0000-0000F01F0000}"/>
    <cellStyle name="Normal 9 3 2 6 2 2" xfId="8276" xr:uid="{00000000-0005-0000-0000-0000F11F0000}"/>
    <cellStyle name="Normal 9 3 2 6 2 2 2" xfId="17602" xr:uid="{DD83E6B8-012C-45B6-89CB-2194129D660E}"/>
    <cellStyle name="Normal 9 3 2 6 2 2 2 2" xfId="53944" xr:uid="{1E65D8AF-332E-4413-B782-558666F8C1C1}"/>
    <cellStyle name="Normal 9 3 2 6 2 2 2 3" xfId="35348" xr:uid="{6BCC9EA0-5A31-414F-8721-CA8B1F60DC33}"/>
    <cellStyle name="Normal 9 3 2 6 2 2 3" xfId="44647" xr:uid="{943BCEF4-ACF7-4AA1-9241-B9A0B15E6482}"/>
    <cellStyle name="Normal 9 3 2 6 2 2 4" xfId="26049" xr:uid="{A1C26D39-E686-4A1D-873D-6277923C5435}"/>
    <cellStyle name="Normal 9 3 2 6 2 3" xfId="13385" xr:uid="{3347BD73-CD8F-4A5B-9349-D8DF628A9B4E}"/>
    <cellStyle name="Normal 9 3 2 6 2 3 2" xfId="49727" xr:uid="{0853276D-CD69-4EF1-8885-50A905487750}"/>
    <cellStyle name="Normal 9 3 2 6 2 3 3" xfId="31131" xr:uid="{2F774F57-0DA4-4D7C-9A15-D9248AFEFD71}"/>
    <cellStyle name="Normal 9 3 2 6 2 4" xfId="40430" xr:uid="{31D1497D-7018-4ABE-AF88-60229935F210}"/>
    <cellStyle name="Normal 9 3 2 6 2 5" xfId="21832" xr:uid="{61B0651D-4E08-418B-BB95-EE29F39BA64B}"/>
    <cellStyle name="Normal 9 3 2 6 3" xfId="6131" xr:uid="{00000000-0005-0000-0000-0000F21F0000}"/>
    <cellStyle name="Normal 9 3 2 6 3 2" xfId="15457" xr:uid="{FE6E7219-8A97-4220-9B95-83C5810BDCDF}"/>
    <cellStyle name="Normal 9 3 2 6 3 2 2" xfId="51799" xr:uid="{04FE96A8-F3C0-466F-B205-FEE2A4A588DA}"/>
    <cellStyle name="Normal 9 3 2 6 3 2 3" xfId="33203" xr:uid="{D140D957-6FC6-42E1-AA2C-5159D9509C8F}"/>
    <cellStyle name="Normal 9 3 2 6 3 3" xfId="42502" xr:uid="{B23067A8-6750-424E-9251-949A070518C1}"/>
    <cellStyle name="Normal 9 3 2 6 3 4" xfId="23904" xr:uid="{84369F82-9B44-4F61-BF92-8F1B2208CF10}"/>
    <cellStyle name="Normal 9 3 2 6 4" xfId="11240" xr:uid="{1083C963-D9F3-4E7B-A053-3EFA4B22777F}"/>
    <cellStyle name="Normal 9 3 2 6 4 2" xfId="47582" xr:uid="{37622263-CD68-4DB1-9366-0C1D4F6D620B}"/>
    <cellStyle name="Normal 9 3 2 6 4 3" xfId="28986" xr:uid="{4A98A375-3AE9-4B40-A96F-2C2527DD7D8A}"/>
    <cellStyle name="Normal 9 3 2 6 5" xfId="38285" xr:uid="{D2BA77C8-FA97-4995-AE97-A87B71E3F3A5}"/>
    <cellStyle name="Normal 9 3 2 6 6" xfId="19687" xr:uid="{A0C6EC27-8505-4131-A0DE-B1C6B725ECD8}"/>
    <cellStyle name="Normal 9 3 2 7" xfId="2238" xr:uid="{00000000-0005-0000-0000-0000F31F0000}"/>
    <cellStyle name="Normal 9 3 2 7 2" xfId="4467" xr:uid="{00000000-0005-0000-0000-0000F41F0000}"/>
    <cellStyle name="Normal 9 3 2 7 2 2" xfId="8689" xr:uid="{00000000-0005-0000-0000-0000F51F0000}"/>
    <cellStyle name="Normal 9 3 2 7 2 2 2" xfId="18015" xr:uid="{4CAE17F0-55E5-48E6-9ADB-7B96C33D9554}"/>
    <cellStyle name="Normal 9 3 2 7 2 2 2 2" xfId="54357" xr:uid="{5875F27F-08DE-4694-BF66-735A27236B1A}"/>
    <cellStyle name="Normal 9 3 2 7 2 2 2 3" xfId="35761" xr:uid="{0196CA0A-51D8-4767-892B-B74C4F9E2658}"/>
    <cellStyle name="Normal 9 3 2 7 2 2 3" xfId="45060" xr:uid="{99862C90-E497-4ED8-BB06-C5EA29D8716B}"/>
    <cellStyle name="Normal 9 3 2 7 2 2 4" xfId="26462" xr:uid="{0B9355B5-D6E2-4F07-8957-92B6B345CD21}"/>
    <cellStyle name="Normal 9 3 2 7 2 3" xfId="13798" xr:uid="{754FCF60-CBE7-456E-AC1E-ABACDF827460}"/>
    <cellStyle name="Normal 9 3 2 7 2 3 2" xfId="50140" xr:uid="{AC7CDA2D-83AA-4CCC-9A6C-F4593262C397}"/>
    <cellStyle name="Normal 9 3 2 7 2 3 3" xfId="31544" xr:uid="{65EC26A3-F792-42FD-BF01-3040999D54FF}"/>
    <cellStyle name="Normal 9 3 2 7 2 4" xfId="40843" xr:uid="{36CE7B9E-A630-4AD1-BFFC-E3655C3487F9}"/>
    <cellStyle name="Normal 9 3 2 7 2 5" xfId="22245" xr:uid="{8305BF7A-657E-43C7-9CA5-4B7E293E99BC}"/>
    <cellStyle name="Normal 9 3 2 7 3" xfId="6544" xr:uid="{00000000-0005-0000-0000-0000F61F0000}"/>
    <cellStyle name="Normal 9 3 2 7 3 2" xfId="15870" xr:uid="{D46EDA7A-9C3C-4E72-AD6F-31984A55DC4C}"/>
    <cellStyle name="Normal 9 3 2 7 3 2 2" xfId="52212" xr:uid="{3310C0A2-1DFB-44F1-937E-6A9C5ECE478E}"/>
    <cellStyle name="Normal 9 3 2 7 3 2 3" xfId="33616" xr:uid="{05D5A1AD-DA9E-4F20-9E3E-B9B3A81366F1}"/>
    <cellStyle name="Normal 9 3 2 7 3 3" xfId="42915" xr:uid="{9E9CE8D2-984B-4581-9630-D41CB83F6F5A}"/>
    <cellStyle name="Normal 9 3 2 7 3 4" xfId="24317" xr:uid="{0E5CF406-DA1C-492D-91FB-9E196DB4EFAF}"/>
    <cellStyle name="Normal 9 3 2 7 4" xfId="11653" xr:uid="{B0BA72CC-C763-4665-A3B8-325B282DFEBE}"/>
    <cellStyle name="Normal 9 3 2 7 4 2" xfId="47995" xr:uid="{7E8AF577-09D2-4C29-AF48-2DFEF7DDD309}"/>
    <cellStyle name="Normal 9 3 2 7 4 3" xfId="29399" xr:uid="{05651A1F-1B39-4903-A377-56D97EAB4DF9}"/>
    <cellStyle name="Normal 9 3 2 7 5" xfId="38698" xr:uid="{955AB3FA-B7BE-4665-9F8C-B34D44F122CF}"/>
    <cellStyle name="Normal 9 3 2 7 6" xfId="20100" xr:uid="{75D40B22-0380-4E44-833C-02162182F09E}"/>
    <cellStyle name="Normal 9 3 2 8" xfId="2674" xr:uid="{00000000-0005-0000-0000-0000F71F0000}"/>
    <cellStyle name="Normal 9 3 2 8 2" xfId="6957" xr:uid="{00000000-0005-0000-0000-0000F81F0000}"/>
    <cellStyle name="Normal 9 3 2 8 2 2" xfId="16283" xr:uid="{05F89755-BED4-4F33-8C03-19E6054CB451}"/>
    <cellStyle name="Normal 9 3 2 8 2 2 2" xfId="52625" xr:uid="{1CDE1B2F-3181-488F-8AD8-6569EF2AC64C}"/>
    <cellStyle name="Normal 9 3 2 8 2 2 3" xfId="34029" xr:uid="{C20FEC7A-904D-4717-AB05-70CAF2D95CCA}"/>
    <cellStyle name="Normal 9 3 2 8 2 3" xfId="43328" xr:uid="{81ABCEAD-0613-4057-B578-543A285E19DE}"/>
    <cellStyle name="Normal 9 3 2 8 2 4" xfId="24730" xr:uid="{4D863510-700E-400B-8D64-C2F0CB295DAB}"/>
    <cellStyle name="Normal 9 3 2 8 3" xfId="12066" xr:uid="{9034DE3A-B81B-4DDA-B9B1-00C92740DB0F}"/>
    <cellStyle name="Normal 9 3 2 8 3 2" xfId="48408" xr:uid="{1973979E-F580-4EF9-A3CB-FE58EF5B80A1}"/>
    <cellStyle name="Normal 9 3 2 8 3 3" xfId="29812" xr:uid="{BED395C0-DC56-4C3B-AABF-AF9D6C087BD1}"/>
    <cellStyle name="Normal 9 3 2 8 4" xfId="39111" xr:uid="{93CC3FEF-D96A-4EB4-BDF7-B6F9540626A0}"/>
    <cellStyle name="Normal 9 3 2 8 5" xfId="20513" xr:uid="{A8BD40D5-83C3-468F-9066-200FA78248D1}"/>
    <cellStyle name="Normal 9 3 2 9" xfId="4892" xr:uid="{00000000-0005-0000-0000-0000F91F0000}"/>
    <cellStyle name="Normal 9 3 2 9 2" xfId="14218" xr:uid="{5850C67A-44FD-4BA8-8FA6-FCFA2B0F6B23}"/>
    <cellStyle name="Normal 9 3 2 9 2 2" xfId="50560" xr:uid="{6444A7AB-750F-40B1-8914-6D21A81CC74B}"/>
    <cellStyle name="Normal 9 3 2 9 2 3" xfId="31964" xr:uid="{271E9D33-6867-4CAC-92AC-BAE65ADBD91F}"/>
    <cellStyle name="Normal 9 3 2 9 3" xfId="41263" xr:uid="{9C0E446F-79AE-4907-9927-D84BA06CD2D2}"/>
    <cellStyle name="Normal 9 3 2 9 4" xfId="22665" xr:uid="{1880BAA1-AE23-4BF8-BA4D-9E3D0ED7F96C}"/>
    <cellStyle name="Normal 9 3 3" xfId="532" xr:uid="{00000000-0005-0000-0000-0000FA1F0000}"/>
    <cellStyle name="Normal 9 3 3 10" xfId="10005" xr:uid="{C4BE7B7B-F09A-4EC5-8A51-56C9ECE10B43}"/>
    <cellStyle name="Normal 9 3 3 10 2" xfId="46347" xr:uid="{CAB19152-EC3A-4F17-8964-356DA284051D}"/>
    <cellStyle name="Normal 9 3 3 10 3" xfId="27751" xr:uid="{D47E145D-DFB6-40B6-846B-1511A9A293D5}"/>
    <cellStyle name="Normal 9 3 3 11" xfId="37050" xr:uid="{A3D50F33-7016-44AA-866E-99E2BF211309}"/>
    <cellStyle name="Normal 9 3 3 12" xfId="18452" xr:uid="{C62D3B3F-94CB-4DE6-A929-B740A3C0CCAD}"/>
    <cellStyle name="Normal 9 3 3 2" xfId="533" xr:uid="{00000000-0005-0000-0000-0000FB1F0000}"/>
    <cellStyle name="Normal 9 3 3 2 10" xfId="37051" xr:uid="{FF06406A-AEA3-4BD6-B586-DA5471B13F04}"/>
    <cellStyle name="Normal 9 3 3 2 11" xfId="18453" xr:uid="{D0578E25-7D98-472E-9487-E8073FAFC9CB}"/>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16781" xr:uid="{CEBB99EF-73BB-40F4-9D30-398C9DBB5F89}"/>
    <cellStyle name="Normal 9 3 3 2 2 2 2 2 2" xfId="53123" xr:uid="{579F5838-0FF1-4757-801C-6033B3C1BF6A}"/>
    <cellStyle name="Normal 9 3 3 2 2 2 2 2 3" xfId="34527" xr:uid="{241BB1B6-BFEF-4BB0-9B4B-639B4E5EAFDB}"/>
    <cellStyle name="Normal 9 3 3 2 2 2 2 3" xfId="43826" xr:uid="{B4430152-1746-448E-BA04-A449572B7AAD}"/>
    <cellStyle name="Normal 9 3 3 2 2 2 2 4" xfId="25228" xr:uid="{745DC223-9685-4A97-997A-7A06D53288D2}"/>
    <cellStyle name="Normal 9 3 3 2 2 2 3" xfId="12564" xr:uid="{6A96BA74-9EB4-456D-B019-FE0667C753BC}"/>
    <cellStyle name="Normal 9 3 3 2 2 2 3 2" xfId="48906" xr:uid="{14A4ED63-E0CB-4027-B4D3-80BBE2E361E7}"/>
    <cellStyle name="Normal 9 3 3 2 2 2 3 3" xfId="30310" xr:uid="{5EBB93CB-C7F8-4FE8-ADC7-DB8F7B57E4D0}"/>
    <cellStyle name="Normal 9 3 3 2 2 2 4" xfId="39609" xr:uid="{A55A2641-CD58-42B7-A401-2B63E4C04FAC}"/>
    <cellStyle name="Normal 9 3 3 2 2 2 5" xfId="21011" xr:uid="{47804178-CED7-405A-8A5C-8D6B5BFF66D0}"/>
    <cellStyle name="Normal 9 3 3 2 2 3" xfId="5310" xr:uid="{00000000-0005-0000-0000-0000FF1F0000}"/>
    <cellStyle name="Normal 9 3 3 2 2 3 2" xfId="14636" xr:uid="{18F3C133-3AF5-4824-A1BA-E1A6D3EEC565}"/>
    <cellStyle name="Normal 9 3 3 2 2 3 2 2" xfId="50978" xr:uid="{89112C2A-A5FD-413D-ABD3-EC7AD607694B}"/>
    <cellStyle name="Normal 9 3 3 2 2 3 2 3" xfId="32382" xr:uid="{76FB9C84-B977-4849-BEF4-0E42D39C4E08}"/>
    <cellStyle name="Normal 9 3 3 2 2 3 3" xfId="41681" xr:uid="{5563DCDC-971F-45DF-A23F-18CAA58257E6}"/>
    <cellStyle name="Normal 9 3 3 2 2 3 4" xfId="23083" xr:uid="{FF3502CF-8F5A-4945-98C0-49F27D118A4D}"/>
    <cellStyle name="Normal 9 3 3 2 2 4" xfId="9512" xr:uid="{2D87B26D-94B2-43FF-B3AD-59DF0A117D21}"/>
    <cellStyle name="Normal 9 3 3 2 2 4 2" xfId="36573" xr:uid="{ABC6BFE0-A881-4E86-87E7-8DF879FE9C14}"/>
    <cellStyle name="Normal 9 3 3 2 2 4 2 2" xfId="55167" xr:uid="{D7A5C5C3-990D-4B99-99DD-995565FA0387}"/>
    <cellStyle name="Normal 9 3 3 2 2 4 3" xfId="45870" xr:uid="{69F94944-D653-4EFC-9E62-E1FAF441E0D4}"/>
    <cellStyle name="Normal 9 3 3 2 2 4 4" xfId="27274" xr:uid="{ABAA7EF9-DF68-4B66-BB4C-D9FE172B6806}"/>
    <cellStyle name="Normal 9 3 3 2 2 5" xfId="10419" xr:uid="{9D4A5EF6-7A1A-4AD5-AE13-4D604A2C72BD}"/>
    <cellStyle name="Normal 9 3 3 2 2 5 2" xfId="46761" xr:uid="{1268D73C-801F-45EA-8D9F-2BF084BC1009}"/>
    <cellStyle name="Normal 9 3 3 2 2 5 3" xfId="28165" xr:uid="{B60D4BAB-6656-4496-8DB2-E8460B965F55}"/>
    <cellStyle name="Normal 9 3 3 2 2 6" xfId="37464" xr:uid="{FBBFDCFB-2CE6-4838-914F-ED6DD269E305}"/>
    <cellStyle name="Normal 9 3 3 2 2 7" xfId="18866" xr:uid="{2A6BFF7E-B014-46EA-BDAC-F7A7E4DBD276}"/>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17194" xr:uid="{BAF54859-F46B-466D-B784-335F82333074}"/>
    <cellStyle name="Normal 9 3 3 2 3 2 2 2 2" xfId="53536" xr:uid="{777E26E3-956C-46D0-B4FB-729E0B26D63C}"/>
    <cellStyle name="Normal 9 3 3 2 3 2 2 2 3" xfId="34940" xr:uid="{73800450-A1CE-47C0-BCAB-9F5BD684EDB4}"/>
    <cellStyle name="Normal 9 3 3 2 3 2 2 3" xfId="44239" xr:uid="{F8E5D91E-0461-45FF-A1F3-8C5157C4E685}"/>
    <cellStyle name="Normal 9 3 3 2 3 2 2 4" xfId="25641" xr:uid="{85FA423E-3231-4D36-8AA8-DE040CF45EF1}"/>
    <cellStyle name="Normal 9 3 3 2 3 2 3" xfId="12977" xr:uid="{258AFD1B-BB82-4309-B6E1-0DF4AC3BD723}"/>
    <cellStyle name="Normal 9 3 3 2 3 2 3 2" xfId="49319" xr:uid="{3257C664-C3B5-4C41-8385-15419568834F}"/>
    <cellStyle name="Normal 9 3 3 2 3 2 3 3" xfId="30723" xr:uid="{6E040D56-39FC-459C-98FC-06D5B543262A}"/>
    <cellStyle name="Normal 9 3 3 2 3 2 4" xfId="40022" xr:uid="{1048F7BB-5443-44E2-AC3D-828F7682F13C}"/>
    <cellStyle name="Normal 9 3 3 2 3 2 5" xfId="21424" xr:uid="{19E91569-D41F-4916-96F0-3581567BC0C0}"/>
    <cellStyle name="Normal 9 3 3 2 3 3" xfId="5723" xr:uid="{00000000-0005-0000-0000-000003200000}"/>
    <cellStyle name="Normal 9 3 3 2 3 3 2" xfId="15049" xr:uid="{99CBBD99-6324-492D-953C-DEE60536D879}"/>
    <cellStyle name="Normal 9 3 3 2 3 3 2 2" xfId="51391" xr:uid="{C5B731E5-02E2-4D31-8573-2A12E6AF6C51}"/>
    <cellStyle name="Normal 9 3 3 2 3 3 2 3" xfId="32795" xr:uid="{E8F13C50-C86F-487C-A11A-E2120C40C6B4}"/>
    <cellStyle name="Normal 9 3 3 2 3 3 3" xfId="42094" xr:uid="{E144C317-E9C4-42C8-91AD-706FF671BE98}"/>
    <cellStyle name="Normal 9 3 3 2 3 3 4" xfId="23496" xr:uid="{0130D95A-CD5C-4B31-9654-EEBEBF145BA7}"/>
    <cellStyle name="Normal 9 3 3 2 3 4" xfId="10832" xr:uid="{4B4DAC87-A5CA-462D-98EB-BE54176EF7D9}"/>
    <cellStyle name="Normal 9 3 3 2 3 4 2" xfId="47174" xr:uid="{6B05CF97-E361-4284-A94D-D09702D173B9}"/>
    <cellStyle name="Normal 9 3 3 2 3 4 3" xfId="28578" xr:uid="{837BF314-555C-4055-9411-8A45F25B6A17}"/>
    <cellStyle name="Normal 9 3 3 2 3 5" xfId="37877" xr:uid="{C02F55AF-8455-4750-9E2D-C04D6862A00C}"/>
    <cellStyle name="Normal 9 3 3 2 3 6" xfId="19279" xr:uid="{59A9D2C0-FCE3-47B8-A120-77E424B275A5}"/>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17607" xr:uid="{243DF6DE-FA16-4952-85DC-6AE3D1417F5E}"/>
    <cellStyle name="Normal 9 3 3 2 4 2 2 2 2" xfId="53949" xr:uid="{7C3B7C4A-2E1D-4E3D-BBAA-F48AC46DFAE4}"/>
    <cellStyle name="Normal 9 3 3 2 4 2 2 2 3" xfId="35353" xr:uid="{71CBE117-6185-4D3F-B9B0-E32562537A45}"/>
    <cellStyle name="Normal 9 3 3 2 4 2 2 3" xfId="44652" xr:uid="{59C48044-832A-4B07-B174-C86D4441AB50}"/>
    <cellStyle name="Normal 9 3 3 2 4 2 2 4" xfId="26054" xr:uid="{CA344BA7-A65A-48D7-844F-348F85CE6132}"/>
    <cellStyle name="Normal 9 3 3 2 4 2 3" xfId="13390" xr:uid="{0E333275-D9D5-4632-B5A2-FA56B090C236}"/>
    <cellStyle name="Normal 9 3 3 2 4 2 3 2" xfId="49732" xr:uid="{EA946A7A-70A8-4406-9EE3-EB53A7F617ED}"/>
    <cellStyle name="Normal 9 3 3 2 4 2 3 3" xfId="31136" xr:uid="{97478B4E-8270-441E-BD63-7E70C0F18F20}"/>
    <cellStyle name="Normal 9 3 3 2 4 2 4" xfId="40435" xr:uid="{08D8FFD9-019D-45FA-957C-84A2676F9A94}"/>
    <cellStyle name="Normal 9 3 3 2 4 2 5" xfId="21837" xr:uid="{FA0D188E-417F-4B33-B797-03B128B2B8DC}"/>
    <cellStyle name="Normal 9 3 3 2 4 3" xfId="6136" xr:uid="{00000000-0005-0000-0000-000007200000}"/>
    <cellStyle name="Normal 9 3 3 2 4 3 2" xfId="15462" xr:uid="{A8058400-874C-46C6-8E9C-C9562AA76FDE}"/>
    <cellStyle name="Normal 9 3 3 2 4 3 2 2" xfId="51804" xr:uid="{910DB9B0-0709-48CF-A51C-21B8C20E455D}"/>
    <cellStyle name="Normal 9 3 3 2 4 3 2 3" xfId="33208" xr:uid="{913BF527-8B35-411B-B644-7AA06A68BD42}"/>
    <cellStyle name="Normal 9 3 3 2 4 3 3" xfId="42507" xr:uid="{60340270-60C4-44F1-8803-80BBF237799B}"/>
    <cellStyle name="Normal 9 3 3 2 4 3 4" xfId="23909" xr:uid="{B756D852-E74C-4187-A5AB-900D0F2EF3C6}"/>
    <cellStyle name="Normal 9 3 3 2 4 4" xfId="11245" xr:uid="{8676E5E0-E5A0-4222-AB79-3327E4E7E44F}"/>
    <cellStyle name="Normal 9 3 3 2 4 4 2" xfId="47587" xr:uid="{5B2AD053-9FB0-431B-BA8E-0F78B4931084}"/>
    <cellStyle name="Normal 9 3 3 2 4 4 3" xfId="28991" xr:uid="{0DCDF800-952C-4992-ACFD-DF9F3469F8C3}"/>
    <cellStyle name="Normal 9 3 3 2 4 5" xfId="38290" xr:uid="{4A6C091E-BDE9-4926-A593-BBCEBB60A720}"/>
    <cellStyle name="Normal 9 3 3 2 4 6" xfId="19692" xr:uid="{EF5123CC-E299-4A56-BBBB-5BE7B4E4BFCF}"/>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18020" xr:uid="{F82854D0-3FD0-4775-B123-BEAEF77B5641}"/>
    <cellStyle name="Normal 9 3 3 2 5 2 2 2 2" xfId="54362" xr:uid="{CB23B8D1-6DCA-496B-8203-D60A7B17B376}"/>
    <cellStyle name="Normal 9 3 3 2 5 2 2 2 3" xfId="35766" xr:uid="{9DD78CE4-5D5B-4735-8C9D-B50B543658E5}"/>
    <cellStyle name="Normal 9 3 3 2 5 2 2 3" xfId="45065" xr:uid="{8899BA04-0827-4B72-95C1-55DA652AC383}"/>
    <cellStyle name="Normal 9 3 3 2 5 2 2 4" xfId="26467" xr:uid="{8E38084E-704D-4C9B-8C3E-CC0522158348}"/>
    <cellStyle name="Normal 9 3 3 2 5 2 3" xfId="13803" xr:uid="{94A02BD0-A129-4C6D-9DEF-9D888D406C17}"/>
    <cellStyle name="Normal 9 3 3 2 5 2 3 2" xfId="50145" xr:uid="{8C7000A3-4F36-48DC-B800-9D0005F1F4A9}"/>
    <cellStyle name="Normal 9 3 3 2 5 2 3 3" xfId="31549" xr:uid="{03742294-A3DE-443B-B93A-0616B1C10B89}"/>
    <cellStyle name="Normal 9 3 3 2 5 2 4" xfId="40848" xr:uid="{D2E14F1F-FC8C-48E4-9CC6-6694D975BD78}"/>
    <cellStyle name="Normal 9 3 3 2 5 2 5" xfId="22250" xr:uid="{7D732421-DA0D-42C5-A3F7-F15F3B4E83F4}"/>
    <cellStyle name="Normal 9 3 3 2 5 3" xfId="6549" xr:uid="{00000000-0005-0000-0000-00000B200000}"/>
    <cellStyle name="Normal 9 3 3 2 5 3 2" xfId="15875" xr:uid="{0A548F1A-93B5-46B2-B130-1BB823D84593}"/>
    <cellStyle name="Normal 9 3 3 2 5 3 2 2" xfId="52217" xr:uid="{9B6F721E-AD95-41C2-ADC9-C5E3CB69A4ED}"/>
    <cellStyle name="Normal 9 3 3 2 5 3 2 3" xfId="33621" xr:uid="{F85125BF-0CE8-4294-AF9C-21F34ECC84F6}"/>
    <cellStyle name="Normal 9 3 3 2 5 3 3" xfId="42920" xr:uid="{91F70A26-8F3F-4D7B-A330-AA316A948B6C}"/>
    <cellStyle name="Normal 9 3 3 2 5 3 4" xfId="24322" xr:uid="{DD401D3A-FC32-4776-85FF-BE33BE3248AF}"/>
    <cellStyle name="Normal 9 3 3 2 5 4" xfId="11658" xr:uid="{46537251-B4CE-42A4-8525-052BC03E6C1A}"/>
    <cellStyle name="Normal 9 3 3 2 5 4 2" xfId="48000" xr:uid="{B371FF0A-640A-483B-B2BB-095737E2F7F1}"/>
    <cellStyle name="Normal 9 3 3 2 5 4 3" xfId="29404" xr:uid="{4524EAE9-3E7C-425C-A958-C1ACD2C6B5C9}"/>
    <cellStyle name="Normal 9 3 3 2 5 5" xfId="38703" xr:uid="{1000DADF-EF11-4163-9297-1964F960944A}"/>
    <cellStyle name="Normal 9 3 3 2 5 6" xfId="20105" xr:uid="{FAEF2E0C-D8AB-4F3B-B42D-D388F6CB56E9}"/>
    <cellStyle name="Normal 9 3 3 2 6" xfId="2679" xr:uid="{00000000-0005-0000-0000-00000C200000}"/>
    <cellStyle name="Normal 9 3 3 2 6 2" xfId="6962" xr:uid="{00000000-0005-0000-0000-00000D200000}"/>
    <cellStyle name="Normal 9 3 3 2 6 2 2" xfId="16288" xr:uid="{719A9FA4-C3D5-49DA-8818-85E352F7733F}"/>
    <cellStyle name="Normal 9 3 3 2 6 2 2 2" xfId="52630" xr:uid="{87C9DD3E-CB6D-42B2-B6BC-7515285E338C}"/>
    <cellStyle name="Normal 9 3 3 2 6 2 2 3" xfId="34034" xr:uid="{51CDCEAB-625F-4396-A8DC-E3105F288A8F}"/>
    <cellStyle name="Normal 9 3 3 2 6 2 3" xfId="43333" xr:uid="{23346812-8EE8-4CAC-8854-33C8C95C51BB}"/>
    <cellStyle name="Normal 9 3 3 2 6 2 4" xfId="24735" xr:uid="{AF8A1ED5-9021-45B5-8708-B0CC692971A9}"/>
    <cellStyle name="Normal 9 3 3 2 6 3" xfId="12071" xr:uid="{62B45D80-6014-4DEA-BB21-D2C340B304E5}"/>
    <cellStyle name="Normal 9 3 3 2 6 3 2" xfId="48413" xr:uid="{1EA2179A-A945-465A-9035-40BE234CD192}"/>
    <cellStyle name="Normal 9 3 3 2 6 3 3" xfId="29817" xr:uid="{F57BFB0B-3DD7-4C01-939A-186461728DD6}"/>
    <cellStyle name="Normal 9 3 3 2 6 4" xfId="39116" xr:uid="{4D514BFF-3776-4E9E-AC40-0F240300EB2C}"/>
    <cellStyle name="Normal 9 3 3 2 6 5" xfId="20518" xr:uid="{0047B563-5E9C-47D8-B418-67096BB1C1CE}"/>
    <cellStyle name="Normal 9 3 3 2 7" xfId="4897" xr:uid="{00000000-0005-0000-0000-00000E200000}"/>
    <cellStyle name="Normal 9 3 3 2 7 2" xfId="14223" xr:uid="{4A80C7A5-6FA3-44CF-8B73-64D31BB1040E}"/>
    <cellStyle name="Normal 9 3 3 2 7 2 2" xfId="50565" xr:uid="{250FF6E9-757B-4091-9B0A-44B03BC04AF7}"/>
    <cellStyle name="Normal 9 3 3 2 7 2 3" xfId="31969" xr:uid="{7B58CDCD-EE1A-4404-8A5A-E34197A0CA75}"/>
    <cellStyle name="Normal 9 3 3 2 7 3" xfId="41268" xr:uid="{B8E51398-E55C-4FA0-8359-F61E873F0542}"/>
    <cellStyle name="Normal 9 3 3 2 7 4" xfId="22670" xr:uid="{B119EF3F-1020-4419-8051-30659DE03EA6}"/>
    <cellStyle name="Normal 9 3 3 2 8" xfId="9087" xr:uid="{B1C8DB1F-59B6-4D6A-B3E7-0CFC4D29D9A9}"/>
    <cellStyle name="Normal 9 3 3 2 8 2" xfId="36157" xr:uid="{145440E4-7512-42D2-905C-2E760A25E800}"/>
    <cellStyle name="Normal 9 3 3 2 8 2 2" xfId="54752" xr:uid="{9C451ABF-1590-4235-9E9C-FD6A92CEAD9A}"/>
    <cellStyle name="Normal 9 3 3 2 8 3" xfId="45455" xr:uid="{45D5F296-ED4A-4AF1-AB5D-713FB1196E8F}"/>
    <cellStyle name="Normal 9 3 3 2 8 4" xfId="26858" xr:uid="{E9D5A5A7-8D97-4747-9FC1-A07495565E61}"/>
    <cellStyle name="Normal 9 3 3 2 9" xfId="10006" xr:uid="{B885C90E-062C-41E2-9130-7D24D903513A}"/>
    <cellStyle name="Normal 9 3 3 2 9 2" xfId="46348" xr:uid="{A5F23FAC-EB36-452B-8334-CD77F543F989}"/>
    <cellStyle name="Normal 9 3 3 2 9 3" xfId="27752" xr:uid="{3DC5940D-114A-4885-86C2-2F5684C79E24}"/>
    <cellStyle name="Normal 9 3 3 3" xfId="999" xr:uid="{00000000-0005-0000-0000-00000F200000}"/>
    <cellStyle name="Normal 9 3 3 3 2" xfId="3232" xr:uid="{00000000-0005-0000-0000-000010200000}"/>
    <cellStyle name="Normal 9 3 3 3 2 2" xfId="7454" xr:uid="{00000000-0005-0000-0000-000011200000}"/>
    <cellStyle name="Normal 9 3 3 3 2 2 2" xfId="16780" xr:uid="{F2A554F1-E286-4E61-B7B3-C35192551F3B}"/>
    <cellStyle name="Normal 9 3 3 3 2 2 2 2" xfId="53122" xr:uid="{67FE4592-B84C-4DF4-A8AA-69B44B8BC9F3}"/>
    <cellStyle name="Normal 9 3 3 3 2 2 2 3" xfId="34526" xr:uid="{864A929D-243A-4926-9E07-B4C610FE74DB}"/>
    <cellStyle name="Normal 9 3 3 3 2 2 3" xfId="43825" xr:uid="{CF3189D0-C58D-40EE-8644-072E7848D2C4}"/>
    <cellStyle name="Normal 9 3 3 3 2 2 4" xfId="25227" xr:uid="{15AB3553-2F1B-480C-963A-BC61C10ECCE8}"/>
    <cellStyle name="Normal 9 3 3 3 2 3" xfId="12563" xr:uid="{4A4656FE-2E55-4CA3-A48F-A77BB55FECD5}"/>
    <cellStyle name="Normal 9 3 3 3 2 3 2" xfId="48905" xr:uid="{19E165B7-CF1F-481F-95F8-7AC1375A22B3}"/>
    <cellStyle name="Normal 9 3 3 3 2 3 3" xfId="30309" xr:uid="{1EF30384-C0A5-4901-A125-39183F7EBAFF}"/>
    <cellStyle name="Normal 9 3 3 3 2 4" xfId="39608" xr:uid="{1529535D-7EB7-4321-BC81-ECCA56825F42}"/>
    <cellStyle name="Normal 9 3 3 3 2 5" xfId="21010" xr:uid="{64146E44-127F-475F-B0DB-170BF6810BDD}"/>
    <cellStyle name="Normal 9 3 3 3 3" xfId="5309" xr:uid="{00000000-0005-0000-0000-000012200000}"/>
    <cellStyle name="Normal 9 3 3 3 3 2" xfId="14635" xr:uid="{BF954967-86B2-4C99-BDCE-B93B0AC1293C}"/>
    <cellStyle name="Normal 9 3 3 3 3 2 2" xfId="50977" xr:uid="{F7E09486-90C6-4447-9B90-3EAA1A6FE24B}"/>
    <cellStyle name="Normal 9 3 3 3 3 2 3" xfId="32381" xr:uid="{760A46D8-1D96-45DF-8554-B4A686D9F6A8}"/>
    <cellStyle name="Normal 9 3 3 3 3 3" xfId="41680" xr:uid="{D3079911-6A79-46E0-A2EB-AC11F9F24436}"/>
    <cellStyle name="Normal 9 3 3 3 3 4" xfId="23082" xr:uid="{8A02F65D-F933-4BDA-B789-C7A7B1176B65}"/>
    <cellStyle name="Normal 9 3 3 3 4" xfId="9305" xr:uid="{F54F3A88-B268-4905-B4D1-34B996B920C6}"/>
    <cellStyle name="Normal 9 3 3 3 4 2" xfId="36366" xr:uid="{F6F77E1C-E3D2-4367-AE17-5A4A4BB25B17}"/>
    <cellStyle name="Normal 9 3 3 3 4 2 2" xfId="54960" xr:uid="{995E68D4-5FBB-4749-9886-3B6F4937A1D9}"/>
    <cellStyle name="Normal 9 3 3 3 4 3" xfId="45663" xr:uid="{4550B20F-792F-43F7-A541-D21166D34B63}"/>
    <cellStyle name="Normal 9 3 3 3 4 4" xfId="27067" xr:uid="{808E887B-C42D-47F6-A68F-80D377766E8A}"/>
    <cellStyle name="Normal 9 3 3 3 5" xfId="10418" xr:uid="{0AF0CE6C-1F40-4727-9D90-7AEE738B8216}"/>
    <cellStyle name="Normal 9 3 3 3 5 2" xfId="46760" xr:uid="{23EBA0F9-A3A3-412E-8584-2766EA029220}"/>
    <cellStyle name="Normal 9 3 3 3 5 3" xfId="28164" xr:uid="{2BC97652-5A5D-4F60-BA98-D702221936E0}"/>
    <cellStyle name="Normal 9 3 3 3 6" xfId="37463" xr:uid="{8A3A95B7-E920-48BB-8FA4-28E05F4B9AB5}"/>
    <cellStyle name="Normal 9 3 3 3 7" xfId="18865" xr:uid="{4D93F62D-F545-45F1-8373-CF3FDAF0060B}"/>
    <cellStyle name="Normal 9 3 3 4" xfId="1415" xr:uid="{00000000-0005-0000-0000-000013200000}"/>
    <cellStyle name="Normal 9 3 3 4 2" xfId="3645" xr:uid="{00000000-0005-0000-0000-000014200000}"/>
    <cellStyle name="Normal 9 3 3 4 2 2" xfId="7867" xr:uid="{00000000-0005-0000-0000-000015200000}"/>
    <cellStyle name="Normal 9 3 3 4 2 2 2" xfId="17193" xr:uid="{D5122106-77DE-4F70-9602-1634AA4C058A}"/>
    <cellStyle name="Normal 9 3 3 4 2 2 2 2" xfId="53535" xr:uid="{C7103F30-1078-492D-BA98-902E6727C89B}"/>
    <cellStyle name="Normal 9 3 3 4 2 2 2 3" xfId="34939" xr:uid="{4009EB16-9DBC-4D60-A2BB-611C1D17DD26}"/>
    <cellStyle name="Normal 9 3 3 4 2 2 3" xfId="44238" xr:uid="{4741D21D-7638-4556-8133-1AE32A13114B}"/>
    <cellStyle name="Normal 9 3 3 4 2 2 4" xfId="25640" xr:uid="{C985D9F0-2427-48B5-941B-E587BAF37DF2}"/>
    <cellStyle name="Normal 9 3 3 4 2 3" xfId="12976" xr:uid="{73C5AFFC-FC1F-43B2-9140-8E8849E1FFF0}"/>
    <cellStyle name="Normal 9 3 3 4 2 3 2" xfId="49318" xr:uid="{0475E45B-C21A-4A84-80DD-BADE5CAECDB4}"/>
    <cellStyle name="Normal 9 3 3 4 2 3 3" xfId="30722" xr:uid="{7D017712-319D-4D2D-B894-48C9E7CBD2F7}"/>
    <cellStyle name="Normal 9 3 3 4 2 4" xfId="40021" xr:uid="{9E9F348B-A57F-46FC-9B94-B5B30C0A058D}"/>
    <cellStyle name="Normal 9 3 3 4 2 5" xfId="21423" xr:uid="{F75067D9-3B63-43BF-8031-0314A42A1C90}"/>
    <cellStyle name="Normal 9 3 3 4 3" xfId="5722" xr:uid="{00000000-0005-0000-0000-000016200000}"/>
    <cellStyle name="Normal 9 3 3 4 3 2" xfId="15048" xr:uid="{1BFE01C1-FAF1-4C18-BA17-5F42F8DCF12C}"/>
    <cellStyle name="Normal 9 3 3 4 3 2 2" xfId="51390" xr:uid="{C8793BD3-F733-4547-8C85-A38A1F6EF90F}"/>
    <cellStyle name="Normal 9 3 3 4 3 2 3" xfId="32794" xr:uid="{E04AE47F-0D16-4E62-99AF-7E7105EE610C}"/>
    <cellStyle name="Normal 9 3 3 4 3 3" xfId="42093" xr:uid="{5E0336A9-2DBE-4A05-A3F6-5E68EB99DD0C}"/>
    <cellStyle name="Normal 9 3 3 4 3 4" xfId="23495" xr:uid="{1E586BBC-7722-4977-923C-F82CEE5C93B9}"/>
    <cellStyle name="Normal 9 3 3 4 4" xfId="10831" xr:uid="{968372CF-8605-4DD9-B8CA-E230174C0C8C}"/>
    <cellStyle name="Normal 9 3 3 4 4 2" xfId="47173" xr:uid="{D7D4A730-5752-448F-9669-EACE44CBAEF5}"/>
    <cellStyle name="Normal 9 3 3 4 4 3" xfId="28577" xr:uid="{57A767FB-5361-4628-8A6B-7190E34C17D8}"/>
    <cellStyle name="Normal 9 3 3 4 5" xfId="37876" xr:uid="{D1D72EB8-1094-44FB-AEF0-6F0B79F6FC6E}"/>
    <cellStyle name="Normal 9 3 3 4 6" xfId="19278" xr:uid="{05F9A283-6C61-4850-A908-9AAB4BCA5059}"/>
    <cellStyle name="Normal 9 3 3 5" xfId="1828" xr:uid="{00000000-0005-0000-0000-000017200000}"/>
    <cellStyle name="Normal 9 3 3 5 2" xfId="4058" xr:uid="{00000000-0005-0000-0000-000018200000}"/>
    <cellStyle name="Normal 9 3 3 5 2 2" xfId="8280" xr:uid="{00000000-0005-0000-0000-000019200000}"/>
    <cellStyle name="Normal 9 3 3 5 2 2 2" xfId="17606" xr:uid="{AFFA1D49-77E2-4633-9375-6A06555F10C6}"/>
    <cellStyle name="Normal 9 3 3 5 2 2 2 2" xfId="53948" xr:uid="{560027C8-110F-45AF-9BC0-823F14D2A42B}"/>
    <cellStyle name="Normal 9 3 3 5 2 2 2 3" xfId="35352" xr:uid="{CDFD3873-E90C-42AA-B2A4-1CE98CBC6060}"/>
    <cellStyle name="Normal 9 3 3 5 2 2 3" xfId="44651" xr:uid="{4960A64F-12C0-40D3-B8AD-F3762B449370}"/>
    <cellStyle name="Normal 9 3 3 5 2 2 4" xfId="26053" xr:uid="{5122BC98-CD20-421A-96EE-D963B16D5C7E}"/>
    <cellStyle name="Normal 9 3 3 5 2 3" xfId="13389" xr:uid="{C06B2D6E-88FD-4179-AB77-307A51A59286}"/>
    <cellStyle name="Normal 9 3 3 5 2 3 2" xfId="49731" xr:uid="{9A05001D-299C-4D01-AF6E-03D0B614FD44}"/>
    <cellStyle name="Normal 9 3 3 5 2 3 3" xfId="31135" xr:uid="{719CC811-260B-4278-9936-D9EB1BFD84E5}"/>
    <cellStyle name="Normal 9 3 3 5 2 4" xfId="40434" xr:uid="{A4643CAD-552A-490E-A53F-60F5FEFFE986}"/>
    <cellStyle name="Normal 9 3 3 5 2 5" xfId="21836" xr:uid="{F58A917D-7931-44BC-85F4-CE7A89B9370E}"/>
    <cellStyle name="Normal 9 3 3 5 3" xfId="6135" xr:uid="{00000000-0005-0000-0000-00001A200000}"/>
    <cellStyle name="Normal 9 3 3 5 3 2" xfId="15461" xr:uid="{0F570E91-526F-46E3-83A3-086D8FB73219}"/>
    <cellStyle name="Normal 9 3 3 5 3 2 2" xfId="51803" xr:uid="{636DBB73-A901-4C63-B887-61A9CF2D9D3C}"/>
    <cellStyle name="Normal 9 3 3 5 3 2 3" xfId="33207" xr:uid="{834DB1CD-9DB5-4C64-81B6-099B1C985E37}"/>
    <cellStyle name="Normal 9 3 3 5 3 3" xfId="42506" xr:uid="{E976AB73-C2F0-47A3-9E65-7D3344976177}"/>
    <cellStyle name="Normal 9 3 3 5 3 4" xfId="23908" xr:uid="{547D806A-965F-4430-8204-582703CB4D22}"/>
    <cellStyle name="Normal 9 3 3 5 4" xfId="11244" xr:uid="{6BC02CAA-0A1C-4681-9FA6-7469096AECFB}"/>
    <cellStyle name="Normal 9 3 3 5 4 2" xfId="47586" xr:uid="{79FA8651-A11D-4AE6-86FC-3DC38D024E9A}"/>
    <cellStyle name="Normal 9 3 3 5 4 3" xfId="28990" xr:uid="{81E24873-5531-4F9D-A169-5C30B40F224F}"/>
    <cellStyle name="Normal 9 3 3 5 5" xfId="38289" xr:uid="{A52A75F2-86E3-4200-97A9-E6415949824C}"/>
    <cellStyle name="Normal 9 3 3 5 6" xfId="19691" xr:uid="{830F23B4-A9A8-451B-ACC3-DD76548E1872}"/>
    <cellStyle name="Normal 9 3 3 6" xfId="2242" xr:uid="{00000000-0005-0000-0000-00001B200000}"/>
    <cellStyle name="Normal 9 3 3 6 2" xfId="4471" xr:uid="{00000000-0005-0000-0000-00001C200000}"/>
    <cellStyle name="Normal 9 3 3 6 2 2" xfId="8693" xr:uid="{00000000-0005-0000-0000-00001D200000}"/>
    <cellStyle name="Normal 9 3 3 6 2 2 2" xfId="18019" xr:uid="{10AFA41A-79E2-47E9-8908-85F1F29AA7CD}"/>
    <cellStyle name="Normal 9 3 3 6 2 2 2 2" xfId="54361" xr:uid="{DE962D2D-86FB-462D-90C6-401A05CA0F6A}"/>
    <cellStyle name="Normal 9 3 3 6 2 2 2 3" xfId="35765" xr:uid="{BA703CB1-8252-44CD-9744-5C55C6BFB689}"/>
    <cellStyle name="Normal 9 3 3 6 2 2 3" xfId="45064" xr:uid="{4EF4AC3A-809C-48A9-871D-CA78C3907A4C}"/>
    <cellStyle name="Normal 9 3 3 6 2 2 4" xfId="26466" xr:uid="{1C32AABF-B7C4-44B0-931F-A9200A8F7C0E}"/>
    <cellStyle name="Normal 9 3 3 6 2 3" xfId="13802" xr:uid="{F86092E7-08DC-42B9-864E-C0C3CE4E1EC5}"/>
    <cellStyle name="Normal 9 3 3 6 2 3 2" xfId="50144" xr:uid="{6F1F2864-88CB-4462-9DDB-CF669DD956A8}"/>
    <cellStyle name="Normal 9 3 3 6 2 3 3" xfId="31548" xr:uid="{7D4573E5-50DD-4344-96BD-11DCA492FE12}"/>
    <cellStyle name="Normal 9 3 3 6 2 4" xfId="40847" xr:uid="{9D764F63-EB99-4FC3-9BD0-8D33189538A5}"/>
    <cellStyle name="Normal 9 3 3 6 2 5" xfId="22249" xr:uid="{CF5964C9-5A85-467E-A9B4-908DCD9421EB}"/>
    <cellStyle name="Normal 9 3 3 6 3" xfId="6548" xr:uid="{00000000-0005-0000-0000-00001E200000}"/>
    <cellStyle name="Normal 9 3 3 6 3 2" xfId="15874" xr:uid="{9D0D59E0-B31F-4EB3-96AE-2B80AD9DED95}"/>
    <cellStyle name="Normal 9 3 3 6 3 2 2" xfId="52216" xr:uid="{D951EC6C-E99C-4BE3-BF00-8BCA55119076}"/>
    <cellStyle name="Normal 9 3 3 6 3 2 3" xfId="33620" xr:uid="{E0DD8E96-B142-413D-A581-C2389407C091}"/>
    <cellStyle name="Normal 9 3 3 6 3 3" xfId="42919" xr:uid="{DAE2F42E-1610-4E69-AADD-98B4FB96F6F1}"/>
    <cellStyle name="Normal 9 3 3 6 3 4" xfId="24321" xr:uid="{96E1632E-7136-4C53-BEA8-ED1E7411FB47}"/>
    <cellStyle name="Normal 9 3 3 6 4" xfId="11657" xr:uid="{4CFA6BBA-6A4C-40B8-8545-9369519956AF}"/>
    <cellStyle name="Normal 9 3 3 6 4 2" xfId="47999" xr:uid="{A6246D49-FB5F-4377-9D5C-F53F700E129B}"/>
    <cellStyle name="Normal 9 3 3 6 4 3" xfId="29403" xr:uid="{E94F85CB-7D13-4652-9371-96E9BF501245}"/>
    <cellStyle name="Normal 9 3 3 6 5" xfId="38702" xr:uid="{298D2E8C-D4A1-4B53-9117-E58E77BBA81D}"/>
    <cellStyle name="Normal 9 3 3 6 6" xfId="20104" xr:uid="{608E48D9-C3ED-44D0-BD97-17B7708F85EC}"/>
    <cellStyle name="Normal 9 3 3 7" xfId="2678" xr:uid="{00000000-0005-0000-0000-00001F200000}"/>
    <cellStyle name="Normal 9 3 3 7 2" xfId="6961" xr:uid="{00000000-0005-0000-0000-000020200000}"/>
    <cellStyle name="Normal 9 3 3 7 2 2" xfId="16287" xr:uid="{434FFBA0-B73C-4B8E-A7AF-F34F68F21223}"/>
    <cellStyle name="Normal 9 3 3 7 2 2 2" xfId="52629" xr:uid="{D727305D-1EC4-4502-A40A-B8C858619C78}"/>
    <cellStyle name="Normal 9 3 3 7 2 2 3" xfId="34033" xr:uid="{F61E6D43-6BEF-4559-857E-02344692DE3A}"/>
    <cellStyle name="Normal 9 3 3 7 2 3" xfId="43332" xr:uid="{B679DED1-5BA1-4269-9FC5-707AA5B8C332}"/>
    <cellStyle name="Normal 9 3 3 7 2 4" xfId="24734" xr:uid="{5EC60894-23DC-422A-BF88-4EF037904E67}"/>
    <cellStyle name="Normal 9 3 3 7 3" xfId="12070" xr:uid="{1D1BB10D-85E1-417B-8EEE-A8316731F9F1}"/>
    <cellStyle name="Normal 9 3 3 7 3 2" xfId="48412" xr:uid="{E9A5C99A-FB67-4EE1-A2C5-1CD9092ED3F1}"/>
    <cellStyle name="Normal 9 3 3 7 3 3" xfId="29816" xr:uid="{0C6BC00B-836C-459D-91BD-8E10632A172B}"/>
    <cellStyle name="Normal 9 3 3 7 4" xfId="39115" xr:uid="{ADF6A520-E5C1-413C-A945-A9CE3E607C99}"/>
    <cellStyle name="Normal 9 3 3 7 5" xfId="20517" xr:uid="{134E6550-6CA9-447F-AA2B-B7A6923DA949}"/>
    <cellStyle name="Normal 9 3 3 8" xfId="4896" xr:uid="{00000000-0005-0000-0000-000021200000}"/>
    <cellStyle name="Normal 9 3 3 8 2" xfId="14222" xr:uid="{E67D9CA3-6EBD-4674-9685-6DE96B811124}"/>
    <cellStyle name="Normal 9 3 3 8 2 2" xfId="50564" xr:uid="{FE7D4D33-6C52-4212-8269-CC005E120F29}"/>
    <cellStyle name="Normal 9 3 3 8 2 3" xfId="31968" xr:uid="{74CEAA66-D58D-4BF4-BF9F-A3EE9CE49733}"/>
    <cellStyle name="Normal 9 3 3 8 3" xfId="41267" xr:uid="{2F9E66D2-107C-4DD4-90AD-CFDE371E1C6C}"/>
    <cellStyle name="Normal 9 3 3 8 4" xfId="22669" xr:uid="{A97D59CC-D6AC-4EDC-9997-ECA83B3DF5BA}"/>
    <cellStyle name="Normal 9 3 3 9" xfId="8880" xr:uid="{36521590-FD5B-45F7-80A9-41BA557EA820}"/>
    <cellStyle name="Normal 9 3 3 9 2" xfId="35950" xr:uid="{1C41F26D-A08A-4234-A6AD-55B0966C2E8F}"/>
    <cellStyle name="Normal 9 3 3 9 2 2" xfId="54545" xr:uid="{7BEF94D2-9C51-414F-B4DF-66B80AC4135C}"/>
    <cellStyle name="Normal 9 3 3 9 3" xfId="45248" xr:uid="{273AF0DC-9E01-4DD2-99DA-DCEBB321AA85}"/>
    <cellStyle name="Normal 9 3 3 9 4" xfId="26651" xr:uid="{965979AC-21AB-4ACA-9629-F49A8F4290B6}"/>
    <cellStyle name="Normal 9 3 4" xfId="534" xr:uid="{00000000-0005-0000-0000-000022200000}"/>
    <cellStyle name="Normal 9 3 4 10" xfId="37052" xr:uid="{A8B3DB76-E546-4D6B-B7FF-02E8294DF31B}"/>
    <cellStyle name="Normal 9 3 4 11" xfId="18454" xr:uid="{D82F2820-CEDE-461C-8515-AC228D749909}"/>
    <cellStyle name="Normal 9 3 4 2" xfId="1001" xr:uid="{00000000-0005-0000-0000-000023200000}"/>
    <cellStyle name="Normal 9 3 4 2 2" xfId="3234" xr:uid="{00000000-0005-0000-0000-000024200000}"/>
    <cellStyle name="Normal 9 3 4 2 2 2" xfId="7456" xr:uid="{00000000-0005-0000-0000-000025200000}"/>
    <cellStyle name="Normal 9 3 4 2 2 2 2" xfId="16782" xr:uid="{07E5D415-21F1-4672-BBB9-5B059A00C26B}"/>
    <cellStyle name="Normal 9 3 4 2 2 2 2 2" xfId="53124" xr:uid="{B2FF1EA0-22C1-4EC9-8041-2E78586B6202}"/>
    <cellStyle name="Normal 9 3 4 2 2 2 2 3" xfId="34528" xr:uid="{80C22758-41EF-4FB3-989A-6198E9A5176F}"/>
    <cellStyle name="Normal 9 3 4 2 2 2 3" xfId="43827" xr:uid="{AA8FB93B-9EDC-4E6E-AF33-BA6365BEE7C2}"/>
    <cellStyle name="Normal 9 3 4 2 2 2 4" xfId="25229" xr:uid="{8D00DE89-19CF-42D1-9689-C2E8050DD29F}"/>
    <cellStyle name="Normal 9 3 4 2 2 3" xfId="12565" xr:uid="{014D5D6F-84C1-4A42-A08B-EA9B5E7529C6}"/>
    <cellStyle name="Normal 9 3 4 2 2 3 2" xfId="48907" xr:uid="{B0803585-6CDE-4BC1-8154-9FEC261C5554}"/>
    <cellStyle name="Normal 9 3 4 2 2 3 3" xfId="30311" xr:uid="{CF5BF03A-18E6-4C34-AFAE-6188C573D9F6}"/>
    <cellStyle name="Normal 9 3 4 2 2 4" xfId="39610" xr:uid="{06347AA6-FDD4-4093-8797-ACDD72B27168}"/>
    <cellStyle name="Normal 9 3 4 2 2 5" xfId="21012" xr:uid="{5739D0EE-5A4D-48DB-A20F-2BA6C06766BF}"/>
    <cellStyle name="Normal 9 3 4 2 3" xfId="5311" xr:uid="{00000000-0005-0000-0000-000026200000}"/>
    <cellStyle name="Normal 9 3 4 2 3 2" xfId="14637" xr:uid="{702BF1D2-9267-42E5-8D7F-F6B12C44F643}"/>
    <cellStyle name="Normal 9 3 4 2 3 2 2" xfId="50979" xr:uid="{B38E8243-55AE-4B5E-8F42-5E6458E62DF5}"/>
    <cellStyle name="Normal 9 3 4 2 3 2 3" xfId="32383" xr:uid="{998AA098-EAE1-426B-8914-9CDA5049577C}"/>
    <cellStyle name="Normal 9 3 4 2 3 3" xfId="41682" xr:uid="{66611889-72B0-4A38-A4D9-3518D1D14BE0}"/>
    <cellStyle name="Normal 9 3 4 2 3 4" xfId="23084" xr:uid="{4F03F6D3-27E5-4734-BDDA-66FD5C92974F}"/>
    <cellStyle name="Normal 9 3 4 2 4" xfId="9409" xr:uid="{F8EFC02C-357C-44AD-9BF7-6459F3C595DA}"/>
    <cellStyle name="Normal 9 3 4 2 4 2" xfId="36470" xr:uid="{E6445F5D-D8BF-46EE-8489-A49D88C73699}"/>
    <cellStyle name="Normal 9 3 4 2 4 2 2" xfId="55064" xr:uid="{3B3F6B0B-41A8-4A37-B4F2-EA8A6E692590}"/>
    <cellStyle name="Normal 9 3 4 2 4 3" xfId="45767" xr:uid="{D3FB031B-DA1E-47FE-90DC-9DE2D4C77F08}"/>
    <cellStyle name="Normal 9 3 4 2 4 4" xfId="27171" xr:uid="{326B0BC2-163C-485D-AC77-812791A457BE}"/>
    <cellStyle name="Normal 9 3 4 2 5" xfId="10420" xr:uid="{1AD4A85F-F590-4959-828D-6F3A29C36540}"/>
    <cellStyle name="Normal 9 3 4 2 5 2" xfId="46762" xr:uid="{6B37F7F8-038F-4153-9550-C1C7D009D440}"/>
    <cellStyle name="Normal 9 3 4 2 5 3" xfId="28166" xr:uid="{0F03703F-5497-41C2-B0EC-7D854B15BF58}"/>
    <cellStyle name="Normal 9 3 4 2 6" xfId="37465" xr:uid="{501FC3B8-46CF-428F-8B14-47DEAD695E1E}"/>
    <cellStyle name="Normal 9 3 4 2 7" xfId="18867" xr:uid="{11312CAC-AA76-4C9F-A588-0DD7B1A28AC1}"/>
    <cellStyle name="Normal 9 3 4 3" xfId="1417" xr:uid="{00000000-0005-0000-0000-000027200000}"/>
    <cellStyle name="Normal 9 3 4 3 2" xfId="3647" xr:uid="{00000000-0005-0000-0000-000028200000}"/>
    <cellStyle name="Normal 9 3 4 3 2 2" xfId="7869" xr:uid="{00000000-0005-0000-0000-000029200000}"/>
    <cellStyle name="Normal 9 3 4 3 2 2 2" xfId="17195" xr:uid="{E1B59572-B2B2-400B-B111-F5A0178F5172}"/>
    <cellStyle name="Normal 9 3 4 3 2 2 2 2" xfId="53537" xr:uid="{12FF6F77-FFA1-4AE2-8254-9DC1FBBC3245}"/>
    <cellStyle name="Normal 9 3 4 3 2 2 2 3" xfId="34941" xr:uid="{1944F905-DE01-431C-80F0-C20D39CE00E8}"/>
    <cellStyle name="Normal 9 3 4 3 2 2 3" xfId="44240" xr:uid="{42872F29-B46F-4243-A43A-1D42ADD5F547}"/>
    <cellStyle name="Normal 9 3 4 3 2 2 4" xfId="25642" xr:uid="{3ACE591A-5D5F-4778-9773-A41386A45446}"/>
    <cellStyle name="Normal 9 3 4 3 2 3" xfId="12978" xr:uid="{537318B6-A407-4DAC-9006-A28FA724C94D}"/>
    <cellStyle name="Normal 9 3 4 3 2 3 2" xfId="49320" xr:uid="{2502D51F-5566-4719-A332-9C0CEBBF95EA}"/>
    <cellStyle name="Normal 9 3 4 3 2 3 3" xfId="30724" xr:uid="{0E9B5844-B7FB-4343-8D10-B7490F7985B2}"/>
    <cellStyle name="Normal 9 3 4 3 2 4" xfId="40023" xr:uid="{B3A9F978-08DD-45F9-838E-695432EEA5C1}"/>
    <cellStyle name="Normal 9 3 4 3 2 5" xfId="21425" xr:uid="{9BFB7487-7F8A-4523-8602-DA81F851A25E}"/>
    <cellStyle name="Normal 9 3 4 3 3" xfId="5724" xr:uid="{00000000-0005-0000-0000-00002A200000}"/>
    <cellStyle name="Normal 9 3 4 3 3 2" xfId="15050" xr:uid="{C2BE4336-9C86-43C8-9729-D1CFF2DAB247}"/>
    <cellStyle name="Normal 9 3 4 3 3 2 2" xfId="51392" xr:uid="{52ACFDF2-5B02-40B2-9DBF-E75694C65A3B}"/>
    <cellStyle name="Normal 9 3 4 3 3 2 3" xfId="32796" xr:uid="{0CBBF768-4DD0-4CB3-9B52-FF0837F4B87F}"/>
    <cellStyle name="Normal 9 3 4 3 3 3" xfId="42095" xr:uid="{78D91EF7-9C00-423F-839F-C5CA3240C3BD}"/>
    <cellStyle name="Normal 9 3 4 3 3 4" xfId="23497" xr:uid="{E12E7668-99E0-4B23-9739-E71CBC3CF37F}"/>
    <cellStyle name="Normal 9 3 4 3 4" xfId="10833" xr:uid="{F76EA220-1A5A-4DAC-83FD-27F43571D7E7}"/>
    <cellStyle name="Normal 9 3 4 3 4 2" xfId="47175" xr:uid="{63448445-61E0-4ABE-994B-9CCDFD2AA551}"/>
    <cellStyle name="Normal 9 3 4 3 4 3" xfId="28579" xr:uid="{C4ADEB94-1AE2-4116-B0BA-DBE3B31D3514}"/>
    <cellStyle name="Normal 9 3 4 3 5" xfId="37878" xr:uid="{D948A563-3495-4B91-A9AE-381E64966C8E}"/>
    <cellStyle name="Normal 9 3 4 3 6" xfId="19280" xr:uid="{E31D93D8-87B3-450E-80F6-A8EDF5DAF86F}"/>
    <cellStyle name="Normal 9 3 4 4" xfId="1830" xr:uid="{00000000-0005-0000-0000-00002B200000}"/>
    <cellStyle name="Normal 9 3 4 4 2" xfId="4060" xr:uid="{00000000-0005-0000-0000-00002C200000}"/>
    <cellStyle name="Normal 9 3 4 4 2 2" xfId="8282" xr:uid="{00000000-0005-0000-0000-00002D200000}"/>
    <cellStyle name="Normal 9 3 4 4 2 2 2" xfId="17608" xr:uid="{03B9999B-03CC-4E2E-B3D9-B96773DC9E22}"/>
    <cellStyle name="Normal 9 3 4 4 2 2 2 2" xfId="53950" xr:uid="{209D93AC-5771-455E-950C-E0CC971F1855}"/>
    <cellStyle name="Normal 9 3 4 4 2 2 2 3" xfId="35354" xr:uid="{4CAB25DE-74A5-494F-8395-7B5934E7131E}"/>
    <cellStyle name="Normal 9 3 4 4 2 2 3" xfId="44653" xr:uid="{11683747-9CB3-4B11-A774-167E5899933F}"/>
    <cellStyle name="Normal 9 3 4 4 2 2 4" xfId="26055" xr:uid="{32A71E71-628A-4535-845E-FD4DEF384EB9}"/>
    <cellStyle name="Normal 9 3 4 4 2 3" xfId="13391" xr:uid="{C49296CB-0D6D-4D70-AC3B-7F1CD4AD28C6}"/>
    <cellStyle name="Normal 9 3 4 4 2 3 2" xfId="49733" xr:uid="{2D518B20-93AE-4FAE-9CD6-1A036C397CA6}"/>
    <cellStyle name="Normal 9 3 4 4 2 3 3" xfId="31137" xr:uid="{07113D7A-1293-4FAF-AC16-8C5CFDC68ECC}"/>
    <cellStyle name="Normal 9 3 4 4 2 4" xfId="40436" xr:uid="{B8CF92A2-FEAC-483D-8848-EF006621595C}"/>
    <cellStyle name="Normal 9 3 4 4 2 5" xfId="21838" xr:uid="{D0DA117B-A9A2-4490-A4D1-BBD6C0181A6F}"/>
    <cellStyle name="Normal 9 3 4 4 3" xfId="6137" xr:uid="{00000000-0005-0000-0000-00002E200000}"/>
    <cellStyle name="Normal 9 3 4 4 3 2" xfId="15463" xr:uid="{3F9010D8-AB9E-421D-8D6F-869410957E84}"/>
    <cellStyle name="Normal 9 3 4 4 3 2 2" xfId="51805" xr:uid="{27FFF016-6DA8-4192-81BF-C99881C01FFA}"/>
    <cellStyle name="Normal 9 3 4 4 3 2 3" xfId="33209" xr:uid="{1F024766-DDA8-464F-A5F3-8C6025C218A7}"/>
    <cellStyle name="Normal 9 3 4 4 3 3" xfId="42508" xr:uid="{BC10E541-2C0E-4FAB-B04D-1F419AB7F3C1}"/>
    <cellStyle name="Normal 9 3 4 4 3 4" xfId="23910" xr:uid="{FF0CCE04-A792-4FD8-A8B7-F47C94C589AE}"/>
    <cellStyle name="Normal 9 3 4 4 4" xfId="11246" xr:uid="{1C6D7E95-9EB2-48CF-98A2-234E1F184D52}"/>
    <cellStyle name="Normal 9 3 4 4 4 2" xfId="47588" xr:uid="{A428BF41-E4C6-4201-8D75-4CE1E91E0D8E}"/>
    <cellStyle name="Normal 9 3 4 4 4 3" xfId="28992" xr:uid="{AF7952E8-0BBB-4949-B145-4AC7D5F6EF3E}"/>
    <cellStyle name="Normal 9 3 4 4 5" xfId="38291" xr:uid="{21124523-65C6-4395-B024-87AEA9D477C3}"/>
    <cellStyle name="Normal 9 3 4 4 6" xfId="19693" xr:uid="{68A2F6F6-28A5-4F12-816A-C1206549B449}"/>
    <cellStyle name="Normal 9 3 4 5" xfId="2244" xr:uid="{00000000-0005-0000-0000-00002F200000}"/>
    <cellStyle name="Normal 9 3 4 5 2" xfId="4473" xr:uid="{00000000-0005-0000-0000-000030200000}"/>
    <cellStyle name="Normal 9 3 4 5 2 2" xfId="8695" xr:uid="{00000000-0005-0000-0000-000031200000}"/>
    <cellStyle name="Normal 9 3 4 5 2 2 2" xfId="18021" xr:uid="{0626A2A2-DB1B-4634-9685-8DB44A92B4A0}"/>
    <cellStyle name="Normal 9 3 4 5 2 2 2 2" xfId="54363" xr:uid="{5FFAFE60-BF05-472B-9CA2-CBCC6712B744}"/>
    <cellStyle name="Normal 9 3 4 5 2 2 2 3" xfId="35767" xr:uid="{51C6C08E-8B19-4713-9292-35ED22B2E6A2}"/>
    <cellStyle name="Normal 9 3 4 5 2 2 3" xfId="45066" xr:uid="{FD2EAF80-9104-4472-9890-1BC52D0BDD79}"/>
    <cellStyle name="Normal 9 3 4 5 2 2 4" xfId="26468" xr:uid="{EFFF731B-2C27-4E3A-AA8C-BBF6D3A12582}"/>
    <cellStyle name="Normal 9 3 4 5 2 3" xfId="13804" xr:uid="{AF5EA0B5-3B18-4340-874C-FBEFFC84BED2}"/>
    <cellStyle name="Normal 9 3 4 5 2 3 2" xfId="50146" xr:uid="{26435916-D001-49BB-B9A1-FDB965D10BA6}"/>
    <cellStyle name="Normal 9 3 4 5 2 3 3" xfId="31550" xr:uid="{1938AAC9-F313-44F5-BC4D-0A541DE8471C}"/>
    <cellStyle name="Normal 9 3 4 5 2 4" xfId="40849" xr:uid="{FE9A21A6-F399-40A3-B758-E6821B298955}"/>
    <cellStyle name="Normal 9 3 4 5 2 5" xfId="22251" xr:uid="{D6FB1177-6598-464D-AD2E-D0DA1EEE446D}"/>
    <cellStyle name="Normal 9 3 4 5 3" xfId="6550" xr:uid="{00000000-0005-0000-0000-000032200000}"/>
    <cellStyle name="Normal 9 3 4 5 3 2" xfId="15876" xr:uid="{2CB8642D-C378-49F6-98C5-8CDDEC22DFE7}"/>
    <cellStyle name="Normal 9 3 4 5 3 2 2" xfId="52218" xr:uid="{2E3672B6-0FD8-43B1-990A-0FE1D7BB7970}"/>
    <cellStyle name="Normal 9 3 4 5 3 2 3" xfId="33622" xr:uid="{A6D8E0AC-DA3D-4230-B272-9BE1B8ED4F7D}"/>
    <cellStyle name="Normal 9 3 4 5 3 3" xfId="42921" xr:uid="{25DA45A9-75BC-4B7D-B763-390D0C0FC155}"/>
    <cellStyle name="Normal 9 3 4 5 3 4" xfId="24323" xr:uid="{54CF8E13-5A7B-461F-A426-EE983E57ACC0}"/>
    <cellStyle name="Normal 9 3 4 5 4" xfId="11659" xr:uid="{3091A2C9-ED84-4051-A8EE-CC60E380E5C7}"/>
    <cellStyle name="Normal 9 3 4 5 4 2" xfId="48001" xr:uid="{EBF4835F-2F40-4DB2-94EA-6FF0585EED87}"/>
    <cellStyle name="Normal 9 3 4 5 4 3" xfId="29405" xr:uid="{8F52DA94-EE9C-4241-85B9-744EFD7A2B48}"/>
    <cellStyle name="Normal 9 3 4 5 5" xfId="38704" xr:uid="{2E88DC34-9400-4BFC-A03B-E94E36E23271}"/>
    <cellStyle name="Normal 9 3 4 5 6" xfId="20106" xr:uid="{A6089074-41C7-45FB-B81B-10FF725FA4F4}"/>
    <cellStyle name="Normal 9 3 4 6" xfId="2680" xr:uid="{00000000-0005-0000-0000-000033200000}"/>
    <cellStyle name="Normal 9 3 4 6 2" xfId="6963" xr:uid="{00000000-0005-0000-0000-000034200000}"/>
    <cellStyle name="Normal 9 3 4 6 2 2" xfId="16289" xr:uid="{FF256A56-E857-45A3-A39E-315ACD9BDD89}"/>
    <cellStyle name="Normal 9 3 4 6 2 2 2" xfId="52631" xr:uid="{985D7DED-BCF1-45BB-9675-1D0FCDE86540}"/>
    <cellStyle name="Normal 9 3 4 6 2 2 3" xfId="34035" xr:uid="{61A5C695-1F5F-4100-BF80-3B5BA37C4120}"/>
    <cellStyle name="Normal 9 3 4 6 2 3" xfId="43334" xr:uid="{A9D44D38-468E-4101-B967-C02308AEEE34}"/>
    <cellStyle name="Normal 9 3 4 6 2 4" xfId="24736" xr:uid="{03153D71-7802-4A02-BD13-5789AFB34BDB}"/>
    <cellStyle name="Normal 9 3 4 6 3" xfId="12072" xr:uid="{DE22A139-B2EA-4924-9138-FBB212302DB2}"/>
    <cellStyle name="Normal 9 3 4 6 3 2" xfId="48414" xr:uid="{B00BB508-0A66-467F-874B-C67EE2D7C71E}"/>
    <cellStyle name="Normal 9 3 4 6 3 3" xfId="29818" xr:uid="{212904AB-54AA-40F6-8580-6F5F6935F4B1}"/>
    <cellStyle name="Normal 9 3 4 6 4" xfId="39117" xr:uid="{FFA0EF1C-565C-4666-B688-9D6138CEB9E2}"/>
    <cellStyle name="Normal 9 3 4 6 5" xfId="20519" xr:uid="{AB7C3472-56C2-4419-8A48-D006807D01E1}"/>
    <cellStyle name="Normal 9 3 4 7" xfId="4898" xr:uid="{00000000-0005-0000-0000-000035200000}"/>
    <cellStyle name="Normal 9 3 4 7 2" xfId="14224" xr:uid="{2E860358-0AD4-44AD-BFAE-ED63C659FCFC}"/>
    <cellStyle name="Normal 9 3 4 7 2 2" xfId="50566" xr:uid="{CCA62929-108C-47C2-972E-BCEA48819872}"/>
    <cellStyle name="Normal 9 3 4 7 2 3" xfId="31970" xr:uid="{9DAE07A2-F823-41C3-A48B-3EA2EC367D43}"/>
    <cellStyle name="Normal 9 3 4 7 3" xfId="41269" xr:uid="{8E29071F-BA75-490F-A566-AA033A9B96C5}"/>
    <cellStyle name="Normal 9 3 4 7 4" xfId="22671" xr:uid="{FA21C3AC-7507-4495-94F2-453D59876F89}"/>
    <cellStyle name="Normal 9 3 4 8" xfId="8984" xr:uid="{A39B104A-EAEF-4D5B-B504-6104111E924B}"/>
    <cellStyle name="Normal 9 3 4 8 2" xfId="36054" xr:uid="{E22EAA57-6575-483D-9EEC-3CCF8F60AB84}"/>
    <cellStyle name="Normal 9 3 4 8 2 2" xfId="54649" xr:uid="{919BCFAD-F85E-4302-99C3-BD8C91DA29F2}"/>
    <cellStyle name="Normal 9 3 4 8 3" xfId="45352" xr:uid="{DE3BE1F1-19C3-4509-A437-D768451BED3B}"/>
    <cellStyle name="Normal 9 3 4 8 4" xfId="26755" xr:uid="{49226177-3EC2-4BFD-A2B7-CDFC9D21BBB5}"/>
    <cellStyle name="Normal 9 3 4 9" xfId="10007" xr:uid="{4E07CF46-17C7-4048-8709-CABA99472CD8}"/>
    <cellStyle name="Normal 9 3 4 9 2" xfId="46349" xr:uid="{20D4A4B2-60A2-4953-9944-BAB2D6018FB2}"/>
    <cellStyle name="Normal 9 3 4 9 3" xfId="27753" xr:uid="{10AAEEF2-F99B-4A00-BF8B-06944FAABC66}"/>
    <cellStyle name="Normal 9 3 5" xfId="994" xr:uid="{00000000-0005-0000-0000-000036200000}"/>
    <cellStyle name="Normal 9 3 5 2" xfId="3227" xr:uid="{00000000-0005-0000-0000-000037200000}"/>
    <cellStyle name="Normal 9 3 5 2 2" xfId="7449" xr:uid="{00000000-0005-0000-0000-000038200000}"/>
    <cellStyle name="Normal 9 3 5 2 2 2" xfId="16775" xr:uid="{9D62125C-50C6-4F82-828A-27181AD61740}"/>
    <cellStyle name="Normal 9 3 5 2 2 2 2" xfId="53117" xr:uid="{43B4EE0F-D7E4-4D9A-9FB5-A84579ACA3FB}"/>
    <cellStyle name="Normal 9 3 5 2 2 2 3" xfId="34521" xr:uid="{28B1D542-4C1A-4705-BE10-2C538B956789}"/>
    <cellStyle name="Normal 9 3 5 2 2 3" xfId="43820" xr:uid="{85E4EF31-07DB-4271-8E62-587177578F0D}"/>
    <cellStyle name="Normal 9 3 5 2 2 4" xfId="25222" xr:uid="{EE5C9CD8-63CB-4FE6-BDAD-B4BD4399C03B}"/>
    <cellStyle name="Normal 9 3 5 2 3" xfId="12558" xr:uid="{70900E4A-49E0-4A2E-B8A3-25DE049302D1}"/>
    <cellStyle name="Normal 9 3 5 2 3 2" xfId="48900" xr:uid="{3FC82998-1593-4C83-94D5-AA15D0F3F5DF}"/>
    <cellStyle name="Normal 9 3 5 2 3 3" xfId="30304" xr:uid="{A34B079F-D418-4F7D-AB9B-5FA20870F4BB}"/>
    <cellStyle name="Normal 9 3 5 2 4" xfId="39603" xr:uid="{8CBEE6D0-65BE-4228-B99C-CDCC20B9960D}"/>
    <cellStyle name="Normal 9 3 5 2 5" xfId="21005" xr:uid="{AB8E911E-D4C8-4960-8882-0940A84DBBF9}"/>
    <cellStyle name="Normal 9 3 5 3" xfId="5304" xr:uid="{00000000-0005-0000-0000-000039200000}"/>
    <cellStyle name="Normal 9 3 5 3 2" xfId="14630" xr:uid="{61BEE178-E85D-4D94-B62B-4AD5212162E7}"/>
    <cellStyle name="Normal 9 3 5 3 2 2" xfId="50972" xr:uid="{7366475D-5B48-4EBC-9DA3-6F767AAAE077}"/>
    <cellStyle name="Normal 9 3 5 3 2 3" xfId="32376" xr:uid="{F5C5CA30-57DD-4856-962D-03F6DB4FEAAE}"/>
    <cellStyle name="Normal 9 3 5 3 3" xfId="41675" xr:uid="{953B99CE-FA5B-484B-8B03-C3FC04733F52}"/>
    <cellStyle name="Normal 9 3 5 3 4" xfId="23077" xr:uid="{8702C783-C70F-48E6-A957-B7DAE2C3D4CB}"/>
    <cellStyle name="Normal 9 3 5 4" xfId="9201" xr:uid="{46D523D7-8DEB-46FB-8F1C-8CE8C2FC3AD3}"/>
    <cellStyle name="Normal 9 3 5 4 2" xfId="36263" xr:uid="{B0390085-9701-485A-BD8C-A2B423AB8132}"/>
    <cellStyle name="Normal 9 3 5 4 2 2" xfId="54857" xr:uid="{CD414330-3F09-4B03-83D4-B98190BAC82C}"/>
    <cellStyle name="Normal 9 3 5 4 3" xfId="45560" xr:uid="{6EEC0850-7F12-4725-B808-1C514D625177}"/>
    <cellStyle name="Normal 9 3 5 4 4" xfId="26964" xr:uid="{E3F55B26-DBC3-451A-8B40-586BCFA20C4C}"/>
    <cellStyle name="Normal 9 3 5 5" xfId="10413" xr:uid="{354B6EA3-FF76-4E34-BFC3-0A9FD37C2BD9}"/>
    <cellStyle name="Normal 9 3 5 5 2" xfId="46755" xr:uid="{895C03FA-8971-450A-A963-5048DC719268}"/>
    <cellStyle name="Normal 9 3 5 5 3" xfId="28159" xr:uid="{66068738-618C-432B-B3D0-909858F259F0}"/>
    <cellStyle name="Normal 9 3 5 6" xfId="37458" xr:uid="{ADD48F2D-0484-4173-8178-7BEA9A5CA50D}"/>
    <cellStyle name="Normal 9 3 5 7" xfId="18860" xr:uid="{18683827-5578-44B5-8E7B-D996E28D6206}"/>
    <cellStyle name="Normal 9 3 6" xfId="1410" xr:uid="{00000000-0005-0000-0000-00003A200000}"/>
    <cellStyle name="Normal 9 3 6 2" xfId="3640" xr:uid="{00000000-0005-0000-0000-00003B200000}"/>
    <cellStyle name="Normal 9 3 6 2 2" xfId="7862" xr:uid="{00000000-0005-0000-0000-00003C200000}"/>
    <cellStyle name="Normal 9 3 6 2 2 2" xfId="17188" xr:uid="{753B765E-16AF-420F-8B1D-483E0649992A}"/>
    <cellStyle name="Normal 9 3 6 2 2 2 2" xfId="53530" xr:uid="{539513AF-8FDF-4D7C-BDC1-24A6EBFA2ECF}"/>
    <cellStyle name="Normal 9 3 6 2 2 2 3" xfId="34934" xr:uid="{83B56682-47C1-40D4-9EAC-2FFE03EE68B7}"/>
    <cellStyle name="Normal 9 3 6 2 2 3" xfId="44233" xr:uid="{042A9F36-A5C1-413F-9C27-D7B17B765C62}"/>
    <cellStyle name="Normal 9 3 6 2 2 4" xfId="25635" xr:uid="{41A023C9-BE58-4BE6-B8A5-6CF101F93FE5}"/>
    <cellStyle name="Normal 9 3 6 2 3" xfId="12971" xr:uid="{555F79BB-D513-4798-ABE0-9D1C1134B700}"/>
    <cellStyle name="Normal 9 3 6 2 3 2" xfId="49313" xr:uid="{FA2A5889-668B-4860-B183-30F114FEAC3A}"/>
    <cellStyle name="Normal 9 3 6 2 3 3" xfId="30717" xr:uid="{FAAC4575-1DA3-47CF-B662-BC0BDE670135}"/>
    <cellStyle name="Normal 9 3 6 2 4" xfId="40016" xr:uid="{90280F05-3A14-41FB-91C9-CDDC3CEB071B}"/>
    <cellStyle name="Normal 9 3 6 2 5" xfId="21418" xr:uid="{E6E05D7E-92E8-4D7F-8520-E89CE2743003}"/>
    <cellStyle name="Normal 9 3 6 3" xfId="5717" xr:uid="{00000000-0005-0000-0000-00003D200000}"/>
    <cellStyle name="Normal 9 3 6 3 2" xfId="15043" xr:uid="{75CAFB11-11BD-499E-AF1E-C3251CC53A22}"/>
    <cellStyle name="Normal 9 3 6 3 2 2" xfId="51385" xr:uid="{7C4FA163-DD38-4E2C-BE24-D3A1AEB8A084}"/>
    <cellStyle name="Normal 9 3 6 3 2 3" xfId="32789" xr:uid="{10617CE9-D5C5-46EE-87B9-95D095939D55}"/>
    <cellStyle name="Normal 9 3 6 3 3" xfId="42088" xr:uid="{96200A76-7C1E-4057-9DEF-4EA42B9E384A}"/>
    <cellStyle name="Normal 9 3 6 3 4" xfId="23490" xr:uid="{95CE450A-CB65-4410-9971-AF8BD2694342}"/>
    <cellStyle name="Normal 9 3 6 4" xfId="10826" xr:uid="{0026E99C-941A-4287-B82F-674894747C42}"/>
    <cellStyle name="Normal 9 3 6 4 2" xfId="47168" xr:uid="{9B691840-6966-46E3-8A47-B574667D412B}"/>
    <cellStyle name="Normal 9 3 6 4 3" xfId="28572" xr:uid="{885BC762-3A8C-4DFC-80AA-3AA8CD671330}"/>
    <cellStyle name="Normal 9 3 6 5" xfId="37871" xr:uid="{B507EB46-3DCE-46DE-A95A-93096E6EB24B}"/>
    <cellStyle name="Normal 9 3 6 6" xfId="19273" xr:uid="{8022890A-78F5-4412-9A19-47F42115108B}"/>
    <cellStyle name="Normal 9 3 7" xfId="1823" xr:uid="{00000000-0005-0000-0000-00003E200000}"/>
    <cellStyle name="Normal 9 3 7 2" xfId="4053" xr:uid="{00000000-0005-0000-0000-00003F200000}"/>
    <cellStyle name="Normal 9 3 7 2 2" xfId="8275" xr:uid="{00000000-0005-0000-0000-000040200000}"/>
    <cellStyle name="Normal 9 3 7 2 2 2" xfId="17601" xr:uid="{07FD2A7C-DE67-4107-A6B6-5EAFF3C23699}"/>
    <cellStyle name="Normal 9 3 7 2 2 2 2" xfId="53943" xr:uid="{E499BCFF-B84A-4300-B934-C3517915DC05}"/>
    <cellStyle name="Normal 9 3 7 2 2 2 3" xfId="35347" xr:uid="{78C8CBED-CCCD-4D95-A20F-70EC48A9E3E8}"/>
    <cellStyle name="Normal 9 3 7 2 2 3" xfId="44646" xr:uid="{09F5D51A-83C5-4FD7-AE15-E19918F448C9}"/>
    <cellStyle name="Normal 9 3 7 2 2 4" xfId="26048" xr:uid="{C0699677-32A1-4E93-974A-C93A10E72765}"/>
    <cellStyle name="Normal 9 3 7 2 3" xfId="13384" xr:uid="{5A78AA50-A234-49DB-9152-F460511D5FDD}"/>
    <cellStyle name="Normal 9 3 7 2 3 2" xfId="49726" xr:uid="{27403097-C624-491B-9438-2A1076DAA491}"/>
    <cellStyle name="Normal 9 3 7 2 3 3" xfId="31130" xr:uid="{28B44356-1122-48DF-BE06-5AB85B3A1F3C}"/>
    <cellStyle name="Normal 9 3 7 2 4" xfId="40429" xr:uid="{A37E9F3D-0741-4B7E-8821-6E29D048A599}"/>
    <cellStyle name="Normal 9 3 7 2 5" xfId="21831" xr:uid="{FD029E8B-D959-4339-AEBD-EBC109F85CEC}"/>
    <cellStyle name="Normal 9 3 7 3" xfId="6130" xr:uid="{00000000-0005-0000-0000-000041200000}"/>
    <cellStyle name="Normal 9 3 7 3 2" xfId="15456" xr:uid="{19F690AE-D28C-4139-BFF8-B2E9185E0CF3}"/>
    <cellStyle name="Normal 9 3 7 3 2 2" xfId="51798" xr:uid="{8EDF2015-8B21-4742-A7EF-B04C414A9DB1}"/>
    <cellStyle name="Normal 9 3 7 3 2 3" xfId="33202" xr:uid="{011FB785-8284-4D52-87E6-958794001A1F}"/>
    <cellStyle name="Normal 9 3 7 3 3" xfId="42501" xr:uid="{08C0E704-9727-40BF-9E92-A67B46410605}"/>
    <cellStyle name="Normal 9 3 7 3 4" xfId="23903" xr:uid="{3D09A417-1AD2-416B-B6CF-CA54C2E23606}"/>
    <cellStyle name="Normal 9 3 7 4" xfId="11239" xr:uid="{54013B0B-AED0-4036-8E8D-4DCDBBB82097}"/>
    <cellStyle name="Normal 9 3 7 4 2" xfId="47581" xr:uid="{DB197238-9F8A-4769-A362-CB7CFF22116D}"/>
    <cellStyle name="Normal 9 3 7 4 3" xfId="28985" xr:uid="{720B97A3-BE3E-477E-B45E-5D64E58F7999}"/>
    <cellStyle name="Normal 9 3 7 5" xfId="38284" xr:uid="{19606F7D-F386-4E20-9AED-F6DC2599124A}"/>
    <cellStyle name="Normal 9 3 7 6" xfId="19686" xr:uid="{8FCD0EDD-A14C-4247-8A14-EB52BB7C25F1}"/>
    <cellStyle name="Normal 9 3 8" xfId="2237" xr:uid="{00000000-0005-0000-0000-000042200000}"/>
    <cellStyle name="Normal 9 3 8 2" xfId="4466" xr:uid="{00000000-0005-0000-0000-000043200000}"/>
    <cellStyle name="Normal 9 3 8 2 2" xfId="8688" xr:uid="{00000000-0005-0000-0000-000044200000}"/>
    <cellStyle name="Normal 9 3 8 2 2 2" xfId="18014" xr:uid="{310864C1-2777-4EB8-85BC-E0BD25D1A843}"/>
    <cellStyle name="Normal 9 3 8 2 2 2 2" xfId="54356" xr:uid="{8C80E094-6032-4135-BC35-3EE4075586E5}"/>
    <cellStyle name="Normal 9 3 8 2 2 2 3" xfId="35760" xr:uid="{690E1072-52A5-44B1-B9E3-3434A8BFA0D3}"/>
    <cellStyle name="Normal 9 3 8 2 2 3" xfId="45059" xr:uid="{3685F7A5-056D-4D11-B0FE-05C0051BA1C5}"/>
    <cellStyle name="Normal 9 3 8 2 2 4" xfId="26461" xr:uid="{F1629EE9-C8AC-4B8F-BED8-F0773A6F2540}"/>
    <cellStyle name="Normal 9 3 8 2 3" xfId="13797" xr:uid="{1ECC208A-57ED-4AF9-BBA5-CA13593BE149}"/>
    <cellStyle name="Normal 9 3 8 2 3 2" xfId="50139" xr:uid="{F76E393A-FD95-4309-A679-5A1D8B4F9851}"/>
    <cellStyle name="Normal 9 3 8 2 3 3" xfId="31543" xr:uid="{9FE36026-720B-44CD-B2C2-8E309672AB32}"/>
    <cellStyle name="Normal 9 3 8 2 4" xfId="40842" xr:uid="{2439ABBD-2CD2-4006-ACB0-668433F841CA}"/>
    <cellStyle name="Normal 9 3 8 2 5" xfId="22244" xr:uid="{F1D03C00-F268-4DDD-ACFB-F19DDFF43438}"/>
    <cellStyle name="Normal 9 3 8 3" xfId="6543" xr:uid="{00000000-0005-0000-0000-000045200000}"/>
    <cellStyle name="Normal 9 3 8 3 2" xfId="15869" xr:uid="{65637B3D-BF73-498D-8C12-7B08C71489C4}"/>
    <cellStyle name="Normal 9 3 8 3 2 2" xfId="52211" xr:uid="{D203527A-3D04-4865-A6ED-CE2EA8268BDA}"/>
    <cellStyle name="Normal 9 3 8 3 2 3" xfId="33615" xr:uid="{C22B66CE-C169-46D7-A178-959A5461C53F}"/>
    <cellStyle name="Normal 9 3 8 3 3" xfId="42914" xr:uid="{AC544003-0EB9-4249-A22B-E48F1BA53F3B}"/>
    <cellStyle name="Normal 9 3 8 3 4" xfId="24316" xr:uid="{FC1DB811-7C90-480C-8CE0-E656F05C428B}"/>
    <cellStyle name="Normal 9 3 8 4" xfId="11652" xr:uid="{A43440CB-73AB-4383-B5E6-8257EF89C506}"/>
    <cellStyle name="Normal 9 3 8 4 2" xfId="47994" xr:uid="{E0984F83-6347-401F-96AF-01CD8736ECE1}"/>
    <cellStyle name="Normal 9 3 8 4 3" xfId="29398" xr:uid="{EE774402-74DD-43DB-B72E-B0C22A8BCCFB}"/>
    <cellStyle name="Normal 9 3 8 5" xfId="38697" xr:uid="{0AD59AC8-D62D-41E4-B88A-CC3557328293}"/>
    <cellStyle name="Normal 9 3 8 6" xfId="20099" xr:uid="{FF41B737-3BFD-4C21-ADBE-C73FFC4BCC3B}"/>
    <cellStyle name="Normal 9 3 9" xfId="2673" xr:uid="{00000000-0005-0000-0000-000046200000}"/>
    <cellStyle name="Normal 9 3 9 2" xfId="6956" xr:uid="{00000000-0005-0000-0000-000047200000}"/>
    <cellStyle name="Normal 9 3 9 2 2" xfId="16282" xr:uid="{04A4DB18-9D9B-4E9C-85AE-3ECC8905F778}"/>
    <cellStyle name="Normal 9 3 9 2 2 2" xfId="52624" xr:uid="{7E6EC49D-FB53-4CC6-8A0B-7392C74DC59C}"/>
    <cellStyle name="Normal 9 3 9 2 2 3" xfId="34028" xr:uid="{8B3E15AC-EC0C-4D73-A1B3-CFFF1A0EF02F}"/>
    <cellStyle name="Normal 9 3 9 2 3" xfId="43327" xr:uid="{90C060F8-48DC-47D2-A37C-78C965EB45B8}"/>
    <cellStyle name="Normal 9 3 9 2 4" xfId="24729" xr:uid="{DEBE6916-F0E8-4BBE-AAFE-C500C3F8532D}"/>
    <cellStyle name="Normal 9 3 9 3" xfId="12065" xr:uid="{5E5480CC-2AF8-4FE6-BC10-A06554AE897D}"/>
    <cellStyle name="Normal 9 3 9 3 2" xfId="48407" xr:uid="{AB11077A-BDA9-4E0B-A114-49806CFB6A3D}"/>
    <cellStyle name="Normal 9 3 9 3 3" xfId="29811" xr:uid="{C2A8CB42-4497-434B-BE49-4D1529362DBF}"/>
    <cellStyle name="Normal 9 3 9 4" xfId="39110" xr:uid="{028BF28F-EEF0-40E7-B1F3-9A0930C2C154}"/>
    <cellStyle name="Normal 9 3 9 5" xfId="20512" xr:uid="{CAA8EDAA-EF61-4ECC-9348-37B661F04D13}"/>
    <cellStyle name="Normal 9 4" xfId="535" xr:uid="{00000000-0005-0000-0000-000048200000}"/>
    <cellStyle name="Normal 9 4 2" xfId="1002" xr:uid="{00000000-0005-0000-0000-000049200000}"/>
    <cellStyle name="Normal 9 5" xfId="536" xr:uid="{00000000-0005-0000-0000-00004A200000}"/>
    <cellStyle name="Normal 9 5 10" xfId="10008" xr:uid="{954F0ED3-915F-4039-9732-8B662A02FBEE}"/>
    <cellStyle name="Normal 9 5 10 2" xfId="46350" xr:uid="{F2300CD4-4BF1-4DE1-BD97-49F7F77610BB}"/>
    <cellStyle name="Normal 9 5 10 3" xfId="27754" xr:uid="{229EC75E-37FD-4387-BC35-3B6EBAA4E408}"/>
    <cellStyle name="Normal 9 5 11" xfId="37053" xr:uid="{CD8CC76C-FF48-4FE9-902F-19F60E83EF66}"/>
    <cellStyle name="Normal 9 5 12" xfId="18455" xr:uid="{5888AC8D-E5E9-4EF5-8F5E-E905ECDC3AF1}"/>
    <cellStyle name="Normal 9 5 2" xfId="537" xr:uid="{00000000-0005-0000-0000-00004B200000}"/>
    <cellStyle name="Normal 9 5 2 10" xfId="37054" xr:uid="{51388067-C857-4298-89DE-AD864C9BFB5D}"/>
    <cellStyle name="Normal 9 5 2 11" xfId="18456" xr:uid="{B22C9D38-7170-4FC3-9523-62E15EEBADE4}"/>
    <cellStyle name="Normal 9 5 2 2" xfId="1004" xr:uid="{00000000-0005-0000-0000-00004C200000}"/>
    <cellStyle name="Normal 9 5 2 2 2" xfId="3236" xr:uid="{00000000-0005-0000-0000-00004D200000}"/>
    <cellStyle name="Normal 9 5 2 2 2 2" xfId="7458" xr:uid="{00000000-0005-0000-0000-00004E200000}"/>
    <cellStyle name="Normal 9 5 2 2 2 2 2" xfId="16784" xr:uid="{E33338FC-FA28-47D8-977D-6D95D240B18B}"/>
    <cellStyle name="Normal 9 5 2 2 2 2 2 2" xfId="53126" xr:uid="{72CE279A-627B-4F28-B634-D59699EA461D}"/>
    <cellStyle name="Normal 9 5 2 2 2 2 2 3" xfId="34530" xr:uid="{7F957E08-B08C-4CE8-B972-F5EDBA789824}"/>
    <cellStyle name="Normal 9 5 2 2 2 2 3" xfId="43829" xr:uid="{CF72E348-624F-4C1A-800F-6728D98C0395}"/>
    <cellStyle name="Normal 9 5 2 2 2 2 4" xfId="25231" xr:uid="{AA99982B-24D3-4DEC-BE0B-C739928618B7}"/>
    <cellStyle name="Normal 9 5 2 2 2 3" xfId="12567" xr:uid="{B17B9ED0-5327-4F86-8376-71B4B7F953CD}"/>
    <cellStyle name="Normal 9 5 2 2 2 3 2" xfId="48909" xr:uid="{40C9AD48-0D4A-4808-97AB-34A08EC04281}"/>
    <cellStyle name="Normal 9 5 2 2 2 3 3" xfId="30313" xr:uid="{4DCFE574-A6D9-4199-903F-53E80EC9842A}"/>
    <cellStyle name="Normal 9 5 2 2 2 4" xfId="39612" xr:uid="{9DE930A5-32F7-44D9-8A5D-6AE269D02BB6}"/>
    <cellStyle name="Normal 9 5 2 2 2 5" xfId="21014" xr:uid="{2092BDBF-EE10-45FA-8CE7-76420EB89655}"/>
    <cellStyle name="Normal 9 5 2 2 3" xfId="5313" xr:uid="{00000000-0005-0000-0000-00004F200000}"/>
    <cellStyle name="Normal 9 5 2 2 3 2" xfId="14639" xr:uid="{BFAA2AD4-7879-464C-B7AF-B419099A7B11}"/>
    <cellStyle name="Normal 9 5 2 2 3 2 2" xfId="50981" xr:uid="{7D1A7E9C-197D-4076-A6DB-063251E901E9}"/>
    <cellStyle name="Normal 9 5 2 2 3 2 3" xfId="32385" xr:uid="{9E5B0885-EB90-4017-9B84-BF3ADFF8BAC5}"/>
    <cellStyle name="Normal 9 5 2 2 3 3" xfId="41684" xr:uid="{04C9C4B6-D02B-431B-A548-D836F20F8822}"/>
    <cellStyle name="Normal 9 5 2 2 3 4" xfId="23086" xr:uid="{2668D121-C1BC-48FC-8349-CCDE99428FFD}"/>
    <cellStyle name="Normal 9 5 2 2 4" xfId="9480" xr:uid="{BC9702BE-C2B3-450A-99DF-6FFE7C7A82FD}"/>
    <cellStyle name="Normal 9 5 2 2 4 2" xfId="36541" xr:uid="{028DC6B9-5901-4378-B212-17030A34F44B}"/>
    <cellStyle name="Normal 9 5 2 2 4 2 2" xfId="55135" xr:uid="{9FB784B2-F003-40EB-998C-9E09EE31BA6B}"/>
    <cellStyle name="Normal 9 5 2 2 4 3" xfId="45838" xr:uid="{33BB7968-AB46-48B3-B45E-ECD7446C4147}"/>
    <cellStyle name="Normal 9 5 2 2 4 4" xfId="27242" xr:uid="{90BF35A2-53D4-49DE-A8CE-E513F48C2854}"/>
    <cellStyle name="Normal 9 5 2 2 5" xfId="10422" xr:uid="{DB5968BC-D91A-4A44-9004-C2054C4F2F74}"/>
    <cellStyle name="Normal 9 5 2 2 5 2" xfId="46764" xr:uid="{64FF8270-735F-4270-84CD-501EC0609ADC}"/>
    <cellStyle name="Normal 9 5 2 2 5 3" xfId="28168" xr:uid="{77BF9F85-5157-4342-9D66-AA31ABC25BFE}"/>
    <cellStyle name="Normal 9 5 2 2 6" xfId="37467" xr:uid="{D8D791FE-8C5F-41C0-B71D-1E999A07A0C7}"/>
    <cellStyle name="Normal 9 5 2 2 7" xfId="18869" xr:uid="{7A661283-D8A1-4DAF-B4D5-17B2E0AD7701}"/>
    <cellStyle name="Normal 9 5 2 3" xfId="1419" xr:uid="{00000000-0005-0000-0000-000050200000}"/>
    <cellStyle name="Normal 9 5 2 3 2" xfId="3649" xr:uid="{00000000-0005-0000-0000-000051200000}"/>
    <cellStyle name="Normal 9 5 2 3 2 2" xfId="7871" xr:uid="{00000000-0005-0000-0000-000052200000}"/>
    <cellStyle name="Normal 9 5 2 3 2 2 2" xfId="17197" xr:uid="{2D58187A-8679-4FBE-8B60-C58632E81568}"/>
    <cellStyle name="Normal 9 5 2 3 2 2 2 2" xfId="53539" xr:uid="{F29D8EE7-FEB2-4A0F-B440-8731AB354EE4}"/>
    <cellStyle name="Normal 9 5 2 3 2 2 2 3" xfId="34943" xr:uid="{CAEA91AC-6D17-4C0B-BAE7-2F530E2107DB}"/>
    <cellStyle name="Normal 9 5 2 3 2 2 3" xfId="44242" xr:uid="{D2C117DF-A32A-4E46-BA31-051EFB396F23}"/>
    <cellStyle name="Normal 9 5 2 3 2 2 4" xfId="25644" xr:uid="{046C3A97-03D0-468F-AD44-2F682792E389}"/>
    <cellStyle name="Normal 9 5 2 3 2 3" xfId="12980" xr:uid="{391BBE9B-1B90-4730-8E4D-F67FF034DCEB}"/>
    <cellStyle name="Normal 9 5 2 3 2 3 2" xfId="49322" xr:uid="{3E4ADE06-679F-4C47-B11F-8312499440DF}"/>
    <cellStyle name="Normal 9 5 2 3 2 3 3" xfId="30726" xr:uid="{AD429485-C249-4235-8DA7-8009F6B14F02}"/>
    <cellStyle name="Normal 9 5 2 3 2 4" xfId="40025" xr:uid="{C8AAF107-10D4-456F-A229-5F885941E6AD}"/>
    <cellStyle name="Normal 9 5 2 3 2 5" xfId="21427" xr:uid="{7680DC99-63B7-46BC-8524-0F85F38AA800}"/>
    <cellStyle name="Normal 9 5 2 3 3" xfId="5726" xr:uid="{00000000-0005-0000-0000-000053200000}"/>
    <cellStyle name="Normal 9 5 2 3 3 2" xfId="15052" xr:uid="{78AFEB71-8D16-46DA-81D6-98C1EEEB6782}"/>
    <cellStyle name="Normal 9 5 2 3 3 2 2" xfId="51394" xr:uid="{7F5CEC3B-5890-414A-96B6-675FE38CD94A}"/>
    <cellStyle name="Normal 9 5 2 3 3 2 3" xfId="32798" xr:uid="{9F1A58A3-2EBE-4C59-8406-A6DB5594042C}"/>
    <cellStyle name="Normal 9 5 2 3 3 3" xfId="42097" xr:uid="{0A4D8B8D-7FBF-4D7E-987F-91072E291878}"/>
    <cellStyle name="Normal 9 5 2 3 3 4" xfId="23499" xr:uid="{0EEE3D3D-DD13-4EAC-B659-A016B0FA9AC8}"/>
    <cellStyle name="Normal 9 5 2 3 4" xfId="10835" xr:uid="{960EC8C3-40CC-4F6A-89FD-08C5C74D4836}"/>
    <cellStyle name="Normal 9 5 2 3 4 2" xfId="47177" xr:uid="{A21D7C77-6DC1-45FB-A968-5191288DA9B8}"/>
    <cellStyle name="Normal 9 5 2 3 4 3" xfId="28581" xr:uid="{6723FA2A-74C1-401D-B2E0-40D634B3E696}"/>
    <cellStyle name="Normal 9 5 2 3 5" xfId="37880" xr:uid="{321AA8DB-D67B-4E21-9BD2-9A71100E81FD}"/>
    <cellStyle name="Normal 9 5 2 3 6" xfId="19282" xr:uid="{3AFDAF6B-C251-4B1D-B588-931F6EF6A698}"/>
    <cellStyle name="Normal 9 5 2 4" xfId="1832" xr:uid="{00000000-0005-0000-0000-000054200000}"/>
    <cellStyle name="Normal 9 5 2 4 2" xfId="4062" xr:uid="{00000000-0005-0000-0000-000055200000}"/>
    <cellStyle name="Normal 9 5 2 4 2 2" xfId="8284" xr:uid="{00000000-0005-0000-0000-000056200000}"/>
    <cellStyle name="Normal 9 5 2 4 2 2 2" xfId="17610" xr:uid="{4B305E79-DCD9-4604-BC44-84E29B05CED4}"/>
    <cellStyle name="Normal 9 5 2 4 2 2 2 2" xfId="53952" xr:uid="{81B40B67-E8E3-4175-B27A-D031542BD5DD}"/>
    <cellStyle name="Normal 9 5 2 4 2 2 2 3" xfId="35356" xr:uid="{414392F4-635A-4F3C-A610-FCBDD01E7B87}"/>
    <cellStyle name="Normal 9 5 2 4 2 2 3" xfId="44655" xr:uid="{4D3C0358-4F93-4F78-B666-499E0647BFC8}"/>
    <cellStyle name="Normal 9 5 2 4 2 2 4" xfId="26057" xr:uid="{1FA3BFDF-BC1D-4BC0-8103-64BA25CBB975}"/>
    <cellStyle name="Normal 9 5 2 4 2 3" xfId="13393" xr:uid="{C9498027-223D-4094-BBB0-B5F7418A7D60}"/>
    <cellStyle name="Normal 9 5 2 4 2 3 2" xfId="49735" xr:uid="{4E6ACC71-2122-495D-9F07-E1651DF0E92D}"/>
    <cellStyle name="Normal 9 5 2 4 2 3 3" xfId="31139" xr:uid="{2BE905C6-E21D-4357-9C4E-8359A93F2794}"/>
    <cellStyle name="Normal 9 5 2 4 2 4" xfId="40438" xr:uid="{F74603F0-2B04-46A2-8337-3947D7D74D1C}"/>
    <cellStyle name="Normal 9 5 2 4 2 5" xfId="21840" xr:uid="{CA116979-9FFD-4273-A7FD-AC9335E66C1B}"/>
    <cellStyle name="Normal 9 5 2 4 3" xfId="6139" xr:uid="{00000000-0005-0000-0000-000057200000}"/>
    <cellStyle name="Normal 9 5 2 4 3 2" xfId="15465" xr:uid="{CD6D2C1B-8E89-4203-962A-63198C95ECAF}"/>
    <cellStyle name="Normal 9 5 2 4 3 2 2" xfId="51807" xr:uid="{86439957-0BDA-4ACA-BCD1-886066407B9C}"/>
    <cellStyle name="Normal 9 5 2 4 3 2 3" xfId="33211" xr:uid="{31E07557-CDE2-4753-A36C-6E7956A90CC6}"/>
    <cellStyle name="Normal 9 5 2 4 3 3" xfId="42510" xr:uid="{ED46B96F-89AA-4C34-8D7A-D38517F1FEB2}"/>
    <cellStyle name="Normal 9 5 2 4 3 4" xfId="23912" xr:uid="{28F0316A-EFE1-484A-B87E-4F0D19353D16}"/>
    <cellStyle name="Normal 9 5 2 4 4" xfId="11248" xr:uid="{6B7E2F13-9829-4FB4-A0AB-19D4A85EF8E5}"/>
    <cellStyle name="Normal 9 5 2 4 4 2" xfId="47590" xr:uid="{737B822A-5650-4179-AB6D-16B91A1B55A1}"/>
    <cellStyle name="Normal 9 5 2 4 4 3" xfId="28994" xr:uid="{D28D80E9-8766-4B44-9319-8D324C6AF99A}"/>
    <cellStyle name="Normal 9 5 2 4 5" xfId="38293" xr:uid="{9EDBE651-186B-4E9B-B901-FF102EABD194}"/>
    <cellStyle name="Normal 9 5 2 4 6" xfId="19695" xr:uid="{BC63890F-4175-4B83-A686-957F2E8291C3}"/>
    <cellStyle name="Normal 9 5 2 5" xfId="2246" xr:uid="{00000000-0005-0000-0000-000058200000}"/>
    <cellStyle name="Normal 9 5 2 5 2" xfId="4475" xr:uid="{00000000-0005-0000-0000-000059200000}"/>
    <cellStyle name="Normal 9 5 2 5 2 2" xfId="8697" xr:uid="{00000000-0005-0000-0000-00005A200000}"/>
    <cellStyle name="Normal 9 5 2 5 2 2 2" xfId="18023" xr:uid="{811B9E2E-D072-470A-B0F4-CEFC8D82F9CD}"/>
    <cellStyle name="Normal 9 5 2 5 2 2 2 2" xfId="54365" xr:uid="{565B0C1B-3222-43A1-80A0-87A36A8F59C3}"/>
    <cellStyle name="Normal 9 5 2 5 2 2 2 3" xfId="35769" xr:uid="{AC221577-3559-4800-8042-3AC5AD367F4B}"/>
    <cellStyle name="Normal 9 5 2 5 2 2 3" xfId="45068" xr:uid="{00EA0A31-915A-4928-80D6-ABAAAA401A01}"/>
    <cellStyle name="Normal 9 5 2 5 2 2 4" xfId="26470" xr:uid="{622B8BDD-1530-4820-B8F1-969295137283}"/>
    <cellStyle name="Normal 9 5 2 5 2 3" xfId="13806" xr:uid="{488C5B42-E7E6-4A1C-B416-7F57D2B55F91}"/>
    <cellStyle name="Normal 9 5 2 5 2 3 2" xfId="50148" xr:uid="{A87EEC6D-5400-40CE-B6B3-4B6011A552CA}"/>
    <cellStyle name="Normal 9 5 2 5 2 3 3" xfId="31552" xr:uid="{E41BAFA3-F25D-42BD-A87A-66F1BF7D8112}"/>
    <cellStyle name="Normal 9 5 2 5 2 4" xfId="40851" xr:uid="{171E1A09-323D-4AC3-99AA-AB6D82EF3DC5}"/>
    <cellStyle name="Normal 9 5 2 5 2 5" xfId="22253" xr:uid="{21297AF7-A0D7-4439-A572-AEF121CE4DF0}"/>
    <cellStyle name="Normal 9 5 2 5 3" xfId="6552" xr:uid="{00000000-0005-0000-0000-00005B200000}"/>
    <cellStyle name="Normal 9 5 2 5 3 2" xfId="15878" xr:uid="{2500FB51-1D41-4C28-BE5A-3A93359ED004}"/>
    <cellStyle name="Normal 9 5 2 5 3 2 2" xfId="52220" xr:uid="{88140B71-95F1-46D2-BC16-AB3DF3D3E6A0}"/>
    <cellStyle name="Normal 9 5 2 5 3 2 3" xfId="33624" xr:uid="{234D913B-4548-4BFD-AE6C-A513F3E9EE46}"/>
    <cellStyle name="Normal 9 5 2 5 3 3" xfId="42923" xr:uid="{CEC8A5E8-86E6-4616-A844-6FA698F70D1C}"/>
    <cellStyle name="Normal 9 5 2 5 3 4" xfId="24325" xr:uid="{C5F5E5F0-164F-49A6-9A07-1FCFEE09985F}"/>
    <cellStyle name="Normal 9 5 2 5 4" xfId="11661" xr:uid="{5127C6D2-74D1-4465-8EC7-100060C91D12}"/>
    <cellStyle name="Normal 9 5 2 5 4 2" xfId="48003" xr:uid="{AA915586-4675-40C2-A994-3955639DBBDE}"/>
    <cellStyle name="Normal 9 5 2 5 4 3" xfId="29407" xr:uid="{FB9BBA22-97C2-4CC8-87E1-A1F975723A2C}"/>
    <cellStyle name="Normal 9 5 2 5 5" xfId="38706" xr:uid="{9632ED5C-AE06-4C0B-8C36-138FE2671FAB}"/>
    <cellStyle name="Normal 9 5 2 5 6" xfId="20108" xr:uid="{A5FCD5A9-A583-46F5-8D3E-B1E7382B942F}"/>
    <cellStyle name="Normal 9 5 2 6" xfId="2682" xr:uid="{00000000-0005-0000-0000-00005C200000}"/>
    <cellStyle name="Normal 9 5 2 6 2" xfId="6965" xr:uid="{00000000-0005-0000-0000-00005D200000}"/>
    <cellStyle name="Normal 9 5 2 6 2 2" xfId="16291" xr:uid="{3D60B778-A41F-4393-A641-BA856AF83AFF}"/>
    <cellStyle name="Normal 9 5 2 6 2 2 2" xfId="52633" xr:uid="{41274709-0850-4410-9B95-B7B62F9431D6}"/>
    <cellStyle name="Normal 9 5 2 6 2 2 3" xfId="34037" xr:uid="{902EF52E-D941-4BCB-A01D-AD8AA1611A0B}"/>
    <cellStyle name="Normal 9 5 2 6 2 3" xfId="43336" xr:uid="{9628EE31-19C0-43F3-9537-A7A616CC504F}"/>
    <cellStyle name="Normal 9 5 2 6 2 4" xfId="24738" xr:uid="{28915659-8859-4A05-85CD-231DA05984DF}"/>
    <cellStyle name="Normal 9 5 2 6 3" xfId="12074" xr:uid="{1C8A3461-ADE2-4148-9A99-310941B86A39}"/>
    <cellStyle name="Normal 9 5 2 6 3 2" xfId="48416" xr:uid="{4921C0DE-C8E6-4F5F-B829-9A6300716749}"/>
    <cellStyle name="Normal 9 5 2 6 3 3" xfId="29820" xr:uid="{D121EC6C-5816-45ED-8C21-53A1AE3F8EEB}"/>
    <cellStyle name="Normal 9 5 2 6 4" xfId="39119" xr:uid="{82B50D0C-34A2-4B18-8AC3-4120FF1D7715}"/>
    <cellStyle name="Normal 9 5 2 6 5" xfId="20521" xr:uid="{866C852D-88F2-4B64-8414-D39980A7E464}"/>
    <cellStyle name="Normal 9 5 2 7" xfId="4900" xr:uid="{00000000-0005-0000-0000-00005E200000}"/>
    <cellStyle name="Normal 9 5 2 7 2" xfId="14226" xr:uid="{181E7215-63C3-481C-89DF-87A877B22732}"/>
    <cellStyle name="Normal 9 5 2 7 2 2" xfId="50568" xr:uid="{44648D00-F03A-4FDE-816A-AC6E030F28F8}"/>
    <cellStyle name="Normal 9 5 2 7 2 3" xfId="31972" xr:uid="{1E5EE80A-29A0-4CDF-851A-E232C21AB25F}"/>
    <cellStyle name="Normal 9 5 2 7 3" xfId="41271" xr:uid="{AA12B13C-83EE-4AFC-813F-DEE90C3E1A46}"/>
    <cellStyle name="Normal 9 5 2 7 4" xfId="22673" xr:uid="{F82305F8-E358-4706-8DE3-1E9751D6F0C2}"/>
    <cellStyle name="Normal 9 5 2 8" xfId="9055" xr:uid="{3DD071E2-A4B3-45E3-9F20-3C2D5AEE5CB2}"/>
    <cellStyle name="Normal 9 5 2 8 2" xfId="36125" xr:uid="{4482D8AA-E650-4035-8DFC-B9A6C4E8AF9B}"/>
    <cellStyle name="Normal 9 5 2 8 2 2" xfId="54720" xr:uid="{5C1470E5-345F-4FE5-A258-28F4F8BB5F19}"/>
    <cellStyle name="Normal 9 5 2 8 3" xfId="45423" xr:uid="{7C303996-2433-4369-90EF-7235B29C15E8}"/>
    <cellStyle name="Normal 9 5 2 8 4" xfId="26826" xr:uid="{092FC9AC-A5B9-4249-B012-102048E74CD5}"/>
    <cellStyle name="Normal 9 5 2 9" xfId="10009" xr:uid="{F8224BC3-CBB2-441C-886F-45BDC8FDD0B8}"/>
    <cellStyle name="Normal 9 5 2 9 2" xfId="46351" xr:uid="{7B50A1DA-F2AA-4C08-8361-D4DB8771A6D5}"/>
    <cellStyle name="Normal 9 5 2 9 3" xfId="27755" xr:uid="{61F1DCD4-85A2-4500-81F9-E8CD58353D77}"/>
    <cellStyle name="Normal 9 5 3" xfId="1003" xr:uid="{00000000-0005-0000-0000-00005F200000}"/>
    <cellStyle name="Normal 9 5 3 2" xfId="3235" xr:uid="{00000000-0005-0000-0000-000060200000}"/>
    <cellStyle name="Normal 9 5 3 2 2" xfId="7457" xr:uid="{00000000-0005-0000-0000-000061200000}"/>
    <cellStyle name="Normal 9 5 3 2 2 2" xfId="16783" xr:uid="{353C68B9-44B0-4F54-9738-8E744AA1D5E4}"/>
    <cellStyle name="Normal 9 5 3 2 2 2 2" xfId="53125" xr:uid="{43194560-5E99-4798-ACB2-ED5480C687E8}"/>
    <cellStyle name="Normal 9 5 3 2 2 2 3" xfId="34529" xr:uid="{3405C04C-C1F7-442D-A62C-814D164788CD}"/>
    <cellStyle name="Normal 9 5 3 2 2 3" xfId="43828" xr:uid="{0F002C9F-1F99-472E-945D-8B8D51EF128E}"/>
    <cellStyle name="Normal 9 5 3 2 2 4" xfId="25230" xr:uid="{99383384-37EC-4EA1-AC8F-2D98D799139C}"/>
    <cellStyle name="Normal 9 5 3 2 3" xfId="12566" xr:uid="{72685B3E-E438-45F9-9E7D-71A2FF219DDC}"/>
    <cellStyle name="Normal 9 5 3 2 3 2" xfId="48908" xr:uid="{0C7A922F-8608-4AB0-9009-F131CCFCA917}"/>
    <cellStyle name="Normal 9 5 3 2 3 3" xfId="30312" xr:uid="{B45163B7-BD1A-4E8D-B41A-130344103533}"/>
    <cellStyle name="Normal 9 5 3 2 4" xfId="39611" xr:uid="{D8AA9892-9387-4183-8536-39C4B2304CF2}"/>
    <cellStyle name="Normal 9 5 3 2 5" xfId="21013" xr:uid="{C020A23C-F511-449A-A063-951DFE520A4A}"/>
    <cellStyle name="Normal 9 5 3 3" xfId="5312" xr:uid="{00000000-0005-0000-0000-000062200000}"/>
    <cellStyle name="Normal 9 5 3 3 2" xfId="14638" xr:uid="{A17FEC2F-1B2C-430C-A3A0-AAC06068A547}"/>
    <cellStyle name="Normal 9 5 3 3 2 2" xfId="50980" xr:uid="{C7FD4951-4AC6-47EE-A4C5-AEE7386DEDF4}"/>
    <cellStyle name="Normal 9 5 3 3 2 3" xfId="32384" xr:uid="{2613ACD3-6C05-452C-B899-81D043DCF6E1}"/>
    <cellStyle name="Normal 9 5 3 3 3" xfId="41683" xr:uid="{9D6F540B-B431-420F-BCB9-96B55A2EC277}"/>
    <cellStyle name="Normal 9 5 3 3 4" xfId="23085" xr:uid="{C48BEE3A-2386-462C-A1CE-393987FE202F}"/>
    <cellStyle name="Normal 9 5 3 4" xfId="9273" xr:uid="{AE6CB61B-02C5-436E-A328-3B2AC8AC9E53}"/>
    <cellStyle name="Normal 9 5 3 4 2" xfId="36334" xr:uid="{B5A93564-483C-4329-BCF7-B6E34F0B585B}"/>
    <cellStyle name="Normal 9 5 3 4 2 2" xfId="54928" xr:uid="{EFD52143-57BB-43B8-8E7D-7CD8C0CB26FB}"/>
    <cellStyle name="Normal 9 5 3 4 3" xfId="45631" xr:uid="{3A0A3C85-B1E6-4FBA-9F25-CD3FD29186D8}"/>
    <cellStyle name="Normal 9 5 3 4 4" xfId="27035" xr:uid="{4096FA28-89BE-4B35-A45A-CB19065153F8}"/>
    <cellStyle name="Normal 9 5 3 5" xfId="10421" xr:uid="{C2EBB164-96F7-4B3A-B99B-2A34A6A0B986}"/>
    <cellStyle name="Normal 9 5 3 5 2" xfId="46763" xr:uid="{BE63F735-7689-45D8-8E49-6240496E401F}"/>
    <cellStyle name="Normal 9 5 3 5 3" xfId="28167" xr:uid="{A8836DE7-66B4-4343-84E3-2652C9200D9A}"/>
    <cellStyle name="Normal 9 5 3 6" xfId="37466" xr:uid="{FB4B6E30-721B-4C37-9289-EC569BC6CF7C}"/>
    <cellStyle name="Normal 9 5 3 7" xfId="18868" xr:uid="{0D965EE3-BCCE-4017-822A-09F7A38D6FF6}"/>
    <cellStyle name="Normal 9 5 4" xfId="1418" xr:uid="{00000000-0005-0000-0000-000063200000}"/>
    <cellStyle name="Normal 9 5 4 2" xfId="3648" xr:uid="{00000000-0005-0000-0000-000064200000}"/>
    <cellStyle name="Normal 9 5 4 2 2" xfId="7870" xr:uid="{00000000-0005-0000-0000-000065200000}"/>
    <cellStyle name="Normal 9 5 4 2 2 2" xfId="17196" xr:uid="{343C1AF9-6D87-4E89-92E3-379B18B545DE}"/>
    <cellStyle name="Normal 9 5 4 2 2 2 2" xfId="53538" xr:uid="{C864ED77-F4C8-4AD5-B7CF-B4FE92E9A619}"/>
    <cellStyle name="Normal 9 5 4 2 2 2 3" xfId="34942" xr:uid="{C70E58EA-B6AF-4713-A24A-628E934992B2}"/>
    <cellStyle name="Normal 9 5 4 2 2 3" xfId="44241" xr:uid="{C97B1A2B-B925-4923-B689-D63E66B49A1F}"/>
    <cellStyle name="Normal 9 5 4 2 2 4" xfId="25643" xr:uid="{FB649521-CD92-409D-86FC-EBFB1A53F395}"/>
    <cellStyle name="Normal 9 5 4 2 3" xfId="12979" xr:uid="{46BC99FE-EB8E-4EE7-BB01-D99E557938F3}"/>
    <cellStyle name="Normal 9 5 4 2 3 2" xfId="49321" xr:uid="{AB6D977D-BBFD-4548-9710-E1F2735DD505}"/>
    <cellStyle name="Normal 9 5 4 2 3 3" xfId="30725" xr:uid="{CBC54B89-2149-49B7-B623-A0E4861267E7}"/>
    <cellStyle name="Normal 9 5 4 2 4" xfId="40024" xr:uid="{2341FC1E-EA8E-4DBA-88E0-B1BE0EA42D0B}"/>
    <cellStyle name="Normal 9 5 4 2 5" xfId="21426" xr:uid="{CB957CA6-CB00-4133-B669-F7853778D8A6}"/>
    <cellStyle name="Normal 9 5 4 3" xfId="5725" xr:uid="{00000000-0005-0000-0000-000066200000}"/>
    <cellStyle name="Normal 9 5 4 3 2" xfId="15051" xr:uid="{113F799B-DAF2-4E0B-84B6-55F074F8E860}"/>
    <cellStyle name="Normal 9 5 4 3 2 2" xfId="51393" xr:uid="{4EAB4F58-CA66-44F4-8D0A-BC2390C98CF1}"/>
    <cellStyle name="Normal 9 5 4 3 2 3" xfId="32797" xr:uid="{38DD3271-A00E-4031-9C82-E898D3B688EF}"/>
    <cellStyle name="Normal 9 5 4 3 3" xfId="42096" xr:uid="{E290DB53-65FF-4DDF-8993-4999C55FF42E}"/>
    <cellStyle name="Normal 9 5 4 3 4" xfId="23498" xr:uid="{D5DD952F-5E5B-41DC-B8FB-FFA27874B8AC}"/>
    <cellStyle name="Normal 9 5 4 4" xfId="10834" xr:uid="{40F3D83A-FE36-49BE-ACC4-45465DE54F87}"/>
    <cellStyle name="Normal 9 5 4 4 2" xfId="47176" xr:uid="{ADC8F0B8-5C2C-4C63-ABFF-C7EEDC2E9002}"/>
    <cellStyle name="Normal 9 5 4 4 3" xfId="28580" xr:uid="{371043D2-C680-48C2-9D74-FDA5113A6FA5}"/>
    <cellStyle name="Normal 9 5 4 5" xfId="37879" xr:uid="{73F768B1-E035-4D36-9AF0-10FB6CAAE964}"/>
    <cellStyle name="Normal 9 5 4 6" xfId="19281" xr:uid="{C27F8EB7-5DF3-4573-B7EC-64DCECE500CE}"/>
    <cellStyle name="Normal 9 5 5" xfId="1831" xr:uid="{00000000-0005-0000-0000-000067200000}"/>
    <cellStyle name="Normal 9 5 5 2" xfId="4061" xr:uid="{00000000-0005-0000-0000-000068200000}"/>
    <cellStyle name="Normal 9 5 5 2 2" xfId="8283" xr:uid="{00000000-0005-0000-0000-000069200000}"/>
    <cellStyle name="Normal 9 5 5 2 2 2" xfId="17609" xr:uid="{C3EA5DA6-91B2-4495-909F-325CE878861A}"/>
    <cellStyle name="Normal 9 5 5 2 2 2 2" xfId="53951" xr:uid="{3DC314A8-0C15-46A8-AEBA-EA0D81F71843}"/>
    <cellStyle name="Normal 9 5 5 2 2 2 3" xfId="35355" xr:uid="{B8A57CD4-7507-4FDE-89FF-F31150A6E291}"/>
    <cellStyle name="Normal 9 5 5 2 2 3" xfId="44654" xr:uid="{3A424EE9-1548-4E53-A7E8-7247069F8E6F}"/>
    <cellStyle name="Normal 9 5 5 2 2 4" xfId="26056" xr:uid="{0DC3CD0B-11BB-4147-890B-D162EF350EB0}"/>
    <cellStyle name="Normal 9 5 5 2 3" xfId="13392" xr:uid="{DAE10CB6-DE5B-4EEE-A099-675694581760}"/>
    <cellStyle name="Normal 9 5 5 2 3 2" xfId="49734" xr:uid="{4D961C50-BC97-4EB5-8650-EC186F326ED6}"/>
    <cellStyle name="Normal 9 5 5 2 3 3" xfId="31138" xr:uid="{F064FE25-7E89-4466-B30F-6FD1D0324EE1}"/>
    <cellStyle name="Normal 9 5 5 2 4" xfId="40437" xr:uid="{2912A377-1166-4470-8DD3-DA6A0179FEFD}"/>
    <cellStyle name="Normal 9 5 5 2 5" xfId="21839" xr:uid="{682AC921-43CF-4642-BC92-D0B823A68C07}"/>
    <cellStyle name="Normal 9 5 5 3" xfId="6138" xr:uid="{00000000-0005-0000-0000-00006A200000}"/>
    <cellStyle name="Normal 9 5 5 3 2" xfId="15464" xr:uid="{28C35CDC-7356-49E0-AF08-4626A1E3E5A0}"/>
    <cellStyle name="Normal 9 5 5 3 2 2" xfId="51806" xr:uid="{0BCD44BF-A0D6-4432-A1FC-327FFE6AE532}"/>
    <cellStyle name="Normal 9 5 5 3 2 3" xfId="33210" xr:uid="{17360175-9D53-4E41-B4D1-7D5FBE1BBA99}"/>
    <cellStyle name="Normal 9 5 5 3 3" xfId="42509" xr:uid="{298266C7-1FE1-4482-BC1C-D5AAFA1C361C}"/>
    <cellStyle name="Normal 9 5 5 3 4" xfId="23911" xr:uid="{71384DE0-6CC6-4AE1-9732-C29637C7C93C}"/>
    <cellStyle name="Normal 9 5 5 4" xfId="11247" xr:uid="{DAD518F2-0B9C-4542-A8FC-993B1991F34A}"/>
    <cellStyle name="Normal 9 5 5 4 2" xfId="47589" xr:uid="{EE72B3D4-A90F-4644-A2F9-9D890D4D3C83}"/>
    <cellStyle name="Normal 9 5 5 4 3" xfId="28993" xr:uid="{37C6189E-442C-4145-9869-9045776D2960}"/>
    <cellStyle name="Normal 9 5 5 5" xfId="38292" xr:uid="{0C98F1ED-8080-46B8-9C32-4807AD40C4CA}"/>
    <cellStyle name="Normal 9 5 5 6" xfId="19694" xr:uid="{77756F5F-97E9-4D4A-BD39-C2A0F0851C09}"/>
    <cellStyle name="Normal 9 5 6" xfId="2245" xr:uid="{00000000-0005-0000-0000-00006B200000}"/>
    <cellStyle name="Normal 9 5 6 2" xfId="4474" xr:uid="{00000000-0005-0000-0000-00006C200000}"/>
    <cellStyle name="Normal 9 5 6 2 2" xfId="8696" xr:uid="{00000000-0005-0000-0000-00006D200000}"/>
    <cellStyle name="Normal 9 5 6 2 2 2" xfId="18022" xr:uid="{E55D7F09-97F0-4EBB-AD14-64F8A2F647B3}"/>
    <cellStyle name="Normal 9 5 6 2 2 2 2" xfId="54364" xr:uid="{2D02B598-9FAB-4E8D-93F7-CBA595A23999}"/>
    <cellStyle name="Normal 9 5 6 2 2 2 3" xfId="35768" xr:uid="{8DC34CBD-429F-47E7-B6C9-84BA49193A72}"/>
    <cellStyle name="Normal 9 5 6 2 2 3" xfId="45067" xr:uid="{5CF16683-8F9D-41C0-A66B-2B8E7ABD2356}"/>
    <cellStyle name="Normal 9 5 6 2 2 4" xfId="26469" xr:uid="{ECA0DA71-755E-4C44-A2E2-C5489EF95253}"/>
    <cellStyle name="Normal 9 5 6 2 3" xfId="13805" xr:uid="{8D6D3F28-DC21-4487-A203-C26BA6B8C0E2}"/>
    <cellStyle name="Normal 9 5 6 2 3 2" xfId="50147" xr:uid="{1FA7BEEB-B913-4DA9-8483-9E3974D0ED2F}"/>
    <cellStyle name="Normal 9 5 6 2 3 3" xfId="31551" xr:uid="{41CAB1BB-C7D0-49C3-ABA3-C506BCDA0ADE}"/>
    <cellStyle name="Normal 9 5 6 2 4" xfId="40850" xr:uid="{22F5E311-8EE5-4909-B854-C36D87112A30}"/>
    <cellStyle name="Normal 9 5 6 2 5" xfId="22252" xr:uid="{452F6FA7-7CA1-43AB-AFA9-85A90CDD983B}"/>
    <cellStyle name="Normal 9 5 6 3" xfId="6551" xr:uid="{00000000-0005-0000-0000-00006E200000}"/>
    <cellStyle name="Normal 9 5 6 3 2" xfId="15877" xr:uid="{4E6C8836-0FCC-4797-81CD-FF54CB305960}"/>
    <cellStyle name="Normal 9 5 6 3 2 2" xfId="52219" xr:uid="{EC5FEFE5-246E-4ABB-9F5D-0047921A607A}"/>
    <cellStyle name="Normal 9 5 6 3 2 3" xfId="33623" xr:uid="{9C107623-2055-4CA2-A073-476D94753594}"/>
    <cellStyle name="Normal 9 5 6 3 3" xfId="42922" xr:uid="{EAFA3E64-6780-4D96-9B62-C0364680910C}"/>
    <cellStyle name="Normal 9 5 6 3 4" xfId="24324" xr:uid="{356151D3-8581-4B47-B690-1443CD66FD25}"/>
    <cellStyle name="Normal 9 5 6 4" xfId="11660" xr:uid="{FD13BCF2-4D98-42F0-8C60-9B70C2ED03B0}"/>
    <cellStyle name="Normal 9 5 6 4 2" xfId="48002" xr:uid="{E24A7E34-1DC2-477D-A557-F8EC1AC89C5D}"/>
    <cellStyle name="Normal 9 5 6 4 3" xfId="29406" xr:uid="{982C9105-BD55-4C53-A55D-7C69D18D4B3E}"/>
    <cellStyle name="Normal 9 5 6 5" xfId="38705" xr:uid="{978F8EF6-041A-4A88-8543-57199121F7D9}"/>
    <cellStyle name="Normal 9 5 6 6" xfId="20107" xr:uid="{6D8FF7E7-78C0-4196-979F-59C0973FC148}"/>
    <cellStyle name="Normal 9 5 7" xfId="2681" xr:uid="{00000000-0005-0000-0000-00006F200000}"/>
    <cellStyle name="Normal 9 5 7 2" xfId="6964" xr:uid="{00000000-0005-0000-0000-000070200000}"/>
    <cellStyle name="Normal 9 5 7 2 2" xfId="16290" xr:uid="{F2506B48-8318-49F3-B4C1-AA612437D592}"/>
    <cellStyle name="Normal 9 5 7 2 2 2" xfId="52632" xr:uid="{239CEFA3-4903-4F22-8968-6588D360C2E1}"/>
    <cellStyle name="Normal 9 5 7 2 2 3" xfId="34036" xr:uid="{5E85BC6C-4ED8-4E53-AE0C-1CD191CD2FBF}"/>
    <cellStyle name="Normal 9 5 7 2 3" xfId="43335" xr:uid="{A91DEC26-E2DA-430F-A7CD-6FCC2937629A}"/>
    <cellStyle name="Normal 9 5 7 2 4" xfId="24737" xr:uid="{DF04AED1-B2B2-40BA-BA43-083A89A74132}"/>
    <cellStyle name="Normal 9 5 7 3" xfId="12073" xr:uid="{35928D35-610D-44AE-90A4-7FA8BF95F14C}"/>
    <cellStyle name="Normal 9 5 7 3 2" xfId="48415" xr:uid="{113C03D0-D018-49F0-A1DB-862867046B9F}"/>
    <cellStyle name="Normal 9 5 7 3 3" xfId="29819" xr:uid="{B1F3D936-BE6B-4BAF-928C-7676DC399C63}"/>
    <cellStyle name="Normal 9 5 7 4" xfId="39118" xr:uid="{DC3F348D-F520-467B-9D4D-0A3A8B3752ED}"/>
    <cellStyle name="Normal 9 5 7 5" xfId="20520" xr:uid="{9E43B911-3F3A-444E-9D4C-CC20D49CC2ED}"/>
    <cellStyle name="Normal 9 5 8" xfId="4899" xr:uid="{00000000-0005-0000-0000-000071200000}"/>
    <cellStyle name="Normal 9 5 8 2" xfId="14225" xr:uid="{E054E029-69B0-47EE-8714-CDEE29AD86F5}"/>
    <cellStyle name="Normal 9 5 8 2 2" xfId="50567" xr:uid="{0FDD14DE-66BA-4144-8ABC-263980137DE3}"/>
    <cellStyle name="Normal 9 5 8 2 3" xfId="31971" xr:uid="{284B8AD3-EAA2-48BB-ACD4-DA40638EF84F}"/>
    <cellStyle name="Normal 9 5 8 3" xfId="41270" xr:uid="{944E2944-6E0C-43E8-AD3A-BF6BC3463F6D}"/>
    <cellStyle name="Normal 9 5 8 4" xfId="22672" xr:uid="{9F12C5D4-599B-4268-8858-809EC8751363}"/>
    <cellStyle name="Normal 9 5 9" xfId="8848" xr:uid="{B1BE5F70-14E5-42B6-9EBA-D267F3B60A08}"/>
    <cellStyle name="Normal 9 5 9 2" xfId="35918" xr:uid="{C9016BD3-CC31-47D5-9555-FA739E061698}"/>
    <cellStyle name="Normal 9 5 9 2 2" xfId="54513" xr:uid="{B98963A0-6266-4A42-8935-4492E9034F03}"/>
    <cellStyle name="Normal 9 5 9 3" xfId="45216" xr:uid="{B33717C9-F150-4261-BBB0-867E3390078B}"/>
    <cellStyle name="Normal 9 5 9 4" xfId="26619" xr:uid="{F5598C98-D4E8-4E54-93A9-EA57EC76BFE7}"/>
    <cellStyle name="Normal 9 6" xfId="538" xr:uid="{00000000-0005-0000-0000-000072200000}"/>
    <cellStyle name="Normal 9 6 10" xfId="37055" xr:uid="{1904B731-9A7C-44EA-9885-562AD1E7FF0C}"/>
    <cellStyle name="Normal 9 6 11" xfId="18457" xr:uid="{2DBB2FBC-75E1-4842-AEEE-5877067A8D82}"/>
    <cellStyle name="Normal 9 6 2" xfId="1005" xr:uid="{00000000-0005-0000-0000-000073200000}"/>
    <cellStyle name="Normal 9 6 2 2" xfId="3237" xr:uid="{00000000-0005-0000-0000-000074200000}"/>
    <cellStyle name="Normal 9 6 2 2 2" xfId="7459" xr:uid="{00000000-0005-0000-0000-000075200000}"/>
    <cellStyle name="Normal 9 6 2 2 2 2" xfId="16785" xr:uid="{924F50C2-28EA-4D01-B65C-EEBD6ACDD7C6}"/>
    <cellStyle name="Normal 9 6 2 2 2 2 2" xfId="53127" xr:uid="{55A74BFE-ABF1-475B-8AC8-B16887C99791}"/>
    <cellStyle name="Normal 9 6 2 2 2 2 3" xfId="34531" xr:uid="{5E60C6A1-0A12-48B4-8061-83023D93FE6F}"/>
    <cellStyle name="Normal 9 6 2 2 2 3" xfId="43830" xr:uid="{82159834-92E9-4510-8FD6-2E8950318AED}"/>
    <cellStyle name="Normal 9 6 2 2 2 4" xfId="25232" xr:uid="{A1C11374-73B8-4008-B448-A822D7657A3F}"/>
    <cellStyle name="Normal 9 6 2 2 3" xfId="12568" xr:uid="{D9913BEF-A97A-4637-87DC-13C4DBA2E24F}"/>
    <cellStyle name="Normal 9 6 2 2 3 2" xfId="48910" xr:uid="{6A82962F-73F3-41BB-A8ED-2DB4617B6240}"/>
    <cellStyle name="Normal 9 6 2 2 3 3" xfId="30314" xr:uid="{6E94C3F6-F8B9-4AC1-84B1-E9F24C49C33F}"/>
    <cellStyle name="Normal 9 6 2 2 4" xfId="39613" xr:uid="{7E9CA50A-8A74-46AE-B55E-DC2A506CABEF}"/>
    <cellStyle name="Normal 9 6 2 2 5" xfId="21015" xr:uid="{17E4BDE4-21B4-4E59-934C-5781B3C0CD70}"/>
    <cellStyle name="Normal 9 6 2 3" xfId="5314" xr:uid="{00000000-0005-0000-0000-000076200000}"/>
    <cellStyle name="Normal 9 6 2 3 2" xfId="14640" xr:uid="{CC3F4D09-EB65-4637-8DC1-0C376603768D}"/>
    <cellStyle name="Normal 9 6 2 3 2 2" xfId="50982" xr:uid="{BB244DD9-2C8E-4F00-8307-9E7DAC70E89A}"/>
    <cellStyle name="Normal 9 6 2 3 2 3" xfId="32386" xr:uid="{C3CA9E2A-197E-436F-A052-9A6099D11145}"/>
    <cellStyle name="Normal 9 6 2 3 3" xfId="41685" xr:uid="{DA5A4B98-38A1-4E38-ADDE-BDCD6531133B}"/>
    <cellStyle name="Normal 9 6 2 3 4" xfId="23087" xr:uid="{04189A4C-82B7-45D7-BF44-FFB90FE0F46E}"/>
    <cellStyle name="Normal 9 6 2 4" xfId="9389" xr:uid="{2A0458F6-466A-4C3B-BA39-FF09FD770FDD}"/>
    <cellStyle name="Normal 9 6 2 4 2" xfId="36450" xr:uid="{62D98823-6D29-4E5C-BA8B-29DDE7588011}"/>
    <cellStyle name="Normal 9 6 2 4 2 2" xfId="55044" xr:uid="{C1058E30-B583-4F4F-B34B-8AB2B6F6F7A2}"/>
    <cellStyle name="Normal 9 6 2 4 3" xfId="45747" xr:uid="{E4661476-43A9-47A0-8F6C-98B0804975EF}"/>
    <cellStyle name="Normal 9 6 2 4 4" xfId="27151" xr:uid="{AC6A70B4-314E-46C4-BAB0-2832D7DBFC6B}"/>
    <cellStyle name="Normal 9 6 2 5" xfId="10423" xr:uid="{44F5BCF6-9D1D-41A4-83C2-3353F29B6AE9}"/>
    <cellStyle name="Normal 9 6 2 5 2" xfId="46765" xr:uid="{F17D134A-8399-402C-AE39-9F6ABADD1AFA}"/>
    <cellStyle name="Normal 9 6 2 5 3" xfId="28169" xr:uid="{96C5076C-300D-4961-8A61-5126F210045E}"/>
    <cellStyle name="Normal 9 6 2 6" xfId="37468" xr:uid="{A0F84F23-99DB-4249-9543-32DB7543EAC4}"/>
    <cellStyle name="Normal 9 6 2 7" xfId="18870" xr:uid="{A1581AB5-7214-49A9-82BB-EEA329C6D8C6}"/>
    <cellStyle name="Normal 9 6 3" xfId="1420" xr:uid="{00000000-0005-0000-0000-000077200000}"/>
    <cellStyle name="Normal 9 6 3 2" xfId="3650" xr:uid="{00000000-0005-0000-0000-000078200000}"/>
    <cellStyle name="Normal 9 6 3 2 2" xfId="7872" xr:uid="{00000000-0005-0000-0000-000079200000}"/>
    <cellStyle name="Normal 9 6 3 2 2 2" xfId="17198" xr:uid="{8A5EA7FE-D069-474D-82C9-3ED13455365B}"/>
    <cellStyle name="Normal 9 6 3 2 2 2 2" xfId="53540" xr:uid="{F646667B-7424-48FD-AC71-E79ABB148441}"/>
    <cellStyle name="Normal 9 6 3 2 2 2 3" xfId="34944" xr:uid="{9F0E65F5-AD54-4E0C-AEF1-BB699F7222FA}"/>
    <cellStyle name="Normal 9 6 3 2 2 3" xfId="44243" xr:uid="{F2AE5534-A0FE-49EA-A2F7-AB8BD700E3AC}"/>
    <cellStyle name="Normal 9 6 3 2 2 4" xfId="25645" xr:uid="{96F30E1B-290A-4F37-88F1-D5BDF76AF9D1}"/>
    <cellStyle name="Normal 9 6 3 2 3" xfId="12981" xr:uid="{F0484169-D529-461F-B7CB-31A0A20A7B13}"/>
    <cellStyle name="Normal 9 6 3 2 3 2" xfId="49323" xr:uid="{137F60FC-AE8D-4908-A847-79237494E4EC}"/>
    <cellStyle name="Normal 9 6 3 2 3 3" xfId="30727" xr:uid="{BBC7C640-2602-4747-AC06-96D07DFF6632}"/>
    <cellStyle name="Normal 9 6 3 2 4" xfId="40026" xr:uid="{D0B9AE3D-BC8F-43F0-9D0B-FBC8BEA05E91}"/>
    <cellStyle name="Normal 9 6 3 2 5" xfId="21428" xr:uid="{292EAECA-35DD-4CA2-8E68-AF099B8F0C87}"/>
    <cellStyle name="Normal 9 6 3 3" xfId="5727" xr:uid="{00000000-0005-0000-0000-00007A200000}"/>
    <cellStyle name="Normal 9 6 3 3 2" xfId="15053" xr:uid="{8F3C155E-AB23-4CD0-B8DE-A7C0954DAEBC}"/>
    <cellStyle name="Normal 9 6 3 3 2 2" xfId="51395" xr:uid="{CEC5E300-7259-4AC7-A499-DA302DC9D08D}"/>
    <cellStyle name="Normal 9 6 3 3 2 3" xfId="32799" xr:uid="{B9CFFD74-CE35-449B-B68E-6CD0C16E0BB5}"/>
    <cellStyle name="Normal 9 6 3 3 3" xfId="42098" xr:uid="{4708D117-5BC2-4A65-A60E-516D2DD9CAD3}"/>
    <cellStyle name="Normal 9 6 3 3 4" xfId="23500" xr:uid="{4200DDF3-6F7D-47A6-BDC9-A92C4AC664AA}"/>
    <cellStyle name="Normal 9 6 3 4" xfId="10836" xr:uid="{BA3717A1-8661-4078-B4C1-5DBB93EA4664}"/>
    <cellStyle name="Normal 9 6 3 4 2" xfId="47178" xr:uid="{15937E27-0C49-41E5-8D64-6FFBC4C23857}"/>
    <cellStyle name="Normal 9 6 3 4 3" xfId="28582" xr:uid="{C899D466-50C1-439C-A76D-9F43B1A113E6}"/>
    <cellStyle name="Normal 9 6 3 5" xfId="37881" xr:uid="{5D693E22-62F6-452D-BC8C-81F22D876668}"/>
    <cellStyle name="Normal 9 6 3 6" xfId="19283" xr:uid="{025FB4F6-4937-42BB-9E62-60573D4F1E21}"/>
    <cellStyle name="Normal 9 6 4" xfId="1833" xr:uid="{00000000-0005-0000-0000-00007B200000}"/>
    <cellStyle name="Normal 9 6 4 2" xfId="4063" xr:uid="{00000000-0005-0000-0000-00007C200000}"/>
    <cellStyle name="Normal 9 6 4 2 2" xfId="8285" xr:uid="{00000000-0005-0000-0000-00007D200000}"/>
    <cellStyle name="Normal 9 6 4 2 2 2" xfId="17611" xr:uid="{EC438C34-7737-4662-BCF2-B9B7A24E2219}"/>
    <cellStyle name="Normal 9 6 4 2 2 2 2" xfId="53953" xr:uid="{17407803-37AF-420A-9917-7940C9012E78}"/>
    <cellStyle name="Normal 9 6 4 2 2 2 3" xfId="35357" xr:uid="{4D0B8E1F-A9A1-457F-A4AA-98E92DE81EA3}"/>
    <cellStyle name="Normal 9 6 4 2 2 3" xfId="44656" xr:uid="{B0AFB4E7-8876-46C8-B54B-B0868647A337}"/>
    <cellStyle name="Normal 9 6 4 2 2 4" xfId="26058" xr:uid="{E092868B-9DAC-4DC4-BABD-75F7648DA411}"/>
    <cellStyle name="Normal 9 6 4 2 3" xfId="13394" xr:uid="{A9A31B5F-F537-487C-916F-AF7985E79015}"/>
    <cellStyle name="Normal 9 6 4 2 3 2" xfId="49736" xr:uid="{74F4FFDD-A60A-4669-89AD-46B526CB865E}"/>
    <cellStyle name="Normal 9 6 4 2 3 3" xfId="31140" xr:uid="{50CCC80C-85A1-4485-9817-33B234DCF0B6}"/>
    <cellStyle name="Normal 9 6 4 2 4" xfId="40439" xr:uid="{81F558CD-1F60-42EC-A242-B686C848A683}"/>
    <cellStyle name="Normal 9 6 4 2 5" xfId="21841" xr:uid="{FF6CB1B8-E22F-420F-9810-106F6D4A3DD0}"/>
    <cellStyle name="Normal 9 6 4 3" xfId="6140" xr:uid="{00000000-0005-0000-0000-00007E200000}"/>
    <cellStyle name="Normal 9 6 4 3 2" xfId="15466" xr:uid="{4B8C15E9-F06F-4BC4-90BF-7C349441659B}"/>
    <cellStyle name="Normal 9 6 4 3 2 2" xfId="51808" xr:uid="{AE0D98E6-7BA1-459D-9659-5B4E1109D6FB}"/>
    <cellStyle name="Normal 9 6 4 3 2 3" xfId="33212" xr:uid="{6A7092C1-5D23-4CDA-B24D-37717D850AAD}"/>
    <cellStyle name="Normal 9 6 4 3 3" xfId="42511" xr:uid="{FBCCCBBA-A9EF-4E80-9549-8455F96BC354}"/>
    <cellStyle name="Normal 9 6 4 3 4" xfId="23913" xr:uid="{D14A751B-5790-4224-BC39-1217CB97F23F}"/>
    <cellStyle name="Normal 9 6 4 4" xfId="11249" xr:uid="{70A469B7-0E88-4C83-9025-CEFF2083EA4D}"/>
    <cellStyle name="Normal 9 6 4 4 2" xfId="47591" xr:uid="{A1D45A24-317E-46BA-B91F-131E46F2B3C2}"/>
    <cellStyle name="Normal 9 6 4 4 3" xfId="28995" xr:uid="{A0FB9298-57ED-448F-9318-E47C617297B9}"/>
    <cellStyle name="Normal 9 6 4 5" xfId="38294" xr:uid="{53BEDC42-70A3-4F73-AB07-F377E4ED4810}"/>
    <cellStyle name="Normal 9 6 4 6" xfId="19696" xr:uid="{86D836AE-18B0-4534-9328-F3BBF4587710}"/>
    <cellStyle name="Normal 9 6 5" xfId="2247" xr:uid="{00000000-0005-0000-0000-00007F200000}"/>
    <cellStyle name="Normal 9 6 5 2" xfId="4476" xr:uid="{00000000-0005-0000-0000-000080200000}"/>
    <cellStyle name="Normal 9 6 5 2 2" xfId="8698" xr:uid="{00000000-0005-0000-0000-000081200000}"/>
    <cellStyle name="Normal 9 6 5 2 2 2" xfId="18024" xr:uid="{B3D260F8-DDEF-43C4-914A-5A37C6CF865D}"/>
    <cellStyle name="Normal 9 6 5 2 2 2 2" xfId="54366" xr:uid="{E5F4BA50-7CAA-41DA-97B5-6A69222A0B6E}"/>
    <cellStyle name="Normal 9 6 5 2 2 2 3" xfId="35770" xr:uid="{CF8001AA-53E2-403F-B5C0-83DBBA895BC4}"/>
    <cellStyle name="Normal 9 6 5 2 2 3" xfId="45069" xr:uid="{7AD53458-6FDA-43D5-95E5-0C0A56CB53B4}"/>
    <cellStyle name="Normal 9 6 5 2 2 4" xfId="26471" xr:uid="{BB44F2FD-54AA-402E-BECB-CB5F154FC904}"/>
    <cellStyle name="Normal 9 6 5 2 3" xfId="13807" xr:uid="{12B72752-260E-4EB5-B4FD-3BBC048BA139}"/>
    <cellStyle name="Normal 9 6 5 2 3 2" xfId="50149" xr:uid="{8528BE63-E48F-4B1D-B5FF-51DDAF6D7C74}"/>
    <cellStyle name="Normal 9 6 5 2 3 3" xfId="31553" xr:uid="{648F4740-FC21-4A1F-8EA1-E2F8C6D7F154}"/>
    <cellStyle name="Normal 9 6 5 2 4" xfId="40852" xr:uid="{4A95963A-F2F2-41AF-B829-B885164DE977}"/>
    <cellStyle name="Normal 9 6 5 2 5" xfId="22254" xr:uid="{25DACBCA-83FF-40AB-9191-E5B662CE2641}"/>
    <cellStyle name="Normal 9 6 5 3" xfId="6553" xr:uid="{00000000-0005-0000-0000-000082200000}"/>
    <cellStyle name="Normal 9 6 5 3 2" xfId="15879" xr:uid="{88881F5E-D4CD-41A4-9265-C3D6DCEA1720}"/>
    <cellStyle name="Normal 9 6 5 3 2 2" xfId="52221" xr:uid="{5D0D1392-4DF2-439D-A4FA-79BE0CE42FEB}"/>
    <cellStyle name="Normal 9 6 5 3 2 3" xfId="33625" xr:uid="{E0AFC46A-B8CE-407F-BCB7-A70FAA9B9D69}"/>
    <cellStyle name="Normal 9 6 5 3 3" xfId="42924" xr:uid="{3B039629-AD79-48D1-A572-1D51CE8A93D4}"/>
    <cellStyle name="Normal 9 6 5 3 4" xfId="24326" xr:uid="{8C61BEC1-32A4-40B3-B657-585C3A4DBC76}"/>
    <cellStyle name="Normal 9 6 5 4" xfId="11662" xr:uid="{3E67A217-EA32-4C76-9A2E-CF6E04434FCB}"/>
    <cellStyle name="Normal 9 6 5 4 2" xfId="48004" xr:uid="{813E5D2F-5EA8-4BE5-85CA-3FC979F9F5B1}"/>
    <cellStyle name="Normal 9 6 5 4 3" xfId="29408" xr:uid="{5667EF49-AADA-462E-9E19-E6E9B74FFF9F}"/>
    <cellStyle name="Normal 9 6 5 5" xfId="38707" xr:uid="{491C4B32-63AB-4D5C-94F5-74EF4CC0B328}"/>
    <cellStyle name="Normal 9 6 5 6" xfId="20109" xr:uid="{6B3237D1-F780-45DC-9252-27A545695745}"/>
    <cellStyle name="Normal 9 6 6" xfId="2683" xr:uid="{00000000-0005-0000-0000-000083200000}"/>
    <cellStyle name="Normal 9 6 6 2" xfId="6966" xr:uid="{00000000-0005-0000-0000-000084200000}"/>
    <cellStyle name="Normal 9 6 6 2 2" xfId="16292" xr:uid="{6C692DB4-1D15-4C59-801B-75E1A3A7BE9D}"/>
    <cellStyle name="Normal 9 6 6 2 2 2" xfId="52634" xr:uid="{9DFE2C1C-49B3-48D4-98CE-F97CE4B26045}"/>
    <cellStyle name="Normal 9 6 6 2 2 3" xfId="34038" xr:uid="{F968AA72-333F-4A88-8EB3-C2EF2E36F9F0}"/>
    <cellStyle name="Normal 9 6 6 2 3" xfId="43337" xr:uid="{3BBB93D3-47DE-4D14-9E15-8A3B67050E21}"/>
    <cellStyle name="Normal 9 6 6 2 4" xfId="24739" xr:uid="{1B439404-57D0-4365-B029-B1B6A6A60D86}"/>
    <cellStyle name="Normal 9 6 6 3" xfId="12075" xr:uid="{B3EB424B-EBF5-4E0C-8428-47BE8616393D}"/>
    <cellStyle name="Normal 9 6 6 3 2" xfId="48417" xr:uid="{0A60C549-4CA9-46B6-98B2-1FA05D4AC195}"/>
    <cellStyle name="Normal 9 6 6 3 3" xfId="29821" xr:uid="{F6C416F3-A3A9-4458-B518-6E4E7FC1DC6F}"/>
    <cellStyle name="Normal 9 6 6 4" xfId="39120" xr:uid="{7AED7509-BD9F-41C5-AF72-E352AC890AE7}"/>
    <cellStyle name="Normal 9 6 6 5" xfId="20522" xr:uid="{D231AD46-ACEE-4834-83FD-B32F8B98A336}"/>
    <cellStyle name="Normal 9 6 7" xfId="4901" xr:uid="{00000000-0005-0000-0000-000085200000}"/>
    <cellStyle name="Normal 9 6 7 2" xfId="14227" xr:uid="{031BDF67-C5AE-45EF-8CC4-921AB8B30544}"/>
    <cellStyle name="Normal 9 6 7 2 2" xfId="50569" xr:uid="{6F9CCCDC-9998-40D4-BAFE-0DEBE50F1285}"/>
    <cellStyle name="Normal 9 6 7 2 3" xfId="31973" xr:uid="{DD908188-04E1-4753-AB1B-D0F3D3F3717F}"/>
    <cellStyle name="Normal 9 6 7 3" xfId="41272" xr:uid="{6F254B63-2DBD-437D-99DF-BB0121019DDC}"/>
    <cellStyle name="Normal 9 6 7 4" xfId="22674" xr:uid="{B5EA4B9A-7869-44CC-BEB2-9328AF57C887}"/>
    <cellStyle name="Normal 9 6 8" xfId="8964" xr:uid="{9BBC9C46-7A3A-4BC9-9542-DC33DFA165C2}"/>
    <cellStyle name="Normal 9 6 8 2" xfId="36034" xr:uid="{9141F8FC-7F82-4ADB-9649-F323FDFEB425}"/>
    <cellStyle name="Normal 9 6 8 2 2" xfId="54629" xr:uid="{849001C7-2B1B-4346-9B29-35EA7F8C0DE3}"/>
    <cellStyle name="Normal 9 6 8 3" xfId="45332" xr:uid="{DD5154CC-D696-41D3-966E-BD14F12992DF}"/>
    <cellStyle name="Normal 9 6 8 4" xfId="26735" xr:uid="{8C8EAA33-211E-4306-B84D-551E57689AD4}"/>
    <cellStyle name="Normal 9 6 9" xfId="10010" xr:uid="{574BE7AE-821E-474A-9E92-041A2D330708}"/>
    <cellStyle name="Normal 9 6 9 2" xfId="46352" xr:uid="{DF55EEBC-0E22-4489-87F7-02138DC4A3DA}"/>
    <cellStyle name="Normal 9 6 9 3" xfId="27756" xr:uid="{07935449-63DE-4035-B7E2-3CEBBB82FC86}"/>
    <cellStyle name="Normal 9 7" xfId="977" xr:uid="{00000000-0005-0000-0000-000086200000}"/>
    <cellStyle name="Normal 9 7 2" xfId="9609" xr:uid="{1246D22D-2382-4FAF-A8D6-CB26E2B9F9CE}"/>
    <cellStyle name="Normal 9 7 3" xfId="9167" xr:uid="{F9EED645-1D44-43CF-99A5-77176BA4CE36}"/>
    <cellStyle name="Normal 9 7 3 2" xfId="36231" xr:uid="{FFBD123E-ADFB-4837-94FA-1DF69E99903E}"/>
    <cellStyle name="Normal 9 7 3 2 2" xfId="54825" xr:uid="{5EED7A86-86B2-4038-B293-53186529FEAF}"/>
    <cellStyle name="Normal 9 7 3 3" xfId="45528" xr:uid="{1C91498D-62D9-461A-B476-01C7822F8D54}"/>
    <cellStyle name="Normal 9 7 3 4" xfId="26932" xr:uid="{A33CAE79-D78F-4440-A296-B223CA87E451}"/>
    <cellStyle name="Normal 9 8" xfId="8745" xr:uid="{C1852A12-4F74-491B-976C-56AD8D4478B4}"/>
    <cellStyle name="Normal 9 8 2" xfId="35815" xr:uid="{076ED633-4892-410A-9EDF-3F022DEE2384}"/>
    <cellStyle name="Normal 9 8 2 2" xfId="54410" xr:uid="{BA468D6A-62B2-48E1-B18B-B7377B149663}"/>
    <cellStyle name="Normal 9 8 3" xfId="45113" xr:uid="{279F6BCB-1501-4950-8248-CE496F1D716E}"/>
    <cellStyle name="Normal 9 8 4" xfId="26516" xr:uid="{061693AB-15D4-40EF-95FB-3BFE19D9F536}"/>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16373" xr:uid="{73920374-D2D9-4EEC-8BCC-7350DD9A3253}"/>
    <cellStyle name="Note 2 2 10 2 2 2" xfId="52715" xr:uid="{697F60B5-C2C1-4D90-A4D3-7B067E28359C}"/>
    <cellStyle name="Note 2 2 10 2 2 3" xfId="34119" xr:uid="{3BB0D477-83CC-4EF9-ADEC-C7D15AB79025}"/>
    <cellStyle name="Note 2 2 10 2 3" xfId="43418" xr:uid="{6F1C7B3C-B227-4555-8F11-0964E814268B}"/>
    <cellStyle name="Note 2 2 10 2 4" xfId="24820" xr:uid="{0AB65082-6C01-4721-9AD0-257A11424CFF}"/>
    <cellStyle name="Note 2 2 10 3" xfId="12156" xr:uid="{EACEE94D-539E-4C96-BBE0-89E113D8BCB6}"/>
    <cellStyle name="Note 2 2 10 3 2" xfId="48498" xr:uid="{0940B5A2-AAC3-432C-959F-F1CB88617B4E}"/>
    <cellStyle name="Note 2 2 10 3 3" xfId="29902" xr:uid="{22776DAE-F40E-4FE3-BB2E-652EEDE02E22}"/>
    <cellStyle name="Note 2 2 10 4" xfId="39201" xr:uid="{23B358D5-2A85-4E39-8DD4-C6BB1C7EEE58}"/>
    <cellStyle name="Note 2 2 10 5" xfId="20603" xr:uid="{6D4ADF8C-0668-462D-9F1B-7A10DDF16182}"/>
    <cellStyle name="Note 2 2 11" xfId="4902" xr:uid="{00000000-0005-0000-0000-000094200000}"/>
    <cellStyle name="Note 2 2 11 2" xfId="14228" xr:uid="{98AB7340-96E6-4FFD-B5E0-FBB65011FC3B}"/>
    <cellStyle name="Note 2 2 11 2 2" xfId="50570" xr:uid="{834C14E0-B263-4541-B3B6-426085298262}"/>
    <cellStyle name="Note 2 2 11 2 3" xfId="31974" xr:uid="{D92E77E3-A0EC-4A2D-8471-6D96D2CB5907}"/>
    <cellStyle name="Note 2 2 11 3" xfId="41273" xr:uid="{0129756E-33A3-40FB-B8BE-53B738B75C4E}"/>
    <cellStyle name="Note 2 2 11 4" xfId="22675" xr:uid="{51D06422-3CBB-4477-A931-E5A64B980521}"/>
    <cellStyle name="Note 2 2 12" xfId="8841" xr:uid="{E94E1FD8-31C4-4718-9658-C7A587CBF323}"/>
    <cellStyle name="Note 2 2 12 2" xfId="35911" xr:uid="{B6A7B17C-F1C6-4FD9-A477-C47D252874B5}"/>
    <cellStyle name="Note 2 2 12 2 2" xfId="54506" xr:uid="{BA9135D7-E488-434A-9D02-96C41E56AC68}"/>
    <cellStyle name="Note 2 2 12 3" xfId="45209" xr:uid="{5E8473E1-185B-43D5-B895-E244A488BE7B}"/>
    <cellStyle name="Note 2 2 12 4" xfId="26612" xr:uid="{C4B5507F-A106-48AA-B1E6-5A5A9E59727A}"/>
    <cellStyle name="Note 2 2 13" xfId="10011" xr:uid="{C17519AE-B8F2-4F92-9C8E-5A9F35606777}"/>
    <cellStyle name="Note 2 2 13 2" xfId="46353" xr:uid="{912BEE03-9AAD-497F-BE82-78A54920539F}"/>
    <cellStyle name="Note 2 2 13 3" xfId="27757" xr:uid="{CB167DE2-F592-4E2E-BBDF-ADEC7F80A04D}"/>
    <cellStyle name="Note 2 2 14" xfId="37056" xr:uid="{36CA4740-7C5B-4C72-ADF1-BA9BDAA30639}"/>
    <cellStyle name="Note 2 2 15" xfId="18458" xr:uid="{246DBA26-0786-4240-BB88-3BCA9442F1A4}"/>
    <cellStyle name="Note 2 2 2" xfId="546" xr:uid="{00000000-0005-0000-0000-000095200000}"/>
    <cellStyle name="Note 2 2 2 10" xfId="4903" xr:uid="{00000000-0005-0000-0000-000096200000}"/>
    <cellStyle name="Note 2 2 2 10 2" xfId="14229" xr:uid="{07321E03-E664-41DB-B3B9-B88C39EF0B73}"/>
    <cellStyle name="Note 2 2 2 10 2 2" xfId="50571" xr:uid="{DF9F140D-8AD8-4D9F-989A-21DCEBBD88D4}"/>
    <cellStyle name="Note 2 2 2 10 2 3" xfId="31975" xr:uid="{E52D61A1-DA80-49E9-9729-A58B6A1AF75C}"/>
    <cellStyle name="Note 2 2 2 10 3" xfId="41274" xr:uid="{44385ACB-4EA2-4F65-9DC1-348ABFEE32DD}"/>
    <cellStyle name="Note 2 2 2 10 4" xfId="22676" xr:uid="{0A497D34-1D22-454E-953C-9673BACF5866}"/>
    <cellStyle name="Note 2 2 2 11" xfId="8944" xr:uid="{B75A3404-A4A3-41D6-B6C3-54560C6DD592}"/>
    <cellStyle name="Note 2 2 2 11 2" xfId="36014" xr:uid="{9C880ED6-E1C0-49D1-BED0-B4A5A6A77600}"/>
    <cellStyle name="Note 2 2 2 11 2 2" xfId="54609" xr:uid="{BA5E602E-F941-4FBD-8B5C-FF915207D4C9}"/>
    <cellStyle name="Note 2 2 2 11 3" xfId="45312" xr:uid="{240CF42C-5628-4FC9-B129-4087335135B7}"/>
    <cellStyle name="Note 2 2 2 11 4" xfId="26715" xr:uid="{30032B2C-381C-4244-AB3A-C4F317DAE468}"/>
    <cellStyle name="Note 2 2 2 12" xfId="10012" xr:uid="{C4342B83-7754-4468-B33B-9BD2D983A318}"/>
    <cellStyle name="Note 2 2 2 12 2" xfId="46354" xr:uid="{391CC6A5-C884-4BA2-B22A-800F234665C5}"/>
    <cellStyle name="Note 2 2 2 12 3" xfId="27758" xr:uid="{A2974F03-ED75-4537-80ED-631CDAC85658}"/>
    <cellStyle name="Note 2 2 2 13" xfId="37057" xr:uid="{116D3D1F-AA1F-4CD5-856C-B6B93FE78197}"/>
    <cellStyle name="Note 2 2 2 14" xfId="18459" xr:uid="{9D04BA77-1F1B-4FA6-9D15-C33B4EAF95A6}"/>
    <cellStyle name="Note 2 2 2 2" xfId="547" xr:uid="{00000000-0005-0000-0000-000097200000}"/>
    <cellStyle name="Note 2 2 2 2 10" xfId="9151" xr:uid="{DE810DD8-00EC-4339-9CFC-C84D5E182971}"/>
    <cellStyle name="Note 2 2 2 2 10 2" xfId="36221" xr:uid="{38549C4E-BCAA-48DE-888F-DA30AA6AE33D}"/>
    <cellStyle name="Note 2 2 2 2 10 2 2" xfId="54816" xr:uid="{9ECF11FD-A7F6-46E0-89EA-BEA83C761FFC}"/>
    <cellStyle name="Note 2 2 2 2 10 3" xfId="45519" xr:uid="{926414F7-F641-4B3B-A5DE-A4093F834A4A}"/>
    <cellStyle name="Note 2 2 2 2 10 4" xfId="26922" xr:uid="{25FA29CE-1BCA-4AFA-898C-DC840F050DCB}"/>
    <cellStyle name="Note 2 2 2 2 11" xfId="10013" xr:uid="{965F1BC5-5CAA-42B8-82FD-D57143405361}"/>
    <cellStyle name="Note 2 2 2 2 11 2" xfId="46355" xr:uid="{697908FB-E7B8-4A3D-BB1E-3C050EBC4045}"/>
    <cellStyle name="Note 2 2 2 2 11 3" xfId="27759" xr:uid="{6EDE1168-D590-4099-AAA9-383B3309860D}"/>
    <cellStyle name="Note 2 2 2 2 12" xfId="37058" xr:uid="{3FAF0F07-D0FE-47FE-95CD-B6829F16029B}"/>
    <cellStyle name="Note 2 2 2 2 13" xfId="18460" xr:uid="{394BA4AF-7524-40EF-928A-35BD7D476DD7}"/>
    <cellStyle name="Note 2 2 2 2 2" xfId="1008" xr:uid="{00000000-0005-0000-0000-000098200000}"/>
    <cellStyle name="Note 2 2 2 2 2 2" xfId="3240" xr:uid="{00000000-0005-0000-0000-000099200000}"/>
    <cellStyle name="Note 2 2 2 2 2 2 2" xfId="7462" xr:uid="{00000000-0005-0000-0000-00009A200000}"/>
    <cellStyle name="Note 2 2 2 2 2 2 2 2" xfId="16788" xr:uid="{1879CF43-4A3E-4073-AC87-16C813B02634}"/>
    <cellStyle name="Note 2 2 2 2 2 2 2 2 2" xfId="53130" xr:uid="{EF9BFE21-2E28-4E02-8DA7-B347DA47EA40}"/>
    <cellStyle name="Note 2 2 2 2 2 2 2 2 3" xfId="34534" xr:uid="{5AD1604B-42A3-4F1F-ACF5-D4FAB2EE49BC}"/>
    <cellStyle name="Note 2 2 2 2 2 2 2 3" xfId="43833" xr:uid="{74C69F2D-32F4-43CA-BF45-BDBB724424E2}"/>
    <cellStyle name="Note 2 2 2 2 2 2 2 4" xfId="25235" xr:uid="{74B4F695-0D5B-48D8-94C0-FA770493C537}"/>
    <cellStyle name="Note 2 2 2 2 2 2 3" xfId="12571" xr:uid="{DC1D2671-2A44-477F-8F47-464097F574CD}"/>
    <cellStyle name="Note 2 2 2 2 2 2 3 2" xfId="48913" xr:uid="{5B9A1B93-B006-4FE8-B088-C3F0417E9848}"/>
    <cellStyle name="Note 2 2 2 2 2 2 3 3" xfId="30317" xr:uid="{A55AFED2-9ACD-4FA6-9B79-88375C1FAD20}"/>
    <cellStyle name="Note 2 2 2 2 2 2 4" xfId="39616" xr:uid="{F36EE06C-B711-4D71-8CB8-C6ECA9EB9D86}"/>
    <cellStyle name="Note 2 2 2 2 2 2 5" xfId="21018" xr:uid="{27980E98-23B9-4F8F-8C82-097DFDA41081}"/>
    <cellStyle name="Note 2 2 2 2 2 3" xfId="5317" xr:uid="{00000000-0005-0000-0000-00009B200000}"/>
    <cellStyle name="Note 2 2 2 2 2 3 2" xfId="14643" xr:uid="{FCFDAADB-346B-4DBE-8CED-C0E409170D71}"/>
    <cellStyle name="Note 2 2 2 2 2 3 2 2" xfId="50985" xr:uid="{2BA2FA74-3766-48EC-99A7-EB96FCCEF3ED}"/>
    <cellStyle name="Note 2 2 2 2 2 3 2 3" xfId="32389" xr:uid="{F1917F20-891D-42EE-9049-D4DB7D7B6839}"/>
    <cellStyle name="Note 2 2 2 2 2 3 3" xfId="41688" xr:uid="{1F47B1E1-253E-49B3-B6F9-56E109D32049}"/>
    <cellStyle name="Note 2 2 2 2 2 3 4" xfId="23090" xr:uid="{50E19C25-8500-4F00-BCF6-90D30C6DDCA8}"/>
    <cellStyle name="Note 2 2 2 2 2 4" xfId="9576" xr:uid="{375E296C-598F-454E-B7C4-9E851CE02ED2}"/>
    <cellStyle name="Note 2 2 2 2 2 4 2" xfId="36637" xr:uid="{3FBBE888-E196-4E71-AA63-B1ED821BB6C1}"/>
    <cellStyle name="Note 2 2 2 2 2 4 2 2" xfId="55231" xr:uid="{DABDCBC0-5031-44A9-85E7-3644C8541C55}"/>
    <cellStyle name="Note 2 2 2 2 2 4 3" xfId="45934" xr:uid="{E4FD24D7-C089-423F-AB77-51A376C80075}"/>
    <cellStyle name="Note 2 2 2 2 2 4 4" xfId="27338" xr:uid="{46DD6E68-811B-4F28-BD61-6A1F6837B958}"/>
    <cellStyle name="Note 2 2 2 2 2 5" xfId="10426" xr:uid="{4A36FB73-DDE6-4B6D-B51E-A6E35AF77F16}"/>
    <cellStyle name="Note 2 2 2 2 2 5 2" xfId="46768" xr:uid="{FB2516DC-874C-48C3-A6B7-81EA8B688824}"/>
    <cellStyle name="Note 2 2 2 2 2 5 3" xfId="28172" xr:uid="{8F9FEF16-9D76-42D4-87D0-233A8DB0A69A}"/>
    <cellStyle name="Note 2 2 2 2 2 6" xfId="37471" xr:uid="{FE1AFFF2-FADA-495D-A532-97A5FF040038}"/>
    <cellStyle name="Note 2 2 2 2 2 7" xfId="18873" xr:uid="{2D5BFF4B-7B39-494D-8EED-43E5BF8E1ED4}"/>
    <cellStyle name="Note 2 2 2 2 3" xfId="1423" xr:uid="{00000000-0005-0000-0000-00009C200000}"/>
    <cellStyle name="Note 2 2 2 2 3 2" xfId="3653" xr:uid="{00000000-0005-0000-0000-00009D200000}"/>
    <cellStyle name="Note 2 2 2 2 3 2 2" xfId="7875" xr:uid="{00000000-0005-0000-0000-00009E200000}"/>
    <cellStyle name="Note 2 2 2 2 3 2 2 2" xfId="17201" xr:uid="{4BCB75AE-BD24-4144-BD0D-72F7D96AF056}"/>
    <cellStyle name="Note 2 2 2 2 3 2 2 2 2" xfId="53543" xr:uid="{87398651-218D-478D-8927-4A96216735AF}"/>
    <cellStyle name="Note 2 2 2 2 3 2 2 2 3" xfId="34947" xr:uid="{5F2FD1B4-B97E-4AE7-A7BC-8F17738D308E}"/>
    <cellStyle name="Note 2 2 2 2 3 2 2 3" xfId="44246" xr:uid="{50B90A7C-524F-4D91-A406-61D5695BDFA3}"/>
    <cellStyle name="Note 2 2 2 2 3 2 2 4" xfId="25648" xr:uid="{B4ACE6C2-0F72-437F-879E-C2A2019D9FE5}"/>
    <cellStyle name="Note 2 2 2 2 3 2 3" xfId="12984" xr:uid="{6A58D72B-D758-48B7-A729-1D85BA5F7BA2}"/>
    <cellStyle name="Note 2 2 2 2 3 2 3 2" xfId="49326" xr:uid="{8CAC34AF-C474-4BF9-A13C-1288005A9613}"/>
    <cellStyle name="Note 2 2 2 2 3 2 3 3" xfId="30730" xr:uid="{26348C02-15AC-4134-9033-77494ACF93DE}"/>
    <cellStyle name="Note 2 2 2 2 3 2 4" xfId="40029" xr:uid="{63D1DB99-4C6C-4E5D-AD37-3FE8FA203D4E}"/>
    <cellStyle name="Note 2 2 2 2 3 2 5" xfId="21431" xr:uid="{50104FEA-CA4A-4714-BA6F-DC1C7A11F6EA}"/>
    <cellStyle name="Note 2 2 2 2 3 3" xfId="5730" xr:uid="{00000000-0005-0000-0000-00009F200000}"/>
    <cellStyle name="Note 2 2 2 2 3 3 2" xfId="15056" xr:uid="{39FF6740-5BEE-4D2D-BA54-2AD60853C26C}"/>
    <cellStyle name="Note 2 2 2 2 3 3 2 2" xfId="51398" xr:uid="{2923B067-6EEC-4224-992B-022697C856B3}"/>
    <cellStyle name="Note 2 2 2 2 3 3 2 3" xfId="32802" xr:uid="{6FB01320-3FBE-4FC3-BF79-BC88C4C3C3CD}"/>
    <cellStyle name="Note 2 2 2 2 3 3 3" xfId="42101" xr:uid="{E15B1DE9-FA83-4EF2-B9BC-FBE59E2A97B1}"/>
    <cellStyle name="Note 2 2 2 2 3 3 4" xfId="23503" xr:uid="{E5A6C282-E176-4F55-A9AD-2EC667D82E61}"/>
    <cellStyle name="Note 2 2 2 2 3 4" xfId="10839" xr:uid="{839CD91D-AD63-4A0C-99D8-D8FC845A1E5F}"/>
    <cellStyle name="Note 2 2 2 2 3 4 2" xfId="47181" xr:uid="{7482898E-3E5C-4C3C-827B-4F62AB9FD004}"/>
    <cellStyle name="Note 2 2 2 2 3 4 3" xfId="28585" xr:uid="{9E6E31F8-5A3D-4BF2-A394-8838F463508F}"/>
    <cellStyle name="Note 2 2 2 2 3 5" xfId="37884" xr:uid="{EBA989A9-987C-4A2C-93E2-AF8E67730B94}"/>
    <cellStyle name="Note 2 2 2 2 3 6" xfId="19286" xr:uid="{8BF4F8E7-DE84-4E60-9CBC-D426124C1D36}"/>
    <cellStyle name="Note 2 2 2 2 4" xfId="1837" xr:uid="{00000000-0005-0000-0000-0000A0200000}"/>
    <cellStyle name="Note 2 2 2 2 4 2" xfId="4066" xr:uid="{00000000-0005-0000-0000-0000A1200000}"/>
    <cellStyle name="Note 2 2 2 2 4 2 2" xfId="8288" xr:uid="{00000000-0005-0000-0000-0000A2200000}"/>
    <cellStyle name="Note 2 2 2 2 4 2 2 2" xfId="17614" xr:uid="{92768FA4-62C1-4D13-9689-9013DBD50388}"/>
    <cellStyle name="Note 2 2 2 2 4 2 2 2 2" xfId="53956" xr:uid="{F6B5C737-0FCE-451E-9D45-B35062560A73}"/>
    <cellStyle name="Note 2 2 2 2 4 2 2 2 3" xfId="35360" xr:uid="{DB93C295-41A8-475C-A8F6-F5C0143CF247}"/>
    <cellStyle name="Note 2 2 2 2 4 2 2 3" xfId="44659" xr:uid="{B128628C-F9E5-48F2-9C50-E42389B3705F}"/>
    <cellStyle name="Note 2 2 2 2 4 2 2 4" xfId="26061" xr:uid="{6CC332FF-D530-4364-8527-C7DC598A4F7E}"/>
    <cellStyle name="Note 2 2 2 2 4 2 3" xfId="13397" xr:uid="{9264BBC1-1D9F-4688-BD31-5B5E509674A0}"/>
    <cellStyle name="Note 2 2 2 2 4 2 3 2" xfId="49739" xr:uid="{BF94EE7C-8FDB-4E69-80B9-8F7BE829B837}"/>
    <cellStyle name="Note 2 2 2 2 4 2 3 3" xfId="31143" xr:uid="{63F3105C-E312-4063-807C-F80A54386B27}"/>
    <cellStyle name="Note 2 2 2 2 4 2 4" xfId="40442" xr:uid="{E06C6F45-30F1-45AD-AD58-D4DCF71DA06F}"/>
    <cellStyle name="Note 2 2 2 2 4 2 5" xfId="21844" xr:uid="{0D4BB05A-1E6F-4335-9C6E-B2F83B702DFB}"/>
    <cellStyle name="Note 2 2 2 2 4 3" xfId="6143" xr:uid="{00000000-0005-0000-0000-0000A3200000}"/>
    <cellStyle name="Note 2 2 2 2 4 3 2" xfId="15469" xr:uid="{275E2180-F26C-4D19-8AE9-D9272DCF4D19}"/>
    <cellStyle name="Note 2 2 2 2 4 3 2 2" xfId="51811" xr:uid="{7C313895-6C99-4604-8FE5-1D40964FC936}"/>
    <cellStyle name="Note 2 2 2 2 4 3 2 3" xfId="33215" xr:uid="{F43DA7FC-AAE4-43A3-8975-F3FDFDE377BC}"/>
    <cellStyle name="Note 2 2 2 2 4 3 3" xfId="42514" xr:uid="{241CBCDE-7C5F-43D7-A023-A583A5925ABA}"/>
    <cellStyle name="Note 2 2 2 2 4 3 4" xfId="23916" xr:uid="{DDC76C30-3B9E-498E-B480-94B950DE4240}"/>
    <cellStyle name="Note 2 2 2 2 4 4" xfId="11252" xr:uid="{C32FFF14-5ED8-4B75-91FD-ECD37218E808}"/>
    <cellStyle name="Note 2 2 2 2 4 4 2" xfId="47594" xr:uid="{3945B0EC-A257-4D67-B53F-F2FD4AE340EF}"/>
    <cellStyle name="Note 2 2 2 2 4 4 3" xfId="28998" xr:uid="{1F257B87-DA3F-4765-9B3E-EE62831E6AEF}"/>
    <cellStyle name="Note 2 2 2 2 4 5" xfId="38297" xr:uid="{61A1A401-5891-4F2E-9220-FF3C34D2917D}"/>
    <cellStyle name="Note 2 2 2 2 4 6" xfId="19699" xr:uid="{A41D1CD7-D241-4CF5-83E4-F7EAE4A97A11}"/>
    <cellStyle name="Note 2 2 2 2 5" xfId="2250" xr:uid="{00000000-0005-0000-0000-0000A4200000}"/>
    <cellStyle name="Note 2 2 2 2 5 2" xfId="4479" xr:uid="{00000000-0005-0000-0000-0000A5200000}"/>
    <cellStyle name="Note 2 2 2 2 5 2 2" xfId="8701" xr:uid="{00000000-0005-0000-0000-0000A6200000}"/>
    <cellStyle name="Note 2 2 2 2 5 2 2 2" xfId="18027" xr:uid="{BCE740A0-37A4-4BCF-8A14-959BCBE45E3E}"/>
    <cellStyle name="Note 2 2 2 2 5 2 2 2 2" xfId="54369" xr:uid="{23FF97E1-A086-4BA5-9903-F7348C651C7C}"/>
    <cellStyle name="Note 2 2 2 2 5 2 2 2 3" xfId="35773" xr:uid="{33E4DE59-FAA3-43BC-A51A-086A487AF120}"/>
    <cellStyle name="Note 2 2 2 2 5 2 2 3" xfId="45072" xr:uid="{0E4A11BF-8585-424E-B87A-FD3B715E28B4}"/>
    <cellStyle name="Note 2 2 2 2 5 2 2 4" xfId="26474" xr:uid="{1FECFB5B-D24D-4D3B-A8CC-D5BC4E9D1BD3}"/>
    <cellStyle name="Note 2 2 2 2 5 2 3" xfId="13810" xr:uid="{CFB2EB63-58BA-4ACD-A4A3-C974652F511D}"/>
    <cellStyle name="Note 2 2 2 2 5 2 3 2" xfId="50152" xr:uid="{556D4D6B-96A1-4BAF-9353-C541588D9081}"/>
    <cellStyle name="Note 2 2 2 2 5 2 3 3" xfId="31556" xr:uid="{F7F1E661-4911-4734-A882-EBAF83469FC1}"/>
    <cellStyle name="Note 2 2 2 2 5 2 4" xfId="40855" xr:uid="{582D262F-3C3A-40C8-82E7-4190686F6F9E}"/>
    <cellStyle name="Note 2 2 2 2 5 2 5" xfId="22257" xr:uid="{7F01F81D-CC3F-4697-A888-8E988D9787B0}"/>
    <cellStyle name="Note 2 2 2 2 5 3" xfId="6556" xr:uid="{00000000-0005-0000-0000-0000A7200000}"/>
    <cellStyle name="Note 2 2 2 2 5 3 2" xfId="15882" xr:uid="{F93DF51D-679D-453D-BFB2-4784201D6C09}"/>
    <cellStyle name="Note 2 2 2 2 5 3 2 2" xfId="52224" xr:uid="{4E18F5EE-BA27-47BC-B795-D8BC73EC431B}"/>
    <cellStyle name="Note 2 2 2 2 5 3 2 3" xfId="33628" xr:uid="{732C7899-FA93-4786-A09B-34F7E84E303C}"/>
    <cellStyle name="Note 2 2 2 2 5 3 3" xfId="42927" xr:uid="{783A54C1-4A4B-4659-8F4C-EB72CFD654BC}"/>
    <cellStyle name="Note 2 2 2 2 5 3 4" xfId="24329" xr:uid="{B317419B-3DAF-48D6-95EC-0C6E564CC97B}"/>
    <cellStyle name="Note 2 2 2 2 5 4" xfId="11665" xr:uid="{7F9D73C7-FF88-435B-ABE5-53A78ECEE6BA}"/>
    <cellStyle name="Note 2 2 2 2 5 4 2" xfId="48007" xr:uid="{26D08E05-0310-4B5F-9140-0F5462BD3201}"/>
    <cellStyle name="Note 2 2 2 2 5 4 3" xfId="29411" xr:uid="{FEC689EB-86B3-46E2-BF73-8CD1E0CFDAFF}"/>
    <cellStyle name="Note 2 2 2 2 5 5" xfId="38710" xr:uid="{E605822E-AA73-43F5-AEFE-CFEDCFE7EAFD}"/>
    <cellStyle name="Note 2 2 2 2 5 6" xfId="20112" xr:uid="{23024447-70BD-4DE5-95B7-CEF12E65A9CB}"/>
    <cellStyle name="Note 2 2 2 2 6" xfId="2686" xr:uid="{00000000-0005-0000-0000-0000A8200000}"/>
    <cellStyle name="Note 2 2 2 2 6 2" xfId="6969" xr:uid="{00000000-0005-0000-0000-0000A9200000}"/>
    <cellStyle name="Note 2 2 2 2 6 2 2" xfId="16295" xr:uid="{369E0A4C-1B8B-4D24-B162-E00B5F40B7E6}"/>
    <cellStyle name="Note 2 2 2 2 6 2 2 2" xfId="52637" xr:uid="{251EBEC1-0F1D-4FCF-803C-C88051349D0F}"/>
    <cellStyle name="Note 2 2 2 2 6 2 2 3" xfId="34041" xr:uid="{24599A0A-989A-48A0-AF3B-89FC7D34520E}"/>
    <cellStyle name="Note 2 2 2 2 6 2 3" xfId="43340" xr:uid="{B53DD0C7-1B3B-4130-A962-D56863CD4AF1}"/>
    <cellStyle name="Note 2 2 2 2 6 2 4" xfId="24742" xr:uid="{E8D22EEE-2704-4791-867C-5F0E5F45C819}"/>
    <cellStyle name="Note 2 2 2 2 6 3" xfId="12078" xr:uid="{23D5A4C5-A652-49A5-AF6F-4D7C1CDDB4DC}"/>
    <cellStyle name="Note 2 2 2 2 6 3 2" xfId="48420" xr:uid="{A1E4113B-F4D0-409F-96A5-2BE035672EDA}"/>
    <cellStyle name="Note 2 2 2 2 6 3 3" xfId="29824" xr:uid="{11620B57-31C4-4019-9309-4221B53BAC77}"/>
    <cellStyle name="Note 2 2 2 2 6 4" xfId="39123" xr:uid="{E5DB24CE-CAEE-40E4-973E-94AC0AE80CF1}"/>
    <cellStyle name="Note 2 2 2 2 6 5" xfId="20525" xr:uid="{2E423008-206E-4B9B-A878-87838162626C}"/>
    <cellStyle name="Note 2 2 2 2 7" xfId="2745" xr:uid="{00000000-0005-0000-0000-0000AA200000}"/>
    <cellStyle name="Note 2 2 2 2 8" xfId="2826" xr:uid="{00000000-0005-0000-0000-0000AB200000}"/>
    <cellStyle name="Note 2 2 2 2 8 2" xfId="7049" xr:uid="{00000000-0005-0000-0000-0000AC200000}"/>
    <cellStyle name="Note 2 2 2 2 8 2 2" xfId="16375" xr:uid="{75F23AF2-7BA1-4455-B686-6028B1505598}"/>
    <cellStyle name="Note 2 2 2 2 8 2 2 2" xfId="52717" xr:uid="{34DD7E13-251C-4C54-B1CE-A7CD7FBF5B8F}"/>
    <cellStyle name="Note 2 2 2 2 8 2 2 3" xfId="34121" xr:uid="{7BAA1428-7D64-45B0-A5D8-7E58E10C629E}"/>
    <cellStyle name="Note 2 2 2 2 8 2 3" xfId="43420" xr:uid="{A6F3615B-21D8-4259-ADE0-B83C32A87452}"/>
    <cellStyle name="Note 2 2 2 2 8 2 4" xfId="24822" xr:uid="{4F91A7CE-F3B8-4725-BBF5-6B94CC7DCF6F}"/>
    <cellStyle name="Note 2 2 2 2 8 3" xfId="12158" xr:uid="{624EA5F1-7BB4-4B29-BA16-8FB6B6A36635}"/>
    <cellStyle name="Note 2 2 2 2 8 3 2" xfId="48500" xr:uid="{F7CCDCFC-E30E-4B12-9A95-169B9D9C25AB}"/>
    <cellStyle name="Note 2 2 2 2 8 3 3" xfId="29904" xr:uid="{A37C749B-D146-44E5-BED1-087FDB041E9A}"/>
    <cellStyle name="Note 2 2 2 2 8 4" xfId="39203" xr:uid="{699B88BA-8A40-4933-933B-77AB0BB7AAA5}"/>
    <cellStyle name="Note 2 2 2 2 8 5" xfId="20605" xr:uid="{B691E8B3-6157-483C-90B4-1D928E467307}"/>
    <cellStyle name="Note 2 2 2 2 9" xfId="4904" xr:uid="{00000000-0005-0000-0000-0000AD200000}"/>
    <cellStyle name="Note 2 2 2 2 9 2" xfId="14230" xr:uid="{5F73CC5A-22B0-47E9-9A53-5FFBC59F1585}"/>
    <cellStyle name="Note 2 2 2 2 9 2 2" xfId="50572" xr:uid="{292E1F29-32FE-4AA3-9D92-13CAE78D704B}"/>
    <cellStyle name="Note 2 2 2 2 9 2 3" xfId="31976" xr:uid="{D5FC5103-1EA8-49DC-B75D-044C6026DDF1}"/>
    <cellStyle name="Note 2 2 2 2 9 3" xfId="41275" xr:uid="{05FCA393-D1F6-40A4-8CFD-D80ACC65B5D9}"/>
    <cellStyle name="Note 2 2 2 2 9 4" xfId="22677" xr:uid="{A89EC482-B19C-46A2-9CA5-F689B512F11B}"/>
    <cellStyle name="Note 2 2 2 3" xfId="1007" xr:uid="{00000000-0005-0000-0000-0000AE200000}"/>
    <cellStyle name="Note 2 2 2 3 2" xfId="3239" xr:uid="{00000000-0005-0000-0000-0000AF200000}"/>
    <cellStyle name="Note 2 2 2 3 2 2" xfId="7461" xr:uid="{00000000-0005-0000-0000-0000B0200000}"/>
    <cellStyle name="Note 2 2 2 3 2 2 2" xfId="16787" xr:uid="{4DD2C3FF-5B53-40D9-92A8-454817BC55F5}"/>
    <cellStyle name="Note 2 2 2 3 2 2 2 2" xfId="53129" xr:uid="{B94953CA-EF48-4F8D-8B26-DDFD9626C599}"/>
    <cellStyle name="Note 2 2 2 3 2 2 2 3" xfId="34533" xr:uid="{1B9C2BE7-5544-4D7B-9425-64FE83A531D4}"/>
    <cellStyle name="Note 2 2 2 3 2 2 3" xfId="43832" xr:uid="{24C8C686-4F70-4136-AEE6-7378ED65ABAB}"/>
    <cellStyle name="Note 2 2 2 3 2 2 4" xfId="25234" xr:uid="{7ED4627F-5E8D-4172-B83E-B1ADE3E6F36B}"/>
    <cellStyle name="Note 2 2 2 3 2 3" xfId="12570" xr:uid="{0451B548-8B99-4C49-994F-866D6FF61CEC}"/>
    <cellStyle name="Note 2 2 2 3 2 3 2" xfId="48912" xr:uid="{3CCA5C2E-F19D-42DC-9C36-9FBC7472BC12}"/>
    <cellStyle name="Note 2 2 2 3 2 3 3" xfId="30316" xr:uid="{7A43D9EF-6F0F-4B25-B92E-A64B98FD5472}"/>
    <cellStyle name="Note 2 2 2 3 2 4" xfId="39615" xr:uid="{F7731B1A-DA7F-4994-ADA6-61CBC8C454E7}"/>
    <cellStyle name="Note 2 2 2 3 2 5" xfId="21017" xr:uid="{60C773AD-5324-4AAC-9A8E-50DE4D688831}"/>
    <cellStyle name="Note 2 2 2 3 3" xfId="5316" xr:uid="{00000000-0005-0000-0000-0000B1200000}"/>
    <cellStyle name="Note 2 2 2 3 3 2" xfId="14642" xr:uid="{03AAAD0D-45A4-42DE-B2B7-EADCD6BB9039}"/>
    <cellStyle name="Note 2 2 2 3 3 2 2" xfId="50984" xr:uid="{CEA95191-ABE9-497D-84FC-381EEF8F8313}"/>
    <cellStyle name="Note 2 2 2 3 3 2 3" xfId="32388" xr:uid="{0F5D3840-CC09-4EEB-BCE7-7C229B389547}"/>
    <cellStyle name="Note 2 2 2 3 3 3" xfId="41687" xr:uid="{BB85BDF5-07C6-4B7E-BFC1-D25EE02B4F00}"/>
    <cellStyle name="Note 2 2 2 3 3 4" xfId="23089" xr:uid="{B7440A67-9225-441A-825B-7BC7AA442F2E}"/>
    <cellStyle name="Note 2 2 2 3 4" xfId="9369" xr:uid="{37FCA23B-964B-404F-A343-B489211FDCDC}"/>
    <cellStyle name="Note 2 2 2 3 4 2" xfId="36430" xr:uid="{E9F4AE56-F2BE-4FD4-8817-278069320767}"/>
    <cellStyle name="Note 2 2 2 3 4 2 2" xfId="55024" xr:uid="{FF771799-1468-41E2-A2BC-F76DC79119B9}"/>
    <cellStyle name="Note 2 2 2 3 4 3" xfId="45727" xr:uid="{6C82F548-6B8F-453C-BFA4-40FD7211121C}"/>
    <cellStyle name="Note 2 2 2 3 4 4" xfId="27131" xr:uid="{09E42B58-F9A7-486C-9C66-DE6DFBAC0A3D}"/>
    <cellStyle name="Note 2 2 2 3 5" xfId="10425" xr:uid="{0087FC00-0EF0-4BF2-9F5B-C9943D81B378}"/>
    <cellStyle name="Note 2 2 2 3 5 2" xfId="46767" xr:uid="{823AF750-E109-4A7E-A9AD-1F2AF5F3F2E7}"/>
    <cellStyle name="Note 2 2 2 3 5 3" xfId="28171" xr:uid="{B2CBDA0F-FFB7-4614-ADB4-BA4F3316FD8B}"/>
    <cellStyle name="Note 2 2 2 3 6" xfId="37470" xr:uid="{20286A36-540F-497D-8F74-E7E912434529}"/>
    <cellStyle name="Note 2 2 2 3 7" xfId="18872" xr:uid="{1BE3D41D-04C4-4CA7-9322-5DA9E3DB68F5}"/>
    <cellStyle name="Note 2 2 2 4" xfId="1422" xr:uid="{00000000-0005-0000-0000-0000B2200000}"/>
    <cellStyle name="Note 2 2 2 4 2" xfId="3652" xr:uid="{00000000-0005-0000-0000-0000B3200000}"/>
    <cellStyle name="Note 2 2 2 4 2 2" xfId="7874" xr:uid="{00000000-0005-0000-0000-0000B4200000}"/>
    <cellStyle name="Note 2 2 2 4 2 2 2" xfId="17200" xr:uid="{61CCC27B-F9BB-438F-818A-D17BDA9A73BC}"/>
    <cellStyle name="Note 2 2 2 4 2 2 2 2" xfId="53542" xr:uid="{CBCAD805-441D-474B-9425-6A110B2481DD}"/>
    <cellStyle name="Note 2 2 2 4 2 2 2 3" xfId="34946" xr:uid="{CD61DE7B-7607-4411-8BBF-B152B9D6BC91}"/>
    <cellStyle name="Note 2 2 2 4 2 2 3" xfId="44245" xr:uid="{9035C2D1-79C5-43B1-AA10-D9DB000EE68C}"/>
    <cellStyle name="Note 2 2 2 4 2 2 4" xfId="25647" xr:uid="{06C183AA-DED0-4C55-B989-2DC9B66B0D0D}"/>
    <cellStyle name="Note 2 2 2 4 2 3" xfId="12983" xr:uid="{902690FA-A992-4B3A-92F2-289962752C90}"/>
    <cellStyle name="Note 2 2 2 4 2 3 2" xfId="49325" xr:uid="{7CF3D13D-47CC-433D-B705-8F02101BC697}"/>
    <cellStyle name="Note 2 2 2 4 2 3 3" xfId="30729" xr:uid="{FF4EDC97-B090-4039-ADA3-C48C6DCBD3FC}"/>
    <cellStyle name="Note 2 2 2 4 2 4" xfId="40028" xr:uid="{50E9D1CD-BAC1-494D-8BC2-109562824445}"/>
    <cellStyle name="Note 2 2 2 4 2 5" xfId="21430" xr:uid="{9C35F85E-F6B7-47C7-BBA7-6379756E353B}"/>
    <cellStyle name="Note 2 2 2 4 3" xfId="5729" xr:uid="{00000000-0005-0000-0000-0000B5200000}"/>
    <cellStyle name="Note 2 2 2 4 3 2" xfId="15055" xr:uid="{7208EDEB-8460-4D95-9022-042F07B194D9}"/>
    <cellStyle name="Note 2 2 2 4 3 2 2" xfId="51397" xr:uid="{E30A3C5E-09B1-4D50-ACB2-5D19E954EA9E}"/>
    <cellStyle name="Note 2 2 2 4 3 2 3" xfId="32801" xr:uid="{81FF3AD3-75EF-4DD0-B2A7-E5562075016C}"/>
    <cellStyle name="Note 2 2 2 4 3 3" xfId="42100" xr:uid="{F5327027-6B5B-4B89-9AA0-40FB6E945A87}"/>
    <cellStyle name="Note 2 2 2 4 3 4" xfId="23502" xr:uid="{98BDCED7-9E33-4154-B95B-71FC1BAFB9C6}"/>
    <cellStyle name="Note 2 2 2 4 4" xfId="10838" xr:uid="{0ED5AA8E-D231-43A7-8CD4-CFC8B46AED9F}"/>
    <cellStyle name="Note 2 2 2 4 4 2" xfId="47180" xr:uid="{E3107F47-3FDE-4812-B989-CA76AE6C7B34}"/>
    <cellStyle name="Note 2 2 2 4 4 3" xfId="28584" xr:uid="{1E4306AE-11B4-4BD1-B81B-DDBB4FEFECAF}"/>
    <cellStyle name="Note 2 2 2 4 5" xfId="37883" xr:uid="{40C3F265-84F5-42CE-8281-40095BDD5613}"/>
    <cellStyle name="Note 2 2 2 4 6" xfId="19285" xr:uid="{D516BE2F-0CDF-4F9D-A3A6-715E025C5D77}"/>
    <cellStyle name="Note 2 2 2 5" xfId="1836" xr:uid="{00000000-0005-0000-0000-0000B6200000}"/>
    <cellStyle name="Note 2 2 2 5 2" xfId="4065" xr:uid="{00000000-0005-0000-0000-0000B7200000}"/>
    <cellStyle name="Note 2 2 2 5 2 2" xfId="8287" xr:uid="{00000000-0005-0000-0000-0000B8200000}"/>
    <cellStyle name="Note 2 2 2 5 2 2 2" xfId="17613" xr:uid="{ACD32D62-8BE6-481E-ABC6-8ED0F7817BE3}"/>
    <cellStyle name="Note 2 2 2 5 2 2 2 2" xfId="53955" xr:uid="{12A1AA1A-FF5B-4751-A863-720F70945F2B}"/>
    <cellStyle name="Note 2 2 2 5 2 2 2 3" xfId="35359" xr:uid="{6AF66996-873E-4863-BD66-D4231BCB211C}"/>
    <cellStyle name="Note 2 2 2 5 2 2 3" xfId="44658" xr:uid="{2C06EF4D-BB27-461D-9455-B94C1FA7B70F}"/>
    <cellStyle name="Note 2 2 2 5 2 2 4" xfId="26060" xr:uid="{D65F5424-BE24-4A6A-AD12-230A0A2FE78B}"/>
    <cellStyle name="Note 2 2 2 5 2 3" xfId="13396" xr:uid="{284C8523-2AEB-49F4-AB2F-12D4077BB1ED}"/>
    <cellStyle name="Note 2 2 2 5 2 3 2" xfId="49738" xr:uid="{A917AA94-ED75-46B9-A4DF-0E0F344C8D88}"/>
    <cellStyle name="Note 2 2 2 5 2 3 3" xfId="31142" xr:uid="{88F11017-3707-418B-A24D-4AAE57B8E1E8}"/>
    <cellStyle name="Note 2 2 2 5 2 4" xfId="40441" xr:uid="{6AF087B8-D8B2-4552-BD31-859D9DCBB8E9}"/>
    <cellStyle name="Note 2 2 2 5 2 5" xfId="21843" xr:uid="{0E518F72-C689-4A0E-8C26-8198DF9E69D3}"/>
    <cellStyle name="Note 2 2 2 5 3" xfId="6142" xr:uid="{00000000-0005-0000-0000-0000B9200000}"/>
    <cellStyle name="Note 2 2 2 5 3 2" xfId="15468" xr:uid="{36E7717C-C92F-4AE7-BA11-091C05B726A6}"/>
    <cellStyle name="Note 2 2 2 5 3 2 2" xfId="51810" xr:uid="{86A8A401-D33E-46B9-AC6D-CFE96A227E0C}"/>
    <cellStyle name="Note 2 2 2 5 3 2 3" xfId="33214" xr:uid="{2EBF29F9-53DA-40CC-92FA-F99A2BCBF65D}"/>
    <cellStyle name="Note 2 2 2 5 3 3" xfId="42513" xr:uid="{7BC62842-6476-423B-9FCF-9E243AD113E2}"/>
    <cellStyle name="Note 2 2 2 5 3 4" xfId="23915" xr:uid="{1961B030-EB13-4019-A9E7-E7F418C7C5EF}"/>
    <cellStyle name="Note 2 2 2 5 4" xfId="11251" xr:uid="{3F6F2267-46B6-4179-9897-D137E13900CF}"/>
    <cellStyle name="Note 2 2 2 5 4 2" xfId="47593" xr:uid="{F8275196-D5A8-47B5-943E-E325BC643A15}"/>
    <cellStyle name="Note 2 2 2 5 4 3" xfId="28997" xr:uid="{D8E759E2-24D5-4C9E-9F94-9BEC02E068E7}"/>
    <cellStyle name="Note 2 2 2 5 5" xfId="38296" xr:uid="{CCCB4677-16EC-4499-AC45-11C107FE1A3A}"/>
    <cellStyle name="Note 2 2 2 5 6" xfId="19698" xr:uid="{6B1578F3-22A2-4245-9919-CB7B3FD876D7}"/>
    <cellStyle name="Note 2 2 2 6" xfId="2249" xr:uid="{00000000-0005-0000-0000-0000BA200000}"/>
    <cellStyle name="Note 2 2 2 6 2" xfId="4478" xr:uid="{00000000-0005-0000-0000-0000BB200000}"/>
    <cellStyle name="Note 2 2 2 6 2 2" xfId="8700" xr:uid="{00000000-0005-0000-0000-0000BC200000}"/>
    <cellStyle name="Note 2 2 2 6 2 2 2" xfId="18026" xr:uid="{03790558-3AD7-4EE8-AB42-ABAC6287C1D7}"/>
    <cellStyle name="Note 2 2 2 6 2 2 2 2" xfId="54368" xr:uid="{3E6AAD20-3182-4BF9-A61B-9F679CACFD23}"/>
    <cellStyle name="Note 2 2 2 6 2 2 2 3" xfId="35772" xr:uid="{7C65730B-3482-471A-B503-B48B16387A4D}"/>
    <cellStyle name="Note 2 2 2 6 2 2 3" xfId="45071" xr:uid="{3536EDE1-6DCE-45EF-AE9F-99CD0F5FDEE9}"/>
    <cellStyle name="Note 2 2 2 6 2 2 4" xfId="26473" xr:uid="{AF752F68-BE8F-4E65-9D32-A6BCD70B2B78}"/>
    <cellStyle name="Note 2 2 2 6 2 3" xfId="13809" xr:uid="{50EB0F37-3483-4235-A3E5-19047B7AA780}"/>
    <cellStyle name="Note 2 2 2 6 2 3 2" xfId="50151" xr:uid="{D0B1E24D-EACE-418E-8267-7780D14F1E81}"/>
    <cellStyle name="Note 2 2 2 6 2 3 3" xfId="31555" xr:uid="{81585256-EA47-40B4-A31B-D3D3695ED366}"/>
    <cellStyle name="Note 2 2 2 6 2 4" xfId="40854" xr:uid="{F9541C46-4E90-4093-A89E-A09CC545DD79}"/>
    <cellStyle name="Note 2 2 2 6 2 5" xfId="22256" xr:uid="{68B1D0EF-0DDC-446E-B8DC-CCA24DC5B987}"/>
    <cellStyle name="Note 2 2 2 6 3" xfId="6555" xr:uid="{00000000-0005-0000-0000-0000BD200000}"/>
    <cellStyle name="Note 2 2 2 6 3 2" xfId="15881" xr:uid="{75514779-A191-453F-B695-6D88C1B5CFEF}"/>
    <cellStyle name="Note 2 2 2 6 3 2 2" xfId="52223" xr:uid="{5789F26E-EF36-4AEC-8F3E-2CE42F083B47}"/>
    <cellStyle name="Note 2 2 2 6 3 2 3" xfId="33627" xr:uid="{8C85785F-456D-40DB-A9B5-83D1FCA329CA}"/>
    <cellStyle name="Note 2 2 2 6 3 3" xfId="42926" xr:uid="{F83C23CA-DF3C-40D8-9463-A6C939439006}"/>
    <cellStyle name="Note 2 2 2 6 3 4" xfId="24328" xr:uid="{C2609DE1-3D17-493E-B73F-C5501D5D99DA}"/>
    <cellStyle name="Note 2 2 2 6 4" xfId="11664" xr:uid="{492BDBD8-5ED8-4F1E-B5C3-33421FB4355D}"/>
    <cellStyle name="Note 2 2 2 6 4 2" xfId="48006" xr:uid="{5026C3DF-F856-47F9-9D68-420940C9FFEA}"/>
    <cellStyle name="Note 2 2 2 6 4 3" xfId="29410" xr:uid="{6AB9B532-C45D-47FF-B6FC-F0E1CC1408B2}"/>
    <cellStyle name="Note 2 2 2 6 5" xfId="38709" xr:uid="{D03F6F77-E3CD-411C-BCB5-A12E4A006D39}"/>
    <cellStyle name="Note 2 2 2 6 6" xfId="20111" xr:uid="{ACA7BD17-F298-4EBC-B56A-D4D33A8E8118}"/>
    <cellStyle name="Note 2 2 2 7" xfId="2685" xr:uid="{00000000-0005-0000-0000-0000BE200000}"/>
    <cellStyle name="Note 2 2 2 7 2" xfId="6968" xr:uid="{00000000-0005-0000-0000-0000BF200000}"/>
    <cellStyle name="Note 2 2 2 7 2 2" xfId="16294" xr:uid="{3F1BBBF7-E41E-4243-891F-288A9AF5F93E}"/>
    <cellStyle name="Note 2 2 2 7 2 2 2" xfId="52636" xr:uid="{97C3EA94-7237-410B-B439-C55D1C648F9D}"/>
    <cellStyle name="Note 2 2 2 7 2 2 3" xfId="34040" xr:uid="{D18E1126-F013-4710-9E2B-F503135C8769}"/>
    <cellStyle name="Note 2 2 2 7 2 3" xfId="43339" xr:uid="{164CE686-8E62-49E1-91ED-35CB35B7441F}"/>
    <cellStyle name="Note 2 2 2 7 2 4" xfId="24741" xr:uid="{D5165AD7-D906-43A9-BF87-187FEDA92CFE}"/>
    <cellStyle name="Note 2 2 2 7 3" xfId="12077" xr:uid="{6C641B4F-9FD9-42EC-99AF-72EE9A41A674}"/>
    <cellStyle name="Note 2 2 2 7 3 2" xfId="48419" xr:uid="{B94C2C6E-6321-414B-B42F-EF3817F18A56}"/>
    <cellStyle name="Note 2 2 2 7 3 3" xfId="29823" xr:uid="{FC15E2F1-002F-4496-B398-B203EFB4C112}"/>
    <cellStyle name="Note 2 2 2 7 4" xfId="39122" xr:uid="{05981852-D0A7-4384-A25C-6E1FA9FC0725}"/>
    <cellStyle name="Note 2 2 2 7 5" xfId="20524" xr:uid="{691C224B-B252-4381-A581-64C50A3E06DA}"/>
    <cellStyle name="Note 2 2 2 8" xfId="2744" xr:uid="{00000000-0005-0000-0000-0000C0200000}"/>
    <cellStyle name="Note 2 2 2 9" xfId="2825" xr:uid="{00000000-0005-0000-0000-0000C1200000}"/>
    <cellStyle name="Note 2 2 2 9 2" xfId="7048" xr:uid="{00000000-0005-0000-0000-0000C2200000}"/>
    <cellStyle name="Note 2 2 2 9 2 2" xfId="16374" xr:uid="{BBA9B874-A6CC-49D1-BE08-2889F07F9531}"/>
    <cellStyle name="Note 2 2 2 9 2 2 2" xfId="52716" xr:uid="{3F6E0783-EB0D-4738-AA5F-5873F022782D}"/>
    <cellStyle name="Note 2 2 2 9 2 2 3" xfId="34120" xr:uid="{110813EE-55F2-412D-9E34-103540DF5A43}"/>
    <cellStyle name="Note 2 2 2 9 2 3" xfId="43419" xr:uid="{AAD933C8-630A-4EA5-88AF-A9BEECF0F340}"/>
    <cellStyle name="Note 2 2 2 9 2 4" xfId="24821" xr:uid="{A5200D48-DCC6-49AC-81DC-2E8E10CF82EC}"/>
    <cellStyle name="Note 2 2 2 9 3" xfId="12157" xr:uid="{1D94D053-59B2-46AF-BCC3-8B0DE2A5862D}"/>
    <cellStyle name="Note 2 2 2 9 3 2" xfId="48499" xr:uid="{C1B65B8E-31DE-44CF-AE77-17E570C46CBA}"/>
    <cellStyle name="Note 2 2 2 9 3 3" xfId="29903" xr:uid="{92EF977F-6DC7-4DB3-B406-57E1E38B3C50}"/>
    <cellStyle name="Note 2 2 2 9 4" xfId="39202" xr:uid="{0FF3820F-EA3C-4B78-AC37-300738EA976A}"/>
    <cellStyle name="Note 2 2 2 9 5" xfId="20604" xr:uid="{C040BDF3-71A1-4454-809B-01C9C89405CA}"/>
    <cellStyle name="Note 2 2 3" xfId="548" xr:uid="{00000000-0005-0000-0000-0000C3200000}"/>
    <cellStyle name="Note 2 2 3 10" xfId="9048" xr:uid="{894401FF-B7D8-49E8-91E6-A1C42DD04D54}"/>
    <cellStyle name="Note 2 2 3 10 2" xfId="36118" xr:uid="{A629E298-DCDA-424E-B590-9AB30815000F}"/>
    <cellStyle name="Note 2 2 3 10 2 2" xfId="54713" xr:uid="{219DAFD8-EDA6-4A2D-9E9D-896FE6E75A29}"/>
    <cellStyle name="Note 2 2 3 10 3" xfId="45416" xr:uid="{9D44AADA-7A32-4B77-A871-8FDF10E4AF98}"/>
    <cellStyle name="Note 2 2 3 10 4" xfId="26819" xr:uid="{258D46C2-A298-4161-A0C0-43EE9EAF533C}"/>
    <cellStyle name="Note 2 2 3 11" xfId="10014" xr:uid="{64D65F31-0AB1-4E99-9544-BF77B1399820}"/>
    <cellStyle name="Note 2 2 3 11 2" xfId="46356" xr:uid="{C2648782-18D7-42D3-B06D-9F83C3E69686}"/>
    <cellStyle name="Note 2 2 3 11 3" xfId="27760" xr:uid="{6C071CA4-2125-4728-9870-E27443F33166}"/>
    <cellStyle name="Note 2 2 3 12" xfId="37059" xr:uid="{5AA2D5FF-FC0E-4484-AB3E-0789F944B067}"/>
    <cellStyle name="Note 2 2 3 13" xfId="18461" xr:uid="{5D6D6351-590C-4BFF-AD29-86D984FB37FF}"/>
    <cellStyle name="Note 2 2 3 2" xfId="1009" xr:uid="{00000000-0005-0000-0000-0000C4200000}"/>
    <cellStyle name="Note 2 2 3 2 2" xfId="3241" xr:uid="{00000000-0005-0000-0000-0000C5200000}"/>
    <cellStyle name="Note 2 2 3 2 2 2" xfId="7463" xr:uid="{00000000-0005-0000-0000-0000C6200000}"/>
    <cellStyle name="Note 2 2 3 2 2 2 2" xfId="16789" xr:uid="{552BD7A9-651E-45DA-AAC1-057CAA11A5FB}"/>
    <cellStyle name="Note 2 2 3 2 2 2 2 2" xfId="53131" xr:uid="{703D7D51-D82D-4868-A043-3DCCF7E10D48}"/>
    <cellStyle name="Note 2 2 3 2 2 2 2 3" xfId="34535" xr:uid="{5A0229E8-3E32-4240-A28E-0775A5805CDB}"/>
    <cellStyle name="Note 2 2 3 2 2 2 3" xfId="43834" xr:uid="{6C698C95-7230-41E2-BD22-9A9BD67B1BAA}"/>
    <cellStyle name="Note 2 2 3 2 2 2 4" xfId="25236" xr:uid="{4175A065-CFA9-46AD-956F-518D57B859E5}"/>
    <cellStyle name="Note 2 2 3 2 2 3" xfId="12572" xr:uid="{278A8851-96E4-4A0F-9F88-CBEBAF0DA1CC}"/>
    <cellStyle name="Note 2 2 3 2 2 3 2" xfId="48914" xr:uid="{399D9DA3-F228-4BD6-B27F-7E8803B73D57}"/>
    <cellStyle name="Note 2 2 3 2 2 3 3" xfId="30318" xr:uid="{E50965A4-2138-4BFF-A03C-6BF1213F88AF}"/>
    <cellStyle name="Note 2 2 3 2 2 4" xfId="39617" xr:uid="{C7453182-DAF3-4D8B-A106-81D2FB86AD73}"/>
    <cellStyle name="Note 2 2 3 2 2 5" xfId="21019" xr:uid="{C00256CC-0F9C-4E42-82AD-D135E0657F99}"/>
    <cellStyle name="Note 2 2 3 2 3" xfId="5318" xr:uid="{00000000-0005-0000-0000-0000C7200000}"/>
    <cellStyle name="Note 2 2 3 2 3 2" xfId="14644" xr:uid="{FF7C98F2-3064-4E85-BDC6-B589A0C364F2}"/>
    <cellStyle name="Note 2 2 3 2 3 2 2" xfId="50986" xr:uid="{3A503C46-CA15-41D1-87C7-375D8348A2F7}"/>
    <cellStyle name="Note 2 2 3 2 3 2 3" xfId="32390" xr:uid="{ADE70E33-BB30-443C-940D-EDFF9D989CD2}"/>
    <cellStyle name="Note 2 2 3 2 3 3" xfId="41689" xr:uid="{B7FCE3F0-96E3-4064-972B-B5B2F8781396}"/>
    <cellStyle name="Note 2 2 3 2 3 4" xfId="23091" xr:uid="{D1511337-8F71-4194-B9C2-F10F00CE234A}"/>
    <cellStyle name="Note 2 2 3 2 4" xfId="9473" xr:uid="{7711F4E0-385B-44CD-ACEA-5E9D7E4CD8DC}"/>
    <cellStyle name="Note 2 2 3 2 4 2" xfId="36534" xr:uid="{E2D0DBEB-7687-4C8F-8783-6390710BFB47}"/>
    <cellStyle name="Note 2 2 3 2 4 2 2" xfId="55128" xr:uid="{46577FE0-E029-4679-9A23-132F7411615E}"/>
    <cellStyle name="Note 2 2 3 2 4 3" xfId="45831" xr:uid="{F3B9DD23-2E05-487E-ABC9-7F2072DA5BA7}"/>
    <cellStyle name="Note 2 2 3 2 4 4" xfId="27235" xr:uid="{B545C915-90E7-4F2E-A907-FD6FC82C3F54}"/>
    <cellStyle name="Note 2 2 3 2 5" xfId="10427" xr:uid="{4280947C-B308-46DD-8669-5CC880D2CC6C}"/>
    <cellStyle name="Note 2 2 3 2 5 2" xfId="46769" xr:uid="{4154C14A-C664-410B-AD61-A9EFDC616351}"/>
    <cellStyle name="Note 2 2 3 2 5 3" xfId="28173" xr:uid="{D766F68B-DDDD-4964-B3B2-FE68CD2501EC}"/>
    <cellStyle name="Note 2 2 3 2 6" xfId="37472" xr:uid="{D900F93B-A1A5-46C4-B31C-C6067716FE71}"/>
    <cellStyle name="Note 2 2 3 2 7" xfId="18874" xr:uid="{F542023A-A59B-4578-95F9-41544F7A8656}"/>
    <cellStyle name="Note 2 2 3 3" xfId="1424" xr:uid="{00000000-0005-0000-0000-0000C8200000}"/>
    <cellStyle name="Note 2 2 3 3 2" xfId="3654" xr:uid="{00000000-0005-0000-0000-0000C9200000}"/>
    <cellStyle name="Note 2 2 3 3 2 2" xfId="7876" xr:uid="{00000000-0005-0000-0000-0000CA200000}"/>
    <cellStyle name="Note 2 2 3 3 2 2 2" xfId="17202" xr:uid="{5F3CD2CA-C63F-472C-B99D-9DE690C0BEE5}"/>
    <cellStyle name="Note 2 2 3 3 2 2 2 2" xfId="53544" xr:uid="{FA9BA5DB-E113-4111-8A0D-A6F6C85E65CA}"/>
    <cellStyle name="Note 2 2 3 3 2 2 2 3" xfId="34948" xr:uid="{81B5A3B0-2A03-464C-AC9F-B288933A0760}"/>
    <cellStyle name="Note 2 2 3 3 2 2 3" xfId="44247" xr:uid="{D6348FF3-94EF-440D-927E-EB8234DC04E9}"/>
    <cellStyle name="Note 2 2 3 3 2 2 4" xfId="25649" xr:uid="{47B5D867-F39D-47CE-8040-1E15452815E1}"/>
    <cellStyle name="Note 2 2 3 3 2 3" xfId="12985" xr:uid="{5EF8ADE9-00A5-4C81-B459-D6F7E4DEF7B9}"/>
    <cellStyle name="Note 2 2 3 3 2 3 2" xfId="49327" xr:uid="{06488537-87E4-40F9-9030-4465E7D8032C}"/>
    <cellStyle name="Note 2 2 3 3 2 3 3" xfId="30731" xr:uid="{7A4824B9-855B-454F-A488-650E2EABECA3}"/>
    <cellStyle name="Note 2 2 3 3 2 4" xfId="40030" xr:uid="{7F3CB552-E0C8-42B6-9830-B39D52A7F4AC}"/>
    <cellStyle name="Note 2 2 3 3 2 5" xfId="21432" xr:uid="{5875E3EE-4117-485C-9A83-7C4659DAEC52}"/>
    <cellStyle name="Note 2 2 3 3 3" xfId="5731" xr:uid="{00000000-0005-0000-0000-0000CB200000}"/>
    <cellStyle name="Note 2 2 3 3 3 2" xfId="15057" xr:uid="{394DB8B8-4205-455E-808B-886016E76E1B}"/>
    <cellStyle name="Note 2 2 3 3 3 2 2" xfId="51399" xr:uid="{9B27C61B-BDB1-4E92-A0F3-0465856DD56E}"/>
    <cellStyle name="Note 2 2 3 3 3 2 3" xfId="32803" xr:uid="{E1439052-4E29-4678-B41A-94E8409096EB}"/>
    <cellStyle name="Note 2 2 3 3 3 3" xfId="42102" xr:uid="{738F84E2-9BF5-422F-8D56-ACD0BEBB41E7}"/>
    <cellStyle name="Note 2 2 3 3 3 4" xfId="23504" xr:uid="{AA03F52A-CECC-4674-988A-DD3F01A44BFF}"/>
    <cellStyle name="Note 2 2 3 3 4" xfId="10840" xr:uid="{EE2238B3-D76E-41FA-BFAC-1018D6BFFC0D}"/>
    <cellStyle name="Note 2 2 3 3 4 2" xfId="47182" xr:uid="{B965DF4F-DF2F-4DD8-ADFA-18DA5A104858}"/>
    <cellStyle name="Note 2 2 3 3 4 3" xfId="28586" xr:uid="{64BAC0F4-89C6-4D66-B1A6-D59FBD11B3B5}"/>
    <cellStyle name="Note 2 2 3 3 5" xfId="37885" xr:uid="{10778A0B-650A-4DF5-BEB9-5936A21C72AF}"/>
    <cellStyle name="Note 2 2 3 3 6" xfId="19287" xr:uid="{2324C806-B65F-4E86-870E-92E6F31DCF09}"/>
    <cellStyle name="Note 2 2 3 4" xfId="1838" xr:uid="{00000000-0005-0000-0000-0000CC200000}"/>
    <cellStyle name="Note 2 2 3 4 2" xfId="4067" xr:uid="{00000000-0005-0000-0000-0000CD200000}"/>
    <cellStyle name="Note 2 2 3 4 2 2" xfId="8289" xr:uid="{00000000-0005-0000-0000-0000CE200000}"/>
    <cellStyle name="Note 2 2 3 4 2 2 2" xfId="17615" xr:uid="{B50EA0B4-65F6-4E15-A624-7A7AD4F0A351}"/>
    <cellStyle name="Note 2 2 3 4 2 2 2 2" xfId="53957" xr:uid="{AE27EF47-1118-4058-A0B9-B916C4DE0EC6}"/>
    <cellStyle name="Note 2 2 3 4 2 2 2 3" xfId="35361" xr:uid="{372A06EE-4DEA-4635-92EA-68AE18BACF12}"/>
    <cellStyle name="Note 2 2 3 4 2 2 3" xfId="44660" xr:uid="{B18F49D1-0629-4892-B03C-57701204DCC9}"/>
    <cellStyle name="Note 2 2 3 4 2 2 4" xfId="26062" xr:uid="{80569188-EBA5-48F3-A172-B8B12BB1A7D9}"/>
    <cellStyle name="Note 2 2 3 4 2 3" xfId="13398" xr:uid="{D85D403D-B341-4C64-BE4D-9230434F605D}"/>
    <cellStyle name="Note 2 2 3 4 2 3 2" xfId="49740" xr:uid="{DEB6D9F2-EDEE-4077-85BD-76B12B0E597A}"/>
    <cellStyle name="Note 2 2 3 4 2 3 3" xfId="31144" xr:uid="{022B5966-3A8E-4E07-B647-88965110EC99}"/>
    <cellStyle name="Note 2 2 3 4 2 4" xfId="40443" xr:uid="{6110FF1D-9EA5-450C-8E0A-B742C1244BA8}"/>
    <cellStyle name="Note 2 2 3 4 2 5" xfId="21845" xr:uid="{38CB2355-FC1C-43E5-8394-B6B9BC50103E}"/>
    <cellStyle name="Note 2 2 3 4 3" xfId="6144" xr:uid="{00000000-0005-0000-0000-0000CF200000}"/>
    <cellStyle name="Note 2 2 3 4 3 2" xfId="15470" xr:uid="{FEAF9BE7-D351-4D9C-A97F-85FE3A18ECD2}"/>
    <cellStyle name="Note 2 2 3 4 3 2 2" xfId="51812" xr:uid="{E4160C63-6C1A-4C41-98D0-8F2DA00B557F}"/>
    <cellStyle name="Note 2 2 3 4 3 2 3" xfId="33216" xr:uid="{947AC233-D1DD-44B0-8366-8A87090CEFF9}"/>
    <cellStyle name="Note 2 2 3 4 3 3" xfId="42515" xr:uid="{AE058575-887F-458C-A9BF-3463E596467F}"/>
    <cellStyle name="Note 2 2 3 4 3 4" xfId="23917" xr:uid="{A74E7FBF-76C2-40A4-8918-5928C5B76BBC}"/>
    <cellStyle name="Note 2 2 3 4 4" xfId="11253" xr:uid="{CC3791CC-D3A8-4128-9B2C-20E3A5D63F48}"/>
    <cellStyle name="Note 2 2 3 4 4 2" xfId="47595" xr:uid="{1A26FBAD-DE89-41F3-B90A-FD7E3D748B0F}"/>
    <cellStyle name="Note 2 2 3 4 4 3" xfId="28999" xr:uid="{A988689F-E9A5-4604-9FBD-1032BDF24151}"/>
    <cellStyle name="Note 2 2 3 4 5" xfId="38298" xr:uid="{086CEBE2-456C-4832-A62C-4E8B298536D6}"/>
    <cellStyle name="Note 2 2 3 4 6" xfId="19700" xr:uid="{1D6209D4-F03B-4960-9B5E-07D11074E02F}"/>
    <cellStyle name="Note 2 2 3 5" xfId="2251" xr:uid="{00000000-0005-0000-0000-0000D0200000}"/>
    <cellStyle name="Note 2 2 3 5 2" xfId="4480" xr:uid="{00000000-0005-0000-0000-0000D1200000}"/>
    <cellStyle name="Note 2 2 3 5 2 2" xfId="8702" xr:uid="{00000000-0005-0000-0000-0000D2200000}"/>
    <cellStyle name="Note 2 2 3 5 2 2 2" xfId="18028" xr:uid="{106159CC-1136-4C6C-B8E3-4B6803F725C5}"/>
    <cellStyle name="Note 2 2 3 5 2 2 2 2" xfId="54370" xr:uid="{748FFFEB-96B7-4C78-95C2-2ADDA6D50D3D}"/>
    <cellStyle name="Note 2 2 3 5 2 2 2 3" xfId="35774" xr:uid="{439BDD99-A811-4796-9184-AA2120EACA0D}"/>
    <cellStyle name="Note 2 2 3 5 2 2 3" xfId="45073" xr:uid="{B2A0F965-9066-4C5D-8B63-B6709EFF7717}"/>
    <cellStyle name="Note 2 2 3 5 2 2 4" xfId="26475" xr:uid="{3DB1621F-519F-45F8-A659-EBE2B3EDDFC7}"/>
    <cellStyle name="Note 2 2 3 5 2 3" xfId="13811" xr:uid="{7BF294FA-24C8-4CB1-BDD7-A0D41AA6FB68}"/>
    <cellStyle name="Note 2 2 3 5 2 3 2" xfId="50153" xr:uid="{B624473D-92AE-4198-A8BC-2EB1721F65F1}"/>
    <cellStyle name="Note 2 2 3 5 2 3 3" xfId="31557" xr:uid="{D60802BF-3E99-4524-B195-293DF1479E07}"/>
    <cellStyle name="Note 2 2 3 5 2 4" xfId="40856" xr:uid="{FF55D183-4334-48B3-9816-F91045E59FBF}"/>
    <cellStyle name="Note 2 2 3 5 2 5" xfId="22258" xr:uid="{C9172707-473B-4CE6-BBDC-5CDBBFA9093C}"/>
    <cellStyle name="Note 2 2 3 5 3" xfId="6557" xr:uid="{00000000-0005-0000-0000-0000D3200000}"/>
    <cellStyle name="Note 2 2 3 5 3 2" xfId="15883" xr:uid="{F22B62EB-BDD6-4BC9-B9A4-E246EB4DA762}"/>
    <cellStyle name="Note 2 2 3 5 3 2 2" xfId="52225" xr:uid="{5B455140-2AB5-4BAB-A0E1-FD78963590E6}"/>
    <cellStyle name="Note 2 2 3 5 3 2 3" xfId="33629" xr:uid="{73746BA4-C993-4F8C-B780-8E15F49CD9BC}"/>
    <cellStyle name="Note 2 2 3 5 3 3" xfId="42928" xr:uid="{560D0B64-7DF1-4BDA-AC09-BE4B2AC6E56A}"/>
    <cellStyle name="Note 2 2 3 5 3 4" xfId="24330" xr:uid="{8412D1EA-09A7-4712-9848-8B1F7CC8507E}"/>
    <cellStyle name="Note 2 2 3 5 4" xfId="11666" xr:uid="{4CA5DC88-FA8A-4739-AB05-C4EBFE436DD8}"/>
    <cellStyle name="Note 2 2 3 5 4 2" xfId="48008" xr:uid="{2F059EC3-19DE-4CD5-8B53-5BCB45F7032B}"/>
    <cellStyle name="Note 2 2 3 5 4 3" xfId="29412" xr:uid="{3493CD6B-757E-4842-9E1D-EFF91B663875}"/>
    <cellStyle name="Note 2 2 3 5 5" xfId="38711" xr:uid="{0C609BB3-0D36-4F2F-A6F8-F7D55F5888D4}"/>
    <cellStyle name="Note 2 2 3 5 6" xfId="20113" xr:uid="{0E9445F0-9E6D-40A4-AD93-0CB24AAA7344}"/>
    <cellStyle name="Note 2 2 3 6" xfId="2687" xr:uid="{00000000-0005-0000-0000-0000D4200000}"/>
    <cellStyle name="Note 2 2 3 6 2" xfId="6970" xr:uid="{00000000-0005-0000-0000-0000D5200000}"/>
    <cellStyle name="Note 2 2 3 6 2 2" xfId="16296" xr:uid="{D58ED7FD-C273-4E16-B30B-A6360A0C756C}"/>
    <cellStyle name="Note 2 2 3 6 2 2 2" xfId="52638" xr:uid="{D44FBA2E-768C-4170-A855-2A604B1C6DD4}"/>
    <cellStyle name="Note 2 2 3 6 2 2 3" xfId="34042" xr:uid="{8C46A272-C2B1-4B5F-8279-B8E529DAA029}"/>
    <cellStyle name="Note 2 2 3 6 2 3" xfId="43341" xr:uid="{576EB8B3-E553-48D3-9B66-EC91A5897D80}"/>
    <cellStyle name="Note 2 2 3 6 2 4" xfId="24743" xr:uid="{23407D10-6FA3-4589-AC0A-59F874A31ADF}"/>
    <cellStyle name="Note 2 2 3 6 3" xfId="12079" xr:uid="{73CFF615-C0BC-4D64-9D25-B4838068E518}"/>
    <cellStyle name="Note 2 2 3 6 3 2" xfId="48421" xr:uid="{02A635B5-3319-421D-AD15-34938CFA4044}"/>
    <cellStyle name="Note 2 2 3 6 3 3" xfId="29825" xr:uid="{8489555F-224B-4CF2-923A-7D819CB99BBD}"/>
    <cellStyle name="Note 2 2 3 6 4" xfId="39124" xr:uid="{9EDF9DD9-1E8B-4006-BC95-F6A7DEBE802F}"/>
    <cellStyle name="Note 2 2 3 6 5" xfId="20526" xr:uid="{04521D4B-73E9-4557-BDCE-FDBD5AF7E5F2}"/>
    <cellStyle name="Note 2 2 3 7" xfId="2746" xr:uid="{00000000-0005-0000-0000-0000D6200000}"/>
    <cellStyle name="Note 2 2 3 8" xfId="2827" xr:uid="{00000000-0005-0000-0000-0000D7200000}"/>
    <cellStyle name="Note 2 2 3 8 2" xfId="7050" xr:uid="{00000000-0005-0000-0000-0000D8200000}"/>
    <cellStyle name="Note 2 2 3 8 2 2" xfId="16376" xr:uid="{9417212B-B796-481F-8413-E02F7C27E070}"/>
    <cellStyle name="Note 2 2 3 8 2 2 2" xfId="52718" xr:uid="{2A495A87-A8AB-4E3D-B144-30799B435237}"/>
    <cellStyle name="Note 2 2 3 8 2 2 3" xfId="34122" xr:uid="{7796F2AE-74A5-4BBA-A37E-46A77694DE73}"/>
    <cellStyle name="Note 2 2 3 8 2 3" xfId="43421" xr:uid="{FA17F430-BB1F-479B-AA26-0D98B336794D}"/>
    <cellStyle name="Note 2 2 3 8 2 4" xfId="24823" xr:uid="{4B508A65-46E1-4339-B314-3327473B4324}"/>
    <cellStyle name="Note 2 2 3 8 3" xfId="12159" xr:uid="{789C9053-3179-4976-B0B9-C9421DA4141C}"/>
    <cellStyle name="Note 2 2 3 8 3 2" xfId="48501" xr:uid="{00EA3ECE-E282-45E0-94E7-33B3C7299411}"/>
    <cellStyle name="Note 2 2 3 8 3 3" xfId="29905" xr:uid="{5CF53296-2021-4CB9-BEAE-05373C2A1F6C}"/>
    <cellStyle name="Note 2 2 3 8 4" xfId="39204" xr:uid="{7A8B69A2-3654-4FA8-9C8E-53D5A416E74E}"/>
    <cellStyle name="Note 2 2 3 8 5" xfId="20606" xr:uid="{04B331B9-A61C-4281-972E-A43816F3A1AA}"/>
    <cellStyle name="Note 2 2 3 9" xfId="4905" xr:uid="{00000000-0005-0000-0000-0000D9200000}"/>
    <cellStyle name="Note 2 2 3 9 2" xfId="14231" xr:uid="{04D78D83-A9C8-4553-B893-66857F131943}"/>
    <cellStyle name="Note 2 2 3 9 2 2" xfId="50573" xr:uid="{48196E40-8253-485C-BF55-90922316AAF9}"/>
    <cellStyle name="Note 2 2 3 9 2 3" xfId="31977" xr:uid="{C1309867-F560-48B9-8AD2-2794AB46AA83}"/>
    <cellStyle name="Note 2 2 3 9 3" xfId="41276" xr:uid="{7F2837DF-D5FD-47E3-99C8-DD9AD5EFE480}"/>
    <cellStyle name="Note 2 2 3 9 4" xfId="22678" xr:uid="{40F783C0-3263-4935-8D84-FAF1C3BA75EC}"/>
    <cellStyle name="Note 2 2 4" xfId="1006" xr:uid="{00000000-0005-0000-0000-0000DA200000}"/>
    <cellStyle name="Note 2 2 4 2" xfId="3238" xr:uid="{00000000-0005-0000-0000-0000DB200000}"/>
    <cellStyle name="Note 2 2 4 2 2" xfId="7460" xr:uid="{00000000-0005-0000-0000-0000DC200000}"/>
    <cellStyle name="Note 2 2 4 2 2 2" xfId="16786" xr:uid="{CF05BCF8-ACB4-45D8-A9CA-C050CF57F996}"/>
    <cellStyle name="Note 2 2 4 2 2 2 2" xfId="53128" xr:uid="{A308A09E-D9C4-47E1-8B1F-2724C9069CDE}"/>
    <cellStyle name="Note 2 2 4 2 2 2 3" xfId="34532" xr:uid="{E560F144-630F-4E4E-BF7C-460EEFB76E42}"/>
    <cellStyle name="Note 2 2 4 2 2 3" xfId="43831" xr:uid="{B56A1E62-B1EB-4B40-9F40-CF513099F3C6}"/>
    <cellStyle name="Note 2 2 4 2 2 4" xfId="25233" xr:uid="{9761C586-51B2-41C5-8BD1-6B05602DA592}"/>
    <cellStyle name="Note 2 2 4 2 3" xfId="12569" xr:uid="{0DFE8923-D554-4521-9B42-E416E76BE8E0}"/>
    <cellStyle name="Note 2 2 4 2 3 2" xfId="48911" xr:uid="{5ED015D6-A3BE-4BBB-A435-8169029F3B65}"/>
    <cellStyle name="Note 2 2 4 2 3 3" xfId="30315" xr:uid="{EA3E548D-8A2B-43AD-AB8A-104725D873B9}"/>
    <cellStyle name="Note 2 2 4 2 4" xfId="39614" xr:uid="{4A99FBC2-9722-45A8-9EAA-70DA11FFB237}"/>
    <cellStyle name="Note 2 2 4 2 5" xfId="21016" xr:uid="{B01F5D8A-71CC-4827-8061-E17733B2704E}"/>
    <cellStyle name="Note 2 2 4 3" xfId="5315" xr:uid="{00000000-0005-0000-0000-0000DD200000}"/>
    <cellStyle name="Note 2 2 4 3 2" xfId="14641" xr:uid="{98962263-85C5-4513-A79B-CE05F1E709E8}"/>
    <cellStyle name="Note 2 2 4 3 2 2" xfId="50983" xr:uid="{714521DF-F65A-4DB4-B2D9-C8508407EE43}"/>
    <cellStyle name="Note 2 2 4 3 2 3" xfId="32387" xr:uid="{7B6AB1E3-8BE4-445F-A73F-B0E5936F901F}"/>
    <cellStyle name="Note 2 2 4 3 3" xfId="41686" xr:uid="{88518013-EE41-433D-95DA-0C066A8AD139}"/>
    <cellStyle name="Note 2 2 4 3 4" xfId="23088" xr:uid="{D08341B6-1BD4-4721-8A52-F51CEF148DAC}"/>
    <cellStyle name="Note 2 2 4 4" xfId="9266" xr:uid="{8B6F7B8D-50FA-47DA-836F-17B0F9492E54}"/>
    <cellStyle name="Note 2 2 4 4 2" xfId="36327" xr:uid="{A3A417F3-AA22-4B57-A8FB-C7FD831184A6}"/>
    <cellStyle name="Note 2 2 4 4 2 2" xfId="54921" xr:uid="{6EADB9F7-E2F4-4315-A46D-24216DC79512}"/>
    <cellStyle name="Note 2 2 4 4 3" xfId="45624" xr:uid="{21E1BE72-6333-4702-AF0C-8906AE4F851F}"/>
    <cellStyle name="Note 2 2 4 4 4" xfId="27028" xr:uid="{ACE6D3D0-E41F-4611-805C-9C875B397526}"/>
    <cellStyle name="Note 2 2 4 5" xfId="10424" xr:uid="{D9F78774-BC69-46D0-B066-F1A63E8BC2FD}"/>
    <cellStyle name="Note 2 2 4 5 2" xfId="46766" xr:uid="{91793809-6361-4135-B67F-964936036831}"/>
    <cellStyle name="Note 2 2 4 5 3" xfId="28170" xr:uid="{DA1B910D-66EB-4C6F-9672-15728039B00C}"/>
    <cellStyle name="Note 2 2 4 6" xfId="37469" xr:uid="{90182055-D02D-4727-871A-F09D6E9C068C}"/>
    <cellStyle name="Note 2 2 4 7" xfId="18871" xr:uid="{33362FAD-78BF-40D3-A8DE-4B2DF474239C}"/>
    <cellStyle name="Note 2 2 5" xfId="1421" xr:uid="{00000000-0005-0000-0000-0000DE200000}"/>
    <cellStyle name="Note 2 2 5 2" xfId="3651" xr:uid="{00000000-0005-0000-0000-0000DF200000}"/>
    <cellStyle name="Note 2 2 5 2 2" xfId="7873" xr:uid="{00000000-0005-0000-0000-0000E0200000}"/>
    <cellStyle name="Note 2 2 5 2 2 2" xfId="17199" xr:uid="{A309EDFF-22FD-4D5D-8A64-42CE652DEF37}"/>
    <cellStyle name="Note 2 2 5 2 2 2 2" xfId="53541" xr:uid="{6EE42724-F151-4EDC-A75E-2A38DB33A118}"/>
    <cellStyle name="Note 2 2 5 2 2 2 3" xfId="34945" xr:uid="{E00646B1-CB07-4F10-9117-4BC198459334}"/>
    <cellStyle name="Note 2 2 5 2 2 3" xfId="44244" xr:uid="{9BFC3886-D517-4675-9F96-318B7206F493}"/>
    <cellStyle name="Note 2 2 5 2 2 4" xfId="25646" xr:uid="{6EACD3DD-DBBD-4748-AA46-E9FEE25BC321}"/>
    <cellStyle name="Note 2 2 5 2 3" xfId="12982" xr:uid="{EDCF8FD7-0DB8-4DC4-A00C-B65A42B93C79}"/>
    <cellStyle name="Note 2 2 5 2 3 2" xfId="49324" xr:uid="{EF139158-A0FB-4FF1-8D16-4B69C537B0A3}"/>
    <cellStyle name="Note 2 2 5 2 3 3" xfId="30728" xr:uid="{06FC5686-9ED9-4C2A-AD6B-E67CA51AB045}"/>
    <cellStyle name="Note 2 2 5 2 4" xfId="40027" xr:uid="{333ECB8C-1803-4437-AC7B-6AD86ECC5D14}"/>
    <cellStyle name="Note 2 2 5 2 5" xfId="21429" xr:uid="{111EA7FD-1D69-41D2-9CB9-08EB55DF746B}"/>
    <cellStyle name="Note 2 2 5 3" xfId="5728" xr:uid="{00000000-0005-0000-0000-0000E1200000}"/>
    <cellStyle name="Note 2 2 5 3 2" xfId="15054" xr:uid="{D3C946C8-C7A9-434B-B0C2-92E52151CD3D}"/>
    <cellStyle name="Note 2 2 5 3 2 2" xfId="51396" xr:uid="{06B986F2-ACD2-46C5-A25A-6813C3838F31}"/>
    <cellStyle name="Note 2 2 5 3 2 3" xfId="32800" xr:uid="{743333B1-D449-4D53-9A89-B0DBF690FE2E}"/>
    <cellStyle name="Note 2 2 5 3 3" xfId="42099" xr:uid="{42397D0F-C7E6-426D-8AE0-7157E7B7EE9D}"/>
    <cellStyle name="Note 2 2 5 3 4" xfId="23501" xr:uid="{BEBBADEC-6701-4CDF-9D1A-3EC90B8AD1D9}"/>
    <cellStyle name="Note 2 2 5 4" xfId="10837" xr:uid="{CE1F97DE-78DD-42E4-8937-7BF03D5C490E}"/>
    <cellStyle name="Note 2 2 5 4 2" xfId="47179" xr:uid="{5A176F4D-D5AE-461A-B654-517D2780DD65}"/>
    <cellStyle name="Note 2 2 5 4 3" xfId="28583" xr:uid="{610B066C-BAAC-4393-A738-F8A0522CB36F}"/>
    <cellStyle name="Note 2 2 5 5" xfId="37882" xr:uid="{2CFCC456-4CED-4122-8D0A-387EDA296D0C}"/>
    <cellStyle name="Note 2 2 5 6" xfId="19284" xr:uid="{055A4382-9198-4E36-8462-8F942AA78ED8}"/>
    <cellStyle name="Note 2 2 6" xfId="1835" xr:uid="{00000000-0005-0000-0000-0000E2200000}"/>
    <cellStyle name="Note 2 2 6 2" xfId="4064" xr:uid="{00000000-0005-0000-0000-0000E3200000}"/>
    <cellStyle name="Note 2 2 6 2 2" xfId="8286" xr:uid="{00000000-0005-0000-0000-0000E4200000}"/>
    <cellStyle name="Note 2 2 6 2 2 2" xfId="17612" xr:uid="{4F97D93C-BFF4-4234-A190-15C18056ECF3}"/>
    <cellStyle name="Note 2 2 6 2 2 2 2" xfId="53954" xr:uid="{F12AE137-EDF8-4ED3-A21E-19EBA920C1BF}"/>
    <cellStyle name="Note 2 2 6 2 2 2 3" xfId="35358" xr:uid="{C254A237-7219-4D8B-9FAB-061566EE91E3}"/>
    <cellStyle name="Note 2 2 6 2 2 3" xfId="44657" xr:uid="{98F1EB73-8F3F-49A6-9689-B3EE8428B31C}"/>
    <cellStyle name="Note 2 2 6 2 2 4" xfId="26059" xr:uid="{7B1CFA8D-6AA3-477F-9C3B-A5D6DA869579}"/>
    <cellStyle name="Note 2 2 6 2 3" xfId="13395" xr:uid="{B6830948-B321-422B-A397-718ECD5C5E0D}"/>
    <cellStyle name="Note 2 2 6 2 3 2" xfId="49737" xr:uid="{7D8B2DA2-A16E-40AD-B6B1-655C9784F375}"/>
    <cellStyle name="Note 2 2 6 2 3 3" xfId="31141" xr:uid="{D9785CDA-7EC8-45B4-BF80-B5F0B1317B38}"/>
    <cellStyle name="Note 2 2 6 2 4" xfId="40440" xr:uid="{9842CCA4-B102-4F47-8B1C-CE9323F285C9}"/>
    <cellStyle name="Note 2 2 6 2 5" xfId="21842" xr:uid="{8188943D-DA06-4989-8279-571C5A13839E}"/>
    <cellStyle name="Note 2 2 6 3" xfId="6141" xr:uid="{00000000-0005-0000-0000-0000E5200000}"/>
    <cellStyle name="Note 2 2 6 3 2" xfId="15467" xr:uid="{B05C5203-4A14-438C-9A5E-474B55E89475}"/>
    <cellStyle name="Note 2 2 6 3 2 2" xfId="51809" xr:uid="{D309E4F5-F650-44CC-8970-1EBF671BC444}"/>
    <cellStyle name="Note 2 2 6 3 2 3" xfId="33213" xr:uid="{70CFCFEC-F5A5-45BD-9DCC-A1A5F77099A4}"/>
    <cellStyle name="Note 2 2 6 3 3" xfId="42512" xr:uid="{8E24216E-3D95-4BE6-BACF-73124F9D8F01}"/>
    <cellStyle name="Note 2 2 6 3 4" xfId="23914" xr:uid="{31D73ED9-AFEF-4D82-BB58-7F42F2F3A6D3}"/>
    <cellStyle name="Note 2 2 6 4" xfId="11250" xr:uid="{859D245B-7486-4D56-849B-4219DD081DB2}"/>
    <cellStyle name="Note 2 2 6 4 2" xfId="47592" xr:uid="{F48C1AD5-B261-44E6-9F4D-9F23AEDA05E4}"/>
    <cellStyle name="Note 2 2 6 4 3" xfId="28996" xr:uid="{E9241EBB-4F52-4EB3-9F4F-A31DD3A77A7E}"/>
    <cellStyle name="Note 2 2 6 5" xfId="38295" xr:uid="{B491D54C-176A-4651-8DBD-C0708F5C4495}"/>
    <cellStyle name="Note 2 2 6 6" xfId="19697" xr:uid="{316C1A1E-0AB4-4156-93D6-5C5B25C94D5B}"/>
    <cellStyle name="Note 2 2 7" xfId="2248" xr:uid="{00000000-0005-0000-0000-0000E6200000}"/>
    <cellStyle name="Note 2 2 7 2" xfId="4477" xr:uid="{00000000-0005-0000-0000-0000E7200000}"/>
    <cellStyle name="Note 2 2 7 2 2" xfId="8699" xr:uid="{00000000-0005-0000-0000-0000E8200000}"/>
    <cellStyle name="Note 2 2 7 2 2 2" xfId="18025" xr:uid="{94E596C1-33B7-483C-AF00-DF3E1E7AA2D9}"/>
    <cellStyle name="Note 2 2 7 2 2 2 2" xfId="54367" xr:uid="{85449390-F41D-4652-8258-7B0BF33D41F2}"/>
    <cellStyle name="Note 2 2 7 2 2 2 3" xfId="35771" xr:uid="{E3969C96-7167-4B29-BAA0-576D9A0C7B5D}"/>
    <cellStyle name="Note 2 2 7 2 2 3" xfId="45070" xr:uid="{0D024560-C743-4BDB-912F-5E06F20CD5FB}"/>
    <cellStyle name="Note 2 2 7 2 2 4" xfId="26472" xr:uid="{4BE7ABB8-FEE4-4034-85C9-EE9FDC489E62}"/>
    <cellStyle name="Note 2 2 7 2 3" xfId="13808" xr:uid="{94FBE5A9-7594-49E0-9030-F584AC93ED48}"/>
    <cellStyle name="Note 2 2 7 2 3 2" xfId="50150" xr:uid="{FDC63889-A89F-4099-8C1E-20267D1AE1A0}"/>
    <cellStyle name="Note 2 2 7 2 3 3" xfId="31554" xr:uid="{2346D20F-A8CA-4435-8C26-CCA1CE3A47AB}"/>
    <cellStyle name="Note 2 2 7 2 4" xfId="40853" xr:uid="{060C2427-4C46-4949-BF88-77510FAFF506}"/>
    <cellStyle name="Note 2 2 7 2 5" xfId="22255" xr:uid="{28CC26BF-46E3-4066-9408-F0880CD4399D}"/>
    <cellStyle name="Note 2 2 7 3" xfId="6554" xr:uid="{00000000-0005-0000-0000-0000E9200000}"/>
    <cellStyle name="Note 2 2 7 3 2" xfId="15880" xr:uid="{FB6AE83F-31F3-495C-A516-CEB8602F1C80}"/>
    <cellStyle name="Note 2 2 7 3 2 2" xfId="52222" xr:uid="{EA58E10C-DB7C-4F9D-B9C1-1D3DA6B76420}"/>
    <cellStyle name="Note 2 2 7 3 2 3" xfId="33626" xr:uid="{6917D906-0B0C-438E-ACB4-26D423375435}"/>
    <cellStyle name="Note 2 2 7 3 3" xfId="42925" xr:uid="{DC75EF2E-8BEE-4BA1-A5F5-2D74A58739D1}"/>
    <cellStyle name="Note 2 2 7 3 4" xfId="24327" xr:uid="{F2DC3446-D0B8-4E5B-B5DA-C117EAD1EDCC}"/>
    <cellStyle name="Note 2 2 7 4" xfId="11663" xr:uid="{1DF79D4D-F1EA-4460-9CB3-BD51ED950B26}"/>
    <cellStyle name="Note 2 2 7 4 2" xfId="48005" xr:uid="{E6E40D47-1C59-4EFF-9154-8A513590B87A}"/>
    <cellStyle name="Note 2 2 7 4 3" xfId="29409" xr:uid="{E656300D-1888-45D0-8CD6-CA3A0B25C811}"/>
    <cellStyle name="Note 2 2 7 5" xfId="38708" xr:uid="{A245F9EB-C49D-49A5-96F1-AFDD30F60D24}"/>
    <cellStyle name="Note 2 2 7 6" xfId="20110" xr:uid="{5C82AA07-5527-426F-9A9D-A4647D43CF61}"/>
    <cellStyle name="Note 2 2 8" xfId="2684" xr:uid="{00000000-0005-0000-0000-0000EA200000}"/>
    <cellStyle name="Note 2 2 8 2" xfId="6967" xr:uid="{00000000-0005-0000-0000-0000EB200000}"/>
    <cellStyle name="Note 2 2 8 2 2" xfId="16293" xr:uid="{E9372625-18CB-48CB-BEF8-62B039178FAE}"/>
    <cellStyle name="Note 2 2 8 2 2 2" xfId="52635" xr:uid="{866E0867-CDB5-48A3-AF80-585D4A862D09}"/>
    <cellStyle name="Note 2 2 8 2 2 3" xfId="34039" xr:uid="{48AEB5F7-9F6A-4809-A48B-C5A38FFFC815}"/>
    <cellStyle name="Note 2 2 8 2 3" xfId="43338" xr:uid="{8609BAB6-E8B3-4FF6-8935-7CEB9B51333D}"/>
    <cellStyle name="Note 2 2 8 2 4" xfId="24740" xr:uid="{D3A73923-D5B5-4E76-9A8A-264A1BCFB369}"/>
    <cellStyle name="Note 2 2 8 3" xfId="12076" xr:uid="{D869BFE5-0514-419D-B497-8DB99FEDD5FF}"/>
    <cellStyle name="Note 2 2 8 3 2" xfId="48418" xr:uid="{3AD64EC0-F73B-4717-8CBF-616FC5E99897}"/>
    <cellStyle name="Note 2 2 8 3 3" xfId="29822" xr:uid="{B34822BB-1734-4E10-BE45-78B721760DED}"/>
    <cellStyle name="Note 2 2 8 4" xfId="39121" xr:uid="{1AAEF38A-B120-4C59-8D5F-E83312B36782}"/>
    <cellStyle name="Note 2 2 8 5" xfId="20523" xr:uid="{84A5D131-0A5F-4DDA-B53E-61020061F0F6}"/>
    <cellStyle name="Note 2 2 9" xfId="2743" xr:uid="{00000000-0005-0000-0000-0000EC200000}"/>
    <cellStyle name="Note 2 3" xfId="549" xr:uid="{00000000-0005-0000-0000-0000ED200000}"/>
    <cellStyle name="Note 2 3 10" xfId="4906" xr:uid="{00000000-0005-0000-0000-0000EE200000}"/>
    <cellStyle name="Note 2 3 10 2" xfId="14232" xr:uid="{79D03EDE-F4D1-4D5E-9725-16FE7D6BCA1F}"/>
    <cellStyle name="Note 2 3 10 2 2" xfId="50574" xr:uid="{B9524F5F-A6A3-4E58-A0D8-123B8AE437A4}"/>
    <cellStyle name="Note 2 3 10 2 3" xfId="31978" xr:uid="{3F0CF29B-0461-4AC6-900F-EA65C75A695E}"/>
    <cellStyle name="Note 2 3 10 3" xfId="41277" xr:uid="{8AE43011-58B5-40C4-A652-19BA784E2BC2}"/>
    <cellStyle name="Note 2 3 10 4" xfId="22679" xr:uid="{8FC5DBBF-01C1-4E79-B292-B5E2BCCD6A6F}"/>
    <cellStyle name="Note 2 3 11" xfId="8894" xr:uid="{2BFFE8D0-DA42-4876-8895-58F80713E965}"/>
    <cellStyle name="Note 2 3 11 2" xfId="35964" xr:uid="{EAB621D7-1CE5-45C0-977D-F8F84901A56B}"/>
    <cellStyle name="Note 2 3 11 2 2" xfId="54559" xr:uid="{0B5D46F0-D0C2-4C81-A85B-EE14718B11FF}"/>
    <cellStyle name="Note 2 3 11 3" xfId="45262" xr:uid="{0BED0304-3272-4C10-B6A8-650E42076AA8}"/>
    <cellStyle name="Note 2 3 11 4" xfId="26665" xr:uid="{B8EF4A1A-4220-454F-A6E2-9F783436BC62}"/>
    <cellStyle name="Note 2 3 12" xfId="10015" xr:uid="{44B64976-0112-4A66-AEF7-BB0084F9C4C6}"/>
    <cellStyle name="Note 2 3 12 2" xfId="46357" xr:uid="{B1AE6AB0-9366-4169-8FBF-76620386535C}"/>
    <cellStyle name="Note 2 3 12 3" xfId="27761" xr:uid="{B50C048C-AF70-4CEE-9E8B-4384FAD6F7F0}"/>
    <cellStyle name="Note 2 3 13" xfId="37060" xr:uid="{E3611607-143C-4580-B59B-272B6F8899FC}"/>
    <cellStyle name="Note 2 3 14" xfId="18462" xr:uid="{277A0E4C-F5F3-47DB-80B1-EEF76A34C264}"/>
    <cellStyle name="Note 2 3 2" xfId="550" xr:uid="{00000000-0005-0000-0000-0000EF200000}"/>
    <cellStyle name="Note 2 3 2 10" xfId="9101" xr:uid="{1822EEA2-225E-465E-B4CD-D4615440EC62}"/>
    <cellStyle name="Note 2 3 2 10 2" xfId="36171" xr:uid="{1F113FBF-F6E3-48AD-9A79-9D6D517E1E0F}"/>
    <cellStyle name="Note 2 3 2 10 2 2" xfId="54766" xr:uid="{ED7DD281-09A4-49BE-AA36-543BAD22936F}"/>
    <cellStyle name="Note 2 3 2 10 3" xfId="45469" xr:uid="{38AEB277-7D75-4825-B53C-E8CE1C3C13EC}"/>
    <cellStyle name="Note 2 3 2 10 4" xfId="26872" xr:uid="{FE95215A-2F15-4DC8-8F4C-E17A7F328C1B}"/>
    <cellStyle name="Note 2 3 2 11" xfId="10016" xr:uid="{EBA4832C-BA5E-416D-AF42-D4463FBFB5AA}"/>
    <cellStyle name="Note 2 3 2 11 2" xfId="46358" xr:uid="{B1ED67CC-F0C1-43AC-900F-BFE22B1DE3F8}"/>
    <cellStyle name="Note 2 3 2 11 3" xfId="27762" xr:uid="{A21808DE-B00D-44E2-9C60-119394FCFF87}"/>
    <cellStyle name="Note 2 3 2 12" xfId="37061" xr:uid="{FEBFE54F-3582-437E-8AC3-E52420346A9A}"/>
    <cellStyle name="Note 2 3 2 13" xfId="18463" xr:uid="{261FC862-831F-47EC-8637-A160BA810855}"/>
    <cellStyle name="Note 2 3 2 2" xfId="1011" xr:uid="{00000000-0005-0000-0000-0000F0200000}"/>
    <cellStyle name="Note 2 3 2 2 2" xfId="3243" xr:uid="{00000000-0005-0000-0000-0000F1200000}"/>
    <cellStyle name="Note 2 3 2 2 2 2" xfId="7465" xr:uid="{00000000-0005-0000-0000-0000F2200000}"/>
    <cellStyle name="Note 2 3 2 2 2 2 2" xfId="16791" xr:uid="{7B55D503-6F18-4059-B0AF-2A0C4A29C70D}"/>
    <cellStyle name="Note 2 3 2 2 2 2 2 2" xfId="53133" xr:uid="{8AA9B6A2-C242-4D9A-9866-B97A7E722A51}"/>
    <cellStyle name="Note 2 3 2 2 2 2 2 3" xfId="34537" xr:uid="{AC3216D5-2D34-4417-8548-A9C5D45E0176}"/>
    <cellStyle name="Note 2 3 2 2 2 2 3" xfId="43836" xr:uid="{63C24CF4-D9EB-4258-89DF-8490C966A996}"/>
    <cellStyle name="Note 2 3 2 2 2 2 4" xfId="25238" xr:uid="{E7A0C428-6480-4AC3-AED8-65A88E2185DE}"/>
    <cellStyle name="Note 2 3 2 2 2 3" xfId="12574" xr:uid="{51D42339-1B33-455F-80B8-352E91FB5FEB}"/>
    <cellStyle name="Note 2 3 2 2 2 3 2" xfId="48916" xr:uid="{082CD215-220E-4220-AEB2-B83F4B4C027C}"/>
    <cellStyle name="Note 2 3 2 2 2 3 3" xfId="30320" xr:uid="{A4C1C965-F9C1-4EF6-8CF9-56F80BE36029}"/>
    <cellStyle name="Note 2 3 2 2 2 4" xfId="39619" xr:uid="{87672595-16EC-42DB-AB9E-C5599D7BA06B}"/>
    <cellStyle name="Note 2 3 2 2 2 5" xfId="21021" xr:uid="{E499CB8C-30A0-4FA5-AB06-95BAF9ED1D99}"/>
    <cellStyle name="Note 2 3 2 2 3" xfId="5320" xr:uid="{00000000-0005-0000-0000-0000F3200000}"/>
    <cellStyle name="Note 2 3 2 2 3 2" xfId="14646" xr:uid="{A96BBDD8-9276-43DB-8420-ED6FC9DC5E65}"/>
    <cellStyle name="Note 2 3 2 2 3 2 2" xfId="50988" xr:uid="{186F703E-038B-4BA2-8BE8-09C559B27B1C}"/>
    <cellStyle name="Note 2 3 2 2 3 2 3" xfId="32392" xr:uid="{6874C5D6-9CC2-4365-82B6-37A83632C1AB}"/>
    <cellStyle name="Note 2 3 2 2 3 3" xfId="41691" xr:uid="{9C437931-99C0-4601-8273-90E99E6549B0}"/>
    <cellStyle name="Note 2 3 2 2 3 4" xfId="23093" xr:uid="{192CC9F2-58E8-406B-AD6F-023AFE724B6C}"/>
    <cellStyle name="Note 2 3 2 2 4" xfId="9526" xr:uid="{1C428179-0C82-4F5D-9FE4-E11D597F9E89}"/>
    <cellStyle name="Note 2 3 2 2 4 2" xfId="36587" xr:uid="{AF4DC99D-B395-4DDF-90D3-A8805CCCC036}"/>
    <cellStyle name="Note 2 3 2 2 4 2 2" xfId="55181" xr:uid="{568201CC-714D-4EAF-9950-9D24B48167CC}"/>
    <cellStyle name="Note 2 3 2 2 4 3" xfId="45884" xr:uid="{32C0C3A2-F1CA-4ECC-92A8-D4BB07A1E756}"/>
    <cellStyle name="Note 2 3 2 2 4 4" xfId="27288" xr:uid="{ECD1B77B-6C2F-477C-BBA4-422DA2BCABA5}"/>
    <cellStyle name="Note 2 3 2 2 5" xfId="10429" xr:uid="{62381911-5963-4E76-A1A4-FEEC79B76434}"/>
    <cellStyle name="Note 2 3 2 2 5 2" xfId="46771" xr:uid="{A8915E58-BA0C-453C-ACF9-8CD0AFF6AD44}"/>
    <cellStyle name="Note 2 3 2 2 5 3" xfId="28175" xr:uid="{40D6AE33-804D-4836-B06C-786233D56186}"/>
    <cellStyle name="Note 2 3 2 2 6" xfId="37474" xr:uid="{40E4B182-965A-45AF-B6E2-22EDC4EA4625}"/>
    <cellStyle name="Note 2 3 2 2 7" xfId="18876" xr:uid="{FE8D9021-667B-4DF8-BB0A-EAA03F2AE12E}"/>
    <cellStyle name="Note 2 3 2 3" xfId="1426" xr:uid="{00000000-0005-0000-0000-0000F4200000}"/>
    <cellStyle name="Note 2 3 2 3 2" xfId="3656" xr:uid="{00000000-0005-0000-0000-0000F5200000}"/>
    <cellStyle name="Note 2 3 2 3 2 2" xfId="7878" xr:uid="{00000000-0005-0000-0000-0000F6200000}"/>
    <cellStyle name="Note 2 3 2 3 2 2 2" xfId="17204" xr:uid="{63D58FA0-9721-454E-A8D7-7E5C697C0EF7}"/>
    <cellStyle name="Note 2 3 2 3 2 2 2 2" xfId="53546" xr:uid="{7000659A-9C63-41A5-9F6A-5B84AB317B75}"/>
    <cellStyle name="Note 2 3 2 3 2 2 2 3" xfId="34950" xr:uid="{9E2C5552-401A-4BD3-B505-333229BF9183}"/>
    <cellStyle name="Note 2 3 2 3 2 2 3" xfId="44249" xr:uid="{63A9C761-7AEC-4687-AB76-FF43FED6A068}"/>
    <cellStyle name="Note 2 3 2 3 2 2 4" xfId="25651" xr:uid="{13FE7A51-DD36-4D62-816E-6DC4E3256D56}"/>
    <cellStyle name="Note 2 3 2 3 2 3" xfId="12987" xr:uid="{521DD44A-24FA-479A-A7D0-780086A07B80}"/>
    <cellStyle name="Note 2 3 2 3 2 3 2" xfId="49329" xr:uid="{392953E4-A795-4BA6-8B92-5396D91B17D7}"/>
    <cellStyle name="Note 2 3 2 3 2 3 3" xfId="30733" xr:uid="{560A7A92-D7C1-458E-90A2-2A8E109416E3}"/>
    <cellStyle name="Note 2 3 2 3 2 4" xfId="40032" xr:uid="{77FA5660-1FBB-4337-B2FF-01CE32729281}"/>
    <cellStyle name="Note 2 3 2 3 2 5" xfId="21434" xr:uid="{E18BC53F-4D0A-46FA-9585-8807498F5EB3}"/>
    <cellStyle name="Note 2 3 2 3 3" xfId="5733" xr:uid="{00000000-0005-0000-0000-0000F7200000}"/>
    <cellStyle name="Note 2 3 2 3 3 2" xfId="15059" xr:uid="{0FDDCE53-A9BD-4A8F-B77D-48F32F188E42}"/>
    <cellStyle name="Note 2 3 2 3 3 2 2" xfId="51401" xr:uid="{F78596D9-8AB2-4A13-B126-4BE6DCF83E6B}"/>
    <cellStyle name="Note 2 3 2 3 3 2 3" xfId="32805" xr:uid="{7D24CFBA-98DC-4D25-A599-882EF6B613CE}"/>
    <cellStyle name="Note 2 3 2 3 3 3" xfId="42104" xr:uid="{C6AF663C-CF10-4904-A115-034B696CB36C}"/>
    <cellStyle name="Note 2 3 2 3 3 4" xfId="23506" xr:uid="{C9BD1FD8-F9E7-4C9E-B5DE-7D2A24067349}"/>
    <cellStyle name="Note 2 3 2 3 4" xfId="10842" xr:uid="{3405E108-CD61-4063-B690-03245F232C71}"/>
    <cellStyle name="Note 2 3 2 3 4 2" xfId="47184" xr:uid="{D5FD5DD2-5896-4E16-B8EF-5FF2F6F30BA4}"/>
    <cellStyle name="Note 2 3 2 3 4 3" xfId="28588" xr:uid="{A82D0E18-EAE8-44CE-B932-D1632EFB79B9}"/>
    <cellStyle name="Note 2 3 2 3 5" xfId="37887" xr:uid="{D8EFF5FE-F42A-49C3-8600-0B3EED885C31}"/>
    <cellStyle name="Note 2 3 2 3 6" xfId="19289" xr:uid="{49996AB8-5A1D-48AE-8751-AA9A28853C5C}"/>
    <cellStyle name="Note 2 3 2 4" xfId="1840" xr:uid="{00000000-0005-0000-0000-0000F8200000}"/>
    <cellStyle name="Note 2 3 2 4 2" xfId="4069" xr:uid="{00000000-0005-0000-0000-0000F9200000}"/>
    <cellStyle name="Note 2 3 2 4 2 2" xfId="8291" xr:uid="{00000000-0005-0000-0000-0000FA200000}"/>
    <cellStyle name="Note 2 3 2 4 2 2 2" xfId="17617" xr:uid="{F5B6724E-56E6-4EB9-ACA1-5A2FE041302F}"/>
    <cellStyle name="Note 2 3 2 4 2 2 2 2" xfId="53959" xr:uid="{C135CF92-0433-4F5E-A118-DDE627C1089A}"/>
    <cellStyle name="Note 2 3 2 4 2 2 2 3" xfId="35363" xr:uid="{5F8C4B3E-33DD-4577-BB77-E3F8D9244810}"/>
    <cellStyle name="Note 2 3 2 4 2 2 3" xfId="44662" xr:uid="{FD7D5049-D477-422A-8232-1232552C202A}"/>
    <cellStyle name="Note 2 3 2 4 2 2 4" xfId="26064" xr:uid="{15D8F167-2FEC-4781-9D7E-B159E15BDCF2}"/>
    <cellStyle name="Note 2 3 2 4 2 3" xfId="13400" xr:uid="{997E8883-9056-4122-9494-48754483A4AB}"/>
    <cellStyle name="Note 2 3 2 4 2 3 2" xfId="49742" xr:uid="{1555B989-4FC9-49F3-BF8A-5C6494E90B43}"/>
    <cellStyle name="Note 2 3 2 4 2 3 3" xfId="31146" xr:uid="{0AA10A71-EED2-45BA-8689-A7D1FBC5848E}"/>
    <cellStyle name="Note 2 3 2 4 2 4" xfId="40445" xr:uid="{45611C30-2716-40DE-98F7-963C081F0C4B}"/>
    <cellStyle name="Note 2 3 2 4 2 5" xfId="21847" xr:uid="{5FF16D92-3925-48EE-BEA4-048E11B9D2F7}"/>
    <cellStyle name="Note 2 3 2 4 3" xfId="6146" xr:uid="{00000000-0005-0000-0000-0000FB200000}"/>
    <cellStyle name="Note 2 3 2 4 3 2" xfId="15472" xr:uid="{D35999D2-DD3A-45C6-9E0E-98A80F985BA7}"/>
    <cellStyle name="Note 2 3 2 4 3 2 2" xfId="51814" xr:uid="{A5D496DE-A905-4121-AA37-928AB7F980EF}"/>
    <cellStyle name="Note 2 3 2 4 3 2 3" xfId="33218" xr:uid="{E6A9E723-5507-4CBB-B62D-35315F62A58E}"/>
    <cellStyle name="Note 2 3 2 4 3 3" xfId="42517" xr:uid="{AB26A866-3B06-4488-988E-7426BAFD2E80}"/>
    <cellStyle name="Note 2 3 2 4 3 4" xfId="23919" xr:uid="{58F7BF46-FCFF-44E5-A298-7D68D0376C0F}"/>
    <cellStyle name="Note 2 3 2 4 4" xfId="11255" xr:uid="{64518BBE-5E23-4902-922D-AE3E53BF04CE}"/>
    <cellStyle name="Note 2 3 2 4 4 2" xfId="47597" xr:uid="{5461D54D-F49B-46E3-A674-4D5E0563629D}"/>
    <cellStyle name="Note 2 3 2 4 4 3" xfId="29001" xr:uid="{8717D4E6-6940-4FB9-8016-10CE13455FDB}"/>
    <cellStyle name="Note 2 3 2 4 5" xfId="38300" xr:uid="{B4A68C1F-EEDD-4ED2-96C3-E2CF1A40F59E}"/>
    <cellStyle name="Note 2 3 2 4 6" xfId="19702" xr:uid="{93133BCA-E7B1-44D6-8E0B-CCA711809058}"/>
    <cellStyle name="Note 2 3 2 5" xfId="2253" xr:uid="{00000000-0005-0000-0000-0000FC200000}"/>
    <cellStyle name="Note 2 3 2 5 2" xfId="4482" xr:uid="{00000000-0005-0000-0000-0000FD200000}"/>
    <cellStyle name="Note 2 3 2 5 2 2" xfId="8704" xr:uid="{00000000-0005-0000-0000-0000FE200000}"/>
    <cellStyle name="Note 2 3 2 5 2 2 2" xfId="18030" xr:uid="{C57C71CA-6CCE-4D70-A421-26A736ABD436}"/>
    <cellStyle name="Note 2 3 2 5 2 2 2 2" xfId="54372" xr:uid="{0EE93C21-5EB0-4707-8BC0-3031FB32FB47}"/>
    <cellStyle name="Note 2 3 2 5 2 2 2 3" xfId="35776" xr:uid="{50627741-1AC9-40E8-A5F9-C1153DD4340C}"/>
    <cellStyle name="Note 2 3 2 5 2 2 3" xfId="45075" xr:uid="{757AF9CB-9983-47E3-8616-7818083EF8A8}"/>
    <cellStyle name="Note 2 3 2 5 2 2 4" xfId="26477" xr:uid="{358BA995-3CDE-47C2-8530-20038920A631}"/>
    <cellStyle name="Note 2 3 2 5 2 3" xfId="13813" xr:uid="{19F584BD-BF7D-4D92-B6E0-2A5885DF3C2D}"/>
    <cellStyle name="Note 2 3 2 5 2 3 2" xfId="50155" xr:uid="{F27340C7-A583-48AB-BC9E-A7D563180C09}"/>
    <cellStyle name="Note 2 3 2 5 2 3 3" xfId="31559" xr:uid="{8ACF93AE-98DB-4693-85F6-D3959A2A939D}"/>
    <cellStyle name="Note 2 3 2 5 2 4" xfId="40858" xr:uid="{314BB671-DD68-44EE-9408-3ED15FE773D4}"/>
    <cellStyle name="Note 2 3 2 5 2 5" xfId="22260" xr:uid="{EBB96E50-79E2-465F-8D1A-995197D09957}"/>
    <cellStyle name="Note 2 3 2 5 3" xfId="6559" xr:uid="{00000000-0005-0000-0000-0000FF200000}"/>
    <cellStyle name="Note 2 3 2 5 3 2" xfId="15885" xr:uid="{919A2831-0F08-418E-BF08-80DE6C25E7F5}"/>
    <cellStyle name="Note 2 3 2 5 3 2 2" xfId="52227" xr:uid="{EA8E5DA7-9E49-40DA-8A59-D95158EFD72A}"/>
    <cellStyle name="Note 2 3 2 5 3 2 3" xfId="33631" xr:uid="{712FBB2B-7289-461E-9FA2-1E3CC7533F58}"/>
    <cellStyle name="Note 2 3 2 5 3 3" xfId="42930" xr:uid="{D89EBE20-D5D1-4A3F-97FA-B2C4EBF58006}"/>
    <cellStyle name="Note 2 3 2 5 3 4" xfId="24332" xr:uid="{8921AB71-B67D-47EA-A8BA-5D8B16223D91}"/>
    <cellStyle name="Note 2 3 2 5 4" xfId="11668" xr:uid="{76FEE5EB-F0E7-4D40-A9F7-89AFF763A425}"/>
    <cellStyle name="Note 2 3 2 5 4 2" xfId="48010" xr:uid="{CF90B537-95BF-47B5-B826-1310FBB40FAA}"/>
    <cellStyle name="Note 2 3 2 5 4 3" xfId="29414" xr:uid="{9B2B8A27-4D50-4810-81DC-FF78590E402A}"/>
    <cellStyle name="Note 2 3 2 5 5" xfId="38713" xr:uid="{3D29720E-A65B-4F5B-9DF9-D451F1E0A270}"/>
    <cellStyle name="Note 2 3 2 5 6" xfId="20115" xr:uid="{F37E3214-4094-44CC-9C53-05956074F0F0}"/>
    <cellStyle name="Note 2 3 2 6" xfId="2689" xr:uid="{00000000-0005-0000-0000-000000210000}"/>
    <cellStyle name="Note 2 3 2 6 2" xfId="6972" xr:uid="{00000000-0005-0000-0000-000001210000}"/>
    <cellStyle name="Note 2 3 2 6 2 2" xfId="16298" xr:uid="{13D391DE-FDDA-476A-9A3E-F18F5CEF6BBA}"/>
    <cellStyle name="Note 2 3 2 6 2 2 2" xfId="52640" xr:uid="{E937CB61-F535-4EF4-A6F2-693B108C3657}"/>
    <cellStyle name="Note 2 3 2 6 2 2 3" xfId="34044" xr:uid="{FE65B71E-753C-4CAA-A0F0-89888E498EC0}"/>
    <cellStyle name="Note 2 3 2 6 2 3" xfId="43343" xr:uid="{8D7D0970-438F-415B-995D-3DF3C57B2165}"/>
    <cellStyle name="Note 2 3 2 6 2 4" xfId="24745" xr:uid="{5AAEC1E8-D52C-419B-93B6-7C1209756C6E}"/>
    <cellStyle name="Note 2 3 2 6 3" xfId="12081" xr:uid="{48A00B68-1C0A-41CE-8FBA-F2CC3EA7637D}"/>
    <cellStyle name="Note 2 3 2 6 3 2" xfId="48423" xr:uid="{F7E2C39A-7540-4D7F-A7D7-80349EC2D91A}"/>
    <cellStyle name="Note 2 3 2 6 3 3" xfId="29827" xr:uid="{C9DA5B02-4CC4-44A5-BA8A-6C792C9E7F0D}"/>
    <cellStyle name="Note 2 3 2 6 4" xfId="39126" xr:uid="{6F356F59-ECF8-4423-A652-C4E0D7E554D8}"/>
    <cellStyle name="Note 2 3 2 6 5" xfId="20528" xr:uid="{47EB1F9F-A9AC-449D-A598-EDFD5AE27C18}"/>
    <cellStyle name="Note 2 3 2 7" xfId="2748" xr:uid="{00000000-0005-0000-0000-000002210000}"/>
    <cellStyle name="Note 2 3 2 8" xfId="2829" xr:uid="{00000000-0005-0000-0000-000003210000}"/>
    <cellStyle name="Note 2 3 2 8 2" xfId="7052" xr:uid="{00000000-0005-0000-0000-000004210000}"/>
    <cellStyle name="Note 2 3 2 8 2 2" xfId="16378" xr:uid="{842F068C-91D5-4C22-B222-39D91F00B7C2}"/>
    <cellStyle name="Note 2 3 2 8 2 2 2" xfId="52720" xr:uid="{50DA5D1F-9BDC-47E3-92F4-F5F896AFD2E9}"/>
    <cellStyle name="Note 2 3 2 8 2 2 3" xfId="34124" xr:uid="{93D1A8C1-F731-4EA7-B57A-3518B9F989DA}"/>
    <cellStyle name="Note 2 3 2 8 2 3" xfId="43423" xr:uid="{F6D27051-F3EC-4EF4-AF10-23915C52CEBC}"/>
    <cellStyle name="Note 2 3 2 8 2 4" xfId="24825" xr:uid="{03FCB6E9-AC05-4A8C-BD29-B148D445DA1A}"/>
    <cellStyle name="Note 2 3 2 8 3" xfId="12161" xr:uid="{93A03B3B-947D-4DE3-8ED5-135B58F6ED1E}"/>
    <cellStyle name="Note 2 3 2 8 3 2" xfId="48503" xr:uid="{DA6AF523-8481-4DEB-9AE3-AB4643C0516C}"/>
    <cellStyle name="Note 2 3 2 8 3 3" xfId="29907" xr:uid="{CB161760-B5F9-46AC-BAD8-198D16AB60CC}"/>
    <cellStyle name="Note 2 3 2 8 4" xfId="39206" xr:uid="{F67967D1-3170-47D0-9E0C-8D06045B501A}"/>
    <cellStyle name="Note 2 3 2 8 5" xfId="20608" xr:uid="{E19D6C0A-7C98-4164-A11D-E5903F0FAAEE}"/>
    <cellStyle name="Note 2 3 2 9" xfId="4907" xr:uid="{00000000-0005-0000-0000-000005210000}"/>
    <cellStyle name="Note 2 3 2 9 2" xfId="14233" xr:uid="{CA76F62E-01A5-4655-A2C4-8AF1EA1A6F50}"/>
    <cellStyle name="Note 2 3 2 9 2 2" xfId="50575" xr:uid="{DCF92315-F6F0-4711-AC19-F58FA6A0C8CF}"/>
    <cellStyle name="Note 2 3 2 9 2 3" xfId="31979" xr:uid="{DA52B011-BA3F-4551-9393-A186397A5E79}"/>
    <cellStyle name="Note 2 3 2 9 3" xfId="41278" xr:uid="{29CE78D0-C8EB-479E-A4FA-5B31D7D9683B}"/>
    <cellStyle name="Note 2 3 2 9 4" xfId="22680" xr:uid="{28F03C2F-2243-40F1-983F-4E74A09D84A2}"/>
    <cellStyle name="Note 2 3 3" xfId="1010" xr:uid="{00000000-0005-0000-0000-000006210000}"/>
    <cellStyle name="Note 2 3 3 2" xfId="3242" xr:uid="{00000000-0005-0000-0000-000007210000}"/>
    <cellStyle name="Note 2 3 3 2 2" xfId="7464" xr:uid="{00000000-0005-0000-0000-000008210000}"/>
    <cellStyle name="Note 2 3 3 2 2 2" xfId="16790" xr:uid="{3501DE0A-0DDE-46FC-A4B4-296A38E1E55D}"/>
    <cellStyle name="Note 2 3 3 2 2 2 2" xfId="53132" xr:uid="{0D53E67B-FA39-47AA-A148-08C894327B24}"/>
    <cellStyle name="Note 2 3 3 2 2 2 3" xfId="34536" xr:uid="{58B31484-4E95-4360-9FA3-0C6E68311B4F}"/>
    <cellStyle name="Note 2 3 3 2 2 3" xfId="43835" xr:uid="{F702BC9E-D5A9-4566-B197-2D2147D8A5AC}"/>
    <cellStyle name="Note 2 3 3 2 2 4" xfId="25237" xr:uid="{E3BDA25B-5A53-4EAD-A31C-21DAE518261C}"/>
    <cellStyle name="Note 2 3 3 2 3" xfId="12573" xr:uid="{CC2C911E-770A-414A-B076-99D88F403768}"/>
    <cellStyle name="Note 2 3 3 2 3 2" xfId="48915" xr:uid="{6618F4C4-8AA0-4F2D-A493-A2FA4CCA1EBC}"/>
    <cellStyle name="Note 2 3 3 2 3 3" xfId="30319" xr:uid="{7B9DB251-E0D7-4D46-B56C-995621C7BD88}"/>
    <cellStyle name="Note 2 3 3 2 4" xfId="39618" xr:uid="{3BCE52DE-88B5-4BEB-BAF8-094118E185CB}"/>
    <cellStyle name="Note 2 3 3 2 5" xfId="21020" xr:uid="{A18E5038-26A7-403C-A19E-02C310CFE8FA}"/>
    <cellStyle name="Note 2 3 3 3" xfId="5319" xr:uid="{00000000-0005-0000-0000-000009210000}"/>
    <cellStyle name="Note 2 3 3 3 2" xfId="14645" xr:uid="{E64A1551-73A8-4D0F-B10A-066662BDC903}"/>
    <cellStyle name="Note 2 3 3 3 2 2" xfId="50987" xr:uid="{25BDB64E-55A7-4C26-866F-BE1C616AE950}"/>
    <cellStyle name="Note 2 3 3 3 2 3" xfId="32391" xr:uid="{A1190B8E-81D7-4E6B-BDE8-EFED35BB5D1A}"/>
    <cellStyle name="Note 2 3 3 3 3" xfId="41690" xr:uid="{65692503-8FE8-4B1C-87B1-9B6DC0FE621F}"/>
    <cellStyle name="Note 2 3 3 3 4" xfId="23092" xr:uid="{3024E51A-D89E-493B-BF7A-75995569C704}"/>
    <cellStyle name="Note 2 3 3 4" xfId="9319" xr:uid="{06E4A3C6-5CAA-4424-B4C3-41162F21AE7D}"/>
    <cellStyle name="Note 2 3 3 4 2" xfId="36380" xr:uid="{C3097FD2-EBFB-413B-8191-5CEA14356F81}"/>
    <cellStyle name="Note 2 3 3 4 2 2" xfId="54974" xr:uid="{C9D80495-698A-4377-83C8-E0F83E9AD466}"/>
    <cellStyle name="Note 2 3 3 4 3" xfId="45677" xr:uid="{28E0A9C3-929C-4C38-AC12-F669D2650EBF}"/>
    <cellStyle name="Note 2 3 3 4 4" xfId="27081" xr:uid="{1492DC03-7065-4805-94E3-0791C98F5510}"/>
    <cellStyle name="Note 2 3 3 5" xfId="10428" xr:uid="{3B525363-037C-43F5-BD53-B25167E0F09B}"/>
    <cellStyle name="Note 2 3 3 5 2" xfId="46770" xr:uid="{13A8CDB5-A739-456A-A17D-12B152F25F2E}"/>
    <cellStyle name="Note 2 3 3 5 3" xfId="28174" xr:uid="{9C83705B-F445-4DC0-86FD-46BEA193A1F4}"/>
    <cellStyle name="Note 2 3 3 6" xfId="37473" xr:uid="{C8E32599-8EF2-479F-A428-6BDEAAFFF810}"/>
    <cellStyle name="Note 2 3 3 7" xfId="18875" xr:uid="{327650D7-EC78-4270-99F8-57AB03EBC3AF}"/>
    <cellStyle name="Note 2 3 4" xfId="1425" xr:uid="{00000000-0005-0000-0000-00000A210000}"/>
    <cellStyle name="Note 2 3 4 2" xfId="3655" xr:uid="{00000000-0005-0000-0000-00000B210000}"/>
    <cellStyle name="Note 2 3 4 2 2" xfId="7877" xr:uid="{00000000-0005-0000-0000-00000C210000}"/>
    <cellStyle name="Note 2 3 4 2 2 2" xfId="17203" xr:uid="{C4E0162D-7B89-4788-BD6C-9A2CC26A33C2}"/>
    <cellStyle name="Note 2 3 4 2 2 2 2" xfId="53545" xr:uid="{0CC0A9E7-8C3E-4277-9223-20F589002C73}"/>
    <cellStyle name="Note 2 3 4 2 2 2 3" xfId="34949" xr:uid="{1FBBB94D-8877-4FEC-ADBD-837A160C2AD5}"/>
    <cellStyle name="Note 2 3 4 2 2 3" xfId="44248" xr:uid="{6D46B86F-487A-46ED-B994-1AEE4B2787D5}"/>
    <cellStyle name="Note 2 3 4 2 2 4" xfId="25650" xr:uid="{D2505D05-660B-43D2-A59F-253C5AAEECA2}"/>
    <cellStyle name="Note 2 3 4 2 3" xfId="12986" xr:uid="{A0E4743C-926C-42EA-A5EE-2AF8EA56AD44}"/>
    <cellStyle name="Note 2 3 4 2 3 2" xfId="49328" xr:uid="{33A4D1EB-BF92-49DC-9F81-6BCD0493D1BA}"/>
    <cellStyle name="Note 2 3 4 2 3 3" xfId="30732" xr:uid="{B98B0AA9-6F6B-420F-AAB7-C7534F262CED}"/>
    <cellStyle name="Note 2 3 4 2 4" xfId="40031" xr:uid="{0311A328-B522-4556-9185-F8AD1B8F5FA0}"/>
    <cellStyle name="Note 2 3 4 2 5" xfId="21433" xr:uid="{8D7B69AB-534C-46B3-958C-CFD9C719A8C0}"/>
    <cellStyle name="Note 2 3 4 3" xfId="5732" xr:uid="{00000000-0005-0000-0000-00000D210000}"/>
    <cellStyle name="Note 2 3 4 3 2" xfId="15058" xr:uid="{D14A4F6D-4879-4306-B80B-97ABD7067ECC}"/>
    <cellStyle name="Note 2 3 4 3 2 2" xfId="51400" xr:uid="{AFF98816-2EFC-436C-9C97-0A81FD9B6791}"/>
    <cellStyle name="Note 2 3 4 3 2 3" xfId="32804" xr:uid="{8354AB7F-6250-4626-B5CD-02C7A6AA2FE7}"/>
    <cellStyle name="Note 2 3 4 3 3" xfId="42103" xr:uid="{E06E3895-2A6C-479E-BA53-99581D23F045}"/>
    <cellStyle name="Note 2 3 4 3 4" xfId="23505" xr:uid="{83629700-7566-4502-9927-8545D6C2AA97}"/>
    <cellStyle name="Note 2 3 4 4" xfId="10841" xr:uid="{BA064F42-00FC-48A0-B47C-D80452083711}"/>
    <cellStyle name="Note 2 3 4 4 2" xfId="47183" xr:uid="{1891371E-32D6-47BD-B922-B4525A25FC30}"/>
    <cellStyle name="Note 2 3 4 4 3" xfId="28587" xr:uid="{3927AF78-F87D-461E-8D40-A8B617E9B99F}"/>
    <cellStyle name="Note 2 3 4 5" xfId="37886" xr:uid="{150D7460-8B9E-4C35-B5E0-76F63F73F723}"/>
    <cellStyle name="Note 2 3 4 6" xfId="19288" xr:uid="{D0EB52D0-F30D-432E-B30F-95B41A735175}"/>
    <cellStyle name="Note 2 3 5" xfId="1839" xr:uid="{00000000-0005-0000-0000-00000E210000}"/>
    <cellStyle name="Note 2 3 5 2" xfId="4068" xr:uid="{00000000-0005-0000-0000-00000F210000}"/>
    <cellStyle name="Note 2 3 5 2 2" xfId="8290" xr:uid="{00000000-0005-0000-0000-000010210000}"/>
    <cellStyle name="Note 2 3 5 2 2 2" xfId="17616" xr:uid="{56951071-9E3B-4BA3-BDF3-51270961B4C7}"/>
    <cellStyle name="Note 2 3 5 2 2 2 2" xfId="53958" xr:uid="{DD268341-B1F0-40C8-9D11-0D51AB8EE3A8}"/>
    <cellStyle name="Note 2 3 5 2 2 2 3" xfId="35362" xr:uid="{596F313D-CBCC-4C95-9BAA-B88288D8132A}"/>
    <cellStyle name="Note 2 3 5 2 2 3" xfId="44661" xr:uid="{8ED7F4A4-D1EA-4A35-892E-838A46FCA058}"/>
    <cellStyle name="Note 2 3 5 2 2 4" xfId="26063" xr:uid="{443E0053-41A0-4E0B-95CB-9552914E4650}"/>
    <cellStyle name="Note 2 3 5 2 3" xfId="13399" xr:uid="{1C496ABF-EF57-471D-BC3D-4CEA1E86B07F}"/>
    <cellStyle name="Note 2 3 5 2 3 2" xfId="49741" xr:uid="{72562675-9B01-4813-8ACB-2153328C37E2}"/>
    <cellStyle name="Note 2 3 5 2 3 3" xfId="31145" xr:uid="{E4ED3A78-6EB6-470D-BC36-F1AE0701EA7F}"/>
    <cellStyle name="Note 2 3 5 2 4" xfId="40444" xr:uid="{18061436-3BF7-444F-B2F5-80D005CC7FBE}"/>
    <cellStyle name="Note 2 3 5 2 5" xfId="21846" xr:uid="{A4DCA6E6-B020-4997-B9E7-28B5DA1E895B}"/>
    <cellStyle name="Note 2 3 5 3" xfId="6145" xr:uid="{00000000-0005-0000-0000-000011210000}"/>
    <cellStyle name="Note 2 3 5 3 2" xfId="15471" xr:uid="{9FAEA561-8F02-48D0-BF75-037BFF9CD52E}"/>
    <cellStyle name="Note 2 3 5 3 2 2" xfId="51813" xr:uid="{8AA4DAA8-2B61-4C29-9687-B05BDF0B8A4B}"/>
    <cellStyle name="Note 2 3 5 3 2 3" xfId="33217" xr:uid="{F44F0806-CAEC-4592-9897-7826F3C68F2C}"/>
    <cellStyle name="Note 2 3 5 3 3" xfId="42516" xr:uid="{82ACA820-7E80-4D36-9603-A3905D74485C}"/>
    <cellStyle name="Note 2 3 5 3 4" xfId="23918" xr:uid="{775367D3-D2EB-4945-A868-54AE9700AB46}"/>
    <cellStyle name="Note 2 3 5 4" xfId="11254" xr:uid="{0AF4FB2D-051A-48AE-9A9F-AA88F73C3D77}"/>
    <cellStyle name="Note 2 3 5 4 2" xfId="47596" xr:uid="{780D6478-CCA3-475A-93DA-539E8E1FFF9D}"/>
    <cellStyle name="Note 2 3 5 4 3" xfId="29000" xr:uid="{854612E5-24AD-4C5A-858C-6B0D0A55C741}"/>
    <cellStyle name="Note 2 3 5 5" xfId="38299" xr:uid="{0E6D7F88-DBEB-4897-802D-ED72AB7266B6}"/>
    <cellStyle name="Note 2 3 5 6" xfId="19701" xr:uid="{2A01D84D-EA1C-4A1A-90F7-EDE4DD53DC1E}"/>
    <cellStyle name="Note 2 3 6" xfId="2252" xr:uid="{00000000-0005-0000-0000-000012210000}"/>
    <cellStyle name="Note 2 3 6 2" xfId="4481" xr:uid="{00000000-0005-0000-0000-000013210000}"/>
    <cellStyle name="Note 2 3 6 2 2" xfId="8703" xr:uid="{00000000-0005-0000-0000-000014210000}"/>
    <cellStyle name="Note 2 3 6 2 2 2" xfId="18029" xr:uid="{27206DC0-FB92-4EFA-BB2A-B5D25EEAB6CC}"/>
    <cellStyle name="Note 2 3 6 2 2 2 2" xfId="54371" xr:uid="{7585A5EF-E368-40AC-BAB9-F57F5A8A88A7}"/>
    <cellStyle name="Note 2 3 6 2 2 2 3" xfId="35775" xr:uid="{3FA80E93-C61C-4ED2-86AE-34F0A8BF1573}"/>
    <cellStyle name="Note 2 3 6 2 2 3" xfId="45074" xr:uid="{6D3856DE-637A-4507-A236-707519C493D6}"/>
    <cellStyle name="Note 2 3 6 2 2 4" xfId="26476" xr:uid="{7DF1B857-2CA1-4579-9ECE-095A8131FF90}"/>
    <cellStyle name="Note 2 3 6 2 3" xfId="13812" xr:uid="{D7F24E24-688E-4192-9C85-B8AFEC9A6395}"/>
    <cellStyle name="Note 2 3 6 2 3 2" xfId="50154" xr:uid="{3A1CBD48-721B-409F-87F0-5AAE4B959912}"/>
    <cellStyle name="Note 2 3 6 2 3 3" xfId="31558" xr:uid="{76677669-91BC-4896-B4BA-C109A5F24FF2}"/>
    <cellStyle name="Note 2 3 6 2 4" xfId="40857" xr:uid="{4F269B8E-8597-4D21-8FD1-E255E644A47D}"/>
    <cellStyle name="Note 2 3 6 2 5" xfId="22259" xr:uid="{F75E8BE7-17C3-4648-A88D-E7DA20F2EB9A}"/>
    <cellStyle name="Note 2 3 6 3" xfId="6558" xr:uid="{00000000-0005-0000-0000-000015210000}"/>
    <cellStyle name="Note 2 3 6 3 2" xfId="15884" xr:uid="{5AACAEFE-AB7B-48E9-8870-268AACA9A648}"/>
    <cellStyle name="Note 2 3 6 3 2 2" xfId="52226" xr:uid="{09070E52-0025-4444-8AD9-D2D571B392F4}"/>
    <cellStyle name="Note 2 3 6 3 2 3" xfId="33630" xr:uid="{505302D0-A040-4E7C-B117-D47DD65A43C5}"/>
    <cellStyle name="Note 2 3 6 3 3" xfId="42929" xr:uid="{8C0CABA1-87FF-4EE0-A9D9-965D63C93573}"/>
    <cellStyle name="Note 2 3 6 3 4" xfId="24331" xr:uid="{883EDC15-31E9-4F3B-BB24-F4C73D74DB9A}"/>
    <cellStyle name="Note 2 3 6 4" xfId="11667" xr:uid="{96AE7E3B-620F-434D-849F-BD3FA0D43639}"/>
    <cellStyle name="Note 2 3 6 4 2" xfId="48009" xr:uid="{5FD0DB96-10CE-43E1-BB4C-AA9EF04F9BA1}"/>
    <cellStyle name="Note 2 3 6 4 3" xfId="29413" xr:uid="{562AB3DC-3AED-498F-90BB-277D5867E4FB}"/>
    <cellStyle name="Note 2 3 6 5" xfId="38712" xr:uid="{950431BD-F2BC-45C1-8924-462B323F69DE}"/>
    <cellStyle name="Note 2 3 6 6" xfId="20114" xr:uid="{4C49B900-E3C7-4DA6-A117-4C2FEDB1C9BB}"/>
    <cellStyle name="Note 2 3 7" xfId="2688" xr:uid="{00000000-0005-0000-0000-000016210000}"/>
    <cellStyle name="Note 2 3 7 2" xfId="6971" xr:uid="{00000000-0005-0000-0000-000017210000}"/>
    <cellStyle name="Note 2 3 7 2 2" xfId="16297" xr:uid="{3E266A49-FD4D-4605-AE43-F3578AA1DAC3}"/>
    <cellStyle name="Note 2 3 7 2 2 2" xfId="52639" xr:uid="{50269F8E-9F85-4E68-9C6C-97B91070A5ED}"/>
    <cellStyle name="Note 2 3 7 2 2 3" xfId="34043" xr:uid="{6915A487-781F-452A-8953-A1F9B2463478}"/>
    <cellStyle name="Note 2 3 7 2 3" xfId="43342" xr:uid="{F0452434-0238-478F-9B23-7554E17379D5}"/>
    <cellStyle name="Note 2 3 7 2 4" xfId="24744" xr:uid="{E5CB91DE-15E7-412B-81CB-D6B53D543C2A}"/>
    <cellStyle name="Note 2 3 7 3" xfId="12080" xr:uid="{B06423DD-A49E-4DF1-BEB8-D2EA8F37D5FE}"/>
    <cellStyle name="Note 2 3 7 3 2" xfId="48422" xr:uid="{7B8AA27B-3301-47D5-9AC0-8D9ACEDDCA3A}"/>
    <cellStyle name="Note 2 3 7 3 3" xfId="29826" xr:uid="{ECF855BD-37A6-466D-8A56-4250D55DECD3}"/>
    <cellStyle name="Note 2 3 7 4" xfId="39125" xr:uid="{7457D2F4-B628-4182-999B-D59984D15397}"/>
    <cellStyle name="Note 2 3 7 5" xfId="20527" xr:uid="{7A55671C-DDFA-43FF-BBBF-1C5E31A6E33E}"/>
    <cellStyle name="Note 2 3 8" xfId="2747" xr:uid="{00000000-0005-0000-0000-000018210000}"/>
    <cellStyle name="Note 2 3 9" xfId="2828" xr:uid="{00000000-0005-0000-0000-000019210000}"/>
    <cellStyle name="Note 2 3 9 2" xfId="7051" xr:uid="{00000000-0005-0000-0000-00001A210000}"/>
    <cellStyle name="Note 2 3 9 2 2" xfId="16377" xr:uid="{A1E638D3-6FFA-4AF9-AD14-F748A71DBC07}"/>
    <cellStyle name="Note 2 3 9 2 2 2" xfId="52719" xr:uid="{5287EFD2-1F80-4D48-9C6F-EDE585C0973E}"/>
    <cellStyle name="Note 2 3 9 2 2 3" xfId="34123" xr:uid="{2370FBE1-EF16-4D32-BD60-84AF5300E8DE}"/>
    <cellStyle name="Note 2 3 9 2 3" xfId="43422" xr:uid="{A32C6FB6-E671-4B5C-B813-0AF601E44535}"/>
    <cellStyle name="Note 2 3 9 2 4" xfId="24824" xr:uid="{F4E11E27-1E67-4E3F-B282-F1BFA2C293BB}"/>
    <cellStyle name="Note 2 3 9 3" xfId="12160" xr:uid="{2419A280-2CC3-49CA-A7EB-4A74231072E6}"/>
    <cellStyle name="Note 2 3 9 3 2" xfId="48502" xr:uid="{3B690774-508F-4402-9B93-E9ABECD78807}"/>
    <cellStyle name="Note 2 3 9 3 3" xfId="29906" xr:uid="{3EDB453B-72FF-4581-8BC8-14DDF0334207}"/>
    <cellStyle name="Note 2 3 9 4" xfId="39205" xr:uid="{8D05572A-7B01-4B52-B592-243BCF770709}"/>
    <cellStyle name="Note 2 3 9 5" xfId="20607" xr:uid="{97113F44-B1EF-4B82-9864-302182B96918}"/>
    <cellStyle name="Note 2 4" xfId="551" xr:uid="{00000000-0005-0000-0000-00001B210000}"/>
    <cellStyle name="Note 2 4 10" xfId="8998" xr:uid="{AC87C288-14A9-4FB3-A26C-1706964E6651}"/>
    <cellStyle name="Note 2 4 10 2" xfId="36068" xr:uid="{AD6744A3-BDF0-40CB-B64E-43ED192B5B82}"/>
    <cellStyle name="Note 2 4 10 2 2" xfId="54663" xr:uid="{83E25CCD-B5C6-4544-B562-22A44FA0A90D}"/>
    <cellStyle name="Note 2 4 10 3" xfId="45366" xr:uid="{BD87E6F5-BDB2-4788-9BAC-791E998F553F}"/>
    <cellStyle name="Note 2 4 10 4" xfId="26769" xr:uid="{46F0EB85-6317-4987-BB4A-1BAB99A5E060}"/>
    <cellStyle name="Note 2 4 11" xfId="10017" xr:uid="{E12A2993-D470-42A9-ABAA-67355BD48E74}"/>
    <cellStyle name="Note 2 4 11 2" xfId="46359" xr:uid="{085E6B02-9673-4416-AE8B-ADD198C278B9}"/>
    <cellStyle name="Note 2 4 11 3" xfId="27763" xr:uid="{3A169773-B55E-4F6E-A937-F32476DE2EEA}"/>
    <cellStyle name="Note 2 4 12" xfId="37062" xr:uid="{5F6135BD-B5F1-472B-AE11-960051513FA1}"/>
    <cellStyle name="Note 2 4 13" xfId="18464" xr:uid="{E6C2122D-A14F-4D8A-B9F8-E899FC2F0CD8}"/>
    <cellStyle name="Note 2 4 2" xfId="1012" xr:uid="{00000000-0005-0000-0000-00001C210000}"/>
    <cellStyle name="Note 2 4 2 2" xfId="3244" xr:uid="{00000000-0005-0000-0000-00001D210000}"/>
    <cellStyle name="Note 2 4 2 2 2" xfId="7466" xr:uid="{00000000-0005-0000-0000-00001E210000}"/>
    <cellStyle name="Note 2 4 2 2 2 2" xfId="16792" xr:uid="{154AEC0C-60C3-4545-97FB-E18796335C87}"/>
    <cellStyle name="Note 2 4 2 2 2 2 2" xfId="53134" xr:uid="{2EA661EC-88F0-4AB3-897A-F73E2ADC1141}"/>
    <cellStyle name="Note 2 4 2 2 2 2 3" xfId="34538" xr:uid="{8F64B5C9-85D9-444B-BF72-BA103987CB15}"/>
    <cellStyle name="Note 2 4 2 2 2 3" xfId="43837" xr:uid="{F7D24E9C-CCA2-4BF2-9F07-634229D63753}"/>
    <cellStyle name="Note 2 4 2 2 2 4" xfId="25239" xr:uid="{1606B630-346C-4850-A0CB-8AEC0BD455D3}"/>
    <cellStyle name="Note 2 4 2 2 3" xfId="12575" xr:uid="{16FB9F7C-348B-44A1-ABA4-E9972F8C30DF}"/>
    <cellStyle name="Note 2 4 2 2 3 2" xfId="48917" xr:uid="{50131513-D7E0-40C6-8EBA-4CCB7BEDDE74}"/>
    <cellStyle name="Note 2 4 2 2 3 3" xfId="30321" xr:uid="{3B206BD7-9336-4460-AFCA-35014BD37A9E}"/>
    <cellStyle name="Note 2 4 2 2 4" xfId="39620" xr:uid="{A1D6064A-7542-4296-9C17-0E9C19F51B5C}"/>
    <cellStyle name="Note 2 4 2 2 5" xfId="21022" xr:uid="{6A2735C8-7A4B-4D54-A6F7-05AB39CE2D1C}"/>
    <cellStyle name="Note 2 4 2 3" xfId="5321" xr:uid="{00000000-0005-0000-0000-00001F210000}"/>
    <cellStyle name="Note 2 4 2 3 2" xfId="14647" xr:uid="{B5D75CE0-FD16-447A-8E0B-851A9E98FDE6}"/>
    <cellStyle name="Note 2 4 2 3 2 2" xfId="50989" xr:uid="{97A93AD6-75BE-401A-BD56-9F326340F673}"/>
    <cellStyle name="Note 2 4 2 3 2 3" xfId="32393" xr:uid="{C422BDA6-10D1-48E5-B34A-FCDE72E89429}"/>
    <cellStyle name="Note 2 4 2 3 3" xfId="41692" xr:uid="{FA3856F1-1E16-4CD6-BEB7-59018FFFCA22}"/>
    <cellStyle name="Note 2 4 2 3 4" xfId="23094" xr:uid="{F263152A-D9CE-4F3F-AEC5-A7E4C8A01683}"/>
    <cellStyle name="Note 2 4 2 4" xfId="9423" xr:uid="{43B93802-BE55-43D9-BEBC-4095E3C1FF74}"/>
    <cellStyle name="Note 2 4 2 4 2" xfId="36484" xr:uid="{CE625B3A-0924-4058-9EDB-1E3BFA9C8D8F}"/>
    <cellStyle name="Note 2 4 2 4 2 2" xfId="55078" xr:uid="{707502D7-C555-48F6-B4BC-858A9A0BE287}"/>
    <cellStyle name="Note 2 4 2 4 3" xfId="45781" xr:uid="{1E7C40F4-A2E4-4D42-869E-A6658CF4224F}"/>
    <cellStyle name="Note 2 4 2 4 4" xfId="27185" xr:uid="{A949719C-3E60-46F1-AFB8-E93E44852488}"/>
    <cellStyle name="Note 2 4 2 5" xfId="10430" xr:uid="{19301430-C3F2-4EE8-9AD1-133D65E389C6}"/>
    <cellStyle name="Note 2 4 2 5 2" xfId="46772" xr:uid="{B8D6B5A7-DBA2-49B0-9B9E-18087F0E777E}"/>
    <cellStyle name="Note 2 4 2 5 3" xfId="28176" xr:uid="{A67A4B65-B0F6-464B-AF0D-D12D3E84ED5B}"/>
    <cellStyle name="Note 2 4 2 6" xfId="37475" xr:uid="{520C2E12-0543-4AA7-9DDF-3BB97FF8C2B9}"/>
    <cellStyle name="Note 2 4 2 7" xfId="18877" xr:uid="{4CE3C9BE-D50B-460A-9495-E9A204BFC0ED}"/>
    <cellStyle name="Note 2 4 3" xfId="1427" xr:uid="{00000000-0005-0000-0000-000020210000}"/>
    <cellStyle name="Note 2 4 3 2" xfId="3657" xr:uid="{00000000-0005-0000-0000-000021210000}"/>
    <cellStyle name="Note 2 4 3 2 2" xfId="7879" xr:uid="{00000000-0005-0000-0000-000022210000}"/>
    <cellStyle name="Note 2 4 3 2 2 2" xfId="17205" xr:uid="{35C33198-437D-4FED-9D8C-C5FC447321E0}"/>
    <cellStyle name="Note 2 4 3 2 2 2 2" xfId="53547" xr:uid="{492CFD63-F4C6-47AC-AD74-D8C299BEDD1E}"/>
    <cellStyle name="Note 2 4 3 2 2 2 3" xfId="34951" xr:uid="{E0252CCA-DB30-43C6-8D9D-EE8570071E59}"/>
    <cellStyle name="Note 2 4 3 2 2 3" xfId="44250" xr:uid="{86350CA6-27AC-4AF6-ADBA-336E8B03EC02}"/>
    <cellStyle name="Note 2 4 3 2 2 4" xfId="25652" xr:uid="{B2AEEEA4-89BF-4C58-BBEF-319509161390}"/>
    <cellStyle name="Note 2 4 3 2 3" xfId="12988" xr:uid="{B3DB14FE-6419-4FC4-9407-E8FCD76EAA3D}"/>
    <cellStyle name="Note 2 4 3 2 3 2" xfId="49330" xr:uid="{D326D71E-9445-48F6-80E0-F14FEA154D1A}"/>
    <cellStyle name="Note 2 4 3 2 3 3" xfId="30734" xr:uid="{5D66A830-B623-4884-92B6-4B6FC3966A0C}"/>
    <cellStyle name="Note 2 4 3 2 4" xfId="40033" xr:uid="{77C424B7-17C8-4037-A954-B976F69C481C}"/>
    <cellStyle name="Note 2 4 3 2 5" xfId="21435" xr:uid="{05436D4F-39B1-4858-9FEE-367FD1C8486F}"/>
    <cellStyle name="Note 2 4 3 3" xfId="5734" xr:uid="{00000000-0005-0000-0000-000023210000}"/>
    <cellStyle name="Note 2 4 3 3 2" xfId="15060" xr:uid="{D4701C43-42CC-4D64-9925-1144EACD5FA5}"/>
    <cellStyle name="Note 2 4 3 3 2 2" xfId="51402" xr:uid="{62D35E02-9C7F-4D4D-BD6A-C16AFFF19725}"/>
    <cellStyle name="Note 2 4 3 3 2 3" xfId="32806" xr:uid="{8AA0A803-B31A-4C71-811E-983047DCEE60}"/>
    <cellStyle name="Note 2 4 3 3 3" xfId="42105" xr:uid="{87485D63-E83F-4E30-A185-73397BBC74C5}"/>
    <cellStyle name="Note 2 4 3 3 4" xfId="23507" xr:uid="{9DD0E8E7-48F9-4EE6-B1C9-1614C3C5FF00}"/>
    <cellStyle name="Note 2 4 3 4" xfId="10843" xr:uid="{56FAF71A-6CCE-47C3-A727-F4896D860830}"/>
    <cellStyle name="Note 2 4 3 4 2" xfId="47185" xr:uid="{34C407CF-DF5C-4D8B-86C5-355D5D590AD0}"/>
    <cellStyle name="Note 2 4 3 4 3" xfId="28589" xr:uid="{92579AC1-1A97-4544-89B4-9B81815C7DFE}"/>
    <cellStyle name="Note 2 4 3 5" xfId="37888" xr:uid="{C7120B31-5437-48CA-B6F9-2A9AB93E55F7}"/>
    <cellStyle name="Note 2 4 3 6" xfId="19290" xr:uid="{1466CA8B-ED30-4D33-A7BF-AF6BC2528528}"/>
    <cellStyle name="Note 2 4 4" xfId="1841" xr:uid="{00000000-0005-0000-0000-000024210000}"/>
    <cellStyle name="Note 2 4 4 2" xfId="4070" xr:uid="{00000000-0005-0000-0000-000025210000}"/>
    <cellStyle name="Note 2 4 4 2 2" xfId="8292" xr:uid="{00000000-0005-0000-0000-000026210000}"/>
    <cellStyle name="Note 2 4 4 2 2 2" xfId="17618" xr:uid="{E0B1D413-ED04-4D02-890C-0929B279ED80}"/>
    <cellStyle name="Note 2 4 4 2 2 2 2" xfId="53960" xr:uid="{1253A24A-1A11-4A56-8387-737E77841C60}"/>
    <cellStyle name="Note 2 4 4 2 2 2 3" xfId="35364" xr:uid="{E113AEAD-0373-45CF-B405-FAFC87F93162}"/>
    <cellStyle name="Note 2 4 4 2 2 3" xfId="44663" xr:uid="{8BEFC59B-01AC-4212-8B77-0D34637700DF}"/>
    <cellStyle name="Note 2 4 4 2 2 4" xfId="26065" xr:uid="{65BC276E-6A8B-4E1F-9C5D-AAB6C87C12FE}"/>
    <cellStyle name="Note 2 4 4 2 3" xfId="13401" xr:uid="{ECF19EBD-8FE7-4C43-96C2-D1B50EDF1EE5}"/>
    <cellStyle name="Note 2 4 4 2 3 2" xfId="49743" xr:uid="{56AD73E0-6477-4F44-8760-C5C9922A4726}"/>
    <cellStyle name="Note 2 4 4 2 3 3" xfId="31147" xr:uid="{909C018D-2CD8-49FB-92A3-9718D4A5C10C}"/>
    <cellStyle name="Note 2 4 4 2 4" xfId="40446" xr:uid="{AC705DE3-3587-4729-8D47-4C883D7DBE91}"/>
    <cellStyle name="Note 2 4 4 2 5" xfId="21848" xr:uid="{6BD138BE-5352-4E82-AB22-AF5EEAB421FB}"/>
    <cellStyle name="Note 2 4 4 3" xfId="6147" xr:uid="{00000000-0005-0000-0000-000027210000}"/>
    <cellStyle name="Note 2 4 4 3 2" xfId="15473" xr:uid="{000CEA89-566E-4C21-A38C-B3858FDC8C22}"/>
    <cellStyle name="Note 2 4 4 3 2 2" xfId="51815" xr:uid="{13A2EE0C-F02E-45C8-B7A9-0280F38253CB}"/>
    <cellStyle name="Note 2 4 4 3 2 3" xfId="33219" xr:uid="{E3B93068-3A4F-4EE0-B323-45F58B84211F}"/>
    <cellStyle name="Note 2 4 4 3 3" xfId="42518" xr:uid="{139C29E8-AF46-44BF-AC3D-296AF3A591B6}"/>
    <cellStyle name="Note 2 4 4 3 4" xfId="23920" xr:uid="{89BE3ABE-6493-4EB4-B800-4CE33A10B42D}"/>
    <cellStyle name="Note 2 4 4 4" xfId="11256" xr:uid="{34537BF3-C8FE-407E-AF8E-2268CA108398}"/>
    <cellStyle name="Note 2 4 4 4 2" xfId="47598" xr:uid="{0BD7C71C-FC5E-4CD5-A2BF-A8DA4DF82F44}"/>
    <cellStyle name="Note 2 4 4 4 3" xfId="29002" xr:uid="{5293A15B-3B97-4D9C-A4AF-633F00D148DB}"/>
    <cellStyle name="Note 2 4 4 5" xfId="38301" xr:uid="{378E5599-8484-4E8A-8015-CDEC83395B8F}"/>
    <cellStyle name="Note 2 4 4 6" xfId="19703" xr:uid="{BB344706-97B7-477D-9E0F-1369410306C9}"/>
    <cellStyle name="Note 2 4 5" xfId="2254" xr:uid="{00000000-0005-0000-0000-000028210000}"/>
    <cellStyle name="Note 2 4 5 2" xfId="4483" xr:uid="{00000000-0005-0000-0000-000029210000}"/>
    <cellStyle name="Note 2 4 5 2 2" xfId="8705" xr:uid="{00000000-0005-0000-0000-00002A210000}"/>
    <cellStyle name="Note 2 4 5 2 2 2" xfId="18031" xr:uid="{16513360-51B1-4746-82E3-D886FF12AD25}"/>
    <cellStyle name="Note 2 4 5 2 2 2 2" xfId="54373" xr:uid="{F3F9D8D0-05C7-4B38-92BC-91BE25DF0C10}"/>
    <cellStyle name="Note 2 4 5 2 2 2 3" xfId="35777" xr:uid="{B583A247-CF2D-4A43-9E72-4EE96989CA9D}"/>
    <cellStyle name="Note 2 4 5 2 2 3" xfId="45076" xr:uid="{8F2F6F57-5944-4A41-B41D-4A618D4C61B9}"/>
    <cellStyle name="Note 2 4 5 2 2 4" xfId="26478" xr:uid="{3F8CB4CA-B6FF-4865-A7C0-401343AD9A9B}"/>
    <cellStyle name="Note 2 4 5 2 3" xfId="13814" xr:uid="{5F00C21C-76E4-4C02-A028-40D2182CED97}"/>
    <cellStyle name="Note 2 4 5 2 3 2" xfId="50156" xr:uid="{FAA2DBAD-7C21-40EB-B0ED-880F05A69793}"/>
    <cellStyle name="Note 2 4 5 2 3 3" xfId="31560" xr:uid="{A2C5AE26-AA46-47FF-8054-D7848DD46BB5}"/>
    <cellStyle name="Note 2 4 5 2 4" xfId="40859" xr:uid="{B64DE0E6-86B7-420D-9316-64A572E78F25}"/>
    <cellStyle name="Note 2 4 5 2 5" xfId="22261" xr:uid="{5BCC9291-5560-43B8-BAB0-1B15E15940EB}"/>
    <cellStyle name="Note 2 4 5 3" xfId="6560" xr:uid="{00000000-0005-0000-0000-00002B210000}"/>
    <cellStyle name="Note 2 4 5 3 2" xfId="15886" xr:uid="{32595168-9DA3-4AFC-87C6-89366152AC70}"/>
    <cellStyle name="Note 2 4 5 3 2 2" xfId="52228" xr:uid="{53C6FD77-0495-45F1-B72F-3554E3AB549F}"/>
    <cellStyle name="Note 2 4 5 3 2 3" xfId="33632" xr:uid="{829B0570-3975-4C29-9DB4-F3D5EE5E54A9}"/>
    <cellStyle name="Note 2 4 5 3 3" xfId="42931" xr:uid="{E62D6FB2-FB11-42A6-B256-A9E49B877876}"/>
    <cellStyle name="Note 2 4 5 3 4" xfId="24333" xr:uid="{93E6AEA2-1A7A-497D-A9A4-1DFA3D123513}"/>
    <cellStyle name="Note 2 4 5 4" xfId="11669" xr:uid="{EEB61321-2431-4705-BB47-5F16BA808C26}"/>
    <cellStyle name="Note 2 4 5 4 2" xfId="48011" xr:uid="{794D532B-720E-4CAC-B16F-70B17F35CBA5}"/>
    <cellStyle name="Note 2 4 5 4 3" xfId="29415" xr:uid="{124EF490-955D-4999-BCAE-49F48DDC8878}"/>
    <cellStyle name="Note 2 4 5 5" xfId="38714" xr:uid="{9A09A626-5CDD-4A1A-80DC-93D0FC7E80FB}"/>
    <cellStyle name="Note 2 4 5 6" xfId="20116" xr:uid="{D8803D75-A161-477D-AD35-F3DB12443FCA}"/>
    <cellStyle name="Note 2 4 6" xfId="2690" xr:uid="{00000000-0005-0000-0000-00002C210000}"/>
    <cellStyle name="Note 2 4 6 2" xfId="6973" xr:uid="{00000000-0005-0000-0000-00002D210000}"/>
    <cellStyle name="Note 2 4 6 2 2" xfId="16299" xr:uid="{8BCC0F7D-AE0A-49B3-A1DD-AB7736D5FD65}"/>
    <cellStyle name="Note 2 4 6 2 2 2" xfId="52641" xr:uid="{E2344EA5-0C6C-4B7E-8388-FFBF1E5EBE76}"/>
    <cellStyle name="Note 2 4 6 2 2 3" xfId="34045" xr:uid="{571366E2-47AA-4BCE-878D-AD357CE3F5C3}"/>
    <cellStyle name="Note 2 4 6 2 3" xfId="43344" xr:uid="{AAA960B1-6A5C-4CE8-AF58-6A01E94FDB77}"/>
    <cellStyle name="Note 2 4 6 2 4" xfId="24746" xr:uid="{0DBEBBB9-8882-4355-AEDF-29E4E8E43B44}"/>
    <cellStyle name="Note 2 4 6 3" xfId="12082" xr:uid="{9D16C9DC-394F-49C9-8EA3-B3047E160F6C}"/>
    <cellStyle name="Note 2 4 6 3 2" xfId="48424" xr:uid="{F4B9A374-DDEB-4111-8B2E-ED0E36FC8342}"/>
    <cellStyle name="Note 2 4 6 3 3" xfId="29828" xr:uid="{483A346A-49F9-48A3-BC35-0F233DAE9345}"/>
    <cellStyle name="Note 2 4 6 4" xfId="39127" xr:uid="{6542AA1A-12A2-46C4-A434-E7BED4820C29}"/>
    <cellStyle name="Note 2 4 6 5" xfId="20529" xr:uid="{008DAC40-9C69-4231-AFA5-625FD6141ACB}"/>
    <cellStyle name="Note 2 4 7" xfId="2749" xr:uid="{00000000-0005-0000-0000-00002E210000}"/>
    <cellStyle name="Note 2 4 8" xfId="2830" xr:uid="{00000000-0005-0000-0000-00002F210000}"/>
    <cellStyle name="Note 2 4 8 2" xfId="7053" xr:uid="{00000000-0005-0000-0000-000030210000}"/>
    <cellStyle name="Note 2 4 8 2 2" xfId="16379" xr:uid="{3BEDCC50-5DA8-4749-AB3A-F3A20A0ADD01}"/>
    <cellStyle name="Note 2 4 8 2 2 2" xfId="52721" xr:uid="{785E21C8-CBB4-4A69-92E6-FBCE569DD49C}"/>
    <cellStyle name="Note 2 4 8 2 2 3" xfId="34125" xr:uid="{827A4E06-37A9-40B3-9917-CF8272AE7E9B}"/>
    <cellStyle name="Note 2 4 8 2 3" xfId="43424" xr:uid="{79313F97-2EA7-45FC-B935-91861D211C70}"/>
    <cellStyle name="Note 2 4 8 2 4" xfId="24826" xr:uid="{3D1A724B-DA46-490C-B254-F49E238E5490}"/>
    <cellStyle name="Note 2 4 8 3" xfId="12162" xr:uid="{BB0F7B57-146C-4FF3-87B2-E96206D36232}"/>
    <cellStyle name="Note 2 4 8 3 2" xfId="48504" xr:uid="{213C0E3F-1884-4772-BC93-CF26A41A9C28}"/>
    <cellStyle name="Note 2 4 8 3 3" xfId="29908" xr:uid="{83491989-F902-406D-B8F3-876B7EFB2BFA}"/>
    <cellStyle name="Note 2 4 8 4" xfId="39207" xr:uid="{DCBDD6C3-5480-40E0-93B8-94A437D7393A}"/>
    <cellStyle name="Note 2 4 8 5" xfId="20609" xr:uid="{4F1E57C3-D010-4C74-BC66-2282382D907A}"/>
    <cellStyle name="Note 2 4 9" xfId="4908" xr:uid="{00000000-0005-0000-0000-000031210000}"/>
    <cellStyle name="Note 2 4 9 2" xfId="14234" xr:uid="{54059223-2AFB-4FCF-8DD9-B4882925AAEC}"/>
    <cellStyle name="Note 2 4 9 2 2" xfId="50576" xr:uid="{E435EE18-9CD6-4092-9A87-B64054D1E47E}"/>
    <cellStyle name="Note 2 4 9 2 3" xfId="31980" xr:uid="{93C16D38-71E1-47EC-94EA-0B03A5788320}"/>
    <cellStyle name="Note 2 4 9 3" xfId="41279" xr:uid="{9D8091E3-6FA0-4A2E-8E00-993BA4F71AB4}"/>
    <cellStyle name="Note 2 4 9 4" xfId="22681" xr:uid="{F48FA791-3BE8-48B4-956E-B61DF67B06EE}"/>
    <cellStyle name="Note 2 5" xfId="552" xr:uid="{00000000-0005-0000-0000-000032210000}"/>
    <cellStyle name="Note 2 5 10" xfId="9215" xr:uid="{69947D86-0683-476F-9E74-96CA08091560}"/>
    <cellStyle name="Note 2 5 10 2" xfId="36277" xr:uid="{4C6F57DF-EE2F-47C0-835B-1170DDFD6AE4}"/>
    <cellStyle name="Note 2 5 10 2 2" xfId="54871" xr:uid="{53774B2E-4430-4351-AF8E-FC4279F3B2CC}"/>
    <cellStyle name="Note 2 5 10 3" xfId="45574" xr:uid="{174D7F5B-5148-49F9-83CA-1EEFBC2C4C29}"/>
    <cellStyle name="Note 2 5 10 4" xfId="26978" xr:uid="{B15E3452-4B0D-4001-A4BD-B19599664E8C}"/>
    <cellStyle name="Note 2 5 11" xfId="10018" xr:uid="{3BD40207-11FC-4CEA-8B2E-611BDEF8F525}"/>
    <cellStyle name="Note 2 5 11 2" xfId="46360" xr:uid="{957B2DC8-72F7-47AC-BB90-EBBA9C718DD4}"/>
    <cellStyle name="Note 2 5 11 3" xfId="27764" xr:uid="{7FA380FE-B8B8-4B09-9D18-AB1894585DD4}"/>
    <cellStyle name="Note 2 5 12" xfId="37063" xr:uid="{A49D3442-6009-4186-9307-577212D2928A}"/>
    <cellStyle name="Note 2 5 13" xfId="18465" xr:uid="{57E67FCB-408B-4517-B4AD-88A3B1AFB44C}"/>
    <cellStyle name="Note 2 5 2" xfId="1013" xr:uid="{00000000-0005-0000-0000-000033210000}"/>
    <cellStyle name="Note 2 5 2 2" xfId="3245" xr:uid="{00000000-0005-0000-0000-000034210000}"/>
    <cellStyle name="Note 2 5 2 2 2" xfId="7467" xr:uid="{00000000-0005-0000-0000-000035210000}"/>
    <cellStyle name="Note 2 5 2 2 2 2" xfId="16793" xr:uid="{ADAFB031-27A0-45AB-A6BF-20A9B70DC785}"/>
    <cellStyle name="Note 2 5 2 2 2 2 2" xfId="53135" xr:uid="{65D7AADD-CD24-46B8-A755-F5EDE4C1716C}"/>
    <cellStyle name="Note 2 5 2 2 2 2 3" xfId="34539" xr:uid="{CA63379D-8C6F-45FD-85FB-6F9B817E94B4}"/>
    <cellStyle name="Note 2 5 2 2 2 3" xfId="43838" xr:uid="{C576182E-4D20-48EF-A6D0-681E13D99384}"/>
    <cellStyle name="Note 2 5 2 2 2 4" xfId="25240" xr:uid="{3F297F9A-5295-4576-8946-8E74ECCB9D69}"/>
    <cellStyle name="Note 2 5 2 2 3" xfId="12576" xr:uid="{32A8E34A-FB9D-4BD4-9B07-B441E1E37E6F}"/>
    <cellStyle name="Note 2 5 2 2 3 2" xfId="48918" xr:uid="{324E63D6-A150-4422-A1F5-E599E21E6208}"/>
    <cellStyle name="Note 2 5 2 2 3 3" xfId="30322" xr:uid="{F0A75F3B-C71E-4165-85AA-E7A2B0594D97}"/>
    <cellStyle name="Note 2 5 2 2 4" xfId="39621" xr:uid="{60D56B46-D755-4905-B9D5-1348E3F939F5}"/>
    <cellStyle name="Note 2 5 2 2 5" xfId="21023" xr:uid="{4DBF9AD2-18EA-4DB2-8C7D-D198ACA1796F}"/>
    <cellStyle name="Note 2 5 2 3" xfId="5322" xr:uid="{00000000-0005-0000-0000-000036210000}"/>
    <cellStyle name="Note 2 5 2 3 2" xfId="14648" xr:uid="{232DCC8B-BA78-4871-A3EA-1462ECB02345}"/>
    <cellStyle name="Note 2 5 2 3 2 2" xfId="50990" xr:uid="{640FBF93-6279-4EDA-8B8A-510896903092}"/>
    <cellStyle name="Note 2 5 2 3 2 3" xfId="32394" xr:uid="{5E5F123E-16F2-4DD2-83CE-5D457A638812}"/>
    <cellStyle name="Note 2 5 2 3 3" xfId="41693" xr:uid="{E14BF80A-A0AE-4985-B723-5F49702CD9E5}"/>
    <cellStyle name="Note 2 5 2 3 4" xfId="23095" xr:uid="{E03347C9-6417-4F39-BD02-E30910A9E41D}"/>
    <cellStyle name="Note 2 5 2 4" xfId="9610" xr:uid="{26530D10-1DF8-4FA4-8FC9-4C945AA92A94}"/>
    <cellStyle name="Note 2 5 2 4 2" xfId="36656" xr:uid="{C2B7DED5-81E2-46AC-ABB4-15827416136D}"/>
    <cellStyle name="Note 2 5 2 4 2 2" xfId="55250" xr:uid="{EB34C83A-B2C0-4D1E-BE15-F102338018A3}"/>
    <cellStyle name="Note 2 5 2 4 3" xfId="45953" xr:uid="{C2506EC8-67F0-4EA6-BC7C-437371C5E2CF}"/>
    <cellStyle name="Note 2 5 2 4 4" xfId="27357" xr:uid="{17E1EA72-E278-4ED4-8B80-82FA85D4340A}"/>
    <cellStyle name="Note 2 5 2 5" xfId="10431" xr:uid="{6CFFEFA1-9716-48CE-8777-995F0E99E228}"/>
    <cellStyle name="Note 2 5 2 5 2" xfId="46773" xr:uid="{1A2364AD-CFE6-4C9E-A47A-3947C1F60C0B}"/>
    <cellStyle name="Note 2 5 2 5 3" xfId="28177" xr:uid="{DD8B0A38-0B5A-4592-B017-B36A036B54BE}"/>
    <cellStyle name="Note 2 5 2 6" xfId="37476" xr:uid="{42CDDDEC-15C8-413B-9430-3B524C089331}"/>
    <cellStyle name="Note 2 5 2 7" xfId="18878" xr:uid="{ADFC2AB0-815B-4607-AF2C-AEE6426325E6}"/>
    <cellStyle name="Note 2 5 3" xfId="1428" xr:uid="{00000000-0005-0000-0000-000037210000}"/>
    <cellStyle name="Note 2 5 3 2" xfId="3658" xr:uid="{00000000-0005-0000-0000-000038210000}"/>
    <cellStyle name="Note 2 5 3 2 2" xfId="7880" xr:uid="{00000000-0005-0000-0000-000039210000}"/>
    <cellStyle name="Note 2 5 3 2 2 2" xfId="17206" xr:uid="{93A70B73-7BBE-4AD4-8971-86FB8122AD97}"/>
    <cellStyle name="Note 2 5 3 2 2 2 2" xfId="53548" xr:uid="{D97D4B22-1A4D-4043-949C-D51BE956CB14}"/>
    <cellStyle name="Note 2 5 3 2 2 2 3" xfId="34952" xr:uid="{BB548D19-5CF7-478A-B070-45620AACF1D8}"/>
    <cellStyle name="Note 2 5 3 2 2 3" xfId="44251" xr:uid="{3EAAC7F5-6F8F-4BEC-B796-D0595B4DFCCC}"/>
    <cellStyle name="Note 2 5 3 2 2 4" xfId="25653" xr:uid="{D3A20056-B3C3-4354-9B20-68291E49B14E}"/>
    <cellStyle name="Note 2 5 3 2 3" xfId="12989" xr:uid="{EC859F38-A285-4F28-8A45-71804CE41A25}"/>
    <cellStyle name="Note 2 5 3 2 3 2" xfId="49331" xr:uid="{EA60E6A3-31C8-47F8-9C05-6772C513BD20}"/>
    <cellStyle name="Note 2 5 3 2 3 3" xfId="30735" xr:uid="{47CD35F6-4DBA-4A5D-8DC2-403673998B0C}"/>
    <cellStyle name="Note 2 5 3 2 4" xfId="40034" xr:uid="{3C1DD119-47F6-486E-B6B3-292E2A229FAB}"/>
    <cellStyle name="Note 2 5 3 2 5" xfId="21436" xr:uid="{41457896-7A8C-40D1-ABA8-3213540BEE75}"/>
    <cellStyle name="Note 2 5 3 3" xfId="5735" xr:uid="{00000000-0005-0000-0000-00003A210000}"/>
    <cellStyle name="Note 2 5 3 3 2" xfId="15061" xr:uid="{FCB8C509-3C49-4692-9787-310E03D03E8A}"/>
    <cellStyle name="Note 2 5 3 3 2 2" xfId="51403" xr:uid="{F4B07E3A-C479-4DA3-A6C8-F887AFF9AE66}"/>
    <cellStyle name="Note 2 5 3 3 2 3" xfId="32807" xr:uid="{33EB05E5-103D-4012-9467-49D582DCF951}"/>
    <cellStyle name="Note 2 5 3 3 3" xfId="42106" xr:uid="{90511EC2-99EB-41D4-A195-7181E1B79ECE}"/>
    <cellStyle name="Note 2 5 3 3 4" xfId="23508" xr:uid="{B04EFD22-D255-40DC-A22A-3B11896D4F07}"/>
    <cellStyle name="Note 2 5 3 4" xfId="10844" xr:uid="{4E6FF3A8-6281-4984-8CC1-AA37D5EF32E5}"/>
    <cellStyle name="Note 2 5 3 4 2" xfId="47186" xr:uid="{549AADD4-14E7-4AE0-8CD2-C6EEDD737B0A}"/>
    <cellStyle name="Note 2 5 3 4 3" xfId="28590" xr:uid="{1D2B0108-F00D-43F7-A3ED-6AC558976165}"/>
    <cellStyle name="Note 2 5 3 5" xfId="37889" xr:uid="{4B0D4BEA-6170-4B08-A6A9-C7CB529FA94A}"/>
    <cellStyle name="Note 2 5 3 6" xfId="19291" xr:uid="{E4DC564E-6AF3-4BA6-AE2D-6CD892235BA0}"/>
    <cellStyle name="Note 2 5 4" xfId="1842" xr:uid="{00000000-0005-0000-0000-00003B210000}"/>
    <cellStyle name="Note 2 5 4 2" xfId="4071" xr:uid="{00000000-0005-0000-0000-00003C210000}"/>
    <cellStyle name="Note 2 5 4 2 2" xfId="8293" xr:uid="{00000000-0005-0000-0000-00003D210000}"/>
    <cellStyle name="Note 2 5 4 2 2 2" xfId="17619" xr:uid="{5D9F1F98-D4C2-42A3-9B09-E7E4287C98DE}"/>
    <cellStyle name="Note 2 5 4 2 2 2 2" xfId="53961" xr:uid="{A9F56E25-E825-4919-AAA9-B040FD42C7DD}"/>
    <cellStyle name="Note 2 5 4 2 2 2 3" xfId="35365" xr:uid="{158F1C28-4AC4-49E5-91BE-F2614181384C}"/>
    <cellStyle name="Note 2 5 4 2 2 3" xfId="44664" xr:uid="{80D705C3-9A77-4157-A7A2-A9C3DEFA9EED}"/>
    <cellStyle name="Note 2 5 4 2 2 4" xfId="26066" xr:uid="{34F3CABF-C173-48D5-907C-26EDADB6AF0A}"/>
    <cellStyle name="Note 2 5 4 2 3" xfId="13402" xr:uid="{38435F1F-0719-4143-AD1B-1BCABAB2C1FE}"/>
    <cellStyle name="Note 2 5 4 2 3 2" xfId="49744" xr:uid="{E5580CDC-623C-4AE6-AA26-C871A7A5210B}"/>
    <cellStyle name="Note 2 5 4 2 3 3" xfId="31148" xr:uid="{63A286DB-1646-494E-B57F-5B9E2BA18B2D}"/>
    <cellStyle name="Note 2 5 4 2 4" xfId="40447" xr:uid="{06155ADC-C165-471F-9342-695F46D06C64}"/>
    <cellStyle name="Note 2 5 4 2 5" xfId="21849" xr:uid="{0E47593E-BA6D-43CE-AA45-D37C9D79B983}"/>
    <cellStyle name="Note 2 5 4 3" xfId="6148" xr:uid="{00000000-0005-0000-0000-00003E210000}"/>
    <cellStyle name="Note 2 5 4 3 2" xfId="15474" xr:uid="{D71E22CA-97EC-4769-9BD2-17FF51DDA012}"/>
    <cellStyle name="Note 2 5 4 3 2 2" xfId="51816" xr:uid="{78F68227-4544-44A6-B878-819D3FD70ABF}"/>
    <cellStyle name="Note 2 5 4 3 2 3" xfId="33220" xr:uid="{BC4645AB-1E70-417A-A458-D7BB45FA8F50}"/>
    <cellStyle name="Note 2 5 4 3 3" xfId="42519" xr:uid="{EC4E586D-498A-464F-80F6-3DA71C8A1D21}"/>
    <cellStyle name="Note 2 5 4 3 4" xfId="23921" xr:uid="{485954FD-129D-4B7F-B513-6190DF388ABE}"/>
    <cellStyle name="Note 2 5 4 4" xfId="11257" xr:uid="{66F6EA84-2035-47BD-A608-EC74B6908D87}"/>
    <cellStyle name="Note 2 5 4 4 2" xfId="47599" xr:uid="{F78EC728-FA9E-442B-9504-51D81A54FA2C}"/>
    <cellStyle name="Note 2 5 4 4 3" xfId="29003" xr:uid="{A10CA08C-135C-4DC9-AA3D-0EA5C1082F5D}"/>
    <cellStyle name="Note 2 5 4 5" xfId="38302" xr:uid="{0A6D7DAC-5606-4028-8468-8FBF273DFBDD}"/>
    <cellStyle name="Note 2 5 4 6" xfId="19704" xr:uid="{F6FC0293-B8E0-44FF-8241-7BB5F2B731F0}"/>
    <cellStyle name="Note 2 5 5" xfId="2255" xr:uid="{00000000-0005-0000-0000-00003F210000}"/>
    <cellStyle name="Note 2 5 5 2" xfId="4484" xr:uid="{00000000-0005-0000-0000-000040210000}"/>
    <cellStyle name="Note 2 5 5 2 2" xfId="8706" xr:uid="{00000000-0005-0000-0000-000041210000}"/>
    <cellStyle name="Note 2 5 5 2 2 2" xfId="18032" xr:uid="{5267A165-3723-4E93-B650-E6B9810894D7}"/>
    <cellStyle name="Note 2 5 5 2 2 2 2" xfId="54374" xr:uid="{14A94985-6E73-40E3-8B53-31579885C28A}"/>
    <cellStyle name="Note 2 5 5 2 2 2 3" xfId="35778" xr:uid="{9CA6A4DA-6894-4C53-AD94-CB5F3A765E04}"/>
    <cellStyle name="Note 2 5 5 2 2 3" xfId="45077" xr:uid="{58D9F4CA-9B67-4AE0-8F0E-A081135F007E}"/>
    <cellStyle name="Note 2 5 5 2 2 4" xfId="26479" xr:uid="{B5B52905-8195-4A19-B618-B5B0C8913F51}"/>
    <cellStyle name="Note 2 5 5 2 3" xfId="13815" xr:uid="{9FBA2390-03B6-4BA1-9101-DD38A2C60C6F}"/>
    <cellStyle name="Note 2 5 5 2 3 2" xfId="50157" xr:uid="{BBD57FB4-C103-4A6A-98C3-3264BEB2BC1D}"/>
    <cellStyle name="Note 2 5 5 2 3 3" xfId="31561" xr:uid="{9A585DEE-FDA2-42C8-8C77-CB506902E861}"/>
    <cellStyle name="Note 2 5 5 2 4" xfId="40860" xr:uid="{B38C7BAB-6B4D-4129-ACBA-942DD9B39D79}"/>
    <cellStyle name="Note 2 5 5 2 5" xfId="22262" xr:uid="{89DBE5C4-2C6E-4EBC-99B9-4BED0BBEE4B7}"/>
    <cellStyle name="Note 2 5 5 3" xfId="6561" xr:uid="{00000000-0005-0000-0000-000042210000}"/>
    <cellStyle name="Note 2 5 5 3 2" xfId="15887" xr:uid="{FBF34F1D-B892-4007-80D7-31FB4E8765CC}"/>
    <cellStyle name="Note 2 5 5 3 2 2" xfId="52229" xr:uid="{1790FD1C-2BF5-4853-9ED5-F1163BCFE49F}"/>
    <cellStyle name="Note 2 5 5 3 2 3" xfId="33633" xr:uid="{131586FF-BBD2-43C6-B2A9-CBF98EED8402}"/>
    <cellStyle name="Note 2 5 5 3 3" xfId="42932" xr:uid="{BF9FA8EF-2835-4D2F-A9E7-99FF236D213C}"/>
    <cellStyle name="Note 2 5 5 3 4" xfId="24334" xr:uid="{E67EC7C4-BE3F-470E-989A-92C3168BE8D5}"/>
    <cellStyle name="Note 2 5 5 4" xfId="11670" xr:uid="{62F0BD72-6205-4A19-90AE-F913767E5866}"/>
    <cellStyle name="Note 2 5 5 4 2" xfId="48012" xr:uid="{CDA59060-01C3-435A-BC01-579DF09CBB7D}"/>
    <cellStyle name="Note 2 5 5 4 3" xfId="29416" xr:uid="{1FE1416B-AA92-4CED-85B1-117E89EE3305}"/>
    <cellStyle name="Note 2 5 5 5" xfId="38715" xr:uid="{C4952EA5-3547-4DDB-95C9-0D84E3905116}"/>
    <cellStyle name="Note 2 5 5 6" xfId="20117" xr:uid="{36CCE95E-8A4F-42CE-A436-AD8A2F3DDE1F}"/>
    <cellStyle name="Note 2 5 6" xfId="2691" xr:uid="{00000000-0005-0000-0000-000043210000}"/>
    <cellStyle name="Note 2 5 6 2" xfId="6974" xr:uid="{00000000-0005-0000-0000-000044210000}"/>
    <cellStyle name="Note 2 5 6 2 2" xfId="16300" xr:uid="{AF09D54B-4147-4C4C-A8C5-B2BCBCCE2FA0}"/>
    <cellStyle name="Note 2 5 6 2 2 2" xfId="52642" xr:uid="{234B4D8D-9D33-43DF-B3D2-2DF683DF17B0}"/>
    <cellStyle name="Note 2 5 6 2 2 3" xfId="34046" xr:uid="{C8555122-57FB-43B8-818E-788A150CAAB4}"/>
    <cellStyle name="Note 2 5 6 2 3" xfId="43345" xr:uid="{F2427F0A-9BCA-4B1B-956E-36597331E826}"/>
    <cellStyle name="Note 2 5 6 2 4" xfId="24747" xr:uid="{3021C077-59D8-480D-87CF-4F0B011E72DB}"/>
    <cellStyle name="Note 2 5 6 3" xfId="12083" xr:uid="{87C3D2A3-B381-4678-BF7F-64A0E63090E1}"/>
    <cellStyle name="Note 2 5 6 3 2" xfId="48425" xr:uid="{B2DD2E1C-A6E0-44D3-81C4-C684245B6ED2}"/>
    <cellStyle name="Note 2 5 6 3 3" xfId="29829" xr:uid="{66761458-C439-4286-BE39-0C8792227E01}"/>
    <cellStyle name="Note 2 5 6 4" xfId="39128" xr:uid="{8BC972C1-596F-4D71-B170-71218B9E87CC}"/>
    <cellStyle name="Note 2 5 6 5" xfId="20530" xr:uid="{33B746ED-26E1-4889-92B6-05E6FFF29C17}"/>
    <cellStyle name="Note 2 5 7" xfId="2750" xr:uid="{00000000-0005-0000-0000-000045210000}"/>
    <cellStyle name="Note 2 5 8" xfId="2831" xr:uid="{00000000-0005-0000-0000-000046210000}"/>
    <cellStyle name="Note 2 5 8 2" xfId="7054" xr:uid="{00000000-0005-0000-0000-000047210000}"/>
    <cellStyle name="Note 2 5 8 2 2" xfId="16380" xr:uid="{8D1CD1BA-9177-4DC5-9019-64BB68615D63}"/>
    <cellStyle name="Note 2 5 8 2 2 2" xfId="52722" xr:uid="{BB4CCA97-C3AE-4B2B-8479-8AF016AB2CF2}"/>
    <cellStyle name="Note 2 5 8 2 2 3" xfId="34126" xr:uid="{0CE25ADB-B0AC-4F50-8B58-87B18206B59B}"/>
    <cellStyle name="Note 2 5 8 2 3" xfId="43425" xr:uid="{8170DF24-126B-4647-A68F-5FE230EA0A45}"/>
    <cellStyle name="Note 2 5 8 2 4" xfId="24827" xr:uid="{91E39210-DBCE-4E83-A00B-CCD2B432EB45}"/>
    <cellStyle name="Note 2 5 8 3" xfId="12163" xr:uid="{5B94B011-A581-4CE4-861F-D43F5AB2AD4C}"/>
    <cellStyle name="Note 2 5 8 3 2" xfId="48505" xr:uid="{5E47A9B3-E5CB-4F70-8596-C3BD999D792C}"/>
    <cellStyle name="Note 2 5 8 3 3" xfId="29909" xr:uid="{332B568B-B82E-4949-93D5-156CE6EC4C02}"/>
    <cellStyle name="Note 2 5 8 4" xfId="39208" xr:uid="{116102E5-42DB-46EC-ABB8-2A697996BFB3}"/>
    <cellStyle name="Note 2 5 8 5" xfId="20610" xr:uid="{C632079B-69E2-451D-92EE-56D16E528465}"/>
    <cellStyle name="Note 2 5 9" xfId="4909" xr:uid="{00000000-0005-0000-0000-000048210000}"/>
    <cellStyle name="Note 2 5 9 2" xfId="14235" xr:uid="{5567ACAD-3535-47DC-B21B-0FEDBA12E817}"/>
    <cellStyle name="Note 2 5 9 2 2" xfId="50577" xr:uid="{E50178CC-12AA-4C69-94B0-BBEDF93B1112}"/>
    <cellStyle name="Note 2 5 9 2 3" xfId="31981" xr:uid="{2A0412BF-7330-4040-B654-5B29F5B960D2}"/>
    <cellStyle name="Note 2 5 9 3" xfId="41280" xr:uid="{EB4A91C6-25EB-4FDE-B0C5-BCBAF4BA5C8F}"/>
    <cellStyle name="Note 2 5 9 4" xfId="22682" xr:uid="{CAA286BF-734E-416F-89F4-5DCD697F1052}"/>
    <cellStyle name="Note 2 6" xfId="9587" xr:uid="{DE0DCBC9-1C06-4AD6-BDCF-10B3C6A625B6}"/>
    <cellStyle name="Note 2 7" xfId="8791" xr:uid="{7AC3614D-154D-4BB0-B207-B3151ECF2433}"/>
    <cellStyle name="Note 2 7 2" xfId="35861" xr:uid="{695474BB-0D9C-4D48-9DE7-008D00F93868}"/>
    <cellStyle name="Note 2 7 2 2" xfId="54456" xr:uid="{41C0681F-D9C2-4A7F-92D3-A90241B9D74F}"/>
    <cellStyle name="Note 2 7 3" xfId="45159" xr:uid="{DD11AF3B-32B8-48C8-8581-DFF5A68FD229}"/>
    <cellStyle name="Note 2 7 4" xfId="26562" xr:uid="{F5C4B8B7-2A1D-429E-B4AA-76C4DA022702}"/>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16381" xr:uid="{B20EBA0C-8A30-4FFA-BE13-D35ABE8E5613}"/>
    <cellStyle name="Note 3 2 10 2 2 2" xfId="52723" xr:uid="{EEE55973-E455-4B6A-BA84-8E74F2C47D42}"/>
    <cellStyle name="Note 3 2 10 2 2 3" xfId="34127" xr:uid="{E3454911-0EFF-485B-9F43-DAF5BD4F01F8}"/>
    <cellStyle name="Note 3 2 10 2 3" xfId="43426" xr:uid="{072E265B-A8D2-4CCE-A2C5-561AA60032F9}"/>
    <cellStyle name="Note 3 2 10 2 4" xfId="24828" xr:uid="{63A6DDC5-4D31-4B54-AA05-7F14149208D6}"/>
    <cellStyle name="Note 3 2 10 3" xfId="12164" xr:uid="{0849FFA2-391F-4108-9B19-BD765EA818D8}"/>
    <cellStyle name="Note 3 2 10 3 2" xfId="48506" xr:uid="{645716F0-818D-422E-907E-633B2B6790DF}"/>
    <cellStyle name="Note 3 2 10 3 3" xfId="29910" xr:uid="{7A5F7687-10F4-4A9A-AC94-80310C736B3A}"/>
    <cellStyle name="Note 3 2 10 4" xfId="39209" xr:uid="{C0F25BAD-5DA6-454B-A8CD-5CD1E8781045}"/>
    <cellStyle name="Note 3 2 10 5" xfId="20611" xr:uid="{5E3FCBBA-6C38-4B4A-A312-2DC6203A1E1F}"/>
    <cellStyle name="Note 3 2 11" xfId="4910" xr:uid="{00000000-0005-0000-0000-00004D210000}"/>
    <cellStyle name="Note 3 2 11 2" xfId="14236" xr:uid="{54ECFC16-8AD2-4C61-9259-CEF52B5FE46A}"/>
    <cellStyle name="Note 3 2 11 2 2" xfId="50578" xr:uid="{BE74B49D-DA92-43D4-8516-BEDEF447DE4C}"/>
    <cellStyle name="Note 3 2 11 2 3" xfId="31982" xr:uid="{C0C6CC2C-8C6D-4A9B-84F7-2171D9F36A81}"/>
    <cellStyle name="Note 3 2 11 3" xfId="41281" xr:uid="{C1B5578D-7955-4836-A9C9-C1808A1FCBFA}"/>
    <cellStyle name="Note 3 2 11 4" xfId="22683" xr:uid="{D450548E-D949-48AB-93F1-51EEB0885F06}"/>
    <cellStyle name="Note 3 2 12" xfId="8842" xr:uid="{646587AC-B7A9-43E2-AC1E-1B77745805D8}"/>
    <cellStyle name="Note 3 2 12 2" xfId="35912" xr:uid="{0BA006DA-A8F7-4C06-B67D-270BC45AA2B3}"/>
    <cellStyle name="Note 3 2 12 2 2" xfId="54507" xr:uid="{506E733B-607B-48DF-8153-C664E80880A8}"/>
    <cellStyle name="Note 3 2 12 3" xfId="45210" xr:uid="{8F51B8C7-3F56-4A7B-A035-EAF5D77E9EAA}"/>
    <cellStyle name="Note 3 2 12 4" xfId="26613" xr:uid="{E1243B87-3DA6-4B29-BC7C-8026C75B14B0}"/>
    <cellStyle name="Note 3 2 13" xfId="10019" xr:uid="{BF4D16CB-187F-4168-897F-837B3AA9CF82}"/>
    <cellStyle name="Note 3 2 13 2" xfId="46361" xr:uid="{3A31938C-B4EB-460E-97D3-2CB4101C432F}"/>
    <cellStyle name="Note 3 2 13 3" xfId="27765" xr:uid="{42056BFF-FAEB-4AB9-8EFC-1AFC7ECE70D3}"/>
    <cellStyle name="Note 3 2 14" xfId="37064" xr:uid="{E5256480-D615-4AF2-95BF-1FECFB556442}"/>
    <cellStyle name="Note 3 2 15" xfId="18466" xr:uid="{D5DFB37C-3FDD-49B6-A92D-ABD65914D4B9}"/>
    <cellStyle name="Note 3 2 2" xfId="555" xr:uid="{00000000-0005-0000-0000-00004E210000}"/>
    <cellStyle name="Note 3 2 2 10" xfId="4911" xr:uid="{00000000-0005-0000-0000-00004F210000}"/>
    <cellStyle name="Note 3 2 2 10 2" xfId="14237" xr:uid="{16D7CE6E-7911-4E24-8BA6-28BD7A921027}"/>
    <cellStyle name="Note 3 2 2 10 2 2" xfId="50579" xr:uid="{83C23106-D61A-4B6B-8548-3653C55528D3}"/>
    <cellStyle name="Note 3 2 2 10 2 3" xfId="31983" xr:uid="{7EEF138F-F1FE-41C2-81DF-A212752A6D0C}"/>
    <cellStyle name="Note 3 2 2 10 3" xfId="41282" xr:uid="{C9E4B1F9-DA8C-47B5-9259-0ECF88EB4462}"/>
    <cellStyle name="Note 3 2 2 10 4" xfId="22684" xr:uid="{D268A964-001B-4D09-BFD3-1B1390A9B1D5}"/>
    <cellStyle name="Note 3 2 2 11" xfId="8945" xr:uid="{D320AF38-4F47-4266-9CB9-3BD7E15BFDAE}"/>
    <cellStyle name="Note 3 2 2 11 2" xfId="36015" xr:uid="{68DDA533-DC4D-44F2-8A0E-374D2D35ED2B}"/>
    <cellStyle name="Note 3 2 2 11 2 2" xfId="54610" xr:uid="{1276997A-9D1F-4719-83C1-FF112532782D}"/>
    <cellStyle name="Note 3 2 2 11 3" xfId="45313" xr:uid="{A1B31997-D866-4C56-9F10-A11006F21612}"/>
    <cellStyle name="Note 3 2 2 11 4" xfId="26716" xr:uid="{F058D34F-E5F6-489D-916C-C719A781A233}"/>
    <cellStyle name="Note 3 2 2 12" xfId="10020" xr:uid="{40B721D0-606E-4A21-8F19-4ABEFC872BBF}"/>
    <cellStyle name="Note 3 2 2 12 2" xfId="46362" xr:uid="{21F97E1C-D8BF-481F-841B-3819706D5C4F}"/>
    <cellStyle name="Note 3 2 2 12 3" xfId="27766" xr:uid="{5D5E9842-C0AF-4F47-A679-F6C4CF5B387F}"/>
    <cellStyle name="Note 3 2 2 13" xfId="37065" xr:uid="{8E7302BC-711E-4C89-9B83-A8D96C7D1A17}"/>
    <cellStyle name="Note 3 2 2 14" xfId="18467" xr:uid="{FEFAFE2A-0A5E-4BF2-A398-7763604C3551}"/>
    <cellStyle name="Note 3 2 2 2" xfId="556" xr:uid="{00000000-0005-0000-0000-000050210000}"/>
    <cellStyle name="Note 3 2 2 2 10" xfId="9152" xr:uid="{24874F5B-4700-44ED-9556-84C4E89A274D}"/>
    <cellStyle name="Note 3 2 2 2 10 2" xfId="36222" xr:uid="{33427FB2-D1FB-482B-AFD0-8376E7785B28}"/>
    <cellStyle name="Note 3 2 2 2 10 2 2" xfId="54817" xr:uid="{05FFBB4E-83EC-4C8E-93C4-606A6E848579}"/>
    <cellStyle name="Note 3 2 2 2 10 3" xfId="45520" xr:uid="{33A78366-7C7A-4B5D-9674-22CC1AF794B6}"/>
    <cellStyle name="Note 3 2 2 2 10 4" xfId="26923" xr:uid="{486D7545-0D31-4D73-8AA8-4A9C0415D0FE}"/>
    <cellStyle name="Note 3 2 2 2 11" xfId="10021" xr:uid="{EBC507C0-AD84-4F3B-880F-8FF4F6A8E580}"/>
    <cellStyle name="Note 3 2 2 2 11 2" xfId="46363" xr:uid="{A1734FFD-FDEB-4A73-88FE-FBE1F435EA1F}"/>
    <cellStyle name="Note 3 2 2 2 11 3" xfId="27767" xr:uid="{FFA6950B-21D5-4C6C-AB2B-F3A6B0C27320}"/>
    <cellStyle name="Note 3 2 2 2 12" xfId="37066" xr:uid="{82947E3C-21A5-4F56-ADCD-3E8B12C115BE}"/>
    <cellStyle name="Note 3 2 2 2 13" xfId="18468" xr:uid="{48C0BA9B-A563-482D-BF7C-9EC4CEE8B0D1}"/>
    <cellStyle name="Note 3 2 2 2 2" xfId="1016" xr:uid="{00000000-0005-0000-0000-000051210000}"/>
    <cellStyle name="Note 3 2 2 2 2 2" xfId="3248" xr:uid="{00000000-0005-0000-0000-000052210000}"/>
    <cellStyle name="Note 3 2 2 2 2 2 2" xfId="7470" xr:uid="{00000000-0005-0000-0000-000053210000}"/>
    <cellStyle name="Note 3 2 2 2 2 2 2 2" xfId="16796" xr:uid="{BD26803C-587F-42AB-B717-C53024BBE339}"/>
    <cellStyle name="Note 3 2 2 2 2 2 2 2 2" xfId="53138" xr:uid="{C318BCE3-9CC4-49F9-830F-A0963842C02C}"/>
    <cellStyle name="Note 3 2 2 2 2 2 2 2 3" xfId="34542" xr:uid="{6522BFBD-B974-4A88-B0D0-BDA4169AACE2}"/>
    <cellStyle name="Note 3 2 2 2 2 2 2 3" xfId="43841" xr:uid="{8CA708FF-9D60-48B5-991B-7FB5E51B09BE}"/>
    <cellStyle name="Note 3 2 2 2 2 2 2 4" xfId="25243" xr:uid="{140373AD-9B30-4F2B-BC8F-97A97D8D9CA6}"/>
    <cellStyle name="Note 3 2 2 2 2 2 3" xfId="12579" xr:uid="{CD922D58-7625-484F-A00F-33EEBD8A1557}"/>
    <cellStyle name="Note 3 2 2 2 2 2 3 2" xfId="48921" xr:uid="{CE84B1D8-C9DA-4485-BC0F-486062D4C63A}"/>
    <cellStyle name="Note 3 2 2 2 2 2 3 3" xfId="30325" xr:uid="{60BE3570-21ED-482C-AAA2-C26A5223B515}"/>
    <cellStyle name="Note 3 2 2 2 2 2 4" xfId="39624" xr:uid="{83C35C46-225D-45FA-8576-DC9076F09478}"/>
    <cellStyle name="Note 3 2 2 2 2 2 5" xfId="21026" xr:uid="{75E8F7DC-19A7-4199-B910-9FF0E7FDB6F1}"/>
    <cellStyle name="Note 3 2 2 2 2 3" xfId="5325" xr:uid="{00000000-0005-0000-0000-000054210000}"/>
    <cellStyle name="Note 3 2 2 2 2 3 2" xfId="14651" xr:uid="{BD13D5DE-8A13-404E-B811-68B27A5C8364}"/>
    <cellStyle name="Note 3 2 2 2 2 3 2 2" xfId="50993" xr:uid="{3CA82E93-9116-47A5-923E-694C677B2EEA}"/>
    <cellStyle name="Note 3 2 2 2 2 3 2 3" xfId="32397" xr:uid="{DEF33E16-81B4-4D22-BC39-EA4D92378AB3}"/>
    <cellStyle name="Note 3 2 2 2 2 3 3" xfId="41696" xr:uid="{4EADDDCB-A4B7-4285-BD1D-9F02A5BF0BE9}"/>
    <cellStyle name="Note 3 2 2 2 2 3 4" xfId="23098" xr:uid="{4AD37176-5FE1-4D99-B06A-8E5997E15157}"/>
    <cellStyle name="Note 3 2 2 2 2 4" xfId="9577" xr:uid="{7C0C89D7-CA14-4942-89B2-D584AC810EDC}"/>
    <cellStyle name="Note 3 2 2 2 2 4 2" xfId="36638" xr:uid="{4F749B07-5D38-4825-AB89-822972945C76}"/>
    <cellStyle name="Note 3 2 2 2 2 4 2 2" xfId="55232" xr:uid="{054823E6-3063-454E-8277-7A07609F8995}"/>
    <cellStyle name="Note 3 2 2 2 2 4 3" xfId="45935" xr:uid="{D8875A3F-8215-4C28-A6A7-75FFF386E1E2}"/>
    <cellStyle name="Note 3 2 2 2 2 4 4" xfId="27339" xr:uid="{988E73BF-DAB3-44E7-B13D-2107394DDBEE}"/>
    <cellStyle name="Note 3 2 2 2 2 5" xfId="10434" xr:uid="{FA69BFE1-164E-4FCA-B395-C9156245D306}"/>
    <cellStyle name="Note 3 2 2 2 2 5 2" xfId="46776" xr:uid="{ABC326EF-8C79-42B4-8958-A3951678C7DB}"/>
    <cellStyle name="Note 3 2 2 2 2 5 3" xfId="28180" xr:uid="{FD2C318D-7989-4A4C-9799-072DED5B2143}"/>
    <cellStyle name="Note 3 2 2 2 2 6" xfId="37479" xr:uid="{60BF0069-CFDF-46B6-BE77-72CD85EBBB55}"/>
    <cellStyle name="Note 3 2 2 2 2 7" xfId="18881" xr:uid="{3EC35006-C9F3-4D24-98E9-DD09934C7BBB}"/>
    <cellStyle name="Note 3 2 2 2 3" xfId="1431" xr:uid="{00000000-0005-0000-0000-000055210000}"/>
    <cellStyle name="Note 3 2 2 2 3 2" xfId="3661" xr:uid="{00000000-0005-0000-0000-000056210000}"/>
    <cellStyle name="Note 3 2 2 2 3 2 2" xfId="7883" xr:uid="{00000000-0005-0000-0000-000057210000}"/>
    <cellStyle name="Note 3 2 2 2 3 2 2 2" xfId="17209" xr:uid="{A45172DA-1345-446C-B09A-06AA9224724E}"/>
    <cellStyle name="Note 3 2 2 2 3 2 2 2 2" xfId="53551" xr:uid="{E2F0E8B5-75C8-4746-8217-379C04945A95}"/>
    <cellStyle name="Note 3 2 2 2 3 2 2 2 3" xfId="34955" xr:uid="{9456EC8F-759C-4D1C-A96D-379FF3F1836B}"/>
    <cellStyle name="Note 3 2 2 2 3 2 2 3" xfId="44254" xr:uid="{C1ADA2EF-B2E7-4D8F-815F-400DBF62DD7F}"/>
    <cellStyle name="Note 3 2 2 2 3 2 2 4" xfId="25656" xr:uid="{0CD89E18-7D34-4A15-A071-6A01F50D51AE}"/>
    <cellStyle name="Note 3 2 2 2 3 2 3" xfId="12992" xr:uid="{9CD4641E-7BF5-4642-8C86-2B1E0E9F92AF}"/>
    <cellStyle name="Note 3 2 2 2 3 2 3 2" xfId="49334" xr:uid="{2E209FA7-F325-4078-9F80-B93D7B5F168D}"/>
    <cellStyle name="Note 3 2 2 2 3 2 3 3" xfId="30738" xr:uid="{913D4FC5-687F-42CA-8805-D8DF9F398A4E}"/>
    <cellStyle name="Note 3 2 2 2 3 2 4" xfId="40037" xr:uid="{AF5DE4F8-41EE-4A19-887E-C1D15A65AC37}"/>
    <cellStyle name="Note 3 2 2 2 3 2 5" xfId="21439" xr:uid="{4CC20646-BC07-4995-B31D-589AC1B821E7}"/>
    <cellStyle name="Note 3 2 2 2 3 3" xfId="5738" xr:uid="{00000000-0005-0000-0000-000058210000}"/>
    <cellStyle name="Note 3 2 2 2 3 3 2" xfId="15064" xr:uid="{AB9BB949-81C2-4F84-9BE2-A64BE597E137}"/>
    <cellStyle name="Note 3 2 2 2 3 3 2 2" xfId="51406" xr:uid="{255427C9-BE2E-468A-AE65-F663A7E7BCBB}"/>
    <cellStyle name="Note 3 2 2 2 3 3 2 3" xfId="32810" xr:uid="{C52FF59A-ECE4-4CAB-840E-D531AF2B06D6}"/>
    <cellStyle name="Note 3 2 2 2 3 3 3" xfId="42109" xr:uid="{934E1AFB-77B1-4E9B-9760-8D3623764709}"/>
    <cellStyle name="Note 3 2 2 2 3 3 4" xfId="23511" xr:uid="{0B5EA92C-63D6-40C4-9D85-57F0EF84338A}"/>
    <cellStyle name="Note 3 2 2 2 3 4" xfId="10847" xr:uid="{D7E284CD-EA6E-4F9F-B751-AF3E02B70713}"/>
    <cellStyle name="Note 3 2 2 2 3 4 2" xfId="47189" xr:uid="{7537E9D2-89D7-4CEB-B4B6-829A194DCF58}"/>
    <cellStyle name="Note 3 2 2 2 3 4 3" xfId="28593" xr:uid="{8379F202-C02B-4DB8-9001-DA8FFBE5B4BF}"/>
    <cellStyle name="Note 3 2 2 2 3 5" xfId="37892" xr:uid="{D8C6C1AF-5B7B-4A76-B043-84AD659AEBE6}"/>
    <cellStyle name="Note 3 2 2 2 3 6" xfId="19294" xr:uid="{7F8E84B0-9BDA-4C2A-9A8E-D9055ABFB4B4}"/>
    <cellStyle name="Note 3 2 2 2 4" xfId="1845" xr:uid="{00000000-0005-0000-0000-000059210000}"/>
    <cellStyle name="Note 3 2 2 2 4 2" xfId="4074" xr:uid="{00000000-0005-0000-0000-00005A210000}"/>
    <cellStyle name="Note 3 2 2 2 4 2 2" xfId="8296" xr:uid="{00000000-0005-0000-0000-00005B210000}"/>
    <cellStyle name="Note 3 2 2 2 4 2 2 2" xfId="17622" xr:uid="{ADCAE85E-1F14-4047-BA13-E2445DCB3EC6}"/>
    <cellStyle name="Note 3 2 2 2 4 2 2 2 2" xfId="53964" xr:uid="{5F06EA29-E31B-4F37-BFD7-46F12BCE98BA}"/>
    <cellStyle name="Note 3 2 2 2 4 2 2 2 3" xfId="35368" xr:uid="{D6F57AFB-45D1-4C96-84D4-5B7D6AA19649}"/>
    <cellStyle name="Note 3 2 2 2 4 2 2 3" xfId="44667" xr:uid="{751E1140-F66A-4013-8D97-40C4295D5618}"/>
    <cellStyle name="Note 3 2 2 2 4 2 2 4" xfId="26069" xr:uid="{46CBB3E6-4869-40CB-83A8-80D8291E630C}"/>
    <cellStyle name="Note 3 2 2 2 4 2 3" xfId="13405" xr:uid="{3EE7A93C-DC61-438D-8057-82D28CB62490}"/>
    <cellStyle name="Note 3 2 2 2 4 2 3 2" xfId="49747" xr:uid="{B4A68A07-8295-47FE-B3BF-AA5338C437E7}"/>
    <cellStyle name="Note 3 2 2 2 4 2 3 3" xfId="31151" xr:uid="{BB125796-5FB5-4CF1-A891-C05C94F589B6}"/>
    <cellStyle name="Note 3 2 2 2 4 2 4" xfId="40450" xr:uid="{1CAB7474-9769-4C20-8BF3-8D15ABEC5B6C}"/>
    <cellStyle name="Note 3 2 2 2 4 2 5" xfId="21852" xr:uid="{8DF0E8EF-4C27-4A23-9E14-2D10A0C98B13}"/>
    <cellStyle name="Note 3 2 2 2 4 3" xfId="6151" xr:uid="{00000000-0005-0000-0000-00005C210000}"/>
    <cellStyle name="Note 3 2 2 2 4 3 2" xfId="15477" xr:uid="{F7DF79DA-12E6-4F83-A78E-DDF3908FDC47}"/>
    <cellStyle name="Note 3 2 2 2 4 3 2 2" xfId="51819" xr:uid="{F9EFD3D6-31BB-49EE-B5C3-D3489BD254D7}"/>
    <cellStyle name="Note 3 2 2 2 4 3 2 3" xfId="33223" xr:uid="{B0F58F8C-3D5F-4FD0-8BA3-27CA15F97200}"/>
    <cellStyle name="Note 3 2 2 2 4 3 3" xfId="42522" xr:uid="{C6609E47-0C1B-481D-AA04-719CF161E890}"/>
    <cellStyle name="Note 3 2 2 2 4 3 4" xfId="23924" xr:uid="{AAE25686-347B-4CB3-8FB2-C73EEE1E42B9}"/>
    <cellStyle name="Note 3 2 2 2 4 4" xfId="11260" xr:uid="{FF3AB38A-B105-40AB-A1D0-687DF7DCAE5D}"/>
    <cellStyle name="Note 3 2 2 2 4 4 2" xfId="47602" xr:uid="{E827F3EE-9971-44A8-897E-AC5082966859}"/>
    <cellStyle name="Note 3 2 2 2 4 4 3" xfId="29006" xr:uid="{41C05E31-4452-4116-A053-D4264AD1F451}"/>
    <cellStyle name="Note 3 2 2 2 4 5" xfId="38305" xr:uid="{B8CBB430-9914-498D-834A-229DA1667EB3}"/>
    <cellStyle name="Note 3 2 2 2 4 6" xfId="19707" xr:uid="{1E995F42-B47B-453F-BDDA-C3BABF5095D0}"/>
    <cellStyle name="Note 3 2 2 2 5" xfId="2258" xr:uid="{00000000-0005-0000-0000-00005D210000}"/>
    <cellStyle name="Note 3 2 2 2 5 2" xfId="4487" xr:uid="{00000000-0005-0000-0000-00005E210000}"/>
    <cellStyle name="Note 3 2 2 2 5 2 2" xfId="8709" xr:uid="{00000000-0005-0000-0000-00005F210000}"/>
    <cellStyle name="Note 3 2 2 2 5 2 2 2" xfId="18035" xr:uid="{F670AE97-63CA-49A2-A6CE-AFA8B89F627A}"/>
    <cellStyle name="Note 3 2 2 2 5 2 2 2 2" xfId="54377" xr:uid="{87296F0C-62C5-4A8F-B2BE-6BA2695638AA}"/>
    <cellStyle name="Note 3 2 2 2 5 2 2 2 3" xfId="35781" xr:uid="{3A231588-6953-4861-B655-F396AB7FBFBD}"/>
    <cellStyle name="Note 3 2 2 2 5 2 2 3" xfId="45080" xr:uid="{19DE6A52-A81E-4039-AED4-582246D3D6E4}"/>
    <cellStyle name="Note 3 2 2 2 5 2 2 4" xfId="26482" xr:uid="{A96D1986-102A-446A-8D11-173E6B25C086}"/>
    <cellStyle name="Note 3 2 2 2 5 2 3" xfId="13818" xr:uid="{88208147-D1F0-4329-8B68-A01A3BD4AFBA}"/>
    <cellStyle name="Note 3 2 2 2 5 2 3 2" xfId="50160" xr:uid="{045F989B-95E9-4C95-9300-F1B2C5243BAD}"/>
    <cellStyle name="Note 3 2 2 2 5 2 3 3" xfId="31564" xr:uid="{809E3504-B71C-4A01-8E17-0597075F6471}"/>
    <cellStyle name="Note 3 2 2 2 5 2 4" xfId="40863" xr:uid="{A04E9352-6189-4AB0-B37E-FBC1F2608D9F}"/>
    <cellStyle name="Note 3 2 2 2 5 2 5" xfId="22265" xr:uid="{A5351F09-9DD7-4E51-99A7-1D3789C7005F}"/>
    <cellStyle name="Note 3 2 2 2 5 3" xfId="6564" xr:uid="{00000000-0005-0000-0000-000060210000}"/>
    <cellStyle name="Note 3 2 2 2 5 3 2" xfId="15890" xr:uid="{D47F3B04-70BA-443D-86C7-C72538D9AF2D}"/>
    <cellStyle name="Note 3 2 2 2 5 3 2 2" xfId="52232" xr:uid="{77897D2A-8230-4F3E-9ECD-399F2F823BE2}"/>
    <cellStyle name="Note 3 2 2 2 5 3 2 3" xfId="33636" xr:uid="{61824860-23C3-4878-A81F-6AD5EEA5E839}"/>
    <cellStyle name="Note 3 2 2 2 5 3 3" xfId="42935" xr:uid="{8C52C501-7D8B-40EF-9315-08761AD3D0FB}"/>
    <cellStyle name="Note 3 2 2 2 5 3 4" xfId="24337" xr:uid="{10208D97-8FA7-4620-98FB-E43C304A6AD8}"/>
    <cellStyle name="Note 3 2 2 2 5 4" xfId="11673" xr:uid="{230A6BCA-B270-4CB3-ABF8-84186B5AAAC3}"/>
    <cellStyle name="Note 3 2 2 2 5 4 2" xfId="48015" xr:uid="{5AA2FA2A-38A0-4F0C-A65A-A6736B9AC12B}"/>
    <cellStyle name="Note 3 2 2 2 5 4 3" xfId="29419" xr:uid="{DF606865-79FF-4806-9E9C-E5964327489E}"/>
    <cellStyle name="Note 3 2 2 2 5 5" xfId="38718" xr:uid="{A55594AC-1072-4796-AB68-16279837B20B}"/>
    <cellStyle name="Note 3 2 2 2 5 6" xfId="20120" xr:uid="{DA04BE5F-8CBB-439F-9A78-F49275440D73}"/>
    <cellStyle name="Note 3 2 2 2 6" xfId="2694" xr:uid="{00000000-0005-0000-0000-000061210000}"/>
    <cellStyle name="Note 3 2 2 2 6 2" xfId="6977" xr:uid="{00000000-0005-0000-0000-000062210000}"/>
    <cellStyle name="Note 3 2 2 2 6 2 2" xfId="16303" xr:uid="{D7CE33D2-1E86-4119-B8C9-5D91D153422E}"/>
    <cellStyle name="Note 3 2 2 2 6 2 2 2" xfId="52645" xr:uid="{1C89E05A-1977-4276-BBD8-DA6B13E89E1C}"/>
    <cellStyle name="Note 3 2 2 2 6 2 2 3" xfId="34049" xr:uid="{B0C62B3C-B391-41B3-9173-7554FBAA8513}"/>
    <cellStyle name="Note 3 2 2 2 6 2 3" xfId="43348" xr:uid="{74A9DE4D-B377-45A2-8266-1292AD6B5799}"/>
    <cellStyle name="Note 3 2 2 2 6 2 4" xfId="24750" xr:uid="{6E259DF8-80B7-4451-AC9F-64A260C07003}"/>
    <cellStyle name="Note 3 2 2 2 6 3" xfId="12086" xr:uid="{F4ADA1DD-8741-4C3F-9AD6-7989EFB0CB8E}"/>
    <cellStyle name="Note 3 2 2 2 6 3 2" xfId="48428" xr:uid="{21FF3365-3C55-4610-97FF-0C394F4EE437}"/>
    <cellStyle name="Note 3 2 2 2 6 3 3" xfId="29832" xr:uid="{186078B2-5680-46DF-B698-9489350C3637}"/>
    <cellStyle name="Note 3 2 2 2 6 4" xfId="39131" xr:uid="{26E0B8E6-4A31-46AF-BF7E-8E2CE67112B2}"/>
    <cellStyle name="Note 3 2 2 2 6 5" xfId="20533" xr:uid="{06A6AEE3-E89B-4D57-8426-E73B24D0C0EB}"/>
    <cellStyle name="Note 3 2 2 2 7" xfId="2753" xr:uid="{00000000-0005-0000-0000-000063210000}"/>
    <cellStyle name="Note 3 2 2 2 8" xfId="2834" xr:uid="{00000000-0005-0000-0000-000064210000}"/>
    <cellStyle name="Note 3 2 2 2 8 2" xfId="7057" xr:uid="{00000000-0005-0000-0000-000065210000}"/>
    <cellStyle name="Note 3 2 2 2 8 2 2" xfId="16383" xr:uid="{66A20944-8256-4183-9DF6-433374F17541}"/>
    <cellStyle name="Note 3 2 2 2 8 2 2 2" xfId="52725" xr:uid="{D6FF48F3-776A-43F8-B772-8B7E3C57E0C1}"/>
    <cellStyle name="Note 3 2 2 2 8 2 2 3" xfId="34129" xr:uid="{ACA92B26-EB46-4026-B95A-CB021362324F}"/>
    <cellStyle name="Note 3 2 2 2 8 2 3" xfId="43428" xr:uid="{E6424BB0-9ECD-4815-8D77-C8937F84785E}"/>
    <cellStyle name="Note 3 2 2 2 8 2 4" xfId="24830" xr:uid="{7575E1B8-2EB5-4F6A-A8E0-BF9E40FAF35F}"/>
    <cellStyle name="Note 3 2 2 2 8 3" xfId="12166" xr:uid="{317FAB3E-80FE-44F4-A598-E8CFFF4DD585}"/>
    <cellStyle name="Note 3 2 2 2 8 3 2" xfId="48508" xr:uid="{0F9A690C-2746-4BEA-A87D-F85811F323AD}"/>
    <cellStyle name="Note 3 2 2 2 8 3 3" xfId="29912" xr:uid="{CAD71C62-926D-46E6-AD7A-CA6F22084493}"/>
    <cellStyle name="Note 3 2 2 2 8 4" xfId="39211" xr:uid="{4CF16B76-CDC4-40CD-B187-F4DD02219F57}"/>
    <cellStyle name="Note 3 2 2 2 8 5" xfId="20613" xr:uid="{FEDF531D-99B3-48D2-9207-F700F837C24E}"/>
    <cellStyle name="Note 3 2 2 2 9" xfId="4912" xr:uid="{00000000-0005-0000-0000-000066210000}"/>
    <cellStyle name="Note 3 2 2 2 9 2" xfId="14238" xr:uid="{E628610E-F0F4-48CA-BE7B-FC4BF45CAF32}"/>
    <cellStyle name="Note 3 2 2 2 9 2 2" xfId="50580" xr:uid="{ED32ED69-752D-46A3-9A3D-5663C8F2E515}"/>
    <cellStyle name="Note 3 2 2 2 9 2 3" xfId="31984" xr:uid="{87D2D93E-3713-40AA-ABC5-8999C7127D20}"/>
    <cellStyle name="Note 3 2 2 2 9 3" xfId="41283" xr:uid="{44B47527-1624-4065-A24B-EA46E9F2100D}"/>
    <cellStyle name="Note 3 2 2 2 9 4" xfId="22685" xr:uid="{E7085F6C-4B5E-43C5-AB04-816324089FB9}"/>
    <cellStyle name="Note 3 2 2 3" xfId="1015" xr:uid="{00000000-0005-0000-0000-000067210000}"/>
    <cellStyle name="Note 3 2 2 3 2" xfId="3247" xr:uid="{00000000-0005-0000-0000-000068210000}"/>
    <cellStyle name="Note 3 2 2 3 2 2" xfId="7469" xr:uid="{00000000-0005-0000-0000-000069210000}"/>
    <cellStyle name="Note 3 2 2 3 2 2 2" xfId="16795" xr:uid="{CEA5F887-536E-41DD-A6ED-DC75C675F327}"/>
    <cellStyle name="Note 3 2 2 3 2 2 2 2" xfId="53137" xr:uid="{A348E402-A1CB-4E3E-98E2-B1BBBE0D8E6C}"/>
    <cellStyle name="Note 3 2 2 3 2 2 2 3" xfId="34541" xr:uid="{95D8135E-E799-4D66-9581-5A16EB340B16}"/>
    <cellStyle name="Note 3 2 2 3 2 2 3" xfId="43840" xr:uid="{78A47F3E-21C0-4C84-921C-F89157AD34CC}"/>
    <cellStyle name="Note 3 2 2 3 2 2 4" xfId="25242" xr:uid="{857457D1-0E34-4813-BAD7-4CE52A8FB0D0}"/>
    <cellStyle name="Note 3 2 2 3 2 3" xfId="12578" xr:uid="{C7B58210-1D1A-45BA-A480-E4270B30325D}"/>
    <cellStyle name="Note 3 2 2 3 2 3 2" xfId="48920" xr:uid="{417BF15C-4451-471D-BA31-997BF9A01063}"/>
    <cellStyle name="Note 3 2 2 3 2 3 3" xfId="30324" xr:uid="{0607CCB6-3A4F-40A6-9AE2-02778D98959A}"/>
    <cellStyle name="Note 3 2 2 3 2 4" xfId="39623" xr:uid="{0AD2BD3C-0FC5-4F82-BE60-F924D185C8BB}"/>
    <cellStyle name="Note 3 2 2 3 2 5" xfId="21025" xr:uid="{FA4C198D-1779-479E-BA16-B1BBC1A8E2A1}"/>
    <cellStyle name="Note 3 2 2 3 3" xfId="5324" xr:uid="{00000000-0005-0000-0000-00006A210000}"/>
    <cellStyle name="Note 3 2 2 3 3 2" xfId="14650" xr:uid="{81FBCBCB-6220-4E50-926B-DC15ED42018D}"/>
    <cellStyle name="Note 3 2 2 3 3 2 2" xfId="50992" xr:uid="{0DD26C34-42EE-4249-BB27-979B86E65BE5}"/>
    <cellStyle name="Note 3 2 2 3 3 2 3" xfId="32396" xr:uid="{DC023CAC-410C-47DA-9185-E263C399C66C}"/>
    <cellStyle name="Note 3 2 2 3 3 3" xfId="41695" xr:uid="{94FA4094-6DF2-4D32-8AF9-731D21341685}"/>
    <cellStyle name="Note 3 2 2 3 3 4" xfId="23097" xr:uid="{83D676CD-9AB7-4541-914C-DD731BA512F1}"/>
    <cellStyle name="Note 3 2 2 3 4" xfId="9370" xr:uid="{7A803908-679B-4EF0-9BD4-89724B1FB321}"/>
    <cellStyle name="Note 3 2 2 3 4 2" xfId="36431" xr:uid="{887588AD-9585-4091-8629-5D4E6389385A}"/>
    <cellStyle name="Note 3 2 2 3 4 2 2" xfId="55025" xr:uid="{3A0F42FA-5369-4CE6-A583-C4E0B0FE4CA5}"/>
    <cellStyle name="Note 3 2 2 3 4 3" xfId="45728" xr:uid="{DB3D9AF0-4570-4958-9584-715BE4222D27}"/>
    <cellStyle name="Note 3 2 2 3 4 4" xfId="27132" xr:uid="{925CF395-2617-4113-87D6-6B5F12471BE1}"/>
    <cellStyle name="Note 3 2 2 3 5" xfId="10433" xr:uid="{9A50A9A4-02ED-49DA-81CB-479FC821D16D}"/>
    <cellStyle name="Note 3 2 2 3 5 2" xfId="46775" xr:uid="{D9B436C5-674A-4A50-8EFF-BEB8AE0D08D3}"/>
    <cellStyle name="Note 3 2 2 3 5 3" xfId="28179" xr:uid="{B213E0CF-11DA-451D-B7B2-4763D040C8F1}"/>
    <cellStyle name="Note 3 2 2 3 6" xfId="37478" xr:uid="{B5A1D904-F4CC-4153-834B-2FFDBBF136F9}"/>
    <cellStyle name="Note 3 2 2 3 7" xfId="18880" xr:uid="{282D2298-F88F-4E6C-A3DB-509898352CC6}"/>
    <cellStyle name="Note 3 2 2 4" xfId="1430" xr:uid="{00000000-0005-0000-0000-00006B210000}"/>
    <cellStyle name="Note 3 2 2 4 2" xfId="3660" xr:uid="{00000000-0005-0000-0000-00006C210000}"/>
    <cellStyle name="Note 3 2 2 4 2 2" xfId="7882" xr:uid="{00000000-0005-0000-0000-00006D210000}"/>
    <cellStyle name="Note 3 2 2 4 2 2 2" xfId="17208" xr:uid="{64F1A9CD-1B0D-4D89-8D09-22ED028B2869}"/>
    <cellStyle name="Note 3 2 2 4 2 2 2 2" xfId="53550" xr:uid="{C6D3D02B-E5E9-4FBA-BDF2-65E472F26FD6}"/>
    <cellStyle name="Note 3 2 2 4 2 2 2 3" xfId="34954" xr:uid="{DC7F7AEC-D338-4999-8C8A-4F245993464B}"/>
    <cellStyle name="Note 3 2 2 4 2 2 3" xfId="44253" xr:uid="{94524CD6-BDC7-40EC-97C0-44671FBDA1C5}"/>
    <cellStyle name="Note 3 2 2 4 2 2 4" xfId="25655" xr:uid="{A952D6C4-C8D8-4981-9B15-22E5A1E90BFE}"/>
    <cellStyle name="Note 3 2 2 4 2 3" xfId="12991" xr:uid="{52B21ECE-6EA7-4F11-88D4-A9F2DFF11A1D}"/>
    <cellStyle name="Note 3 2 2 4 2 3 2" xfId="49333" xr:uid="{E2585EB3-F3D2-461B-9CF5-1E1504CB1E29}"/>
    <cellStyle name="Note 3 2 2 4 2 3 3" xfId="30737" xr:uid="{5D4B366C-BCE1-402F-A3CD-F4CBC0B313DE}"/>
    <cellStyle name="Note 3 2 2 4 2 4" xfId="40036" xr:uid="{E82F31F6-EA08-49C3-949C-35D95A809478}"/>
    <cellStyle name="Note 3 2 2 4 2 5" xfId="21438" xr:uid="{18341B39-684C-4AD8-86C7-4A93F382C403}"/>
    <cellStyle name="Note 3 2 2 4 3" xfId="5737" xr:uid="{00000000-0005-0000-0000-00006E210000}"/>
    <cellStyle name="Note 3 2 2 4 3 2" xfId="15063" xr:uid="{119A3B9E-A056-458B-A2F7-E1DB52E6394D}"/>
    <cellStyle name="Note 3 2 2 4 3 2 2" xfId="51405" xr:uid="{25A88A38-AF0B-4BC2-8EB5-29395B9F9933}"/>
    <cellStyle name="Note 3 2 2 4 3 2 3" xfId="32809" xr:uid="{B46907C7-EDAF-4F92-8F1D-FA60A5A428F4}"/>
    <cellStyle name="Note 3 2 2 4 3 3" xfId="42108" xr:uid="{EC1018BC-D7F4-4F3E-92EE-42DD61C8547D}"/>
    <cellStyle name="Note 3 2 2 4 3 4" xfId="23510" xr:uid="{0EF50D7B-6850-42AE-9A46-D84FCAA57C50}"/>
    <cellStyle name="Note 3 2 2 4 4" xfId="10846" xr:uid="{19DC676B-8A85-43A8-811A-CB6493FD9A77}"/>
    <cellStyle name="Note 3 2 2 4 4 2" xfId="47188" xr:uid="{D157ED36-1BFE-444C-B7F1-7A403CE45AB5}"/>
    <cellStyle name="Note 3 2 2 4 4 3" xfId="28592" xr:uid="{DD4C1BC2-A37E-46C9-AB09-8BF2D46DC81C}"/>
    <cellStyle name="Note 3 2 2 4 5" xfId="37891" xr:uid="{22FD0BE0-30B6-4975-A1A3-F9C75134C2CA}"/>
    <cellStyle name="Note 3 2 2 4 6" xfId="19293" xr:uid="{4DC1CCC7-3D62-47DD-94D1-EB7923573AB8}"/>
    <cellStyle name="Note 3 2 2 5" xfId="1844" xr:uid="{00000000-0005-0000-0000-00006F210000}"/>
    <cellStyle name="Note 3 2 2 5 2" xfId="4073" xr:uid="{00000000-0005-0000-0000-000070210000}"/>
    <cellStyle name="Note 3 2 2 5 2 2" xfId="8295" xr:uid="{00000000-0005-0000-0000-000071210000}"/>
    <cellStyle name="Note 3 2 2 5 2 2 2" xfId="17621" xr:uid="{E10B340F-CB86-4CDA-9A1E-444295D77468}"/>
    <cellStyle name="Note 3 2 2 5 2 2 2 2" xfId="53963" xr:uid="{C73A3487-6776-419F-950A-04623582DCB2}"/>
    <cellStyle name="Note 3 2 2 5 2 2 2 3" xfId="35367" xr:uid="{A7917040-2586-44B0-901D-6005BA23F5A9}"/>
    <cellStyle name="Note 3 2 2 5 2 2 3" xfId="44666" xr:uid="{FC7BF894-398C-476A-8D79-5F27AA9049A3}"/>
    <cellStyle name="Note 3 2 2 5 2 2 4" xfId="26068" xr:uid="{4A856B73-4431-49EC-815C-A1AF96B88A34}"/>
    <cellStyle name="Note 3 2 2 5 2 3" xfId="13404" xr:uid="{39805CA4-16C8-44FD-8030-6F631E09D81D}"/>
    <cellStyle name="Note 3 2 2 5 2 3 2" xfId="49746" xr:uid="{8AD35978-7AFC-4646-9654-5F04F246F642}"/>
    <cellStyle name="Note 3 2 2 5 2 3 3" xfId="31150" xr:uid="{E18C8D98-EAE6-4D30-818F-9AEF6BC0BAEE}"/>
    <cellStyle name="Note 3 2 2 5 2 4" xfId="40449" xr:uid="{A3EA9F6A-DD44-44B8-A8A8-71AEAFC6B515}"/>
    <cellStyle name="Note 3 2 2 5 2 5" xfId="21851" xr:uid="{381F9137-E092-445C-A099-017582DE3DFD}"/>
    <cellStyle name="Note 3 2 2 5 3" xfId="6150" xr:uid="{00000000-0005-0000-0000-000072210000}"/>
    <cellStyle name="Note 3 2 2 5 3 2" xfId="15476" xr:uid="{0A352250-07A5-445C-A5E3-78990315FEAC}"/>
    <cellStyle name="Note 3 2 2 5 3 2 2" xfId="51818" xr:uid="{AF3EA24F-CDC8-44A2-84F1-E79CC61D653A}"/>
    <cellStyle name="Note 3 2 2 5 3 2 3" xfId="33222" xr:uid="{FC8E8742-DD94-40D2-8FD5-320BA62B8838}"/>
    <cellStyle name="Note 3 2 2 5 3 3" xfId="42521" xr:uid="{66BC2C80-5071-423E-957F-B4B54B8657C9}"/>
    <cellStyle name="Note 3 2 2 5 3 4" xfId="23923" xr:uid="{4B00FFF4-BEE8-4806-82D8-0222F2CFDFE5}"/>
    <cellStyle name="Note 3 2 2 5 4" xfId="11259" xr:uid="{C3FE6D7B-2767-4ACA-93B0-2FC56818BCAD}"/>
    <cellStyle name="Note 3 2 2 5 4 2" xfId="47601" xr:uid="{3EC0CA6F-3AC0-46DD-A579-2397F164DE19}"/>
    <cellStyle name="Note 3 2 2 5 4 3" xfId="29005" xr:uid="{03D1189D-B803-4BEB-9DBC-C4321450E35C}"/>
    <cellStyle name="Note 3 2 2 5 5" xfId="38304" xr:uid="{5FC78DDC-CC6D-445F-9359-B29EBF14516D}"/>
    <cellStyle name="Note 3 2 2 5 6" xfId="19706" xr:uid="{7CB2F0CA-BE04-45DB-B475-2C4E42588FFE}"/>
    <cellStyle name="Note 3 2 2 6" xfId="2257" xr:uid="{00000000-0005-0000-0000-000073210000}"/>
    <cellStyle name="Note 3 2 2 6 2" xfId="4486" xr:uid="{00000000-0005-0000-0000-000074210000}"/>
    <cellStyle name="Note 3 2 2 6 2 2" xfId="8708" xr:uid="{00000000-0005-0000-0000-000075210000}"/>
    <cellStyle name="Note 3 2 2 6 2 2 2" xfId="18034" xr:uid="{7A3100B3-A9F7-4F08-80B5-F7EE400C8AC8}"/>
    <cellStyle name="Note 3 2 2 6 2 2 2 2" xfId="54376" xr:uid="{7BE78E8E-F593-4089-BD5F-E916DB22F881}"/>
    <cellStyle name="Note 3 2 2 6 2 2 2 3" xfId="35780" xr:uid="{C17381E4-58F0-4293-B1E0-C23878373DFE}"/>
    <cellStyle name="Note 3 2 2 6 2 2 3" xfId="45079" xr:uid="{A4352CEB-94EF-458C-880A-606B5E4FFB38}"/>
    <cellStyle name="Note 3 2 2 6 2 2 4" xfId="26481" xr:uid="{4F264F75-8171-40A3-9DB3-AF97AF09E695}"/>
    <cellStyle name="Note 3 2 2 6 2 3" xfId="13817" xr:uid="{CD659BF0-728F-4BAB-825B-2587DB5AF025}"/>
    <cellStyle name="Note 3 2 2 6 2 3 2" xfId="50159" xr:uid="{4CFAB798-EE6E-421F-9185-750C53E55A69}"/>
    <cellStyle name="Note 3 2 2 6 2 3 3" xfId="31563" xr:uid="{21293F63-37B8-4775-9C8A-5F779D897EA8}"/>
    <cellStyle name="Note 3 2 2 6 2 4" xfId="40862" xr:uid="{D3965657-358B-41AD-8F7C-5E823E4C98A7}"/>
    <cellStyle name="Note 3 2 2 6 2 5" xfId="22264" xr:uid="{5A585432-8422-48A5-9524-7A68C6B56E7D}"/>
    <cellStyle name="Note 3 2 2 6 3" xfId="6563" xr:uid="{00000000-0005-0000-0000-000076210000}"/>
    <cellStyle name="Note 3 2 2 6 3 2" xfId="15889" xr:uid="{43D7C026-5D5A-4A98-8856-5A7C69F60D10}"/>
    <cellStyle name="Note 3 2 2 6 3 2 2" xfId="52231" xr:uid="{8737F7A5-2991-4E7F-AB08-4781EEBE8059}"/>
    <cellStyle name="Note 3 2 2 6 3 2 3" xfId="33635" xr:uid="{6FFBC55A-81CA-4CBF-8513-41F45ADDC90A}"/>
    <cellStyle name="Note 3 2 2 6 3 3" xfId="42934" xr:uid="{FBE2D3AD-A39E-4633-9B29-B6C602A1F689}"/>
    <cellStyle name="Note 3 2 2 6 3 4" xfId="24336" xr:uid="{1C07E586-73C4-45B8-866F-EC4D0DF4299D}"/>
    <cellStyle name="Note 3 2 2 6 4" xfId="11672" xr:uid="{374E5106-E157-4801-AAEB-D94A3E6FB318}"/>
    <cellStyle name="Note 3 2 2 6 4 2" xfId="48014" xr:uid="{A294E726-1278-4763-80ED-8837BF77AA3B}"/>
    <cellStyle name="Note 3 2 2 6 4 3" xfId="29418" xr:uid="{0D267D8C-80AE-41D7-9FCE-78EA0F200B60}"/>
    <cellStyle name="Note 3 2 2 6 5" xfId="38717" xr:uid="{D6B73FCA-E032-43A3-A08F-D06D89D3A05D}"/>
    <cellStyle name="Note 3 2 2 6 6" xfId="20119" xr:uid="{8E185599-0B3D-4A4E-A70B-9CDB68FBBE69}"/>
    <cellStyle name="Note 3 2 2 7" xfId="2693" xr:uid="{00000000-0005-0000-0000-000077210000}"/>
    <cellStyle name="Note 3 2 2 7 2" xfId="6976" xr:uid="{00000000-0005-0000-0000-000078210000}"/>
    <cellStyle name="Note 3 2 2 7 2 2" xfId="16302" xr:uid="{EA052CCC-576E-433D-8DF7-B6DCE8239D5D}"/>
    <cellStyle name="Note 3 2 2 7 2 2 2" xfId="52644" xr:uid="{EF4CDA5F-CC9B-47F9-94E1-0E4FE175ADCA}"/>
    <cellStyle name="Note 3 2 2 7 2 2 3" xfId="34048" xr:uid="{6DC4F2A4-3A9A-4879-921D-F859808A70B5}"/>
    <cellStyle name="Note 3 2 2 7 2 3" xfId="43347" xr:uid="{14C356F0-577B-484B-B083-2F81F0F0E613}"/>
    <cellStyle name="Note 3 2 2 7 2 4" xfId="24749" xr:uid="{979D0C99-3BA8-4D52-BDB9-452D2F89E680}"/>
    <cellStyle name="Note 3 2 2 7 3" xfId="12085" xr:uid="{1136895A-0B0C-4132-AF82-229216D84462}"/>
    <cellStyle name="Note 3 2 2 7 3 2" xfId="48427" xr:uid="{FEFC8EFB-1542-42C0-9C23-88A3119FEBBB}"/>
    <cellStyle name="Note 3 2 2 7 3 3" xfId="29831" xr:uid="{AE942636-8AF8-449C-A609-B8CA747254E3}"/>
    <cellStyle name="Note 3 2 2 7 4" xfId="39130" xr:uid="{B7C3EC91-B2B3-4FA8-AD8A-7F50981043FC}"/>
    <cellStyle name="Note 3 2 2 7 5" xfId="20532" xr:uid="{D0B284E2-3716-41FA-88CF-1B2F8970B355}"/>
    <cellStyle name="Note 3 2 2 8" xfId="2752" xr:uid="{00000000-0005-0000-0000-000079210000}"/>
    <cellStyle name="Note 3 2 2 9" xfId="2833" xr:uid="{00000000-0005-0000-0000-00007A210000}"/>
    <cellStyle name="Note 3 2 2 9 2" xfId="7056" xr:uid="{00000000-0005-0000-0000-00007B210000}"/>
    <cellStyle name="Note 3 2 2 9 2 2" xfId="16382" xr:uid="{81BE66EB-7475-4992-A64F-1C84CADB6B75}"/>
    <cellStyle name="Note 3 2 2 9 2 2 2" xfId="52724" xr:uid="{F25D02D4-B90C-48F7-B4D4-62903404D743}"/>
    <cellStyle name="Note 3 2 2 9 2 2 3" xfId="34128" xr:uid="{7493B3A7-D25D-44A0-870D-4198EC5E0629}"/>
    <cellStyle name="Note 3 2 2 9 2 3" xfId="43427" xr:uid="{26DC8415-0E76-4A4D-9269-F912E44F7F3B}"/>
    <cellStyle name="Note 3 2 2 9 2 4" xfId="24829" xr:uid="{6A69232C-ECA9-4BFD-B1C7-7F8A39D42654}"/>
    <cellStyle name="Note 3 2 2 9 3" xfId="12165" xr:uid="{5C9BF1CA-3526-4EB9-A397-8A13A69B2356}"/>
    <cellStyle name="Note 3 2 2 9 3 2" xfId="48507" xr:uid="{A7DD8EF1-403D-4B1D-BED9-67DCE51C00FA}"/>
    <cellStyle name="Note 3 2 2 9 3 3" xfId="29911" xr:uid="{D71F1256-C556-4729-887C-C5B20DA4F8C1}"/>
    <cellStyle name="Note 3 2 2 9 4" xfId="39210" xr:uid="{7BCA5C22-FB15-4809-909E-F7B8871D14C2}"/>
    <cellStyle name="Note 3 2 2 9 5" xfId="20612" xr:uid="{F43B375E-0107-49D3-92EC-7AC17FC6E58B}"/>
    <cellStyle name="Note 3 2 3" xfId="557" xr:uid="{00000000-0005-0000-0000-00007C210000}"/>
    <cellStyle name="Note 3 2 3 10" xfId="9049" xr:uid="{98DA21AE-8EED-4AF2-A5D5-94394E9C9EFE}"/>
    <cellStyle name="Note 3 2 3 10 2" xfId="36119" xr:uid="{47189EF1-947A-4C8E-8BEC-2E21F4EC4EBE}"/>
    <cellStyle name="Note 3 2 3 10 2 2" xfId="54714" xr:uid="{6D42567B-D76C-4092-8804-136ED48E25EA}"/>
    <cellStyle name="Note 3 2 3 10 3" xfId="45417" xr:uid="{D948888F-E933-4983-90E6-1592C7AE7BED}"/>
    <cellStyle name="Note 3 2 3 10 4" xfId="26820" xr:uid="{E54D02B4-047D-45B8-A538-79F418974486}"/>
    <cellStyle name="Note 3 2 3 11" xfId="10022" xr:uid="{81EF9400-B847-4494-A4B1-ABBBF0BBAA08}"/>
    <cellStyle name="Note 3 2 3 11 2" xfId="46364" xr:uid="{6C85E478-AFF0-438A-BC7E-8A82AC5BD639}"/>
    <cellStyle name="Note 3 2 3 11 3" xfId="27768" xr:uid="{C9D77C25-3B86-46AD-8B4B-45D1767ADABD}"/>
    <cellStyle name="Note 3 2 3 12" xfId="37067" xr:uid="{FC808042-5A2E-4532-AE6A-4946BBA1E06D}"/>
    <cellStyle name="Note 3 2 3 13" xfId="18469" xr:uid="{28837AFE-96ED-4FCC-BA92-9E3FCB905131}"/>
    <cellStyle name="Note 3 2 3 2" xfId="1017" xr:uid="{00000000-0005-0000-0000-00007D210000}"/>
    <cellStyle name="Note 3 2 3 2 2" xfId="3249" xr:uid="{00000000-0005-0000-0000-00007E210000}"/>
    <cellStyle name="Note 3 2 3 2 2 2" xfId="7471" xr:uid="{00000000-0005-0000-0000-00007F210000}"/>
    <cellStyle name="Note 3 2 3 2 2 2 2" xfId="16797" xr:uid="{3EC1485A-DF4E-41FA-80BC-464E70998914}"/>
    <cellStyle name="Note 3 2 3 2 2 2 2 2" xfId="53139" xr:uid="{497CA35D-069D-4C3D-8452-3B32D6F37802}"/>
    <cellStyle name="Note 3 2 3 2 2 2 2 3" xfId="34543" xr:uid="{522FC630-1F7C-4E87-81E5-21D862FA2DB1}"/>
    <cellStyle name="Note 3 2 3 2 2 2 3" xfId="43842" xr:uid="{514A6F80-20DB-4258-A9E8-B571F02F314E}"/>
    <cellStyle name="Note 3 2 3 2 2 2 4" xfId="25244" xr:uid="{B29EC4AB-C767-4378-A0C4-19E6874B741F}"/>
    <cellStyle name="Note 3 2 3 2 2 3" xfId="12580" xr:uid="{AEB97D4E-2B8C-4F86-AEF3-AB77C7530CF7}"/>
    <cellStyle name="Note 3 2 3 2 2 3 2" xfId="48922" xr:uid="{CB16F687-A7EB-4533-8FB3-B7207072BC1F}"/>
    <cellStyle name="Note 3 2 3 2 2 3 3" xfId="30326" xr:uid="{ADC90390-3675-405E-BD31-37C6F7F31787}"/>
    <cellStyle name="Note 3 2 3 2 2 4" xfId="39625" xr:uid="{D1307261-02F1-4E96-92E8-558C71FAF0FA}"/>
    <cellStyle name="Note 3 2 3 2 2 5" xfId="21027" xr:uid="{DC89E14C-A50F-4243-9B57-05C6C0FBCD30}"/>
    <cellStyle name="Note 3 2 3 2 3" xfId="5326" xr:uid="{00000000-0005-0000-0000-000080210000}"/>
    <cellStyle name="Note 3 2 3 2 3 2" xfId="14652" xr:uid="{DD089996-FE9F-4B94-8211-0F78A34D2EE5}"/>
    <cellStyle name="Note 3 2 3 2 3 2 2" xfId="50994" xr:uid="{14FB9041-E679-443E-B397-B732FC5F6FB3}"/>
    <cellStyle name="Note 3 2 3 2 3 2 3" xfId="32398" xr:uid="{D5F9BD43-2BF9-4FCD-A788-E09F8C3D7E14}"/>
    <cellStyle name="Note 3 2 3 2 3 3" xfId="41697" xr:uid="{87AF2D0E-74B7-4255-8308-8A3810452BFD}"/>
    <cellStyle name="Note 3 2 3 2 3 4" xfId="23099" xr:uid="{36169305-7E47-42E9-BED5-A6C32B4F98D8}"/>
    <cellStyle name="Note 3 2 3 2 4" xfId="9474" xr:uid="{8827394E-7DCF-4E58-BF45-94E8587F7D91}"/>
    <cellStyle name="Note 3 2 3 2 4 2" xfId="36535" xr:uid="{F4BDB44F-0CBE-4B48-B506-23D9DB7F5771}"/>
    <cellStyle name="Note 3 2 3 2 4 2 2" xfId="55129" xr:uid="{CCBF8C5D-9C5E-4655-98C9-4E33A27EA052}"/>
    <cellStyle name="Note 3 2 3 2 4 3" xfId="45832" xr:uid="{78B17422-1CDF-4AD7-8D6C-64A2FECF9FBD}"/>
    <cellStyle name="Note 3 2 3 2 4 4" xfId="27236" xr:uid="{0495E156-7266-4060-A9D3-B85A87BDF288}"/>
    <cellStyle name="Note 3 2 3 2 5" xfId="10435" xr:uid="{5FD1F569-6C82-44CC-96C8-1EFE2B50C26B}"/>
    <cellStyle name="Note 3 2 3 2 5 2" xfId="46777" xr:uid="{B9CAB97C-5DFF-4B24-B99A-87332125D6DE}"/>
    <cellStyle name="Note 3 2 3 2 5 3" xfId="28181" xr:uid="{54CF109A-7C02-4FF7-84C0-C487286846A1}"/>
    <cellStyle name="Note 3 2 3 2 6" xfId="37480" xr:uid="{2BA96840-FF19-4278-BDC9-B7F9CDD2ED4E}"/>
    <cellStyle name="Note 3 2 3 2 7" xfId="18882" xr:uid="{A12B5561-6629-43E7-B0F0-C4630128893E}"/>
    <cellStyle name="Note 3 2 3 3" xfId="1432" xr:uid="{00000000-0005-0000-0000-000081210000}"/>
    <cellStyle name="Note 3 2 3 3 2" xfId="3662" xr:uid="{00000000-0005-0000-0000-000082210000}"/>
    <cellStyle name="Note 3 2 3 3 2 2" xfId="7884" xr:uid="{00000000-0005-0000-0000-000083210000}"/>
    <cellStyle name="Note 3 2 3 3 2 2 2" xfId="17210" xr:uid="{9C0958D0-AFAF-4439-A2EB-9AA42335C36A}"/>
    <cellStyle name="Note 3 2 3 3 2 2 2 2" xfId="53552" xr:uid="{8CD1CFF9-2D9D-47B6-A8E7-896AAE2029AF}"/>
    <cellStyle name="Note 3 2 3 3 2 2 2 3" xfId="34956" xr:uid="{E39846F7-65F7-4763-A153-A5CF917FBD25}"/>
    <cellStyle name="Note 3 2 3 3 2 2 3" xfId="44255" xr:uid="{42DA913F-1A02-4599-B65C-AF09C8DD96E5}"/>
    <cellStyle name="Note 3 2 3 3 2 2 4" xfId="25657" xr:uid="{16C4BA82-2A8C-405C-BF31-B0A17DEBD78E}"/>
    <cellStyle name="Note 3 2 3 3 2 3" xfId="12993" xr:uid="{08E13CE8-813E-400C-B7BC-F23485933138}"/>
    <cellStyle name="Note 3 2 3 3 2 3 2" xfId="49335" xr:uid="{13FE1DDF-1C8C-4EA6-BC99-03E3B57B3938}"/>
    <cellStyle name="Note 3 2 3 3 2 3 3" xfId="30739" xr:uid="{C1197BE7-3896-4DDD-80D3-93C0E3D3B9AE}"/>
    <cellStyle name="Note 3 2 3 3 2 4" xfId="40038" xr:uid="{0699BF20-B0B5-4730-9270-5BD568D85EBC}"/>
    <cellStyle name="Note 3 2 3 3 2 5" xfId="21440" xr:uid="{7551D9A9-88FC-422C-A1BC-1061B34F2144}"/>
    <cellStyle name="Note 3 2 3 3 3" xfId="5739" xr:uid="{00000000-0005-0000-0000-000084210000}"/>
    <cellStyle name="Note 3 2 3 3 3 2" xfId="15065" xr:uid="{3CF02C82-32C9-4AC4-B7FF-44AFED4632B5}"/>
    <cellStyle name="Note 3 2 3 3 3 2 2" xfId="51407" xr:uid="{E0B8E07E-4E96-4D2F-B156-AD6910B0114D}"/>
    <cellStyle name="Note 3 2 3 3 3 2 3" xfId="32811" xr:uid="{B8E3AF56-3EF3-48B6-B4CA-EA440B468AD6}"/>
    <cellStyle name="Note 3 2 3 3 3 3" xfId="42110" xr:uid="{581DB889-5F5A-43B8-8E62-0C4ACFFCCFDC}"/>
    <cellStyle name="Note 3 2 3 3 3 4" xfId="23512" xr:uid="{0AD4C8C8-6A1B-47AC-A0F2-9A2E84341878}"/>
    <cellStyle name="Note 3 2 3 3 4" xfId="10848" xr:uid="{3D91662D-372F-4A5A-BE2E-379B32E2A141}"/>
    <cellStyle name="Note 3 2 3 3 4 2" xfId="47190" xr:uid="{3A2C3C07-51BA-4869-BD8E-20F4ECE1B1A0}"/>
    <cellStyle name="Note 3 2 3 3 4 3" xfId="28594" xr:uid="{727A9751-06DF-437C-AF04-817E339DB0AA}"/>
    <cellStyle name="Note 3 2 3 3 5" xfId="37893" xr:uid="{8363E05A-FA0A-406F-A7F3-CE97F2592FC7}"/>
    <cellStyle name="Note 3 2 3 3 6" xfId="19295" xr:uid="{12A7A8DC-E46D-4B6A-9606-F037FA067012}"/>
    <cellStyle name="Note 3 2 3 4" xfId="1846" xr:uid="{00000000-0005-0000-0000-000085210000}"/>
    <cellStyle name="Note 3 2 3 4 2" xfId="4075" xr:uid="{00000000-0005-0000-0000-000086210000}"/>
    <cellStyle name="Note 3 2 3 4 2 2" xfId="8297" xr:uid="{00000000-0005-0000-0000-000087210000}"/>
    <cellStyle name="Note 3 2 3 4 2 2 2" xfId="17623" xr:uid="{4BD5E45C-C2C8-4B84-88C5-8E5A545D8FB6}"/>
    <cellStyle name="Note 3 2 3 4 2 2 2 2" xfId="53965" xr:uid="{AC822DD6-0FC1-4107-A9BA-8E52EAB54E72}"/>
    <cellStyle name="Note 3 2 3 4 2 2 2 3" xfId="35369" xr:uid="{A0D9BB10-7506-437A-B249-6D90D0CB6C9A}"/>
    <cellStyle name="Note 3 2 3 4 2 2 3" xfId="44668" xr:uid="{15F34EA4-864A-4DD6-B083-87763CBCB492}"/>
    <cellStyle name="Note 3 2 3 4 2 2 4" xfId="26070" xr:uid="{1A143F9E-0835-4098-91B2-C063372CB906}"/>
    <cellStyle name="Note 3 2 3 4 2 3" xfId="13406" xr:uid="{70748EA1-7D18-4AD4-AAB9-2BA618C650C3}"/>
    <cellStyle name="Note 3 2 3 4 2 3 2" xfId="49748" xr:uid="{F77C2875-CD93-4E3C-9B5A-F55BF6137144}"/>
    <cellStyle name="Note 3 2 3 4 2 3 3" xfId="31152" xr:uid="{C481903B-D68B-4F1D-83AE-AA81BF1279D0}"/>
    <cellStyle name="Note 3 2 3 4 2 4" xfId="40451" xr:uid="{8AA21E9A-99F8-4309-81B3-5374CF53FDDB}"/>
    <cellStyle name="Note 3 2 3 4 2 5" xfId="21853" xr:uid="{481AB42A-D0F2-41F3-84CA-ED83EA1EF652}"/>
    <cellStyle name="Note 3 2 3 4 3" xfId="6152" xr:uid="{00000000-0005-0000-0000-000088210000}"/>
    <cellStyle name="Note 3 2 3 4 3 2" xfId="15478" xr:uid="{8B6A70AA-9A31-47D2-899E-8FBE950F8FEF}"/>
    <cellStyle name="Note 3 2 3 4 3 2 2" xfId="51820" xr:uid="{962F64F6-2E33-4AFC-AFB0-F81CFD3204BB}"/>
    <cellStyle name="Note 3 2 3 4 3 2 3" xfId="33224" xr:uid="{C794080D-AF88-4A45-944E-8DDC0BB55E22}"/>
    <cellStyle name="Note 3 2 3 4 3 3" xfId="42523" xr:uid="{5056534A-4213-4DA1-BC08-940C22C37A23}"/>
    <cellStyle name="Note 3 2 3 4 3 4" xfId="23925" xr:uid="{2E92DD29-47B2-44C1-BD92-A7852445D07A}"/>
    <cellStyle name="Note 3 2 3 4 4" xfId="11261" xr:uid="{CB3EE34C-3BE1-4821-BDBA-A69774D08F1D}"/>
    <cellStyle name="Note 3 2 3 4 4 2" xfId="47603" xr:uid="{0D117423-42C5-4611-A5BB-248DCFFDF419}"/>
    <cellStyle name="Note 3 2 3 4 4 3" xfId="29007" xr:uid="{064988D2-76F1-444A-BB55-E54A6C0649DD}"/>
    <cellStyle name="Note 3 2 3 4 5" xfId="38306" xr:uid="{C3D643F4-93E8-4F27-89E7-88FAAEE255CF}"/>
    <cellStyle name="Note 3 2 3 4 6" xfId="19708" xr:uid="{47A3F54E-DEB7-4A5F-B905-229DBC2C9C6E}"/>
    <cellStyle name="Note 3 2 3 5" xfId="2259" xr:uid="{00000000-0005-0000-0000-000089210000}"/>
    <cellStyle name="Note 3 2 3 5 2" xfId="4488" xr:uid="{00000000-0005-0000-0000-00008A210000}"/>
    <cellStyle name="Note 3 2 3 5 2 2" xfId="8710" xr:uid="{00000000-0005-0000-0000-00008B210000}"/>
    <cellStyle name="Note 3 2 3 5 2 2 2" xfId="18036" xr:uid="{733C9CF2-5DAD-433F-B72F-C8857EBC8E2B}"/>
    <cellStyle name="Note 3 2 3 5 2 2 2 2" xfId="54378" xr:uid="{3E4A1931-50F1-4730-BCE1-8D3D3C6269CD}"/>
    <cellStyle name="Note 3 2 3 5 2 2 2 3" xfId="35782" xr:uid="{598DBE0F-987A-4B08-8E53-6ED3298F3176}"/>
    <cellStyle name="Note 3 2 3 5 2 2 3" xfId="45081" xr:uid="{AAD83FB3-8AA5-42EC-B4AE-84466C805B8A}"/>
    <cellStyle name="Note 3 2 3 5 2 2 4" xfId="26483" xr:uid="{9679BBA4-D7FC-487A-AE85-3B89FCF0B5AF}"/>
    <cellStyle name="Note 3 2 3 5 2 3" xfId="13819" xr:uid="{0FC50050-E958-4F45-A257-CF2036C55882}"/>
    <cellStyle name="Note 3 2 3 5 2 3 2" xfId="50161" xr:uid="{B6981074-5E1A-43C7-A412-94C986831E81}"/>
    <cellStyle name="Note 3 2 3 5 2 3 3" xfId="31565" xr:uid="{2A33BC65-D0A9-4260-B336-175712380A11}"/>
    <cellStyle name="Note 3 2 3 5 2 4" xfId="40864" xr:uid="{8760490E-B297-4A51-859C-A53A16CB7727}"/>
    <cellStyle name="Note 3 2 3 5 2 5" xfId="22266" xr:uid="{AC46DAA0-8ACC-4C0F-A0A3-3CA64969010E}"/>
    <cellStyle name="Note 3 2 3 5 3" xfId="6565" xr:uid="{00000000-0005-0000-0000-00008C210000}"/>
    <cellStyle name="Note 3 2 3 5 3 2" xfId="15891" xr:uid="{95D5E7B6-D8AC-494A-830B-CF538B1DAC01}"/>
    <cellStyle name="Note 3 2 3 5 3 2 2" xfId="52233" xr:uid="{9EB98DFA-EEBE-4CB0-9FEA-E65CA370649D}"/>
    <cellStyle name="Note 3 2 3 5 3 2 3" xfId="33637" xr:uid="{2452E511-B900-46D5-AAA5-8E429E1BF696}"/>
    <cellStyle name="Note 3 2 3 5 3 3" xfId="42936" xr:uid="{0E42CC27-E72E-4F28-8124-38810D29F843}"/>
    <cellStyle name="Note 3 2 3 5 3 4" xfId="24338" xr:uid="{55C34D03-92A2-4B47-A0BF-D3F2317CA95D}"/>
    <cellStyle name="Note 3 2 3 5 4" xfId="11674" xr:uid="{DD12FA31-AF68-4B59-B7C7-C4366B70755B}"/>
    <cellStyle name="Note 3 2 3 5 4 2" xfId="48016" xr:uid="{9B9CFEC1-998B-47A2-A280-2FDCD3FC7994}"/>
    <cellStyle name="Note 3 2 3 5 4 3" xfId="29420" xr:uid="{CFC4AAED-B159-4B61-869A-0D38FDFEB676}"/>
    <cellStyle name="Note 3 2 3 5 5" xfId="38719" xr:uid="{37C16325-41C5-43D0-96ED-D7F47A8B11CA}"/>
    <cellStyle name="Note 3 2 3 5 6" xfId="20121" xr:uid="{9997ACE3-6BDF-445E-BF98-40443615060B}"/>
    <cellStyle name="Note 3 2 3 6" xfId="2695" xr:uid="{00000000-0005-0000-0000-00008D210000}"/>
    <cellStyle name="Note 3 2 3 6 2" xfId="6978" xr:uid="{00000000-0005-0000-0000-00008E210000}"/>
    <cellStyle name="Note 3 2 3 6 2 2" xfId="16304" xr:uid="{1CBEF2CA-7C5C-4865-9A98-426B5D2D094C}"/>
    <cellStyle name="Note 3 2 3 6 2 2 2" xfId="52646" xr:uid="{B195C0D1-2C1C-4C85-9FDB-156545DED130}"/>
    <cellStyle name="Note 3 2 3 6 2 2 3" xfId="34050" xr:uid="{FCF9CA9A-756C-4BB5-8E94-69C86099996A}"/>
    <cellStyle name="Note 3 2 3 6 2 3" xfId="43349" xr:uid="{7F462B01-FE01-4C53-A72D-481638705334}"/>
    <cellStyle name="Note 3 2 3 6 2 4" xfId="24751" xr:uid="{BB5F2545-5551-4F81-9AE1-BB781B24406F}"/>
    <cellStyle name="Note 3 2 3 6 3" xfId="12087" xr:uid="{53812FD0-5D7F-443A-9998-C4BD67B246AD}"/>
    <cellStyle name="Note 3 2 3 6 3 2" xfId="48429" xr:uid="{5E3C789F-7137-4704-B649-9D1AAB842C98}"/>
    <cellStyle name="Note 3 2 3 6 3 3" xfId="29833" xr:uid="{E0ED955D-29CA-4933-A90A-DF4CAF96D73E}"/>
    <cellStyle name="Note 3 2 3 6 4" xfId="39132" xr:uid="{67F3B9BD-2EDE-4848-B84D-57F1D53DD898}"/>
    <cellStyle name="Note 3 2 3 6 5" xfId="20534" xr:uid="{C5CF162F-5824-4B6A-BAB5-7EDA9655865C}"/>
    <cellStyle name="Note 3 2 3 7" xfId="2754" xr:uid="{00000000-0005-0000-0000-00008F210000}"/>
    <cellStyle name="Note 3 2 3 8" xfId="2835" xr:uid="{00000000-0005-0000-0000-000090210000}"/>
    <cellStyle name="Note 3 2 3 8 2" xfId="7058" xr:uid="{00000000-0005-0000-0000-000091210000}"/>
    <cellStyle name="Note 3 2 3 8 2 2" xfId="16384" xr:uid="{F6E86DE3-52F0-469C-A9A2-A27710EB8C35}"/>
    <cellStyle name="Note 3 2 3 8 2 2 2" xfId="52726" xr:uid="{14176FB4-C567-4782-92DB-9437752C736A}"/>
    <cellStyle name="Note 3 2 3 8 2 2 3" xfId="34130" xr:uid="{0711D4F6-D9EC-4F47-A18E-636CB3841B72}"/>
    <cellStyle name="Note 3 2 3 8 2 3" xfId="43429" xr:uid="{E244AF76-1ACA-40E1-8620-F23427FCDEF0}"/>
    <cellStyle name="Note 3 2 3 8 2 4" xfId="24831" xr:uid="{760AC8BC-C67B-4941-A3F8-7625A7CF0B85}"/>
    <cellStyle name="Note 3 2 3 8 3" xfId="12167" xr:uid="{AEC8004A-C190-43B6-A216-577DADD49025}"/>
    <cellStyle name="Note 3 2 3 8 3 2" xfId="48509" xr:uid="{5BFB916D-235A-4067-B4ED-E3FEEB2530F7}"/>
    <cellStyle name="Note 3 2 3 8 3 3" xfId="29913" xr:uid="{62D7A0D8-3FDB-4141-9A57-349DD67DE8CD}"/>
    <cellStyle name="Note 3 2 3 8 4" xfId="39212" xr:uid="{16E4CED3-C353-4432-B583-C8D8D554D593}"/>
    <cellStyle name="Note 3 2 3 8 5" xfId="20614" xr:uid="{B70223A7-6129-423A-B926-1EDE5D05EB53}"/>
    <cellStyle name="Note 3 2 3 9" xfId="4913" xr:uid="{00000000-0005-0000-0000-000092210000}"/>
    <cellStyle name="Note 3 2 3 9 2" xfId="14239" xr:uid="{0CEDE5FA-ED59-433B-9317-E02D52D06C32}"/>
    <cellStyle name="Note 3 2 3 9 2 2" xfId="50581" xr:uid="{B4E43FBA-56CC-4762-A817-737BFD35DC0D}"/>
    <cellStyle name="Note 3 2 3 9 2 3" xfId="31985" xr:uid="{14E3A629-48D4-4093-B39E-628DEC78CD29}"/>
    <cellStyle name="Note 3 2 3 9 3" xfId="41284" xr:uid="{F2608EC5-A714-4647-A245-F9E3E1BA3227}"/>
    <cellStyle name="Note 3 2 3 9 4" xfId="22686" xr:uid="{40CC22C9-0DA9-496E-BD4D-3171AD63F25C}"/>
    <cellStyle name="Note 3 2 4" xfId="1014" xr:uid="{00000000-0005-0000-0000-000093210000}"/>
    <cellStyle name="Note 3 2 4 2" xfId="3246" xr:uid="{00000000-0005-0000-0000-000094210000}"/>
    <cellStyle name="Note 3 2 4 2 2" xfId="7468" xr:uid="{00000000-0005-0000-0000-000095210000}"/>
    <cellStyle name="Note 3 2 4 2 2 2" xfId="16794" xr:uid="{5CE3A9D5-A786-4C66-BBA5-7FBA66E2DB9A}"/>
    <cellStyle name="Note 3 2 4 2 2 2 2" xfId="53136" xr:uid="{C1A397DD-B68E-4188-B567-0981DEB43E96}"/>
    <cellStyle name="Note 3 2 4 2 2 2 3" xfId="34540" xr:uid="{BDF7D950-C225-4248-9991-C864C817B970}"/>
    <cellStyle name="Note 3 2 4 2 2 3" xfId="43839" xr:uid="{81F65D0F-B7FD-43DC-80F2-CB43B36BD680}"/>
    <cellStyle name="Note 3 2 4 2 2 4" xfId="25241" xr:uid="{D0B861E9-FEF2-454D-AB53-91EABFFF4BEC}"/>
    <cellStyle name="Note 3 2 4 2 3" xfId="12577" xr:uid="{B1A335D4-8E84-46D6-B84F-A627A90488F6}"/>
    <cellStyle name="Note 3 2 4 2 3 2" xfId="48919" xr:uid="{7E440F5F-ABF7-4434-9445-5033743C6048}"/>
    <cellStyle name="Note 3 2 4 2 3 3" xfId="30323" xr:uid="{5861993C-2E00-4A7F-A330-91760E083EF7}"/>
    <cellStyle name="Note 3 2 4 2 4" xfId="39622" xr:uid="{59D551C9-8622-48FB-95BE-32A6F5263F86}"/>
    <cellStyle name="Note 3 2 4 2 5" xfId="21024" xr:uid="{7D6A8871-4326-4A53-AD13-1AAE2B7462EB}"/>
    <cellStyle name="Note 3 2 4 3" xfId="5323" xr:uid="{00000000-0005-0000-0000-000096210000}"/>
    <cellStyle name="Note 3 2 4 3 2" xfId="14649" xr:uid="{F6AF9B7E-7640-4063-AF35-7B7A98DE4FBF}"/>
    <cellStyle name="Note 3 2 4 3 2 2" xfId="50991" xr:uid="{9CD8F9A9-3CA5-497E-B664-7A99750376AD}"/>
    <cellStyle name="Note 3 2 4 3 2 3" xfId="32395" xr:uid="{0056024E-84B7-4D17-A031-F7808AD0629A}"/>
    <cellStyle name="Note 3 2 4 3 3" xfId="41694" xr:uid="{BF1C365F-783B-4F2A-8CF6-FBC95E2ACED1}"/>
    <cellStyle name="Note 3 2 4 3 4" xfId="23096" xr:uid="{95794C25-8A46-4A98-A9C0-F767D5323E39}"/>
    <cellStyle name="Note 3 2 4 4" xfId="9267" xr:uid="{1291CED5-E18E-4F1A-8856-A132B18F5C81}"/>
    <cellStyle name="Note 3 2 4 4 2" xfId="36328" xr:uid="{ECC0CF08-A5EC-4597-9C7A-936A2033BDCB}"/>
    <cellStyle name="Note 3 2 4 4 2 2" xfId="54922" xr:uid="{37B0A960-2C63-4EF1-8A67-C75C7A8DD4CF}"/>
    <cellStyle name="Note 3 2 4 4 3" xfId="45625" xr:uid="{7863744D-7AC0-4431-8166-534A78103D8C}"/>
    <cellStyle name="Note 3 2 4 4 4" xfId="27029" xr:uid="{8F07CCFE-1381-4B54-B7C0-4A78641CEF5D}"/>
    <cellStyle name="Note 3 2 4 5" xfId="10432" xr:uid="{BA77DEA3-2AB1-4090-888F-9BF6C7B43CE0}"/>
    <cellStyle name="Note 3 2 4 5 2" xfId="46774" xr:uid="{90F643E6-6875-46E0-B78D-19BE42111065}"/>
    <cellStyle name="Note 3 2 4 5 3" xfId="28178" xr:uid="{EBF8C59C-152D-4CBD-A339-C4C9CC265D8A}"/>
    <cellStyle name="Note 3 2 4 6" xfId="37477" xr:uid="{A2F3737A-6C90-4DDC-BFF9-5CE2B47F25AA}"/>
    <cellStyle name="Note 3 2 4 7" xfId="18879" xr:uid="{3752712B-F30C-45CC-A77A-7D11B3CAF6BD}"/>
    <cellStyle name="Note 3 2 5" xfId="1429" xr:uid="{00000000-0005-0000-0000-000097210000}"/>
    <cellStyle name="Note 3 2 5 2" xfId="3659" xr:uid="{00000000-0005-0000-0000-000098210000}"/>
    <cellStyle name="Note 3 2 5 2 2" xfId="7881" xr:uid="{00000000-0005-0000-0000-000099210000}"/>
    <cellStyle name="Note 3 2 5 2 2 2" xfId="17207" xr:uid="{646D3129-9009-4A0B-A1E0-082108F64049}"/>
    <cellStyle name="Note 3 2 5 2 2 2 2" xfId="53549" xr:uid="{22F85604-EDAC-4C0C-B00B-AE87B987C45A}"/>
    <cellStyle name="Note 3 2 5 2 2 2 3" xfId="34953" xr:uid="{EA1226D4-FCBC-4277-AB1B-96AE15F4F8E7}"/>
    <cellStyle name="Note 3 2 5 2 2 3" xfId="44252" xr:uid="{B7AF6300-2E4F-4E4C-8106-065A956325A0}"/>
    <cellStyle name="Note 3 2 5 2 2 4" xfId="25654" xr:uid="{351EB34A-6377-4136-AFB3-011E773537E5}"/>
    <cellStyle name="Note 3 2 5 2 3" xfId="12990" xr:uid="{50F7B23D-BEE3-4243-969A-2CE42AB1EE10}"/>
    <cellStyle name="Note 3 2 5 2 3 2" xfId="49332" xr:uid="{88779C6D-1855-4136-B651-332E18CB46B7}"/>
    <cellStyle name="Note 3 2 5 2 3 3" xfId="30736" xr:uid="{70851FD8-029C-4349-A9FF-A9871F1EB69E}"/>
    <cellStyle name="Note 3 2 5 2 4" xfId="40035" xr:uid="{1E7E22F3-CBA0-4349-BF05-752D4B849668}"/>
    <cellStyle name="Note 3 2 5 2 5" xfId="21437" xr:uid="{37CA1031-F52D-4A61-9BB3-09864BFD3060}"/>
    <cellStyle name="Note 3 2 5 3" xfId="5736" xr:uid="{00000000-0005-0000-0000-00009A210000}"/>
    <cellStyle name="Note 3 2 5 3 2" xfId="15062" xr:uid="{D7BEB386-1390-42E0-8A4A-246914AACED5}"/>
    <cellStyle name="Note 3 2 5 3 2 2" xfId="51404" xr:uid="{2D8DEB3E-36BE-4589-866D-AEA46B0A44D7}"/>
    <cellStyle name="Note 3 2 5 3 2 3" xfId="32808" xr:uid="{1AC519A6-6BE7-4C74-8E45-49F35B433C4E}"/>
    <cellStyle name="Note 3 2 5 3 3" xfId="42107" xr:uid="{E0D0ECDF-7AEF-43D1-8BBB-1E1249CADC05}"/>
    <cellStyle name="Note 3 2 5 3 4" xfId="23509" xr:uid="{A4B4B9D2-6A22-40A4-8B78-8B1E3F786EC7}"/>
    <cellStyle name="Note 3 2 5 4" xfId="10845" xr:uid="{328C55BC-D975-4782-8A75-D44FBD48A3FB}"/>
    <cellStyle name="Note 3 2 5 4 2" xfId="47187" xr:uid="{41A59FBF-18A5-40B9-B15D-BAA50DFA936D}"/>
    <cellStyle name="Note 3 2 5 4 3" xfId="28591" xr:uid="{4017DAFC-A451-43B7-8379-FC83EBDE9794}"/>
    <cellStyle name="Note 3 2 5 5" xfId="37890" xr:uid="{CCABBF10-E24B-4BD0-9FD7-085E15C7E8BF}"/>
    <cellStyle name="Note 3 2 5 6" xfId="19292" xr:uid="{F0BC17BE-23A3-46F4-87B3-7C51DA24F787}"/>
    <cellStyle name="Note 3 2 6" xfId="1843" xr:uid="{00000000-0005-0000-0000-00009B210000}"/>
    <cellStyle name="Note 3 2 6 2" xfId="4072" xr:uid="{00000000-0005-0000-0000-00009C210000}"/>
    <cellStyle name="Note 3 2 6 2 2" xfId="8294" xr:uid="{00000000-0005-0000-0000-00009D210000}"/>
    <cellStyle name="Note 3 2 6 2 2 2" xfId="17620" xr:uid="{1A58F824-248B-4869-AA6F-A83D07DCCB58}"/>
    <cellStyle name="Note 3 2 6 2 2 2 2" xfId="53962" xr:uid="{61F784EE-6976-431B-86B3-C6B18B943D91}"/>
    <cellStyle name="Note 3 2 6 2 2 2 3" xfId="35366" xr:uid="{20570A84-5756-4FFC-BCB5-83A75B7848DC}"/>
    <cellStyle name="Note 3 2 6 2 2 3" xfId="44665" xr:uid="{B633CE25-C419-4C3D-910E-736BAB715F66}"/>
    <cellStyle name="Note 3 2 6 2 2 4" xfId="26067" xr:uid="{7A3093AD-6D04-482D-BD4D-AC459888B3F7}"/>
    <cellStyle name="Note 3 2 6 2 3" xfId="13403" xr:uid="{9CC6C517-55A9-4A8E-B20C-446565B63FEF}"/>
    <cellStyle name="Note 3 2 6 2 3 2" xfId="49745" xr:uid="{52DCE5C8-BDCE-4CA4-B40B-94B1AD5C541A}"/>
    <cellStyle name="Note 3 2 6 2 3 3" xfId="31149" xr:uid="{60E6BE64-CF82-4261-B92C-3DB66F04C17F}"/>
    <cellStyle name="Note 3 2 6 2 4" xfId="40448" xr:uid="{B6E6B06E-DA1B-4DD4-B20A-6DBBFEDA0FFF}"/>
    <cellStyle name="Note 3 2 6 2 5" xfId="21850" xr:uid="{7015C49D-BFC3-44FC-AD8C-75C1D5590925}"/>
    <cellStyle name="Note 3 2 6 3" xfId="6149" xr:uid="{00000000-0005-0000-0000-00009E210000}"/>
    <cellStyle name="Note 3 2 6 3 2" xfId="15475" xr:uid="{1919E396-F13B-469D-8BF5-81108133C2AE}"/>
    <cellStyle name="Note 3 2 6 3 2 2" xfId="51817" xr:uid="{6CCF2027-F743-420C-86AD-0E076908B044}"/>
    <cellStyle name="Note 3 2 6 3 2 3" xfId="33221" xr:uid="{C268DA02-E8BC-48B3-A2CF-824F221175AC}"/>
    <cellStyle name="Note 3 2 6 3 3" xfId="42520" xr:uid="{A15726E0-AC73-482B-8434-80178C931E54}"/>
    <cellStyle name="Note 3 2 6 3 4" xfId="23922" xr:uid="{6CCCFFF7-F515-4591-9CC1-A60DC5DAE16D}"/>
    <cellStyle name="Note 3 2 6 4" xfId="11258" xr:uid="{4539CDCC-F1D6-4F97-B127-B89A843194A2}"/>
    <cellStyle name="Note 3 2 6 4 2" xfId="47600" xr:uid="{36FF60A6-3A08-4F14-B28D-228F65E9D502}"/>
    <cellStyle name="Note 3 2 6 4 3" xfId="29004" xr:uid="{3B8E798B-53A8-4CA3-B815-021D84B4680E}"/>
    <cellStyle name="Note 3 2 6 5" xfId="38303" xr:uid="{9D588E65-BA3F-411E-AC43-632BB6696A18}"/>
    <cellStyle name="Note 3 2 6 6" xfId="19705" xr:uid="{935867F0-89A3-4B1A-9531-3FB16EFDE92B}"/>
    <cellStyle name="Note 3 2 7" xfId="2256" xr:uid="{00000000-0005-0000-0000-00009F210000}"/>
    <cellStyle name="Note 3 2 7 2" xfId="4485" xr:uid="{00000000-0005-0000-0000-0000A0210000}"/>
    <cellStyle name="Note 3 2 7 2 2" xfId="8707" xr:uid="{00000000-0005-0000-0000-0000A1210000}"/>
    <cellStyle name="Note 3 2 7 2 2 2" xfId="18033" xr:uid="{8BD0E2A0-B4A3-4B5C-9D7A-AF2D5A6B4EF9}"/>
    <cellStyle name="Note 3 2 7 2 2 2 2" xfId="54375" xr:uid="{CC9E3058-CF07-4A30-9FCC-B61EF802C9B0}"/>
    <cellStyle name="Note 3 2 7 2 2 2 3" xfId="35779" xr:uid="{82E2DFB5-2BD5-4830-AC7F-D5E79465D5A4}"/>
    <cellStyle name="Note 3 2 7 2 2 3" xfId="45078" xr:uid="{00A33218-A911-4959-B31E-EC9AE095D62F}"/>
    <cellStyle name="Note 3 2 7 2 2 4" xfId="26480" xr:uid="{2C2B0D23-70DD-4613-BF12-34105032CD8E}"/>
    <cellStyle name="Note 3 2 7 2 3" xfId="13816" xr:uid="{D044E3B0-3896-442E-9597-0D09BC28A5E9}"/>
    <cellStyle name="Note 3 2 7 2 3 2" xfId="50158" xr:uid="{E325B25C-E0E7-4842-B8EF-D728C4608B96}"/>
    <cellStyle name="Note 3 2 7 2 3 3" xfId="31562" xr:uid="{8049C853-84D2-4FEF-A51C-C59277BB2C00}"/>
    <cellStyle name="Note 3 2 7 2 4" xfId="40861" xr:uid="{8EC98835-AE16-4F3F-98E0-8EC1ACA49560}"/>
    <cellStyle name="Note 3 2 7 2 5" xfId="22263" xr:uid="{054EC48B-21C1-4B7C-8100-B87B7090E87A}"/>
    <cellStyle name="Note 3 2 7 3" xfId="6562" xr:uid="{00000000-0005-0000-0000-0000A2210000}"/>
    <cellStyle name="Note 3 2 7 3 2" xfId="15888" xr:uid="{530FC99F-ED15-4777-8939-4ABB214AE5E6}"/>
    <cellStyle name="Note 3 2 7 3 2 2" xfId="52230" xr:uid="{903ACD9E-7BA7-42FB-ADAA-3C9878506D29}"/>
    <cellStyle name="Note 3 2 7 3 2 3" xfId="33634" xr:uid="{4ED2B9B0-DC06-44F3-A0E7-2D1FA6EE5C54}"/>
    <cellStyle name="Note 3 2 7 3 3" xfId="42933" xr:uid="{51D5AEED-8EEE-4454-96C7-909A635E61F4}"/>
    <cellStyle name="Note 3 2 7 3 4" xfId="24335" xr:uid="{ABB40D38-38F0-4ABA-AB03-06A8FD1E707F}"/>
    <cellStyle name="Note 3 2 7 4" xfId="11671" xr:uid="{874F29C8-1BC0-4D91-8029-32CEA3D093CF}"/>
    <cellStyle name="Note 3 2 7 4 2" xfId="48013" xr:uid="{FEABD280-C639-446E-AD74-66FD40C79AA9}"/>
    <cellStyle name="Note 3 2 7 4 3" xfId="29417" xr:uid="{4C4BF8C0-AAD0-41AA-98D5-78554E28641A}"/>
    <cellStyle name="Note 3 2 7 5" xfId="38716" xr:uid="{4A452B86-8447-4E13-A515-C8EF5E14591D}"/>
    <cellStyle name="Note 3 2 7 6" xfId="20118" xr:uid="{F447CD0A-3723-4A68-90EB-0A01205E88D7}"/>
    <cellStyle name="Note 3 2 8" xfId="2692" xr:uid="{00000000-0005-0000-0000-0000A3210000}"/>
    <cellStyle name="Note 3 2 8 2" xfId="6975" xr:uid="{00000000-0005-0000-0000-0000A4210000}"/>
    <cellStyle name="Note 3 2 8 2 2" xfId="16301" xr:uid="{146E7526-0284-43D4-8E88-C76C3C54A29B}"/>
    <cellStyle name="Note 3 2 8 2 2 2" xfId="52643" xr:uid="{085AE173-6C0F-40CC-8DCC-EDF18A3E7FE2}"/>
    <cellStyle name="Note 3 2 8 2 2 3" xfId="34047" xr:uid="{DE1235F3-7634-4194-AD13-BBBDCEDFC09C}"/>
    <cellStyle name="Note 3 2 8 2 3" xfId="43346" xr:uid="{EF623E52-FA31-4E8E-84D1-93FFC67E562A}"/>
    <cellStyle name="Note 3 2 8 2 4" xfId="24748" xr:uid="{86E986E5-E569-4330-BD98-335F0E5E3DD0}"/>
    <cellStyle name="Note 3 2 8 3" xfId="12084" xr:uid="{223B1B13-C952-4016-AABA-50A7C0D1C5B9}"/>
    <cellStyle name="Note 3 2 8 3 2" xfId="48426" xr:uid="{984AD1F5-E3D9-4344-ABD8-6D2AB45ECA05}"/>
    <cellStyle name="Note 3 2 8 3 3" xfId="29830" xr:uid="{9ED6DEA5-3CB5-4F8F-9B73-B24B8E1C1F50}"/>
    <cellStyle name="Note 3 2 8 4" xfId="39129" xr:uid="{B97D10E7-45CD-4D6E-9B82-EC6ABF82C102}"/>
    <cellStyle name="Note 3 2 8 5" xfId="20531" xr:uid="{F3D34BF2-DD56-4B7B-8FD6-3D5F181B6611}"/>
    <cellStyle name="Note 3 2 9" xfId="2751" xr:uid="{00000000-0005-0000-0000-0000A5210000}"/>
    <cellStyle name="Note 3 3" xfId="558" xr:uid="{00000000-0005-0000-0000-0000A6210000}"/>
    <cellStyle name="Note 3 3 10" xfId="4914" xr:uid="{00000000-0005-0000-0000-0000A7210000}"/>
    <cellStyle name="Note 3 3 10 2" xfId="14240" xr:uid="{CB774022-A7D6-4C89-802A-3D5202C77F56}"/>
    <cellStyle name="Note 3 3 10 2 2" xfId="50582" xr:uid="{F67591D4-2602-4540-B865-99EF7681B3FD}"/>
    <cellStyle name="Note 3 3 10 2 3" xfId="31986" xr:uid="{33037EA3-D12E-4C15-B8D6-3FC67C2D7D4F}"/>
    <cellStyle name="Note 3 3 10 3" xfId="41285" xr:uid="{9343EF78-31B9-4A46-AD2A-225357861A29}"/>
    <cellStyle name="Note 3 3 10 4" xfId="22687" xr:uid="{72B006F1-84DE-4F06-9359-A87189770C14}"/>
    <cellStyle name="Note 3 3 11" xfId="8892" xr:uid="{8511F94A-7472-4DD0-A9AB-40754FEE5F47}"/>
    <cellStyle name="Note 3 3 11 2" xfId="35962" xr:uid="{DBD1EC27-6ABA-4E3C-9262-33DAAE4EA9A6}"/>
    <cellStyle name="Note 3 3 11 2 2" xfId="54557" xr:uid="{6DD44852-7372-420B-B7DA-56C527460E83}"/>
    <cellStyle name="Note 3 3 11 3" xfId="45260" xr:uid="{6B1BC0A4-3BAE-45D0-A0A0-22F051F73729}"/>
    <cellStyle name="Note 3 3 11 4" xfId="26663" xr:uid="{02AE364C-D4EB-4C6C-9D2E-634628DC7055}"/>
    <cellStyle name="Note 3 3 12" xfId="10023" xr:uid="{12ECC4EC-C47F-40C3-852F-A71D35B868E3}"/>
    <cellStyle name="Note 3 3 12 2" xfId="46365" xr:uid="{6B0537EB-6F67-4922-8B38-888C078AD573}"/>
    <cellStyle name="Note 3 3 12 3" xfId="27769" xr:uid="{B02D0D4B-5AF9-4A01-A5BF-A00F59093675}"/>
    <cellStyle name="Note 3 3 13" xfId="37068" xr:uid="{3AC74B0E-B726-4490-B61B-6D4997BC387A}"/>
    <cellStyle name="Note 3 3 14" xfId="18470" xr:uid="{9910DA71-FC0B-46F9-AA54-4C5E4EB8AEB1}"/>
    <cellStyle name="Note 3 3 2" xfId="559" xr:uid="{00000000-0005-0000-0000-0000A8210000}"/>
    <cellStyle name="Note 3 3 2 10" xfId="9099" xr:uid="{29F3AC20-D296-4B59-BA53-0A5C025B0569}"/>
    <cellStyle name="Note 3 3 2 10 2" xfId="36169" xr:uid="{4918E5D7-5427-4530-BDC8-F1FE82F1B2A8}"/>
    <cellStyle name="Note 3 3 2 10 2 2" xfId="54764" xr:uid="{34676235-EE77-4471-B57B-B5CE5C02F19B}"/>
    <cellStyle name="Note 3 3 2 10 3" xfId="45467" xr:uid="{664F4080-E4F2-4436-B81C-AAA142F45769}"/>
    <cellStyle name="Note 3 3 2 10 4" xfId="26870" xr:uid="{AB82E21B-CECA-4616-AE24-BD5ED0D53AFD}"/>
    <cellStyle name="Note 3 3 2 11" xfId="10024" xr:uid="{D69799DF-032F-46D7-8E80-43410AD8968C}"/>
    <cellStyle name="Note 3 3 2 11 2" xfId="46366" xr:uid="{36BCCED9-3DD0-4031-B0AB-E8E5B4CCA148}"/>
    <cellStyle name="Note 3 3 2 11 3" xfId="27770" xr:uid="{8F4C615F-5F30-4694-9F1E-11B68AC2EDA4}"/>
    <cellStyle name="Note 3 3 2 12" xfId="37069" xr:uid="{D8EEBB9E-697B-41F8-8701-CCD8647E339C}"/>
    <cellStyle name="Note 3 3 2 13" xfId="18471" xr:uid="{B7733CEC-47CD-4BEF-AE21-2E9EE57160B5}"/>
    <cellStyle name="Note 3 3 2 2" xfId="1019" xr:uid="{00000000-0005-0000-0000-0000A9210000}"/>
    <cellStyle name="Note 3 3 2 2 2" xfId="3251" xr:uid="{00000000-0005-0000-0000-0000AA210000}"/>
    <cellStyle name="Note 3 3 2 2 2 2" xfId="7473" xr:uid="{00000000-0005-0000-0000-0000AB210000}"/>
    <cellStyle name="Note 3 3 2 2 2 2 2" xfId="16799" xr:uid="{3D6D7368-3AAB-4321-8543-C9853CB8AED3}"/>
    <cellStyle name="Note 3 3 2 2 2 2 2 2" xfId="53141" xr:uid="{BFC9B7FB-E119-4254-ACAF-52B44C2D3BF1}"/>
    <cellStyle name="Note 3 3 2 2 2 2 2 3" xfId="34545" xr:uid="{A0A58B21-6274-4BB7-89B8-D239ECC5DA6B}"/>
    <cellStyle name="Note 3 3 2 2 2 2 3" xfId="43844" xr:uid="{872094C0-EBDC-43FD-ACFE-EF3D2E13BD55}"/>
    <cellStyle name="Note 3 3 2 2 2 2 4" xfId="25246" xr:uid="{EBEEDAB8-D23F-403B-9495-2DF0DD927769}"/>
    <cellStyle name="Note 3 3 2 2 2 3" xfId="12582" xr:uid="{BECD6BCA-EA53-421C-9DD8-96B743C939FE}"/>
    <cellStyle name="Note 3 3 2 2 2 3 2" xfId="48924" xr:uid="{81375647-8679-4103-83F9-D2447A9D5F11}"/>
    <cellStyle name="Note 3 3 2 2 2 3 3" xfId="30328" xr:uid="{CBD57E2B-3F99-43F4-96F4-19D504309B2F}"/>
    <cellStyle name="Note 3 3 2 2 2 4" xfId="39627" xr:uid="{F428EE05-67C0-4833-BEF5-19E213B11ED3}"/>
    <cellStyle name="Note 3 3 2 2 2 5" xfId="21029" xr:uid="{E97329E7-D3DB-45C5-AA6A-D6A501656FB5}"/>
    <cellStyle name="Note 3 3 2 2 3" xfId="5328" xr:uid="{00000000-0005-0000-0000-0000AC210000}"/>
    <cellStyle name="Note 3 3 2 2 3 2" xfId="14654" xr:uid="{018CAC4E-7773-4BB7-848D-1754326EADF6}"/>
    <cellStyle name="Note 3 3 2 2 3 2 2" xfId="50996" xr:uid="{1B1282E9-E32F-47F5-BC54-F1D5ADE9140F}"/>
    <cellStyle name="Note 3 3 2 2 3 2 3" xfId="32400" xr:uid="{DE0CD327-8F29-4B59-A7FC-4CF72D678C33}"/>
    <cellStyle name="Note 3 3 2 2 3 3" xfId="41699" xr:uid="{5C7AA0C1-5359-46C5-B35D-9BD33D800622}"/>
    <cellStyle name="Note 3 3 2 2 3 4" xfId="23101" xr:uid="{8065B13C-1A79-4E91-A800-36C54F79D7F7}"/>
    <cellStyle name="Note 3 3 2 2 4" xfId="9524" xr:uid="{D03F5DE7-D9AB-48C0-A1E3-0A929D2C18C5}"/>
    <cellStyle name="Note 3 3 2 2 4 2" xfId="36585" xr:uid="{8766936F-FECD-45F5-8618-FA54AF23D76D}"/>
    <cellStyle name="Note 3 3 2 2 4 2 2" xfId="55179" xr:uid="{913242C1-56E0-4F47-83DF-B3A8CF028B4B}"/>
    <cellStyle name="Note 3 3 2 2 4 3" xfId="45882" xr:uid="{674CE16C-337C-4C99-8E66-DA625F1AEC50}"/>
    <cellStyle name="Note 3 3 2 2 4 4" xfId="27286" xr:uid="{13010F4D-5BE4-42C3-8382-217EE7839817}"/>
    <cellStyle name="Note 3 3 2 2 5" xfId="10437" xr:uid="{D60EE61E-579B-4BCD-8529-89AA8EE9709D}"/>
    <cellStyle name="Note 3 3 2 2 5 2" xfId="46779" xr:uid="{2D4A3C5C-2AB6-4DB2-A356-5749196FCAD7}"/>
    <cellStyle name="Note 3 3 2 2 5 3" xfId="28183" xr:uid="{BE59A74C-E413-4F64-BFD4-9467F2B45AF3}"/>
    <cellStyle name="Note 3 3 2 2 6" xfId="37482" xr:uid="{A3C1FDAA-C4ED-4C66-A719-08E532259BA7}"/>
    <cellStyle name="Note 3 3 2 2 7" xfId="18884" xr:uid="{2FB25771-B624-4654-B6EA-37FDDB33B4D1}"/>
    <cellStyle name="Note 3 3 2 3" xfId="1434" xr:uid="{00000000-0005-0000-0000-0000AD210000}"/>
    <cellStyle name="Note 3 3 2 3 2" xfId="3664" xr:uid="{00000000-0005-0000-0000-0000AE210000}"/>
    <cellStyle name="Note 3 3 2 3 2 2" xfId="7886" xr:uid="{00000000-0005-0000-0000-0000AF210000}"/>
    <cellStyle name="Note 3 3 2 3 2 2 2" xfId="17212" xr:uid="{8EE4BE7B-E122-4CCA-B7DC-C40F5B76F7F8}"/>
    <cellStyle name="Note 3 3 2 3 2 2 2 2" xfId="53554" xr:uid="{18FFD350-B1A6-48AB-8F41-21C217954B03}"/>
    <cellStyle name="Note 3 3 2 3 2 2 2 3" xfId="34958" xr:uid="{36EB9848-CE6E-4186-940A-7A7158813EAE}"/>
    <cellStyle name="Note 3 3 2 3 2 2 3" xfId="44257" xr:uid="{A41C35E3-21A9-411E-BFB3-7C74E802898D}"/>
    <cellStyle name="Note 3 3 2 3 2 2 4" xfId="25659" xr:uid="{4DD15115-9333-455D-B0CA-72F95BA38EE0}"/>
    <cellStyle name="Note 3 3 2 3 2 3" xfId="12995" xr:uid="{6AC2347D-DCD1-422B-9CC8-9860761C6606}"/>
    <cellStyle name="Note 3 3 2 3 2 3 2" xfId="49337" xr:uid="{11D0B937-4988-491A-A506-D2B414D9C320}"/>
    <cellStyle name="Note 3 3 2 3 2 3 3" xfId="30741" xr:uid="{4085ED4C-4627-4F71-B144-B9BD2597EBE2}"/>
    <cellStyle name="Note 3 3 2 3 2 4" xfId="40040" xr:uid="{E404060B-9BBC-489B-ACBE-034EFBF2B571}"/>
    <cellStyle name="Note 3 3 2 3 2 5" xfId="21442" xr:uid="{036D308C-0497-458E-A261-B13D294D50AD}"/>
    <cellStyle name="Note 3 3 2 3 3" xfId="5741" xr:uid="{00000000-0005-0000-0000-0000B0210000}"/>
    <cellStyle name="Note 3 3 2 3 3 2" xfId="15067" xr:uid="{2153CFF4-E406-4E9B-AFC8-607E7A0BE18D}"/>
    <cellStyle name="Note 3 3 2 3 3 2 2" xfId="51409" xr:uid="{88819C37-FB66-489E-A5D9-62E893BA937D}"/>
    <cellStyle name="Note 3 3 2 3 3 2 3" xfId="32813" xr:uid="{4CEF7B6F-5ADC-41F3-935C-A51235B2D3CF}"/>
    <cellStyle name="Note 3 3 2 3 3 3" xfId="42112" xr:uid="{B4C6A17C-2B2C-4FAC-9448-9897CDB1D9D5}"/>
    <cellStyle name="Note 3 3 2 3 3 4" xfId="23514" xr:uid="{8C6AD8BF-5139-46AC-ADBB-76BA0087A68B}"/>
    <cellStyle name="Note 3 3 2 3 4" xfId="10850" xr:uid="{38F76F27-B632-4289-B803-B4AFCFFE8FE2}"/>
    <cellStyle name="Note 3 3 2 3 4 2" xfId="47192" xr:uid="{A83C4520-AE25-4488-B4D7-5FFD01233B14}"/>
    <cellStyle name="Note 3 3 2 3 4 3" xfId="28596" xr:uid="{F51514EC-C3AB-4FC4-924E-86DAD3B7EFF2}"/>
    <cellStyle name="Note 3 3 2 3 5" xfId="37895" xr:uid="{1C63FA30-A702-4CEB-9EB9-4EA363FB7E9A}"/>
    <cellStyle name="Note 3 3 2 3 6" xfId="19297" xr:uid="{3D0096F9-9B24-4B34-8E4A-FED11893ABD7}"/>
    <cellStyle name="Note 3 3 2 4" xfId="1848" xr:uid="{00000000-0005-0000-0000-0000B1210000}"/>
    <cellStyle name="Note 3 3 2 4 2" xfId="4077" xr:uid="{00000000-0005-0000-0000-0000B2210000}"/>
    <cellStyle name="Note 3 3 2 4 2 2" xfId="8299" xr:uid="{00000000-0005-0000-0000-0000B3210000}"/>
    <cellStyle name="Note 3 3 2 4 2 2 2" xfId="17625" xr:uid="{604D7BEC-8041-4685-8E74-592F02CB570E}"/>
    <cellStyle name="Note 3 3 2 4 2 2 2 2" xfId="53967" xr:uid="{6C2DDFCA-4949-4708-84EC-983B34B3CEBA}"/>
    <cellStyle name="Note 3 3 2 4 2 2 2 3" xfId="35371" xr:uid="{DBAABA15-31A7-47E5-9C28-0E7B254AFF1C}"/>
    <cellStyle name="Note 3 3 2 4 2 2 3" xfId="44670" xr:uid="{33B9D3A3-BADF-4CDF-AE76-CC39E8C0EF5C}"/>
    <cellStyle name="Note 3 3 2 4 2 2 4" xfId="26072" xr:uid="{EDD675D7-AC9D-4A1D-B89D-468875B26EF5}"/>
    <cellStyle name="Note 3 3 2 4 2 3" xfId="13408" xr:uid="{06407B48-C85E-421B-81C1-558D0C469F78}"/>
    <cellStyle name="Note 3 3 2 4 2 3 2" xfId="49750" xr:uid="{22A98F72-F722-43B1-9F6A-542CB8B461C9}"/>
    <cellStyle name="Note 3 3 2 4 2 3 3" xfId="31154" xr:uid="{D49699BF-D05F-42B8-BB9E-0B1990328192}"/>
    <cellStyle name="Note 3 3 2 4 2 4" xfId="40453" xr:uid="{8E9FEFE3-2C4A-4B9C-8E89-60C1A7F68463}"/>
    <cellStyle name="Note 3 3 2 4 2 5" xfId="21855" xr:uid="{D6994689-0C3C-427B-AC5E-4A868036E3A2}"/>
    <cellStyle name="Note 3 3 2 4 3" xfId="6154" xr:uid="{00000000-0005-0000-0000-0000B4210000}"/>
    <cellStyle name="Note 3 3 2 4 3 2" xfId="15480" xr:uid="{7A3D8687-0E2A-47B1-AF8D-B380FA6A9490}"/>
    <cellStyle name="Note 3 3 2 4 3 2 2" xfId="51822" xr:uid="{6A55070A-386C-49FB-9EE5-3CD907E79798}"/>
    <cellStyle name="Note 3 3 2 4 3 2 3" xfId="33226" xr:uid="{3B3A7549-9BE6-4856-BE0F-FC1B08C6C288}"/>
    <cellStyle name="Note 3 3 2 4 3 3" xfId="42525" xr:uid="{B32D91E2-1CE1-41C3-A01E-D3A81E1406FF}"/>
    <cellStyle name="Note 3 3 2 4 3 4" xfId="23927" xr:uid="{B888F563-953A-4E9C-ABEE-D082FEB9EBE4}"/>
    <cellStyle name="Note 3 3 2 4 4" xfId="11263" xr:uid="{369BE29D-0E0A-49AA-A41D-AE8ADFB1AD1E}"/>
    <cellStyle name="Note 3 3 2 4 4 2" xfId="47605" xr:uid="{E9831C85-4777-4FEA-99B0-3518B69829C2}"/>
    <cellStyle name="Note 3 3 2 4 4 3" xfId="29009" xr:uid="{03CCF0E2-C10A-4D30-A71A-EEA96A7F7F2F}"/>
    <cellStyle name="Note 3 3 2 4 5" xfId="38308" xr:uid="{5C1A0213-0748-4E33-80FA-4C50DFA31E38}"/>
    <cellStyle name="Note 3 3 2 4 6" xfId="19710" xr:uid="{5E0054C6-F9C7-4AD1-A7C1-B3D1C84C08E5}"/>
    <cellStyle name="Note 3 3 2 5" xfId="2261" xr:uid="{00000000-0005-0000-0000-0000B5210000}"/>
    <cellStyle name="Note 3 3 2 5 2" xfId="4490" xr:uid="{00000000-0005-0000-0000-0000B6210000}"/>
    <cellStyle name="Note 3 3 2 5 2 2" xfId="8712" xr:uid="{00000000-0005-0000-0000-0000B7210000}"/>
    <cellStyle name="Note 3 3 2 5 2 2 2" xfId="18038" xr:uid="{E1672DAE-445F-42E5-B360-7C5B2580B695}"/>
    <cellStyle name="Note 3 3 2 5 2 2 2 2" xfId="54380" xr:uid="{DDEA2BA6-DC50-4BE4-A1CF-EE2CDCD9BAB1}"/>
    <cellStyle name="Note 3 3 2 5 2 2 2 3" xfId="35784" xr:uid="{22CE33B1-012B-4152-BFC8-1C20836540FA}"/>
    <cellStyle name="Note 3 3 2 5 2 2 3" xfId="45083" xr:uid="{96A5CA36-BE88-432E-802C-34A9140E090A}"/>
    <cellStyle name="Note 3 3 2 5 2 2 4" xfId="26485" xr:uid="{216E41A3-A15B-4391-8F47-789774CCBAD5}"/>
    <cellStyle name="Note 3 3 2 5 2 3" xfId="13821" xr:uid="{EE0A539D-7BD9-416D-BB61-0C1E749B04BC}"/>
    <cellStyle name="Note 3 3 2 5 2 3 2" xfId="50163" xr:uid="{6D38AAF0-B105-408B-A444-5332915BF076}"/>
    <cellStyle name="Note 3 3 2 5 2 3 3" xfId="31567" xr:uid="{3FA5A9C1-9CA6-4624-8F5B-A57EEEA1BF38}"/>
    <cellStyle name="Note 3 3 2 5 2 4" xfId="40866" xr:uid="{C1B521AB-BA8C-4D1F-8521-4456989C1F67}"/>
    <cellStyle name="Note 3 3 2 5 2 5" xfId="22268" xr:uid="{EC62D75C-6431-4E0E-9AD1-6284A5D40662}"/>
    <cellStyle name="Note 3 3 2 5 3" xfId="6567" xr:uid="{00000000-0005-0000-0000-0000B8210000}"/>
    <cellStyle name="Note 3 3 2 5 3 2" xfId="15893" xr:uid="{2DCE912F-2695-4EEC-B740-6DDFB044702F}"/>
    <cellStyle name="Note 3 3 2 5 3 2 2" xfId="52235" xr:uid="{E279FD44-5330-47EE-B3FC-08F464EEAF46}"/>
    <cellStyle name="Note 3 3 2 5 3 2 3" xfId="33639" xr:uid="{B40AA5E5-139E-40E5-A69D-CC6EC7EB6A38}"/>
    <cellStyle name="Note 3 3 2 5 3 3" xfId="42938" xr:uid="{42A357AC-2F97-4C8A-BB29-90E8BDC3FDCB}"/>
    <cellStyle name="Note 3 3 2 5 3 4" xfId="24340" xr:uid="{3EB52999-A2E7-4063-94BE-32EB6DEF0B91}"/>
    <cellStyle name="Note 3 3 2 5 4" xfId="11676" xr:uid="{DDB5E29A-13B9-4930-B0E0-C4536E2E936A}"/>
    <cellStyle name="Note 3 3 2 5 4 2" xfId="48018" xr:uid="{23B1CEB2-FDFB-448D-9A7D-76ECC3F642F4}"/>
    <cellStyle name="Note 3 3 2 5 4 3" xfId="29422" xr:uid="{B7CDB5A3-557A-41DD-B213-46C0E5A099FB}"/>
    <cellStyle name="Note 3 3 2 5 5" xfId="38721" xr:uid="{C7E21615-4DE1-4750-84B4-AED7BCE9C23F}"/>
    <cellStyle name="Note 3 3 2 5 6" xfId="20123" xr:uid="{CEB296BF-D86E-41EB-A998-389C985D43A5}"/>
    <cellStyle name="Note 3 3 2 6" xfId="2697" xr:uid="{00000000-0005-0000-0000-0000B9210000}"/>
    <cellStyle name="Note 3 3 2 6 2" xfId="6980" xr:uid="{00000000-0005-0000-0000-0000BA210000}"/>
    <cellStyle name="Note 3 3 2 6 2 2" xfId="16306" xr:uid="{501A8E55-7E4E-4749-8130-C0DD59D7247A}"/>
    <cellStyle name="Note 3 3 2 6 2 2 2" xfId="52648" xr:uid="{D38C3CF8-1CA3-4358-B906-ADDF44D31C15}"/>
    <cellStyle name="Note 3 3 2 6 2 2 3" xfId="34052" xr:uid="{76E69D2A-ECC7-418D-B458-D2903465E563}"/>
    <cellStyle name="Note 3 3 2 6 2 3" xfId="43351" xr:uid="{5EE07D50-DF63-426A-915C-C344D6800205}"/>
    <cellStyle name="Note 3 3 2 6 2 4" xfId="24753" xr:uid="{767F73F5-C607-4B79-A325-4AAB91AAB9B8}"/>
    <cellStyle name="Note 3 3 2 6 3" xfId="12089" xr:uid="{3712FF2A-1BC4-47A5-B7F8-4B8D7302669A}"/>
    <cellStyle name="Note 3 3 2 6 3 2" xfId="48431" xr:uid="{3230F45D-7306-4BAD-BA22-3A872DEA407E}"/>
    <cellStyle name="Note 3 3 2 6 3 3" xfId="29835" xr:uid="{DB416EEB-C6FF-4B8D-B28A-972578AB565A}"/>
    <cellStyle name="Note 3 3 2 6 4" xfId="39134" xr:uid="{51C366A1-A665-40E8-9E45-1893A035E747}"/>
    <cellStyle name="Note 3 3 2 6 5" xfId="20536" xr:uid="{A8CB86A1-A966-479D-B740-748B41501ABF}"/>
    <cellStyle name="Note 3 3 2 7" xfId="2756" xr:uid="{00000000-0005-0000-0000-0000BB210000}"/>
    <cellStyle name="Note 3 3 2 8" xfId="2837" xr:uid="{00000000-0005-0000-0000-0000BC210000}"/>
    <cellStyle name="Note 3 3 2 8 2" xfId="7060" xr:uid="{00000000-0005-0000-0000-0000BD210000}"/>
    <cellStyle name="Note 3 3 2 8 2 2" xfId="16386" xr:uid="{E898F43E-9949-43EE-9B94-EBD3267E2EB8}"/>
    <cellStyle name="Note 3 3 2 8 2 2 2" xfId="52728" xr:uid="{A3942C8E-743F-422F-B7DA-0FD924C6ACD5}"/>
    <cellStyle name="Note 3 3 2 8 2 2 3" xfId="34132" xr:uid="{C25FC684-261E-42EB-87A8-9BF931F1ABCB}"/>
    <cellStyle name="Note 3 3 2 8 2 3" xfId="43431" xr:uid="{CC8444E3-517E-457E-9524-E6B3AA87AC72}"/>
    <cellStyle name="Note 3 3 2 8 2 4" xfId="24833" xr:uid="{12ECA182-9B6D-4D7E-AAEC-25AF20E495BA}"/>
    <cellStyle name="Note 3 3 2 8 3" xfId="12169" xr:uid="{D42B8C4B-6FDB-4859-BA05-D0F2CD252959}"/>
    <cellStyle name="Note 3 3 2 8 3 2" xfId="48511" xr:uid="{04154434-3A62-4D58-8963-955FD8629FB4}"/>
    <cellStyle name="Note 3 3 2 8 3 3" xfId="29915" xr:uid="{67F7CE00-A4B3-49DE-AA1F-5CA7A46CC1E1}"/>
    <cellStyle name="Note 3 3 2 8 4" xfId="39214" xr:uid="{4A9158A5-AEF4-407C-BE72-DECCB0310538}"/>
    <cellStyle name="Note 3 3 2 8 5" xfId="20616" xr:uid="{5D4634E7-2EF1-4BBB-8C72-08A9BBD3C984}"/>
    <cellStyle name="Note 3 3 2 9" xfId="4915" xr:uid="{00000000-0005-0000-0000-0000BE210000}"/>
    <cellStyle name="Note 3 3 2 9 2" xfId="14241" xr:uid="{CE8D5A90-5E7D-4C7D-973B-73524AF22706}"/>
    <cellStyle name="Note 3 3 2 9 2 2" xfId="50583" xr:uid="{282DDF59-B28E-49C0-97EE-27175DD89653}"/>
    <cellStyle name="Note 3 3 2 9 2 3" xfId="31987" xr:uid="{81A98F31-47D2-4759-BC76-51F757B23637}"/>
    <cellStyle name="Note 3 3 2 9 3" xfId="41286" xr:uid="{A4C9DC17-1AFB-47D0-9C71-9E654B986AB2}"/>
    <cellStyle name="Note 3 3 2 9 4" xfId="22688" xr:uid="{B1BC3567-DF89-4252-AEB6-2042B19FDD4C}"/>
    <cellStyle name="Note 3 3 3" xfId="1018" xr:uid="{00000000-0005-0000-0000-0000BF210000}"/>
    <cellStyle name="Note 3 3 3 2" xfId="3250" xr:uid="{00000000-0005-0000-0000-0000C0210000}"/>
    <cellStyle name="Note 3 3 3 2 2" xfId="7472" xr:uid="{00000000-0005-0000-0000-0000C1210000}"/>
    <cellStyle name="Note 3 3 3 2 2 2" xfId="16798" xr:uid="{E3A993BC-4E53-4B4E-B750-33EDB32E1152}"/>
    <cellStyle name="Note 3 3 3 2 2 2 2" xfId="53140" xr:uid="{06496639-4883-4142-A506-6571EA2D05C0}"/>
    <cellStyle name="Note 3 3 3 2 2 2 3" xfId="34544" xr:uid="{7938996C-8D4D-48CA-BB44-517875B9D28C}"/>
    <cellStyle name="Note 3 3 3 2 2 3" xfId="43843" xr:uid="{76470B29-2D01-42AC-9C84-033C8928D406}"/>
    <cellStyle name="Note 3 3 3 2 2 4" xfId="25245" xr:uid="{77E399C0-1A1E-4E57-BF40-5F9D92091B48}"/>
    <cellStyle name="Note 3 3 3 2 3" xfId="12581" xr:uid="{E6DEEB58-9072-4515-8DD0-74C8D0122347}"/>
    <cellStyle name="Note 3 3 3 2 3 2" xfId="48923" xr:uid="{1BE626EF-8E06-43DC-8390-E8B93B60FF2F}"/>
    <cellStyle name="Note 3 3 3 2 3 3" xfId="30327" xr:uid="{0E169C95-2A7B-4F8E-96D4-DEF4AD30E703}"/>
    <cellStyle name="Note 3 3 3 2 4" xfId="39626" xr:uid="{57C7EB5F-ED0B-4711-ACAD-D7A9365C8470}"/>
    <cellStyle name="Note 3 3 3 2 5" xfId="21028" xr:uid="{278831D3-CBA2-45BA-B045-FCDCCA3E5F10}"/>
    <cellStyle name="Note 3 3 3 3" xfId="5327" xr:uid="{00000000-0005-0000-0000-0000C2210000}"/>
    <cellStyle name="Note 3 3 3 3 2" xfId="14653" xr:uid="{FBB00666-890C-46F6-B78C-AF5A3780B39E}"/>
    <cellStyle name="Note 3 3 3 3 2 2" xfId="50995" xr:uid="{CA5BCC2A-A46D-4C17-949D-21D80D08F0A7}"/>
    <cellStyle name="Note 3 3 3 3 2 3" xfId="32399" xr:uid="{3B1A676F-2809-407C-8D7E-70CA5EAC466B}"/>
    <cellStyle name="Note 3 3 3 3 3" xfId="41698" xr:uid="{431B9F8C-0083-4A99-B763-842DA7388B47}"/>
    <cellStyle name="Note 3 3 3 3 4" xfId="23100" xr:uid="{83B0FC56-0637-4EA0-BA04-799CB3B99175}"/>
    <cellStyle name="Note 3 3 3 4" xfId="9317" xr:uid="{171D8024-554D-4F15-BFD3-81CBE1A601EA}"/>
    <cellStyle name="Note 3 3 3 4 2" xfId="36378" xr:uid="{8ABA6FFF-3FF1-4036-AD9A-A942DB3482C1}"/>
    <cellStyle name="Note 3 3 3 4 2 2" xfId="54972" xr:uid="{8CF9CD10-891D-4E4F-BCB7-BB2E60D37316}"/>
    <cellStyle name="Note 3 3 3 4 3" xfId="45675" xr:uid="{3FB517D8-7DAC-4828-8B4B-406DF0AF398E}"/>
    <cellStyle name="Note 3 3 3 4 4" xfId="27079" xr:uid="{12A431D2-0AB5-4688-B6A5-73514418F59D}"/>
    <cellStyle name="Note 3 3 3 5" xfId="10436" xr:uid="{6A47749D-A657-430E-82AE-D1FB9190812E}"/>
    <cellStyle name="Note 3 3 3 5 2" xfId="46778" xr:uid="{DBD9EB50-FF73-4B78-A102-5C6D143D8813}"/>
    <cellStyle name="Note 3 3 3 5 3" xfId="28182" xr:uid="{607AC0B0-4629-4CDB-9DC5-6EB0CDABE3FC}"/>
    <cellStyle name="Note 3 3 3 6" xfId="37481" xr:uid="{2876F77D-B025-4333-B78B-2071FB89C6F7}"/>
    <cellStyle name="Note 3 3 3 7" xfId="18883" xr:uid="{F15F58AA-36CC-48DC-A366-C8B4B2F778B0}"/>
    <cellStyle name="Note 3 3 4" xfId="1433" xr:uid="{00000000-0005-0000-0000-0000C3210000}"/>
    <cellStyle name="Note 3 3 4 2" xfId="3663" xr:uid="{00000000-0005-0000-0000-0000C4210000}"/>
    <cellStyle name="Note 3 3 4 2 2" xfId="7885" xr:uid="{00000000-0005-0000-0000-0000C5210000}"/>
    <cellStyle name="Note 3 3 4 2 2 2" xfId="17211" xr:uid="{97D59970-5EA4-406C-9E1E-D3272E3A58EA}"/>
    <cellStyle name="Note 3 3 4 2 2 2 2" xfId="53553" xr:uid="{F97A4944-8604-4D7A-8DA6-4BD1A0968196}"/>
    <cellStyle name="Note 3 3 4 2 2 2 3" xfId="34957" xr:uid="{24ABCDD0-9B9E-4BAE-B558-10EB6ADD0C15}"/>
    <cellStyle name="Note 3 3 4 2 2 3" xfId="44256" xr:uid="{F08F6346-59F0-4A77-90D0-82DD000641F7}"/>
    <cellStyle name="Note 3 3 4 2 2 4" xfId="25658" xr:uid="{C33F2BA7-5BA8-4E23-836E-032C1BB197B6}"/>
    <cellStyle name="Note 3 3 4 2 3" xfId="12994" xr:uid="{E98169E7-1EA1-4F9B-B358-082901FBE8FE}"/>
    <cellStyle name="Note 3 3 4 2 3 2" xfId="49336" xr:uid="{51B35924-A0C0-467C-AEB9-160C010ACBF7}"/>
    <cellStyle name="Note 3 3 4 2 3 3" xfId="30740" xr:uid="{DD0C5F67-E411-43B8-8166-1EEEDAC57849}"/>
    <cellStyle name="Note 3 3 4 2 4" xfId="40039" xr:uid="{77F7AE8D-D029-4784-ACD7-2469C6DE3839}"/>
    <cellStyle name="Note 3 3 4 2 5" xfId="21441" xr:uid="{664CDBEC-4DEE-4B34-B055-05B8255EF121}"/>
    <cellStyle name="Note 3 3 4 3" xfId="5740" xr:uid="{00000000-0005-0000-0000-0000C6210000}"/>
    <cellStyle name="Note 3 3 4 3 2" xfId="15066" xr:uid="{E8510F78-5E5D-4E10-90FE-53F8C0D42951}"/>
    <cellStyle name="Note 3 3 4 3 2 2" xfId="51408" xr:uid="{2A8A8F3F-9210-4564-B5B5-C2263D3FB44C}"/>
    <cellStyle name="Note 3 3 4 3 2 3" xfId="32812" xr:uid="{826B593F-49D1-43FE-B9AA-60392E51F971}"/>
    <cellStyle name="Note 3 3 4 3 3" xfId="42111" xr:uid="{D94722F3-EB40-4FF8-8D40-F11F5A765768}"/>
    <cellStyle name="Note 3 3 4 3 4" xfId="23513" xr:uid="{8C75DE18-EEBC-472F-A093-6F6E09B67651}"/>
    <cellStyle name="Note 3 3 4 4" xfId="10849" xr:uid="{10EE4BF4-EED5-4284-9385-BBB10140DFB5}"/>
    <cellStyle name="Note 3 3 4 4 2" xfId="47191" xr:uid="{2F7CEACB-7744-4B6D-9C04-9EB372E0156A}"/>
    <cellStyle name="Note 3 3 4 4 3" xfId="28595" xr:uid="{9E4BA3A1-504D-49C4-8612-85A53314B9DC}"/>
    <cellStyle name="Note 3 3 4 5" xfId="37894" xr:uid="{B3E9898D-E753-4351-BAF3-4E8350D68F8B}"/>
    <cellStyle name="Note 3 3 4 6" xfId="19296" xr:uid="{3B026FD1-0990-4660-B9D7-819FD2B10CC9}"/>
    <cellStyle name="Note 3 3 5" xfId="1847" xr:uid="{00000000-0005-0000-0000-0000C7210000}"/>
    <cellStyle name="Note 3 3 5 2" xfId="4076" xr:uid="{00000000-0005-0000-0000-0000C8210000}"/>
    <cellStyle name="Note 3 3 5 2 2" xfId="8298" xr:uid="{00000000-0005-0000-0000-0000C9210000}"/>
    <cellStyle name="Note 3 3 5 2 2 2" xfId="17624" xr:uid="{6CEA1668-A10A-4C6B-B5DD-20881F78EF8C}"/>
    <cellStyle name="Note 3 3 5 2 2 2 2" xfId="53966" xr:uid="{72AC96DE-C8C7-458A-9CBA-5A10943677F6}"/>
    <cellStyle name="Note 3 3 5 2 2 2 3" xfId="35370" xr:uid="{172BA616-7E59-4945-879D-72DD934A4855}"/>
    <cellStyle name="Note 3 3 5 2 2 3" xfId="44669" xr:uid="{0113321C-BAAA-47CD-B083-4E921CD6F342}"/>
    <cellStyle name="Note 3 3 5 2 2 4" xfId="26071" xr:uid="{2D72C4AD-89FA-48CA-9573-22646B7A4442}"/>
    <cellStyle name="Note 3 3 5 2 3" xfId="13407" xr:uid="{1D82A0C0-6D15-4258-87AF-47B231DD3CEA}"/>
    <cellStyle name="Note 3 3 5 2 3 2" xfId="49749" xr:uid="{AF19FEB4-4A3B-41F8-B1CE-3B2B7451C421}"/>
    <cellStyle name="Note 3 3 5 2 3 3" xfId="31153" xr:uid="{5F4FA047-CE03-4CF0-A89F-C240A1BCCA8D}"/>
    <cellStyle name="Note 3 3 5 2 4" xfId="40452" xr:uid="{6D6F2CCD-5B60-43C7-B3AD-B36CD7F0BCE5}"/>
    <cellStyle name="Note 3 3 5 2 5" xfId="21854" xr:uid="{096A85E3-D73E-4C78-8577-3F3043410EA0}"/>
    <cellStyle name="Note 3 3 5 3" xfId="6153" xr:uid="{00000000-0005-0000-0000-0000CA210000}"/>
    <cellStyle name="Note 3 3 5 3 2" xfId="15479" xr:uid="{AD70034F-6816-4C7E-AE51-DE88448B29E5}"/>
    <cellStyle name="Note 3 3 5 3 2 2" xfId="51821" xr:uid="{D9AD14A2-CB71-411B-8BC5-FAB0FE16DBAB}"/>
    <cellStyle name="Note 3 3 5 3 2 3" xfId="33225" xr:uid="{254405D1-D06E-418B-AC14-9D54565A9F66}"/>
    <cellStyle name="Note 3 3 5 3 3" xfId="42524" xr:uid="{C2F0C9F9-5B36-4787-91CC-6AD6FC63C5E5}"/>
    <cellStyle name="Note 3 3 5 3 4" xfId="23926" xr:uid="{24B02D8F-554F-4758-AE6E-9DA3685D125E}"/>
    <cellStyle name="Note 3 3 5 4" xfId="11262" xr:uid="{DD8BAA51-366A-4DD7-90C1-0D0745770B72}"/>
    <cellStyle name="Note 3 3 5 4 2" xfId="47604" xr:uid="{1D4F6612-A190-4937-9E8E-8AE129DD6882}"/>
    <cellStyle name="Note 3 3 5 4 3" xfId="29008" xr:uid="{D871CF31-B10E-470E-B6AF-3B93F05BA685}"/>
    <cellStyle name="Note 3 3 5 5" xfId="38307" xr:uid="{C322DB77-2D37-468F-9D4A-8534B2E8B1CC}"/>
    <cellStyle name="Note 3 3 5 6" xfId="19709" xr:uid="{5D7CF3B3-04D1-406A-9D98-39DEEA6018A3}"/>
    <cellStyle name="Note 3 3 6" xfId="2260" xr:uid="{00000000-0005-0000-0000-0000CB210000}"/>
    <cellStyle name="Note 3 3 6 2" xfId="4489" xr:uid="{00000000-0005-0000-0000-0000CC210000}"/>
    <cellStyle name="Note 3 3 6 2 2" xfId="8711" xr:uid="{00000000-0005-0000-0000-0000CD210000}"/>
    <cellStyle name="Note 3 3 6 2 2 2" xfId="18037" xr:uid="{10815179-D0A2-4746-9633-B6B8BEBDE06C}"/>
    <cellStyle name="Note 3 3 6 2 2 2 2" xfId="54379" xr:uid="{E78B6B40-79F5-4FC7-B843-39D47A32D706}"/>
    <cellStyle name="Note 3 3 6 2 2 2 3" xfId="35783" xr:uid="{DF53359C-42BD-4582-8F32-91F3183FF38F}"/>
    <cellStyle name="Note 3 3 6 2 2 3" xfId="45082" xr:uid="{E69601E0-0428-49B9-A908-FD7A1FDE3D9D}"/>
    <cellStyle name="Note 3 3 6 2 2 4" xfId="26484" xr:uid="{3A156724-1214-4A26-B2F6-F892484E2293}"/>
    <cellStyle name="Note 3 3 6 2 3" xfId="13820" xr:uid="{4AC7D299-5E74-4C7F-8A52-B64D0D37F860}"/>
    <cellStyle name="Note 3 3 6 2 3 2" xfId="50162" xr:uid="{DF5CDBED-A654-4E97-AE42-D5073713F521}"/>
    <cellStyle name="Note 3 3 6 2 3 3" xfId="31566" xr:uid="{A7786866-7F24-4A38-AA40-30206218D510}"/>
    <cellStyle name="Note 3 3 6 2 4" xfId="40865" xr:uid="{2FEAF429-816F-4482-BF23-5B387DF09241}"/>
    <cellStyle name="Note 3 3 6 2 5" xfId="22267" xr:uid="{B7698CF5-31EA-46C1-BF29-A5ABD6835E20}"/>
    <cellStyle name="Note 3 3 6 3" xfId="6566" xr:uid="{00000000-0005-0000-0000-0000CE210000}"/>
    <cellStyle name="Note 3 3 6 3 2" xfId="15892" xr:uid="{CF67F8DD-A2BA-4A85-884B-DEABA64D8832}"/>
    <cellStyle name="Note 3 3 6 3 2 2" xfId="52234" xr:uid="{CEFB9233-914B-47D0-A8D2-9F376787CAC2}"/>
    <cellStyle name="Note 3 3 6 3 2 3" xfId="33638" xr:uid="{FA137CBC-4E81-487F-B3A6-79BBEC063CB7}"/>
    <cellStyle name="Note 3 3 6 3 3" xfId="42937" xr:uid="{D481F23C-108A-4A19-8781-3228360C4E6B}"/>
    <cellStyle name="Note 3 3 6 3 4" xfId="24339" xr:uid="{F758A98A-9D96-415F-B4B4-B673B7BB0467}"/>
    <cellStyle name="Note 3 3 6 4" xfId="11675" xr:uid="{A9F0FCAC-CA09-4D1D-8657-E3FFA2C30C34}"/>
    <cellStyle name="Note 3 3 6 4 2" xfId="48017" xr:uid="{0E6D5E73-55B4-4263-9DD4-FCA287846AC8}"/>
    <cellStyle name="Note 3 3 6 4 3" xfId="29421" xr:uid="{636B9B69-6865-4059-B604-6E0F057DF744}"/>
    <cellStyle name="Note 3 3 6 5" xfId="38720" xr:uid="{3BAE2426-6407-47C6-8ED1-BB8FA239862C}"/>
    <cellStyle name="Note 3 3 6 6" xfId="20122" xr:uid="{ECC32700-F1C2-454C-BAE8-1C651962359D}"/>
    <cellStyle name="Note 3 3 7" xfId="2696" xr:uid="{00000000-0005-0000-0000-0000CF210000}"/>
    <cellStyle name="Note 3 3 7 2" xfId="6979" xr:uid="{00000000-0005-0000-0000-0000D0210000}"/>
    <cellStyle name="Note 3 3 7 2 2" xfId="16305" xr:uid="{08EB0731-397E-4F4E-B861-57CA75563C27}"/>
    <cellStyle name="Note 3 3 7 2 2 2" xfId="52647" xr:uid="{E98E1F25-D1C6-4E67-B273-C4BCFBBC8262}"/>
    <cellStyle name="Note 3 3 7 2 2 3" xfId="34051" xr:uid="{65ECFB29-1107-42A4-A41B-7A0702DB54A7}"/>
    <cellStyle name="Note 3 3 7 2 3" xfId="43350" xr:uid="{A3C61673-CE47-4F99-94FB-ECABA2AF0BCD}"/>
    <cellStyle name="Note 3 3 7 2 4" xfId="24752" xr:uid="{BB9677EB-1465-45F5-8164-51DF11C3A2D4}"/>
    <cellStyle name="Note 3 3 7 3" xfId="12088" xr:uid="{AFB6B2F5-7484-4EB3-A931-171EF376FC89}"/>
    <cellStyle name="Note 3 3 7 3 2" xfId="48430" xr:uid="{5F4F050C-94FD-46F0-9B74-0A4238315A64}"/>
    <cellStyle name="Note 3 3 7 3 3" xfId="29834" xr:uid="{C7E1CEBF-B8F8-410B-9942-FD68D1B0A85A}"/>
    <cellStyle name="Note 3 3 7 4" xfId="39133" xr:uid="{B08AF7DC-00D2-4BE7-B262-BEF62AAF887E}"/>
    <cellStyle name="Note 3 3 7 5" xfId="20535" xr:uid="{35CA0A54-0F91-4866-A116-E95784E51C16}"/>
    <cellStyle name="Note 3 3 8" xfId="2755" xr:uid="{00000000-0005-0000-0000-0000D1210000}"/>
    <cellStyle name="Note 3 3 9" xfId="2836" xr:uid="{00000000-0005-0000-0000-0000D2210000}"/>
    <cellStyle name="Note 3 3 9 2" xfId="7059" xr:uid="{00000000-0005-0000-0000-0000D3210000}"/>
    <cellStyle name="Note 3 3 9 2 2" xfId="16385" xr:uid="{9FA1B818-F39C-4CD5-9EA8-64523F32FEBE}"/>
    <cellStyle name="Note 3 3 9 2 2 2" xfId="52727" xr:uid="{FE1AD0B1-7A05-456E-90AF-801A65BA9C25}"/>
    <cellStyle name="Note 3 3 9 2 2 3" xfId="34131" xr:uid="{4AB29D88-E391-47D5-B474-A2AF9C6F8773}"/>
    <cellStyle name="Note 3 3 9 2 3" xfId="43430" xr:uid="{14AB8371-CF27-455C-802F-78CA540051AE}"/>
    <cellStyle name="Note 3 3 9 2 4" xfId="24832" xr:uid="{5F60D532-76E0-41CE-9C7D-E9E2EF666310}"/>
    <cellStyle name="Note 3 3 9 3" xfId="12168" xr:uid="{74C3E549-A9A0-41B8-A432-E79F52FE6C84}"/>
    <cellStyle name="Note 3 3 9 3 2" xfId="48510" xr:uid="{A0405C34-63FD-497E-9284-524206D57C34}"/>
    <cellStyle name="Note 3 3 9 3 3" xfId="29914" xr:uid="{505F946F-A47A-4F40-83C0-E3149F427CD3}"/>
    <cellStyle name="Note 3 3 9 4" xfId="39213" xr:uid="{DF524620-8A7E-4441-8558-59FD3B67C6EE}"/>
    <cellStyle name="Note 3 3 9 5" xfId="20615" xr:uid="{27CA13D8-0B7F-41D7-952E-25432DCE4842}"/>
    <cellStyle name="Note 3 4" xfId="560" xr:uid="{00000000-0005-0000-0000-0000D4210000}"/>
    <cellStyle name="Note 3 4 10" xfId="8996" xr:uid="{0D704BEA-0820-4E61-9EA3-F4C1E73C6543}"/>
    <cellStyle name="Note 3 4 10 2" xfId="36066" xr:uid="{4F99FA29-C226-4BDC-AFF9-708CBCBC7D43}"/>
    <cellStyle name="Note 3 4 10 2 2" xfId="54661" xr:uid="{BDD2641A-2BEE-4CC2-8408-92C996CEA810}"/>
    <cellStyle name="Note 3 4 10 3" xfId="45364" xr:uid="{D40A3DD6-0564-4E12-9765-FC00B55D237B}"/>
    <cellStyle name="Note 3 4 10 4" xfId="26767" xr:uid="{FE872B6D-11D1-43F3-8340-AFB2FFB32293}"/>
    <cellStyle name="Note 3 4 11" xfId="10025" xr:uid="{4142902E-9D55-4DED-B057-EA559CF7B3A4}"/>
    <cellStyle name="Note 3 4 11 2" xfId="46367" xr:uid="{193DF163-828E-4457-BA30-BB54FF0C1799}"/>
    <cellStyle name="Note 3 4 11 3" xfId="27771" xr:uid="{500C4A2F-2D07-47A6-B3D2-EF996034AB59}"/>
    <cellStyle name="Note 3 4 12" xfId="37070" xr:uid="{4CB80991-4417-4D51-9AB8-A688CBC9356D}"/>
    <cellStyle name="Note 3 4 13" xfId="18472" xr:uid="{8B53FB5B-3596-4DE5-A897-BCF003A1B56A}"/>
    <cellStyle name="Note 3 4 2" xfId="1020" xr:uid="{00000000-0005-0000-0000-0000D5210000}"/>
    <cellStyle name="Note 3 4 2 2" xfId="3252" xr:uid="{00000000-0005-0000-0000-0000D6210000}"/>
    <cellStyle name="Note 3 4 2 2 2" xfId="7474" xr:uid="{00000000-0005-0000-0000-0000D7210000}"/>
    <cellStyle name="Note 3 4 2 2 2 2" xfId="16800" xr:uid="{80BC17F9-C428-4DBF-B178-01D1277A72D2}"/>
    <cellStyle name="Note 3 4 2 2 2 2 2" xfId="53142" xr:uid="{84AAEB25-507C-48B7-816B-D6D6AF7BC7D3}"/>
    <cellStyle name="Note 3 4 2 2 2 2 3" xfId="34546" xr:uid="{F73F7483-8E47-4F89-9CE2-F7CD54CB455D}"/>
    <cellStyle name="Note 3 4 2 2 2 3" xfId="43845" xr:uid="{3CBCD145-0D68-4689-850B-B5D02448162F}"/>
    <cellStyle name="Note 3 4 2 2 2 4" xfId="25247" xr:uid="{93015A42-1D4F-4C19-8379-996FB552AA5A}"/>
    <cellStyle name="Note 3 4 2 2 3" xfId="12583" xr:uid="{57C1C3C2-F05B-4390-801F-5D6340B8CCEC}"/>
    <cellStyle name="Note 3 4 2 2 3 2" xfId="48925" xr:uid="{A1C37AD5-13E2-4912-8438-2C683FD3AEF5}"/>
    <cellStyle name="Note 3 4 2 2 3 3" xfId="30329" xr:uid="{CAD0D2A5-8016-4C16-890B-558BB7F85B26}"/>
    <cellStyle name="Note 3 4 2 2 4" xfId="39628" xr:uid="{AE67E2C7-B894-40DF-B80D-7FEAEEA24858}"/>
    <cellStyle name="Note 3 4 2 2 5" xfId="21030" xr:uid="{FB0F162F-5F98-4D7E-87B0-B9CB303416DB}"/>
    <cellStyle name="Note 3 4 2 3" xfId="5329" xr:uid="{00000000-0005-0000-0000-0000D8210000}"/>
    <cellStyle name="Note 3 4 2 3 2" xfId="14655" xr:uid="{96DEA868-B701-4DBE-A440-6691FDFBEDF5}"/>
    <cellStyle name="Note 3 4 2 3 2 2" xfId="50997" xr:uid="{37A5E99F-5AB3-449E-992A-960BFFDBB02F}"/>
    <cellStyle name="Note 3 4 2 3 2 3" xfId="32401" xr:uid="{10911050-DE3B-496D-91EA-76C1E2801B63}"/>
    <cellStyle name="Note 3 4 2 3 3" xfId="41700" xr:uid="{5E80D69F-42D8-434A-9995-0B07ADF915F2}"/>
    <cellStyle name="Note 3 4 2 3 4" xfId="23102" xr:uid="{6DAD20B4-B2AF-4B59-8761-0E95B9CD7CA3}"/>
    <cellStyle name="Note 3 4 2 4" xfId="9421" xr:uid="{EC0A57E0-416C-4EC5-866A-A09E44531CB5}"/>
    <cellStyle name="Note 3 4 2 4 2" xfId="36482" xr:uid="{F2A59F3E-D180-4D71-AF8B-CDE99E0C4C53}"/>
    <cellStyle name="Note 3 4 2 4 2 2" xfId="55076" xr:uid="{266534B7-FD6D-442D-B1B6-06EAC542511D}"/>
    <cellStyle name="Note 3 4 2 4 3" xfId="45779" xr:uid="{AF1CFE0E-9660-4CE3-8C79-679485ED5B1F}"/>
    <cellStyle name="Note 3 4 2 4 4" xfId="27183" xr:uid="{8ABE8041-56AD-47F9-BE6D-B71B94ACEF45}"/>
    <cellStyle name="Note 3 4 2 5" xfId="10438" xr:uid="{D503F81C-C7DF-46ED-88B2-5420F5951D47}"/>
    <cellStyle name="Note 3 4 2 5 2" xfId="46780" xr:uid="{50F3D1BB-16F0-4313-8ACD-9C3AD3697344}"/>
    <cellStyle name="Note 3 4 2 5 3" xfId="28184" xr:uid="{F9A0D199-02CA-4E42-8716-6E864F60A1D9}"/>
    <cellStyle name="Note 3 4 2 6" xfId="37483" xr:uid="{58A524BC-4B5F-417D-B0FD-00ADFA7FDF9B}"/>
    <cellStyle name="Note 3 4 2 7" xfId="18885" xr:uid="{B1588987-6203-4327-9BF3-A8AD3C0DD337}"/>
    <cellStyle name="Note 3 4 3" xfId="1435" xr:uid="{00000000-0005-0000-0000-0000D9210000}"/>
    <cellStyle name="Note 3 4 3 2" xfId="3665" xr:uid="{00000000-0005-0000-0000-0000DA210000}"/>
    <cellStyle name="Note 3 4 3 2 2" xfId="7887" xr:uid="{00000000-0005-0000-0000-0000DB210000}"/>
    <cellStyle name="Note 3 4 3 2 2 2" xfId="17213" xr:uid="{A02CE2BD-0486-4D99-8ADC-447002D6AA5C}"/>
    <cellStyle name="Note 3 4 3 2 2 2 2" xfId="53555" xr:uid="{D558BED2-856C-4D62-89B7-F8D93154E7D9}"/>
    <cellStyle name="Note 3 4 3 2 2 2 3" xfId="34959" xr:uid="{97DDDFEF-49DA-478E-B46B-172A32D691F7}"/>
    <cellStyle name="Note 3 4 3 2 2 3" xfId="44258" xr:uid="{BE6E0499-E981-40A2-9C4E-83C1A46BD25B}"/>
    <cellStyle name="Note 3 4 3 2 2 4" xfId="25660" xr:uid="{03880C34-34F0-4825-9CD9-29B247D5BAB4}"/>
    <cellStyle name="Note 3 4 3 2 3" xfId="12996" xr:uid="{49C52BD6-0D0E-4154-9D7F-EA97AC9226E7}"/>
    <cellStyle name="Note 3 4 3 2 3 2" xfId="49338" xr:uid="{68E0D3F5-FF57-4575-8BD1-EB7D5665B20E}"/>
    <cellStyle name="Note 3 4 3 2 3 3" xfId="30742" xr:uid="{7ECD0F66-82F6-4D81-90DA-DBF0CD692E1A}"/>
    <cellStyle name="Note 3 4 3 2 4" xfId="40041" xr:uid="{EA3FC3A2-E25B-4956-8960-EA9E1D7BE0EC}"/>
    <cellStyle name="Note 3 4 3 2 5" xfId="21443" xr:uid="{CD534B4E-A648-4880-BC90-6B5935FA9460}"/>
    <cellStyle name="Note 3 4 3 3" xfId="5742" xr:uid="{00000000-0005-0000-0000-0000DC210000}"/>
    <cellStyle name="Note 3 4 3 3 2" xfId="15068" xr:uid="{EDDC2C51-FE28-413A-ADD9-65173221676C}"/>
    <cellStyle name="Note 3 4 3 3 2 2" xfId="51410" xr:uid="{213A70DB-C884-4CF8-B58E-C7E15E535E6C}"/>
    <cellStyle name="Note 3 4 3 3 2 3" xfId="32814" xr:uid="{61885BAE-6211-4FCC-A57C-503AFB5BC695}"/>
    <cellStyle name="Note 3 4 3 3 3" xfId="42113" xr:uid="{8539DC31-9FE7-40A1-BD17-2944078401B0}"/>
    <cellStyle name="Note 3 4 3 3 4" xfId="23515" xr:uid="{CA34158D-1524-45E9-BC67-096612EEEADB}"/>
    <cellStyle name="Note 3 4 3 4" xfId="10851" xr:uid="{B1E9CF4C-E89C-4C61-8064-000833EDCDE9}"/>
    <cellStyle name="Note 3 4 3 4 2" xfId="47193" xr:uid="{ADA949B1-6E15-4480-92FA-D764280B60FB}"/>
    <cellStyle name="Note 3 4 3 4 3" xfId="28597" xr:uid="{0C5D4DF7-D1A5-4AB5-8228-3A40B8DB19E4}"/>
    <cellStyle name="Note 3 4 3 5" xfId="37896" xr:uid="{6C7DC5FA-CA18-4247-896F-7B12FED15DB2}"/>
    <cellStyle name="Note 3 4 3 6" xfId="19298" xr:uid="{4484248E-704E-4D5B-B198-7552410DA56B}"/>
    <cellStyle name="Note 3 4 4" xfId="1849" xr:uid="{00000000-0005-0000-0000-0000DD210000}"/>
    <cellStyle name="Note 3 4 4 2" xfId="4078" xr:uid="{00000000-0005-0000-0000-0000DE210000}"/>
    <cellStyle name="Note 3 4 4 2 2" xfId="8300" xr:uid="{00000000-0005-0000-0000-0000DF210000}"/>
    <cellStyle name="Note 3 4 4 2 2 2" xfId="17626" xr:uid="{60408AE7-06F8-4C66-9AB8-C7BACC5366F5}"/>
    <cellStyle name="Note 3 4 4 2 2 2 2" xfId="53968" xr:uid="{87D21187-08CA-49E3-8DD8-5F5CC10D28C5}"/>
    <cellStyle name="Note 3 4 4 2 2 2 3" xfId="35372" xr:uid="{8E2BBFB4-3561-4FF5-8B8B-02B4990E0C7C}"/>
    <cellStyle name="Note 3 4 4 2 2 3" xfId="44671" xr:uid="{6D21A41E-832F-4A1A-B7FD-D52AE359D0A1}"/>
    <cellStyle name="Note 3 4 4 2 2 4" xfId="26073" xr:uid="{C9299818-F516-4F05-B70E-98B734EAACD6}"/>
    <cellStyle name="Note 3 4 4 2 3" xfId="13409" xr:uid="{416713F4-3509-4B30-AE5A-A06E96B12F9F}"/>
    <cellStyle name="Note 3 4 4 2 3 2" xfId="49751" xr:uid="{FB77DF81-F208-4333-B4FF-BD1641547737}"/>
    <cellStyle name="Note 3 4 4 2 3 3" xfId="31155" xr:uid="{91B6CEE7-97D6-400C-AD9B-1C92285687A6}"/>
    <cellStyle name="Note 3 4 4 2 4" xfId="40454" xr:uid="{4248B62A-BE30-48AA-9817-44D12547F07A}"/>
    <cellStyle name="Note 3 4 4 2 5" xfId="21856" xr:uid="{5BA61648-4729-4AA9-959D-1BADDBB09255}"/>
    <cellStyle name="Note 3 4 4 3" xfId="6155" xr:uid="{00000000-0005-0000-0000-0000E0210000}"/>
    <cellStyle name="Note 3 4 4 3 2" xfId="15481" xr:uid="{A0F37E4F-CC66-4D36-82FF-5B239670D94C}"/>
    <cellStyle name="Note 3 4 4 3 2 2" xfId="51823" xr:uid="{DF83E68F-1477-453E-9C8E-C5FFF859DA31}"/>
    <cellStyle name="Note 3 4 4 3 2 3" xfId="33227" xr:uid="{87B42288-8512-4D83-BEB2-D769C03989FA}"/>
    <cellStyle name="Note 3 4 4 3 3" xfId="42526" xr:uid="{5CA34835-4D5F-4127-B2EF-100DB9F1797D}"/>
    <cellStyle name="Note 3 4 4 3 4" xfId="23928" xr:uid="{1A589545-D632-435D-B40B-9D40C063F8E8}"/>
    <cellStyle name="Note 3 4 4 4" xfId="11264" xr:uid="{21C03796-06DE-44FE-A373-7B923F7472A5}"/>
    <cellStyle name="Note 3 4 4 4 2" xfId="47606" xr:uid="{4FB32CA2-9CEF-4A32-9976-C7238AA9620C}"/>
    <cellStyle name="Note 3 4 4 4 3" xfId="29010" xr:uid="{E8CD6219-3B56-48FF-8140-E38927735871}"/>
    <cellStyle name="Note 3 4 4 5" xfId="38309" xr:uid="{05D7C48D-E790-4B25-A6F3-1CFCC1E75FDE}"/>
    <cellStyle name="Note 3 4 4 6" xfId="19711" xr:uid="{B508CDCA-C36E-4224-9E6E-1C56C897FF05}"/>
    <cellStyle name="Note 3 4 5" xfId="2262" xr:uid="{00000000-0005-0000-0000-0000E1210000}"/>
    <cellStyle name="Note 3 4 5 2" xfId="4491" xr:uid="{00000000-0005-0000-0000-0000E2210000}"/>
    <cellStyle name="Note 3 4 5 2 2" xfId="8713" xr:uid="{00000000-0005-0000-0000-0000E3210000}"/>
    <cellStyle name="Note 3 4 5 2 2 2" xfId="18039" xr:uid="{4A804437-5A76-42FD-BD59-083EE74D971C}"/>
    <cellStyle name="Note 3 4 5 2 2 2 2" xfId="54381" xr:uid="{D74B9468-9B33-4EC0-B925-81800F60757D}"/>
    <cellStyle name="Note 3 4 5 2 2 2 3" xfId="35785" xr:uid="{19C05BF2-3859-446B-A773-DC9A47315405}"/>
    <cellStyle name="Note 3 4 5 2 2 3" xfId="45084" xr:uid="{8C91A266-10B7-47A8-B795-FB9D3F38CEDA}"/>
    <cellStyle name="Note 3 4 5 2 2 4" xfId="26486" xr:uid="{85B42978-9EF0-4847-A400-167F29B590FB}"/>
    <cellStyle name="Note 3 4 5 2 3" xfId="13822" xr:uid="{57F28228-35F4-4B4B-BBCE-FEA760A363D4}"/>
    <cellStyle name="Note 3 4 5 2 3 2" xfId="50164" xr:uid="{377F3FBF-418D-4F0C-8647-492B5612C77F}"/>
    <cellStyle name="Note 3 4 5 2 3 3" xfId="31568" xr:uid="{E3BDC19A-1FFF-49C3-B64C-97FFBCB75FDF}"/>
    <cellStyle name="Note 3 4 5 2 4" xfId="40867" xr:uid="{9DAC133B-F1A5-4B13-975A-A1622A6862DB}"/>
    <cellStyle name="Note 3 4 5 2 5" xfId="22269" xr:uid="{9B9D26E9-2526-4391-B536-852A1977FCAE}"/>
    <cellStyle name="Note 3 4 5 3" xfId="6568" xr:uid="{00000000-0005-0000-0000-0000E4210000}"/>
    <cellStyle name="Note 3 4 5 3 2" xfId="15894" xr:uid="{C9D9A942-6DF6-4481-B7E2-E4E250CACCAE}"/>
    <cellStyle name="Note 3 4 5 3 2 2" xfId="52236" xr:uid="{0F6595D2-76CD-44C1-9404-58A420367D6B}"/>
    <cellStyle name="Note 3 4 5 3 2 3" xfId="33640" xr:uid="{4DC4B518-7A30-467B-9AF2-F6F5844BD014}"/>
    <cellStyle name="Note 3 4 5 3 3" xfId="42939" xr:uid="{119DAE61-160F-4E52-BBD6-6C35E02C9B3A}"/>
    <cellStyle name="Note 3 4 5 3 4" xfId="24341" xr:uid="{678232AF-F12D-466A-ABAF-65C5693664E5}"/>
    <cellStyle name="Note 3 4 5 4" xfId="11677" xr:uid="{0517F226-BF6D-4177-934D-5C1526246F46}"/>
    <cellStyle name="Note 3 4 5 4 2" xfId="48019" xr:uid="{60EF049F-5E97-4904-870D-362C1C9016B2}"/>
    <cellStyle name="Note 3 4 5 4 3" xfId="29423" xr:uid="{0242DA7C-F4AC-4B7C-9581-ADEEAF48C0B3}"/>
    <cellStyle name="Note 3 4 5 5" xfId="38722" xr:uid="{063A3B53-C0EA-4A93-A7BA-A2520DF55CF8}"/>
    <cellStyle name="Note 3 4 5 6" xfId="20124" xr:uid="{F1F29325-EA7C-45C9-88F3-AFB2E5885859}"/>
    <cellStyle name="Note 3 4 6" xfId="2698" xr:uid="{00000000-0005-0000-0000-0000E5210000}"/>
    <cellStyle name="Note 3 4 6 2" xfId="6981" xr:uid="{00000000-0005-0000-0000-0000E6210000}"/>
    <cellStyle name="Note 3 4 6 2 2" xfId="16307" xr:uid="{C33C8440-9987-499E-9FE4-8FA10B439681}"/>
    <cellStyle name="Note 3 4 6 2 2 2" xfId="52649" xr:uid="{D60D096B-1ED8-481F-BC2B-4706F323127E}"/>
    <cellStyle name="Note 3 4 6 2 2 3" xfId="34053" xr:uid="{80834F9C-9B36-4BD6-8AEC-85C629456BAB}"/>
    <cellStyle name="Note 3 4 6 2 3" xfId="43352" xr:uid="{DD8AC355-D03E-413A-8164-57B6C8879E0E}"/>
    <cellStyle name="Note 3 4 6 2 4" xfId="24754" xr:uid="{03345450-20A0-47CD-8782-408917A68B38}"/>
    <cellStyle name="Note 3 4 6 3" xfId="12090" xr:uid="{187A398B-5429-473A-A142-4F54B82D2463}"/>
    <cellStyle name="Note 3 4 6 3 2" xfId="48432" xr:uid="{97AD830A-3A75-42A3-9A7D-5E9C6603D3B3}"/>
    <cellStyle name="Note 3 4 6 3 3" xfId="29836" xr:uid="{D65DD07B-A52D-44CB-9ACF-0B778F7268FE}"/>
    <cellStyle name="Note 3 4 6 4" xfId="39135" xr:uid="{E8CECB5C-B018-4528-B2AD-0352CF030F7E}"/>
    <cellStyle name="Note 3 4 6 5" xfId="20537" xr:uid="{217CB5F2-5190-4A40-9172-388BD205910D}"/>
    <cellStyle name="Note 3 4 7" xfId="2757" xr:uid="{00000000-0005-0000-0000-0000E7210000}"/>
    <cellStyle name="Note 3 4 8" xfId="2838" xr:uid="{00000000-0005-0000-0000-0000E8210000}"/>
    <cellStyle name="Note 3 4 8 2" xfId="7061" xr:uid="{00000000-0005-0000-0000-0000E9210000}"/>
    <cellStyle name="Note 3 4 8 2 2" xfId="16387" xr:uid="{0EA11DE4-6180-4DF1-BE19-BD4B4192BBCC}"/>
    <cellStyle name="Note 3 4 8 2 2 2" xfId="52729" xr:uid="{0FF20827-4601-4AD2-8E8B-57ABE8CB3CB8}"/>
    <cellStyle name="Note 3 4 8 2 2 3" xfId="34133" xr:uid="{F3A58299-DC9B-4AFA-8D48-7DFB71B53F85}"/>
    <cellStyle name="Note 3 4 8 2 3" xfId="43432" xr:uid="{C4B9A898-0974-4B97-BBFD-36340E8CD99D}"/>
    <cellStyle name="Note 3 4 8 2 4" xfId="24834" xr:uid="{51D60F91-D3F5-42B5-B5E8-56170DECC882}"/>
    <cellStyle name="Note 3 4 8 3" xfId="12170" xr:uid="{13DEFB5D-6EEA-4472-8B02-1AB7EB5BC7BF}"/>
    <cellStyle name="Note 3 4 8 3 2" xfId="48512" xr:uid="{AA56F18F-BF0E-41A7-9EAA-320E28886B48}"/>
    <cellStyle name="Note 3 4 8 3 3" xfId="29916" xr:uid="{2EA2EB0F-DF12-403E-B191-2BECF07CCC8B}"/>
    <cellStyle name="Note 3 4 8 4" xfId="39215" xr:uid="{BD06FE5E-0AC2-4035-B647-8724A5EE3220}"/>
    <cellStyle name="Note 3 4 8 5" xfId="20617" xr:uid="{B3877A4E-5614-4014-ADA7-85AE39DCDA1A}"/>
    <cellStyle name="Note 3 4 9" xfId="4916" xr:uid="{00000000-0005-0000-0000-0000EA210000}"/>
    <cellStyle name="Note 3 4 9 2" xfId="14242" xr:uid="{4F07296E-89B7-4E2C-BD8F-8771FE94F702}"/>
    <cellStyle name="Note 3 4 9 2 2" xfId="50584" xr:uid="{FC2D1C04-7130-4FD7-BBA8-C128FD7F0D77}"/>
    <cellStyle name="Note 3 4 9 2 3" xfId="31988" xr:uid="{05B0B659-ACC6-4285-8DB8-15D8D26DF4BD}"/>
    <cellStyle name="Note 3 4 9 3" xfId="41287" xr:uid="{27CE0DEE-A8F3-44E4-807B-FA930CCD2DD0}"/>
    <cellStyle name="Note 3 4 9 4" xfId="22689" xr:uid="{57BEBE31-E92C-4F33-BC28-12D3D7DA5C2F}"/>
    <cellStyle name="Note 3 5" xfId="561" xr:uid="{00000000-0005-0000-0000-0000EB210000}"/>
    <cellStyle name="Note 3 5 10" xfId="9213" xr:uid="{D9D7FB9A-B03C-4A97-A778-36731B43DF3F}"/>
    <cellStyle name="Note 3 5 10 2" xfId="36275" xr:uid="{60ADBDEB-6BD6-42DE-BBC7-D3772A1147A1}"/>
    <cellStyle name="Note 3 5 10 2 2" xfId="54869" xr:uid="{BED1E925-D43C-43C0-A93E-99CB58FA9992}"/>
    <cellStyle name="Note 3 5 10 3" xfId="45572" xr:uid="{EDD89A3C-E8A0-445F-A1B7-D761106EFA49}"/>
    <cellStyle name="Note 3 5 10 4" xfId="26976" xr:uid="{D47293D4-7405-43F3-92D1-594C4B49A45D}"/>
    <cellStyle name="Note 3 5 11" xfId="10026" xr:uid="{D31F9974-F22A-4D33-B579-BAC70CA89A1F}"/>
    <cellStyle name="Note 3 5 11 2" xfId="46368" xr:uid="{CA7F0459-90A1-437D-875E-6A6313387621}"/>
    <cellStyle name="Note 3 5 11 3" xfId="27772" xr:uid="{EA414456-CD6E-4016-A528-B7A34EC5AD8C}"/>
    <cellStyle name="Note 3 5 12" xfId="37071" xr:uid="{5ECC8A69-94E0-4799-9282-87640C5D8C55}"/>
    <cellStyle name="Note 3 5 13" xfId="18473" xr:uid="{EA3128E4-623A-407B-B178-09B5D7CCC606}"/>
    <cellStyle name="Note 3 5 2" xfId="1021" xr:uid="{00000000-0005-0000-0000-0000EC210000}"/>
    <cellStyle name="Note 3 5 2 2" xfId="3253" xr:uid="{00000000-0005-0000-0000-0000ED210000}"/>
    <cellStyle name="Note 3 5 2 2 2" xfId="7475" xr:uid="{00000000-0005-0000-0000-0000EE210000}"/>
    <cellStyle name="Note 3 5 2 2 2 2" xfId="16801" xr:uid="{761F2ADE-6D68-4833-A0C2-D40A2C763119}"/>
    <cellStyle name="Note 3 5 2 2 2 2 2" xfId="53143" xr:uid="{449B3C84-E932-4987-8EA5-88B835FEB3D0}"/>
    <cellStyle name="Note 3 5 2 2 2 2 3" xfId="34547" xr:uid="{9DA27E8B-1560-4D6A-8AE9-A5DE9A1F8E1C}"/>
    <cellStyle name="Note 3 5 2 2 2 3" xfId="43846" xr:uid="{C3115CE8-187A-487C-901F-2E69D22D5277}"/>
    <cellStyle name="Note 3 5 2 2 2 4" xfId="25248" xr:uid="{BCF79479-993F-41DF-BDE3-B22DEA327BC3}"/>
    <cellStyle name="Note 3 5 2 2 3" xfId="12584" xr:uid="{B2EF235C-6C8F-456D-B669-6C462D64D933}"/>
    <cellStyle name="Note 3 5 2 2 3 2" xfId="48926" xr:uid="{6015F17B-4941-4579-9FB1-44DF7DBD807A}"/>
    <cellStyle name="Note 3 5 2 2 3 3" xfId="30330" xr:uid="{EF165715-13E0-464E-8AB0-AFC50322B049}"/>
    <cellStyle name="Note 3 5 2 2 4" xfId="39629" xr:uid="{B7E94415-43DC-40F9-BD5F-208970C36D89}"/>
    <cellStyle name="Note 3 5 2 2 5" xfId="21031" xr:uid="{AB2A0C50-E227-4F90-88F1-E155B1E606C0}"/>
    <cellStyle name="Note 3 5 2 3" xfId="5330" xr:uid="{00000000-0005-0000-0000-0000EF210000}"/>
    <cellStyle name="Note 3 5 2 3 2" xfId="14656" xr:uid="{927CB6E2-C786-4E5F-9C07-00ECCEC9746D}"/>
    <cellStyle name="Note 3 5 2 3 2 2" xfId="50998" xr:uid="{1A170D6C-08F5-4081-B0DB-D50FCD656397}"/>
    <cellStyle name="Note 3 5 2 3 2 3" xfId="32402" xr:uid="{701C5B7E-5A3B-4702-8C9A-37BC95627C50}"/>
    <cellStyle name="Note 3 5 2 3 3" xfId="41701" xr:uid="{76295745-AA13-4D7C-8160-0C2104491671}"/>
    <cellStyle name="Note 3 5 2 3 4" xfId="23103" xr:uid="{AC8E5CB8-BA4F-4E03-AC43-9920E62F0FE4}"/>
    <cellStyle name="Note 3 5 2 4" xfId="9611" xr:uid="{74765414-66B3-4FDA-BA21-3BFFEF98E338}"/>
    <cellStyle name="Note 3 5 2 4 2" xfId="36657" xr:uid="{D23C8944-2899-47FD-BE9E-3BA2D506AAD9}"/>
    <cellStyle name="Note 3 5 2 4 2 2" xfId="55251" xr:uid="{B8B8CC28-7D19-4550-AB5A-33DE7BD79788}"/>
    <cellStyle name="Note 3 5 2 4 3" xfId="45954" xr:uid="{9FAF155C-B4FA-48CF-9FE7-9AEE3EB6AF87}"/>
    <cellStyle name="Note 3 5 2 4 4" xfId="27358" xr:uid="{0948B893-4A83-4028-A782-215F642D76CD}"/>
    <cellStyle name="Note 3 5 2 5" xfId="10439" xr:uid="{94F8C5F4-635E-494A-A8B5-1A8411793D7C}"/>
    <cellStyle name="Note 3 5 2 5 2" xfId="46781" xr:uid="{0A50597B-96BA-4D5B-B981-2481B155FB76}"/>
    <cellStyle name="Note 3 5 2 5 3" xfId="28185" xr:uid="{FB1BC5A6-4D38-4525-84A2-0232716BDE6A}"/>
    <cellStyle name="Note 3 5 2 6" xfId="37484" xr:uid="{89C5126A-C8F1-44E3-ABB4-A8A786EE97FA}"/>
    <cellStyle name="Note 3 5 2 7" xfId="18886" xr:uid="{88C7030B-7473-46CC-B060-B437E6D5CFD8}"/>
    <cellStyle name="Note 3 5 3" xfId="1436" xr:uid="{00000000-0005-0000-0000-0000F0210000}"/>
    <cellStyle name="Note 3 5 3 2" xfId="3666" xr:uid="{00000000-0005-0000-0000-0000F1210000}"/>
    <cellStyle name="Note 3 5 3 2 2" xfId="7888" xr:uid="{00000000-0005-0000-0000-0000F2210000}"/>
    <cellStyle name="Note 3 5 3 2 2 2" xfId="17214" xr:uid="{E9B8B530-80C1-4C7D-B043-00F4DD910138}"/>
    <cellStyle name="Note 3 5 3 2 2 2 2" xfId="53556" xr:uid="{89838BA8-AF79-481E-B39D-39A7070228DA}"/>
    <cellStyle name="Note 3 5 3 2 2 2 3" xfId="34960" xr:uid="{6F39FE64-764A-411C-A7D9-824F1C050DE4}"/>
    <cellStyle name="Note 3 5 3 2 2 3" xfId="44259" xr:uid="{4609BA49-9DF1-41FD-9787-F3BFB8FD4FE3}"/>
    <cellStyle name="Note 3 5 3 2 2 4" xfId="25661" xr:uid="{2E99FC85-A374-49F4-8D64-E161C81CBA82}"/>
    <cellStyle name="Note 3 5 3 2 3" xfId="12997" xr:uid="{4EE67FA6-1588-4D74-8895-639E1ADC8857}"/>
    <cellStyle name="Note 3 5 3 2 3 2" xfId="49339" xr:uid="{995EAD8D-1BFF-4892-B939-EE1649847259}"/>
    <cellStyle name="Note 3 5 3 2 3 3" xfId="30743" xr:uid="{C0442E72-E6E0-41F1-BA9E-DDE1F021FA48}"/>
    <cellStyle name="Note 3 5 3 2 4" xfId="40042" xr:uid="{9E733CD8-3BFA-42B7-BB66-80950503114A}"/>
    <cellStyle name="Note 3 5 3 2 5" xfId="21444" xr:uid="{4589FFEE-21A6-42A6-B4AB-A4D9D014D46B}"/>
    <cellStyle name="Note 3 5 3 3" xfId="5743" xr:uid="{00000000-0005-0000-0000-0000F3210000}"/>
    <cellStyle name="Note 3 5 3 3 2" xfId="15069" xr:uid="{CCAA30EF-ECF1-494B-B0F9-7EC59BFEFD7B}"/>
    <cellStyle name="Note 3 5 3 3 2 2" xfId="51411" xr:uid="{64993DFE-9D90-4083-865F-B7EE28E42476}"/>
    <cellStyle name="Note 3 5 3 3 2 3" xfId="32815" xr:uid="{1120E608-8E57-4D2A-852E-A2872D701E2D}"/>
    <cellStyle name="Note 3 5 3 3 3" xfId="42114" xr:uid="{1B60DAFA-CD58-479F-8A39-49AF6AB5DBAA}"/>
    <cellStyle name="Note 3 5 3 3 4" xfId="23516" xr:uid="{57FCAEEB-9D01-43C1-A90E-85D57B5BC6FD}"/>
    <cellStyle name="Note 3 5 3 4" xfId="10852" xr:uid="{8CB0FC76-C451-46C8-8BEA-565E861D49F3}"/>
    <cellStyle name="Note 3 5 3 4 2" xfId="47194" xr:uid="{F8301129-DEC1-414C-BEA9-E765CE25CCB7}"/>
    <cellStyle name="Note 3 5 3 4 3" xfId="28598" xr:uid="{213A8CD6-DC4C-42B0-A1BC-B7C84EBAD9B7}"/>
    <cellStyle name="Note 3 5 3 5" xfId="37897" xr:uid="{2CC67A00-C497-4668-8B4F-48B878C0F3DD}"/>
    <cellStyle name="Note 3 5 3 6" xfId="19299" xr:uid="{D4A6162E-56D5-42E2-847C-FCDF2C19FD39}"/>
    <cellStyle name="Note 3 5 4" xfId="1850" xr:uid="{00000000-0005-0000-0000-0000F4210000}"/>
    <cellStyle name="Note 3 5 4 2" xfId="4079" xr:uid="{00000000-0005-0000-0000-0000F5210000}"/>
    <cellStyle name="Note 3 5 4 2 2" xfId="8301" xr:uid="{00000000-0005-0000-0000-0000F6210000}"/>
    <cellStyle name="Note 3 5 4 2 2 2" xfId="17627" xr:uid="{D9E9E9F3-BBFC-4E69-A631-A510888C1C64}"/>
    <cellStyle name="Note 3 5 4 2 2 2 2" xfId="53969" xr:uid="{BF76C2B7-ADC4-4597-9F61-99701E002C91}"/>
    <cellStyle name="Note 3 5 4 2 2 2 3" xfId="35373" xr:uid="{1CC26F20-5778-4DA7-87F7-F2A38B0D0612}"/>
    <cellStyle name="Note 3 5 4 2 2 3" xfId="44672" xr:uid="{6935579E-457B-48EC-A88A-03B816F314D5}"/>
    <cellStyle name="Note 3 5 4 2 2 4" xfId="26074" xr:uid="{DC75B0F1-F92F-45B6-8E08-AC19B2B4D049}"/>
    <cellStyle name="Note 3 5 4 2 3" xfId="13410" xr:uid="{5C98F383-95E7-4E55-B6FA-745A04818CAD}"/>
    <cellStyle name="Note 3 5 4 2 3 2" xfId="49752" xr:uid="{B2F8DAC1-28D0-4C26-9377-3A7ED6FCAC49}"/>
    <cellStyle name="Note 3 5 4 2 3 3" xfId="31156" xr:uid="{D4A5E921-0DB9-4258-8641-A222D9E5AF4B}"/>
    <cellStyle name="Note 3 5 4 2 4" xfId="40455" xr:uid="{E2F902E7-CB44-419A-9F05-F4E4D5D5EDCE}"/>
    <cellStyle name="Note 3 5 4 2 5" xfId="21857" xr:uid="{47C2C5BD-C317-4D65-B9AF-00FC977AE82E}"/>
    <cellStyle name="Note 3 5 4 3" xfId="6156" xr:uid="{00000000-0005-0000-0000-0000F7210000}"/>
    <cellStyle name="Note 3 5 4 3 2" xfId="15482" xr:uid="{6AB991DA-C62D-4CDC-82D5-D06490218C61}"/>
    <cellStyle name="Note 3 5 4 3 2 2" xfId="51824" xr:uid="{6078F111-C704-44ED-8B6F-8855A63B6EB2}"/>
    <cellStyle name="Note 3 5 4 3 2 3" xfId="33228" xr:uid="{55A5D5D4-FCBF-454D-B834-F4C0E6D9E853}"/>
    <cellStyle name="Note 3 5 4 3 3" xfId="42527" xr:uid="{A2F3A543-246D-48E8-878B-FCD32ED9090E}"/>
    <cellStyle name="Note 3 5 4 3 4" xfId="23929" xr:uid="{BB64038E-1B22-4E0B-A940-001AFD972383}"/>
    <cellStyle name="Note 3 5 4 4" xfId="11265" xr:uid="{E4C17110-0A48-4A5D-9BED-9417D3BC5087}"/>
    <cellStyle name="Note 3 5 4 4 2" xfId="47607" xr:uid="{25C30EDD-7D56-4291-83A4-6867DB9C774D}"/>
    <cellStyle name="Note 3 5 4 4 3" xfId="29011" xr:uid="{259D3135-CB71-4391-811C-1AC1EED8DF11}"/>
    <cellStyle name="Note 3 5 4 5" xfId="38310" xr:uid="{A14D9A11-1802-4F22-92D6-D8A774948DC5}"/>
    <cellStyle name="Note 3 5 4 6" xfId="19712" xr:uid="{9A541713-D456-485B-AC82-144B98735E18}"/>
    <cellStyle name="Note 3 5 5" xfId="2263" xr:uid="{00000000-0005-0000-0000-0000F8210000}"/>
    <cellStyle name="Note 3 5 5 2" xfId="4492" xr:uid="{00000000-0005-0000-0000-0000F9210000}"/>
    <cellStyle name="Note 3 5 5 2 2" xfId="8714" xr:uid="{00000000-0005-0000-0000-0000FA210000}"/>
    <cellStyle name="Note 3 5 5 2 2 2" xfId="18040" xr:uid="{55C71CCA-3310-41C9-B1C9-D2D9552B9FEF}"/>
    <cellStyle name="Note 3 5 5 2 2 2 2" xfId="54382" xr:uid="{65F8FE81-4808-4941-ABCB-F302B74261C0}"/>
    <cellStyle name="Note 3 5 5 2 2 2 3" xfId="35786" xr:uid="{1A773CEC-D468-4377-B59A-BD1469EDA9C0}"/>
    <cellStyle name="Note 3 5 5 2 2 3" xfId="45085" xr:uid="{AA214D59-B348-44A9-ADC2-C4BE5102FB48}"/>
    <cellStyle name="Note 3 5 5 2 2 4" xfId="26487" xr:uid="{FABF971C-152D-4425-8013-94668D26D010}"/>
    <cellStyle name="Note 3 5 5 2 3" xfId="13823" xr:uid="{C2F21578-5A2B-49C4-A124-F593C12C82D3}"/>
    <cellStyle name="Note 3 5 5 2 3 2" xfId="50165" xr:uid="{02EE8DAD-B898-4395-A21A-E27462F5BCCB}"/>
    <cellStyle name="Note 3 5 5 2 3 3" xfId="31569" xr:uid="{8EC52850-06A2-443B-AA53-C1AB7E1EDB18}"/>
    <cellStyle name="Note 3 5 5 2 4" xfId="40868" xr:uid="{4EF71915-39CE-434C-B023-7E44EFA3CF1B}"/>
    <cellStyle name="Note 3 5 5 2 5" xfId="22270" xr:uid="{3986EE76-13F1-477F-997D-E2A406AA27A9}"/>
    <cellStyle name="Note 3 5 5 3" xfId="6569" xr:uid="{00000000-0005-0000-0000-0000FB210000}"/>
    <cellStyle name="Note 3 5 5 3 2" xfId="15895" xr:uid="{61E446EA-006C-4088-9D8E-F4EC39CC287B}"/>
    <cellStyle name="Note 3 5 5 3 2 2" xfId="52237" xr:uid="{BBA6A0A7-40AE-4F20-9543-AB281F0AB05B}"/>
    <cellStyle name="Note 3 5 5 3 2 3" xfId="33641" xr:uid="{05D5E40F-873D-42A8-9FCB-E6AB443C6B00}"/>
    <cellStyle name="Note 3 5 5 3 3" xfId="42940" xr:uid="{97EF764E-E024-4080-9CEF-450536CD7152}"/>
    <cellStyle name="Note 3 5 5 3 4" xfId="24342" xr:uid="{C4EA62A9-953A-4D8C-82A6-6ED1EC76DD3E}"/>
    <cellStyle name="Note 3 5 5 4" xfId="11678" xr:uid="{520FBE3A-2A5A-4814-8338-FFC0BE454F08}"/>
    <cellStyle name="Note 3 5 5 4 2" xfId="48020" xr:uid="{A7F3AB8E-73D2-4C8C-B421-9D4CF49027C1}"/>
    <cellStyle name="Note 3 5 5 4 3" xfId="29424" xr:uid="{53535FCE-E5F9-49C6-B674-E4CCC0623707}"/>
    <cellStyle name="Note 3 5 5 5" xfId="38723" xr:uid="{0911B7DE-4A70-471F-BA00-7C0452CDB6E0}"/>
    <cellStyle name="Note 3 5 5 6" xfId="20125" xr:uid="{516B5182-8275-499D-8F6C-A529C4A384FB}"/>
    <cellStyle name="Note 3 5 6" xfId="2699" xr:uid="{00000000-0005-0000-0000-0000FC210000}"/>
    <cellStyle name="Note 3 5 6 2" xfId="6982" xr:uid="{00000000-0005-0000-0000-0000FD210000}"/>
    <cellStyle name="Note 3 5 6 2 2" xfId="16308" xr:uid="{C6E5DAFB-2B79-481F-BD1C-EDC56AE43FDB}"/>
    <cellStyle name="Note 3 5 6 2 2 2" xfId="52650" xr:uid="{3E46306F-3190-4B6B-862C-5D45171C4F69}"/>
    <cellStyle name="Note 3 5 6 2 2 3" xfId="34054" xr:uid="{5168A586-0F63-42BB-8BA7-C98203238D06}"/>
    <cellStyle name="Note 3 5 6 2 3" xfId="43353" xr:uid="{6498EFC8-DAD5-4AD0-9D86-457C49F97F5E}"/>
    <cellStyle name="Note 3 5 6 2 4" xfId="24755" xr:uid="{5B7792EE-B234-45CB-91B0-53E2CD60E2C8}"/>
    <cellStyle name="Note 3 5 6 3" xfId="12091" xr:uid="{D60B1F40-9F3B-4422-86FB-B0896BD105E1}"/>
    <cellStyle name="Note 3 5 6 3 2" xfId="48433" xr:uid="{4E6BAB39-1C45-4122-8FBF-0B5D20D71531}"/>
    <cellStyle name="Note 3 5 6 3 3" xfId="29837" xr:uid="{150956C2-E6EE-4214-8193-3BE2D6B3ACF6}"/>
    <cellStyle name="Note 3 5 6 4" xfId="39136" xr:uid="{B055354F-256A-4D1D-B60C-EF259D210329}"/>
    <cellStyle name="Note 3 5 6 5" xfId="20538" xr:uid="{C1622F40-49C3-433C-BE59-E8B82E36578A}"/>
    <cellStyle name="Note 3 5 7" xfId="2758" xr:uid="{00000000-0005-0000-0000-0000FE210000}"/>
    <cellStyle name="Note 3 5 8" xfId="2839" xr:uid="{00000000-0005-0000-0000-0000FF210000}"/>
    <cellStyle name="Note 3 5 8 2" xfId="7062" xr:uid="{00000000-0005-0000-0000-000000220000}"/>
    <cellStyle name="Note 3 5 8 2 2" xfId="16388" xr:uid="{7C4C7E4B-EB21-4AD5-812B-980CF9C106D2}"/>
    <cellStyle name="Note 3 5 8 2 2 2" xfId="52730" xr:uid="{2A379E52-AC04-4BAC-811A-EFD379C17A5D}"/>
    <cellStyle name="Note 3 5 8 2 2 3" xfId="34134" xr:uid="{112EB13B-1306-4503-BF07-CBC5F270A4E3}"/>
    <cellStyle name="Note 3 5 8 2 3" xfId="43433" xr:uid="{B14C31D2-1626-4CB5-A234-C8DCA759E1B0}"/>
    <cellStyle name="Note 3 5 8 2 4" xfId="24835" xr:uid="{3E6CF7C8-20C7-4E70-ABE8-0201FB5A0907}"/>
    <cellStyle name="Note 3 5 8 3" xfId="12171" xr:uid="{49FFA83C-5C9A-4C11-8301-D228FF62BBA8}"/>
    <cellStyle name="Note 3 5 8 3 2" xfId="48513" xr:uid="{33E59704-C413-45CE-8511-A4EACAEFFC18}"/>
    <cellStyle name="Note 3 5 8 3 3" xfId="29917" xr:uid="{65F103E2-344C-4435-84CF-99788DEA186A}"/>
    <cellStyle name="Note 3 5 8 4" xfId="39216" xr:uid="{DAAC7BE1-E30F-41E4-8373-A0ECB33C214B}"/>
    <cellStyle name="Note 3 5 8 5" xfId="20618" xr:uid="{9D2C9C58-F52E-4136-BE9C-33A3EAE4B0D8}"/>
    <cellStyle name="Note 3 5 9" xfId="4917" xr:uid="{00000000-0005-0000-0000-000001220000}"/>
    <cellStyle name="Note 3 5 9 2" xfId="14243" xr:uid="{ECF1BE3D-AA84-4F09-8BC5-7AFF54D69DA9}"/>
    <cellStyle name="Note 3 5 9 2 2" xfId="50585" xr:uid="{BAF6C370-9AA7-44ED-94C5-1D97FADD790D}"/>
    <cellStyle name="Note 3 5 9 2 3" xfId="31989" xr:uid="{71D6C16E-D96D-4EF3-9E1A-575EC2D9C3FD}"/>
    <cellStyle name="Note 3 5 9 3" xfId="41288" xr:uid="{35B5E261-C404-4EC1-9645-82DC035EC097}"/>
    <cellStyle name="Note 3 5 9 4" xfId="22690" xr:uid="{BF6A9AE0-CB8D-4315-A6E9-43411AA3AB4E}"/>
    <cellStyle name="Note 3 6" xfId="9588" xr:uid="{4A2A2C5B-BA67-4FBC-A2F1-7546BE1E0E7F}"/>
    <cellStyle name="Note 3 7" xfId="8789" xr:uid="{EE6BC007-A514-4F23-A927-A69B937DFEC6}"/>
    <cellStyle name="Note 3 7 2" xfId="35859" xr:uid="{AC473CAD-70E3-4A7E-B5BF-5DE94B6A2ABF}"/>
    <cellStyle name="Note 3 7 2 2" xfId="54454" xr:uid="{72E46350-30B6-46C0-A559-028093EE62B5}"/>
    <cellStyle name="Note 3 7 3" xfId="45157" xr:uid="{1D8126FF-E93F-44E4-A3B5-3B176A5D86DA}"/>
    <cellStyle name="Note 3 7 4" xfId="26560" xr:uid="{0F272FA1-9E97-4952-936D-77774F34A5B9}"/>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3 2 2" xfId="36642" xr:uid="{6959BE85-1DBC-4FD8-B061-FA8D38506EEB}"/>
    <cellStyle name="Percent 3 2 2 2" xfId="55236" xr:uid="{DA3E26A1-99FE-46CB-AE21-995415CBCA83}"/>
    <cellStyle name="Percent 3 2 3" xfId="45939" xr:uid="{1E012478-E946-4469-BCB1-FC466810C3F8}"/>
    <cellStyle name="Percent 3 2 4" xfId="27343" xr:uid="{50DC93A6-6A25-495E-A8CA-5CAEC8BE1E31}"/>
    <cellStyle name="Percent 3 3" xfId="13826" xr:uid="{526313B9-730A-4F8F-82B5-4D616167B1B7}"/>
    <cellStyle name="Percent 3 3 2" xfId="50168" xr:uid="{20F00E6A-E523-4107-AD4A-1CEB39CF86E4}"/>
    <cellStyle name="Percent 3 3 3" xfId="31572" xr:uid="{AD615CC1-FEE3-4E14-840D-302971639BBF}"/>
    <cellStyle name="Percent 3 4" xfId="40871" xr:uid="{08C4462A-D076-43A7-924E-1CF7CAF58584}"/>
    <cellStyle name="Percent 3 5" xfId="22273" xr:uid="{F4F3151E-992D-4BC9-AFE2-1DBDA7026DC9}"/>
    <cellStyle name="Percent 4" xfId="4502" xr:uid="{00000000-0005-0000-0000-000007220000}"/>
    <cellStyle name="Percent 4 2" xfId="8717" xr:uid="{00000000-0005-0000-0000-000008220000}"/>
    <cellStyle name="Percent 4 2 2" xfId="18043" xr:uid="{14F27557-EF0E-417E-9882-D9F1E17D9625}"/>
    <cellStyle name="Percent 4 2 2 2" xfId="54385" xr:uid="{E6B89A6E-A793-4376-B2E4-16DCD4777C20}"/>
    <cellStyle name="Percent 4 2 2 3" xfId="35789" xr:uid="{CE64AFAE-FFA4-4553-B676-2E62344B0246}"/>
    <cellStyle name="Percent 4 2 3" xfId="45088" xr:uid="{1C6320B2-1836-420E-A82C-4B6F9BF35312}"/>
    <cellStyle name="Percent 4 2 4" xfId="26490" xr:uid="{950245BD-E2DC-454C-AE97-7A2F039D7208}"/>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Percent 4 3 2 2 2 2 2 2" xfId="35808" xr:uid="{14BF8C49-EC30-4753-9A55-CF0920E818ED}"/>
    <cellStyle name="Percent 4 3 2 2 2 2 2 2 2" xfId="54404" xr:uid="{89FE8DCE-86FB-4152-8D02-FBCA56FF669B}"/>
    <cellStyle name="Percent 4 3 2 2 2 2 2 3" xfId="45107" xr:uid="{947894F1-C7FF-4239-9941-A3A141490E3C}"/>
    <cellStyle name="Percent 4 3 2 2 2 2 2 4" xfId="26509" xr:uid="{9D44711E-1F3C-4F3E-B6C1-7F0FFED03E17}"/>
    <cellStyle name="Percent 4 3 2 2 2 2 3" xfId="18059" xr:uid="{910E7A66-EEDC-40A7-9683-FAC34885AA84}"/>
    <cellStyle name="Percent 4 3 2 2 2 2 3 2" xfId="54401" xr:uid="{071A27B4-AADF-45AC-B2AC-A7F4F3BEC632}"/>
    <cellStyle name="Percent 4 3 2 2 2 2 3 3" xfId="35805" xr:uid="{639E9F32-8BAF-4DC0-94B6-47F493B0EA27}"/>
    <cellStyle name="Percent 4 3 2 2 2 2 4" xfId="45104" xr:uid="{B3DA5510-D01E-450A-BDC9-9790A6286CC6}"/>
    <cellStyle name="Percent 4 3 2 2 2 2 5" xfId="26506" xr:uid="{0BF10166-B779-4571-AC29-E3B7929544FB}"/>
    <cellStyle name="Percent 4 3 2 2 2 3" xfId="18056" xr:uid="{D49055FC-41FC-487D-9E28-C27FA52706B4}"/>
    <cellStyle name="Percent 4 3 2 2 2 3 2" xfId="54398" xr:uid="{51FF4A22-4155-42AA-9B7B-4968AE162196}"/>
    <cellStyle name="Percent 4 3 2 2 2 3 3" xfId="35802" xr:uid="{FE2B1946-7322-455F-B1B2-84ABFD31CB0D}"/>
    <cellStyle name="Percent 4 3 2 2 2 4" xfId="45101" xr:uid="{D0B1CB49-FB00-43B4-B02E-122497301FE4}"/>
    <cellStyle name="Percent 4 3 2 2 2 5" xfId="26503" xr:uid="{444B2CF3-82CB-4947-ADE9-80A9FFD2C2DE}"/>
    <cellStyle name="Percent 4 3 2 2 3" xfId="18052" xr:uid="{7E949D31-E520-49A9-9075-B5A6F115A859}"/>
    <cellStyle name="Percent 4 3 2 2 3 2" xfId="54394" xr:uid="{AF2389F4-A731-4503-94DB-F4FDFA6D0682}"/>
    <cellStyle name="Percent 4 3 2 2 3 3" xfId="35798" xr:uid="{D32BD405-C0A5-434D-898B-688378F76FA6}"/>
    <cellStyle name="Percent 4 3 2 2 4" xfId="45097" xr:uid="{4CF618B6-61BD-4919-ABB7-B0B1DF2EE80D}"/>
    <cellStyle name="Percent 4 3 2 2 5" xfId="26499" xr:uid="{8355E467-0992-4DB9-92D5-FFDC9B946D29}"/>
    <cellStyle name="Percent 4 3 2 3" xfId="18049" xr:uid="{63EB4434-6C6B-43CB-9504-90118F498384}"/>
    <cellStyle name="Percent 4 3 2 3 2" xfId="54391" xr:uid="{503A2C32-508C-497C-9E7B-7283328F88B7}"/>
    <cellStyle name="Percent 4 3 2 3 3" xfId="35795" xr:uid="{47777C69-A9B1-484E-8EAC-2BCEDE48C9CE}"/>
    <cellStyle name="Percent 4 3 2 4" xfId="45094" xr:uid="{BEB06F51-3D56-49A8-A3C2-0DD8BE6818DA}"/>
    <cellStyle name="Percent 4 3 2 5" xfId="26496" xr:uid="{7B4CCE57-52F5-4982-9C90-DA9157F52D72}"/>
    <cellStyle name="Percent 4 3 3" xfId="18046" xr:uid="{5E9297D9-0278-4D8A-90D3-4D20AA714756}"/>
    <cellStyle name="Percent 4 3 3 2" xfId="54388" xr:uid="{210F3941-5DE2-4378-A4A2-B63C4964EFE0}"/>
    <cellStyle name="Percent 4 3 3 3" xfId="35792" xr:uid="{B16FCD32-750E-4B42-AEE4-EEA2B5A731EC}"/>
    <cellStyle name="Percent 4 3 4" xfId="45091" xr:uid="{2C9AAD88-9316-429B-8B4C-30A02B51C623}"/>
    <cellStyle name="Percent 4 3 5" xfId="26493" xr:uid="{24173113-4899-4A5F-A9AB-83EABB5750D5}"/>
    <cellStyle name="Percent 4 4" xfId="13829" xr:uid="{F08AB1E5-5628-4AA8-B80A-1F18C378A427}"/>
    <cellStyle name="Percent 4 4 2" xfId="50171" xr:uid="{C3C2BF86-D5E5-4B2B-AC5A-AE79CA6B9AE7}"/>
    <cellStyle name="Percent 4 4 3" xfId="31575" xr:uid="{9C43773C-8A93-4462-88CD-164E83ABE518}"/>
    <cellStyle name="Percent 4 5" xfId="40874" xr:uid="{B8F1B62C-7B52-4F3E-A20F-FE29FD6E561B}"/>
    <cellStyle name="Percent 4 6" xfId="22276" xr:uid="{FFB1DD42-65E3-4AF5-8331-926EF292C80A}"/>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15240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3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32" workbookViewId="0">
      <selection activeCell="C175" sqref="C175"/>
    </sheetView>
  </sheetViews>
  <sheetFormatPr defaultColWidth="0" defaultRowHeight="13.2" zeroHeight="1"/>
  <cols>
    <col min="1" max="5" width="2.44140625" customWidth="1"/>
    <col min="6" max="6" width="3" customWidth="1"/>
    <col min="7" max="36" width="2.44140625" customWidth="1"/>
    <col min="37" max="38" width="2.6640625" customWidth="1"/>
    <col min="39" max="16384" width="2.44140625" hidden="1"/>
  </cols>
  <sheetData>
    <row r="1" spans="1:38">
      <c r="A1" s="1522" t="s">
        <v>550</v>
      </c>
      <c r="B1" s="1522"/>
      <c r="C1" s="1522"/>
      <c r="D1" s="1522"/>
      <c r="E1" s="1522"/>
      <c r="F1" s="1522"/>
      <c r="G1" s="1522"/>
      <c r="H1" s="1522"/>
      <c r="I1" s="1522"/>
      <c r="J1" s="1522"/>
      <c r="K1" s="1522"/>
      <c r="L1" s="1522"/>
      <c r="M1" s="1522"/>
      <c r="N1" s="1522"/>
      <c r="O1" s="1522"/>
      <c r="P1" s="1522"/>
      <c r="Q1" s="1522"/>
      <c r="R1" s="1522"/>
      <c r="S1" s="1522"/>
      <c r="T1" s="1522"/>
      <c r="U1" s="1522"/>
      <c r="V1" s="1522"/>
      <c r="W1" s="1522"/>
      <c r="X1" s="1522"/>
      <c r="Y1" s="1522"/>
      <c r="Z1" s="1522"/>
      <c r="AA1" s="1522"/>
      <c r="AB1" s="1522"/>
      <c r="AC1" s="1522"/>
      <c r="AD1" s="1522"/>
      <c r="AE1" s="1522"/>
      <c r="AF1" s="1522"/>
      <c r="AG1" s="1522"/>
      <c r="AH1" s="1522"/>
      <c r="AI1" s="1522"/>
      <c r="AJ1" s="1522"/>
      <c r="AK1" s="1522"/>
      <c r="AL1" s="1522"/>
    </row>
    <row r="2" spans="1:38" ht="13.8" thickBot="1">
      <c r="A2" s="1523"/>
      <c r="B2" s="1523"/>
      <c r="C2" s="1523"/>
      <c r="D2" s="1523"/>
      <c r="E2" s="1523"/>
      <c r="F2" s="1523"/>
      <c r="G2" s="1523"/>
      <c r="H2" s="1523"/>
      <c r="I2" s="1523"/>
      <c r="J2" s="1523"/>
      <c r="K2" s="1523"/>
      <c r="L2" s="1523"/>
      <c r="M2" s="1523"/>
      <c r="N2" s="1523"/>
      <c r="O2" s="1523"/>
      <c r="P2" s="1523"/>
      <c r="Q2" s="1523"/>
      <c r="R2" s="1523"/>
      <c r="S2" s="1523"/>
      <c r="T2" s="1523"/>
      <c r="U2" s="1523"/>
      <c r="V2" s="1523"/>
      <c r="W2" s="1523"/>
      <c r="X2" s="1523"/>
      <c r="Y2" s="1523"/>
      <c r="Z2" s="1523"/>
      <c r="AA2" s="1523"/>
      <c r="AB2" s="1523"/>
      <c r="AC2" s="1523"/>
      <c r="AD2" s="1523"/>
      <c r="AE2" s="1523"/>
      <c r="AF2" s="1523"/>
      <c r="AG2" s="1523"/>
      <c r="AH2" s="1523"/>
      <c r="AI2" s="1523"/>
      <c r="AJ2" s="1523"/>
      <c r="AK2" s="1523"/>
      <c r="AL2" s="1523"/>
    </row>
    <row r="3" spans="1:38" ht="13.8"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 customHeight="1">
      <c r="A7" s="204"/>
      <c r="B7" s="204"/>
      <c r="C7" s="205"/>
      <c r="D7" s="1524" t="s">
        <v>1992</v>
      </c>
      <c r="E7" s="1524"/>
      <c r="F7" s="1524"/>
      <c r="G7" s="1524"/>
      <c r="H7" s="1524"/>
      <c r="I7" s="1524"/>
      <c r="J7" s="1524"/>
      <c r="K7" s="1524"/>
      <c r="L7" s="1524"/>
      <c r="M7" s="1524"/>
      <c r="N7" s="1524"/>
      <c r="O7" s="1524"/>
      <c r="P7" s="1524"/>
      <c r="Q7" s="1524"/>
      <c r="R7" s="1524"/>
      <c r="S7" s="1524"/>
      <c r="T7" s="1524"/>
      <c r="U7" s="1524"/>
      <c r="V7" s="1524"/>
      <c r="W7" s="1524"/>
      <c r="X7" s="1524"/>
      <c r="Y7" s="1524"/>
      <c r="Z7" s="1524"/>
      <c r="AA7" s="1524"/>
      <c r="AB7" s="1524"/>
      <c r="AC7" s="1524"/>
      <c r="AD7" s="1524"/>
      <c r="AE7" s="1524"/>
      <c r="AF7" s="1524"/>
      <c r="AG7" s="1524"/>
      <c r="AH7" s="1524"/>
      <c r="AI7" s="1524"/>
      <c r="AJ7" s="1524"/>
      <c r="AK7" s="1524"/>
      <c r="AL7" s="455"/>
    </row>
    <row r="8" spans="1:38">
      <c r="A8" s="204"/>
      <c r="B8" s="204"/>
      <c r="C8" s="205"/>
      <c r="D8" s="1524"/>
      <c r="E8" s="1524"/>
      <c r="F8" s="1524"/>
      <c r="G8" s="1524"/>
      <c r="H8" s="1524"/>
      <c r="I8" s="1524"/>
      <c r="J8" s="1524"/>
      <c r="K8" s="1524"/>
      <c r="L8" s="1524"/>
      <c r="M8" s="1524"/>
      <c r="N8" s="1524"/>
      <c r="O8" s="1524"/>
      <c r="P8" s="1524"/>
      <c r="Q8" s="1524"/>
      <c r="R8" s="1524"/>
      <c r="S8" s="1524"/>
      <c r="T8" s="1524"/>
      <c r="U8" s="1524"/>
      <c r="V8" s="1524"/>
      <c r="W8" s="1524"/>
      <c r="X8" s="1524"/>
      <c r="Y8" s="1524"/>
      <c r="Z8" s="1524"/>
      <c r="AA8" s="1524"/>
      <c r="AB8" s="1524"/>
      <c r="AC8" s="1524"/>
      <c r="AD8" s="1524"/>
      <c r="AE8" s="1524"/>
      <c r="AF8" s="1524"/>
      <c r="AG8" s="1524"/>
      <c r="AH8" s="1524"/>
      <c r="AI8" s="1524"/>
      <c r="AJ8" s="1524"/>
      <c r="AK8" s="1524"/>
      <c r="AL8" s="455"/>
    </row>
    <row r="9" spans="1:38">
      <c r="A9" s="204"/>
      <c r="B9" s="204"/>
      <c r="C9" s="205"/>
      <c r="D9" s="1524"/>
      <c r="E9" s="1524"/>
      <c r="F9" s="1524"/>
      <c r="G9" s="1524"/>
      <c r="H9" s="1524"/>
      <c r="I9" s="1524"/>
      <c r="J9" s="1524"/>
      <c r="K9" s="1524"/>
      <c r="L9" s="1524"/>
      <c r="M9" s="1524"/>
      <c r="N9" s="1524"/>
      <c r="O9" s="1524"/>
      <c r="P9" s="1524"/>
      <c r="Q9" s="1524"/>
      <c r="R9" s="1524"/>
      <c r="S9" s="1524"/>
      <c r="T9" s="1524"/>
      <c r="U9" s="1524"/>
      <c r="V9" s="1524"/>
      <c r="W9" s="1524"/>
      <c r="X9" s="1524"/>
      <c r="Y9" s="1524"/>
      <c r="Z9" s="1524"/>
      <c r="AA9" s="1524"/>
      <c r="AB9" s="1524"/>
      <c r="AC9" s="1524"/>
      <c r="AD9" s="1524"/>
      <c r="AE9" s="1524"/>
      <c r="AF9" s="1524"/>
      <c r="AG9" s="1524"/>
      <c r="AH9" s="1524"/>
      <c r="AI9" s="1524"/>
      <c r="AJ9" s="1524"/>
      <c r="AK9" s="1524"/>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05" customHeight="1">
      <c r="A11" s="204"/>
      <c r="B11" s="204"/>
      <c r="C11" s="205"/>
      <c r="D11" s="1524" t="s">
        <v>1993</v>
      </c>
      <c r="E11" s="1524"/>
      <c r="F11" s="1524"/>
      <c r="G11" s="1524"/>
      <c r="H11" s="1524"/>
      <c r="I11" s="1524"/>
      <c r="J11" s="1524"/>
      <c r="K11" s="1524"/>
      <c r="L11" s="1524"/>
      <c r="M11" s="1524"/>
      <c r="N11" s="1524"/>
      <c r="O11" s="1524"/>
      <c r="P11" s="1524"/>
      <c r="Q11" s="1524"/>
      <c r="R11" s="1524"/>
      <c r="S11" s="1524"/>
      <c r="T11" s="1524"/>
      <c r="U11" s="1524"/>
      <c r="V11" s="1524"/>
      <c r="W11" s="1524"/>
      <c r="X11" s="1524"/>
      <c r="Y11" s="1524"/>
      <c r="Z11" s="1524"/>
      <c r="AA11" s="1524"/>
      <c r="AB11" s="1524"/>
      <c r="AC11" s="1524"/>
      <c r="AD11" s="1524"/>
      <c r="AE11" s="1524"/>
      <c r="AF11" s="1524"/>
      <c r="AG11" s="1524"/>
      <c r="AH11" s="1524"/>
      <c r="AI11" s="1524"/>
      <c r="AJ11" s="1524"/>
      <c r="AK11" s="1524"/>
      <c r="AL11" s="455"/>
    </row>
    <row r="12" spans="1:38">
      <c r="A12" s="204"/>
      <c r="B12" s="204"/>
      <c r="C12" s="205"/>
      <c r="D12" s="1524"/>
      <c r="E12" s="1524"/>
      <c r="F12" s="1524"/>
      <c r="G12" s="1524"/>
      <c r="H12" s="1524"/>
      <c r="I12" s="1524"/>
      <c r="J12" s="1524"/>
      <c r="K12" s="1524"/>
      <c r="L12" s="1524"/>
      <c r="M12" s="1524"/>
      <c r="N12" s="1524"/>
      <c r="O12" s="1524"/>
      <c r="P12" s="1524"/>
      <c r="Q12" s="1524"/>
      <c r="R12" s="1524"/>
      <c r="S12" s="1524"/>
      <c r="T12" s="1524"/>
      <c r="U12" s="1524"/>
      <c r="V12" s="1524"/>
      <c r="W12" s="1524"/>
      <c r="X12" s="1524"/>
      <c r="Y12" s="1524"/>
      <c r="Z12" s="1524"/>
      <c r="AA12" s="1524"/>
      <c r="AB12" s="1524"/>
      <c r="AC12" s="1524"/>
      <c r="AD12" s="1524"/>
      <c r="AE12" s="1524"/>
      <c r="AF12" s="1524"/>
      <c r="AG12" s="1524"/>
      <c r="AH12" s="1524"/>
      <c r="AI12" s="1524"/>
      <c r="AJ12" s="1524"/>
      <c r="AK12" s="1524"/>
      <c r="AL12" s="455"/>
    </row>
    <row r="13" spans="1:38">
      <c r="A13" s="204"/>
      <c r="B13" s="204"/>
      <c r="C13" s="205"/>
      <c r="D13" s="1524"/>
      <c r="E13" s="1524"/>
      <c r="F13" s="1524"/>
      <c r="G13" s="1524"/>
      <c r="H13" s="1524"/>
      <c r="I13" s="1524"/>
      <c r="J13" s="1524"/>
      <c r="K13" s="1524"/>
      <c r="L13" s="1524"/>
      <c r="M13" s="1524"/>
      <c r="N13" s="1524"/>
      <c r="O13" s="1524"/>
      <c r="P13" s="1524"/>
      <c r="Q13" s="1524"/>
      <c r="R13" s="1524"/>
      <c r="S13" s="1524"/>
      <c r="T13" s="1524"/>
      <c r="U13" s="1524"/>
      <c r="V13" s="1524"/>
      <c r="W13" s="1524"/>
      <c r="X13" s="1524"/>
      <c r="Y13" s="1524"/>
      <c r="Z13" s="1524"/>
      <c r="AA13" s="1524"/>
      <c r="AB13" s="1524"/>
      <c r="AC13" s="1524"/>
      <c r="AD13" s="1524"/>
      <c r="AE13" s="1524"/>
      <c r="AF13" s="1524"/>
      <c r="AG13" s="1524"/>
      <c r="AH13" s="1524"/>
      <c r="AI13" s="1524"/>
      <c r="AJ13" s="1524"/>
      <c r="AK13" s="1524"/>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 customHeight="1">
      <c r="A15" s="204"/>
      <c r="B15" s="204"/>
      <c r="C15" s="205"/>
      <c r="D15" s="1524" t="s">
        <v>2519</v>
      </c>
      <c r="E15" s="1524"/>
      <c r="F15" s="1524"/>
      <c r="G15" s="1524"/>
      <c r="H15" s="1524"/>
      <c r="I15" s="1524"/>
      <c r="J15" s="1524"/>
      <c r="K15" s="1524"/>
      <c r="L15" s="1524"/>
      <c r="M15" s="1524"/>
      <c r="N15" s="1524"/>
      <c r="O15" s="1524"/>
      <c r="P15" s="1524"/>
      <c r="Q15" s="1524"/>
      <c r="R15" s="1524"/>
      <c r="S15" s="1524"/>
      <c r="T15" s="1524"/>
      <c r="U15" s="1524"/>
      <c r="V15" s="1524"/>
      <c r="W15" s="1524"/>
      <c r="X15" s="1524"/>
      <c r="Y15" s="1524"/>
      <c r="Z15" s="1524"/>
      <c r="AA15" s="1524"/>
      <c r="AB15" s="1524"/>
      <c r="AC15" s="1524"/>
      <c r="AD15" s="1524"/>
      <c r="AE15" s="1524"/>
      <c r="AF15" s="1524"/>
      <c r="AG15" s="1524"/>
      <c r="AH15" s="1524"/>
      <c r="AI15" s="1524"/>
      <c r="AJ15" s="1524"/>
      <c r="AK15" s="1524"/>
      <c r="AL15" s="455"/>
    </row>
    <row r="16" spans="1:38" ht="13.2" customHeight="1">
      <c r="A16" s="204"/>
      <c r="B16" s="204"/>
      <c r="C16" s="205"/>
      <c r="D16" s="1524"/>
      <c r="E16" s="1524"/>
      <c r="F16" s="1524"/>
      <c r="G16" s="1524"/>
      <c r="H16" s="1524"/>
      <c r="I16" s="1524"/>
      <c r="J16" s="1524"/>
      <c r="K16" s="1524"/>
      <c r="L16" s="1524"/>
      <c r="M16" s="1524"/>
      <c r="N16" s="1524"/>
      <c r="O16" s="1524"/>
      <c r="P16" s="1524"/>
      <c r="Q16" s="1524"/>
      <c r="R16" s="1524"/>
      <c r="S16" s="1524"/>
      <c r="T16" s="1524"/>
      <c r="U16" s="1524"/>
      <c r="V16" s="1524"/>
      <c r="W16" s="1524"/>
      <c r="X16" s="1524"/>
      <c r="Y16" s="1524"/>
      <c r="Z16" s="1524"/>
      <c r="AA16" s="1524"/>
      <c r="AB16" s="1524"/>
      <c r="AC16" s="1524"/>
      <c r="AD16" s="1524"/>
      <c r="AE16" s="1524"/>
      <c r="AF16" s="1524"/>
      <c r="AG16" s="1524"/>
      <c r="AH16" s="1524"/>
      <c r="AI16" s="1524"/>
      <c r="AJ16" s="1524"/>
      <c r="AK16" s="1524"/>
      <c r="AL16" s="455"/>
    </row>
    <row r="17" spans="1:38">
      <c r="A17" s="204"/>
      <c r="B17" s="204"/>
      <c r="C17" s="205"/>
      <c r="D17" s="1524"/>
      <c r="E17" s="1524"/>
      <c r="F17" s="1524"/>
      <c r="G17" s="1524"/>
      <c r="H17" s="1524"/>
      <c r="I17" s="1524"/>
      <c r="J17" s="1524"/>
      <c r="K17" s="1524"/>
      <c r="L17" s="1524"/>
      <c r="M17" s="1524"/>
      <c r="N17" s="1524"/>
      <c r="O17" s="1524"/>
      <c r="P17" s="1524"/>
      <c r="Q17" s="1524"/>
      <c r="R17" s="1524"/>
      <c r="S17" s="1524"/>
      <c r="T17" s="1524"/>
      <c r="U17" s="1524"/>
      <c r="V17" s="1524"/>
      <c r="W17" s="1524"/>
      <c r="X17" s="1524"/>
      <c r="Y17" s="1524"/>
      <c r="Z17" s="1524"/>
      <c r="AA17" s="1524"/>
      <c r="AB17" s="1524"/>
      <c r="AC17" s="1524"/>
      <c r="AD17" s="1524"/>
      <c r="AE17" s="1524"/>
      <c r="AF17" s="1524"/>
      <c r="AG17" s="1524"/>
      <c r="AH17" s="1524"/>
      <c r="AI17" s="1524"/>
      <c r="AJ17" s="1524"/>
      <c r="AK17" s="1524"/>
      <c r="AL17" s="455"/>
    </row>
    <row r="18" spans="1:38">
      <c r="A18" s="204"/>
      <c r="B18" s="204"/>
      <c r="C18" s="205"/>
      <c r="D18" s="519" t="s">
        <v>2518</v>
      </c>
      <c r="E18" s="441"/>
      <c r="G18" s="441"/>
      <c r="H18" s="441"/>
      <c r="I18" s="441"/>
      <c r="J18" s="1526" t="s">
        <v>2517</v>
      </c>
      <c r="K18" s="1526"/>
      <c r="L18" s="1526"/>
      <c r="M18" s="1526"/>
      <c r="N18" s="1526"/>
      <c r="O18" s="1526"/>
      <c r="P18" s="1526"/>
      <c r="Q18" s="1526"/>
      <c r="R18" s="1526"/>
      <c r="S18" s="1526"/>
      <c r="T18" s="1526"/>
      <c r="U18" s="1526"/>
      <c r="V18" s="1526"/>
      <c r="W18" s="1526"/>
      <c r="X18" s="1526"/>
      <c r="Y18" s="1526"/>
      <c r="Z18" s="1526"/>
      <c r="AA18" s="1526"/>
      <c r="AB18" s="1526"/>
      <c r="AC18" s="1526"/>
      <c r="AD18" s="1526"/>
      <c r="AE18" s="1526"/>
      <c r="AF18" s="1526"/>
      <c r="AG18" s="1526"/>
      <c r="AH18" s="1526"/>
      <c r="AI18" s="1526"/>
      <c r="AJ18" s="1526"/>
      <c r="AK18" s="1526"/>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 customHeight="1">
      <c r="A20" s="204"/>
      <c r="B20" s="204"/>
      <c r="C20" s="205"/>
      <c r="D20" s="1524" t="s">
        <v>1994</v>
      </c>
      <c r="E20" s="1524"/>
      <c r="F20" s="1524"/>
      <c r="G20" s="1524"/>
      <c r="H20" s="1524"/>
      <c r="I20" s="1524"/>
      <c r="J20" s="1524"/>
      <c r="K20" s="1524"/>
      <c r="L20" s="1524"/>
      <c r="M20" s="1524"/>
      <c r="N20" s="1524"/>
      <c r="O20" s="1524"/>
      <c r="P20" s="1524"/>
      <c r="Q20" s="1524"/>
      <c r="R20" s="1524"/>
      <c r="S20" s="1524"/>
      <c r="T20" s="1524"/>
      <c r="U20" s="1524"/>
      <c r="V20" s="1524"/>
      <c r="W20" s="1524"/>
      <c r="X20" s="1524"/>
      <c r="Y20" s="1524"/>
      <c r="Z20" s="1524"/>
      <c r="AA20" s="1524"/>
      <c r="AB20" s="1524"/>
      <c r="AC20" s="1524"/>
      <c r="AD20" s="1524"/>
      <c r="AE20" s="1524"/>
      <c r="AF20" s="1524"/>
      <c r="AG20" s="1524"/>
      <c r="AH20" s="1524"/>
      <c r="AI20" s="1524"/>
      <c r="AJ20" s="1524"/>
      <c r="AK20" s="1524"/>
      <c r="AL20" s="204"/>
    </row>
    <row r="21" spans="1:38">
      <c r="A21" s="204"/>
      <c r="B21" s="204"/>
      <c r="C21" s="205"/>
      <c r="D21" s="1524"/>
      <c r="E21" s="1524"/>
      <c r="F21" s="1524"/>
      <c r="G21" s="1524"/>
      <c r="H21" s="1524"/>
      <c r="I21" s="1524"/>
      <c r="J21" s="1524"/>
      <c r="K21" s="1524"/>
      <c r="L21" s="1524"/>
      <c r="M21" s="1524"/>
      <c r="N21" s="1524"/>
      <c r="O21" s="1524"/>
      <c r="P21" s="1524"/>
      <c r="Q21" s="1524"/>
      <c r="R21" s="1524"/>
      <c r="S21" s="1524"/>
      <c r="T21" s="1524"/>
      <c r="U21" s="1524"/>
      <c r="V21" s="1524"/>
      <c r="W21" s="1524"/>
      <c r="X21" s="1524"/>
      <c r="Y21" s="1524"/>
      <c r="Z21" s="1524"/>
      <c r="AA21" s="1524"/>
      <c r="AB21" s="1524"/>
      <c r="AC21" s="1524"/>
      <c r="AD21" s="1524"/>
      <c r="AE21" s="1524"/>
      <c r="AF21" s="1524"/>
      <c r="AG21" s="1524"/>
      <c r="AH21" s="1524"/>
      <c r="AI21" s="1524"/>
      <c r="AJ21" s="1524"/>
      <c r="AK21" s="1524"/>
      <c r="AL21" s="204"/>
    </row>
    <row r="22" spans="1:38">
      <c r="A22" s="204"/>
      <c r="B22" s="204"/>
      <c r="C22" s="205"/>
      <c r="D22" s="1524"/>
      <c r="E22" s="1524"/>
      <c r="F22" s="1524"/>
      <c r="G22" s="1524"/>
      <c r="H22" s="1524"/>
      <c r="I22" s="1524"/>
      <c r="J22" s="1524"/>
      <c r="K22" s="1524"/>
      <c r="L22" s="1524"/>
      <c r="M22" s="1524"/>
      <c r="N22" s="1524"/>
      <c r="O22" s="1524"/>
      <c r="P22" s="1524"/>
      <c r="Q22" s="1524"/>
      <c r="R22" s="1524"/>
      <c r="S22" s="1524"/>
      <c r="T22" s="1524"/>
      <c r="U22" s="1524"/>
      <c r="V22" s="1524"/>
      <c r="W22" s="1524"/>
      <c r="X22" s="1524"/>
      <c r="Y22" s="1524"/>
      <c r="Z22" s="1524"/>
      <c r="AA22" s="1524"/>
      <c r="AB22" s="1524"/>
      <c r="AC22" s="1524"/>
      <c r="AD22" s="1524"/>
      <c r="AE22" s="1524"/>
      <c r="AF22" s="1524"/>
      <c r="AG22" s="1524"/>
      <c r="AH22" s="1524"/>
      <c r="AI22" s="1524"/>
      <c r="AJ22" s="1524"/>
      <c r="AK22" s="1524"/>
      <c r="AL22" s="204"/>
    </row>
    <row r="23" spans="1:38" ht="13.2" customHeight="1">
      <c r="A23" s="204"/>
      <c r="B23" s="204"/>
      <c r="C23" s="205"/>
      <c r="D23" s="1524"/>
      <c r="E23" s="1524"/>
      <c r="F23" s="1524"/>
      <c r="G23" s="1524"/>
      <c r="H23" s="1524"/>
      <c r="I23" s="1524"/>
      <c r="J23" s="1524"/>
      <c r="K23" s="1524"/>
      <c r="L23" s="1524"/>
      <c r="M23" s="1524"/>
      <c r="N23" s="1524"/>
      <c r="O23" s="1524"/>
      <c r="P23" s="1524"/>
      <c r="Q23" s="1524"/>
      <c r="R23" s="1524"/>
      <c r="S23" s="1524"/>
      <c r="T23" s="1524"/>
      <c r="U23" s="1524"/>
      <c r="V23" s="1524"/>
      <c r="W23" s="1524"/>
      <c r="X23" s="1524"/>
      <c r="Y23" s="1524"/>
      <c r="Z23" s="1524"/>
      <c r="AA23" s="1524"/>
      <c r="AB23" s="1524"/>
      <c r="AC23" s="1524"/>
      <c r="AD23" s="1524"/>
      <c r="AE23" s="1524"/>
      <c r="AF23" s="1524"/>
      <c r="AG23" s="1524"/>
      <c r="AH23" s="1524"/>
      <c r="AI23" s="1524"/>
      <c r="AJ23" s="1524"/>
      <c r="AK23" s="1524"/>
      <c r="AL23" s="204"/>
    </row>
    <row r="24" spans="1:38">
      <c r="A24" s="204"/>
      <c r="B24" s="204"/>
      <c r="C24" s="205"/>
      <c r="D24" s="1524"/>
      <c r="E24" s="1524"/>
      <c r="F24" s="1524"/>
      <c r="G24" s="1524"/>
      <c r="H24" s="1524"/>
      <c r="I24" s="1524"/>
      <c r="J24" s="1524"/>
      <c r="K24" s="1524"/>
      <c r="L24" s="1524"/>
      <c r="M24" s="1524"/>
      <c r="N24" s="1524"/>
      <c r="O24" s="1524"/>
      <c r="P24" s="1524"/>
      <c r="Q24" s="1524"/>
      <c r="R24" s="1524"/>
      <c r="S24" s="1524"/>
      <c r="T24" s="1524"/>
      <c r="U24" s="1524"/>
      <c r="V24" s="1524"/>
      <c r="W24" s="1524"/>
      <c r="X24" s="1524"/>
      <c r="Y24" s="1524"/>
      <c r="Z24" s="1524"/>
      <c r="AA24" s="1524"/>
      <c r="AB24" s="1524"/>
      <c r="AC24" s="1524"/>
      <c r="AD24" s="1524"/>
      <c r="AE24" s="1524"/>
      <c r="AF24" s="1524"/>
      <c r="AG24" s="1524"/>
      <c r="AH24" s="1524"/>
      <c r="AI24" s="1524"/>
      <c r="AJ24" s="1524"/>
      <c r="AK24" s="1524"/>
      <c r="AL24" s="204"/>
    </row>
    <row r="25" spans="1:38">
      <c r="A25" s="204"/>
      <c r="B25" s="204"/>
      <c r="C25" s="205"/>
      <c r="D25" s="1524"/>
      <c r="E25" s="1524"/>
      <c r="F25" s="1524"/>
      <c r="G25" s="1524"/>
      <c r="H25" s="1524"/>
      <c r="I25" s="1524"/>
      <c r="J25" s="1524"/>
      <c r="K25" s="1524"/>
      <c r="L25" s="1524"/>
      <c r="M25" s="1524"/>
      <c r="N25" s="1524"/>
      <c r="O25" s="1524"/>
      <c r="P25" s="1524"/>
      <c r="Q25" s="1524"/>
      <c r="R25" s="1524"/>
      <c r="S25" s="1524"/>
      <c r="T25" s="1524"/>
      <c r="U25" s="1524"/>
      <c r="V25" s="1524"/>
      <c r="W25" s="1524"/>
      <c r="X25" s="1524"/>
      <c r="Y25" s="1524"/>
      <c r="Z25" s="1524"/>
      <c r="AA25" s="1524"/>
      <c r="AB25" s="1524"/>
      <c r="AC25" s="1524"/>
      <c r="AD25" s="1524"/>
      <c r="AE25" s="1524"/>
      <c r="AF25" s="1524"/>
      <c r="AG25" s="1524"/>
      <c r="AH25" s="1524"/>
      <c r="AI25" s="1524"/>
      <c r="AJ25" s="1524"/>
      <c r="AK25" s="1524"/>
      <c r="AL25" s="204"/>
    </row>
    <row r="26" spans="1:38">
      <c r="A26" s="204"/>
      <c r="B26" s="204"/>
      <c r="C26" s="205"/>
      <c r="D26" s="1524"/>
      <c r="E26" s="1524"/>
      <c r="F26" s="1524"/>
      <c r="G26" s="1524"/>
      <c r="H26" s="1524"/>
      <c r="I26" s="1524"/>
      <c r="J26" s="1524"/>
      <c r="K26" s="1524"/>
      <c r="L26" s="1524"/>
      <c r="M26" s="1524"/>
      <c r="N26" s="1524"/>
      <c r="O26" s="1524"/>
      <c r="P26" s="1524"/>
      <c r="Q26" s="1524"/>
      <c r="R26" s="1524"/>
      <c r="S26" s="1524"/>
      <c r="T26" s="1524"/>
      <c r="U26" s="1524"/>
      <c r="V26" s="1524"/>
      <c r="W26" s="1524"/>
      <c r="X26" s="1524"/>
      <c r="Y26" s="1524"/>
      <c r="Z26" s="1524"/>
      <c r="AA26" s="1524"/>
      <c r="AB26" s="1524"/>
      <c r="AC26" s="1524"/>
      <c r="AD26" s="1524"/>
      <c r="AE26" s="1524"/>
      <c r="AF26" s="1524"/>
      <c r="AG26" s="1524"/>
      <c r="AH26" s="1524"/>
      <c r="AI26" s="1524"/>
      <c r="AJ26" s="1524"/>
      <c r="AK26" s="1524"/>
      <c r="AL26" s="204"/>
    </row>
    <row r="27" spans="1:38">
      <c r="A27" s="204"/>
      <c r="B27" s="204"/>
      <c r="C27" s="205"/>
      <c r="D27" s="1524"/>
      <c r="E27" s="1524"/>
      <c r="F27" s="1524"/>
      <c r="G27" s="1524"/>
      <c r="H27" s="1524"/>
      <c r="I27" s="1524"/>
      <c r="J27" s="1524"/>
      <c r="K27" s="1524"/>
      <c r="L27" s="1524"/>
      <c r="M27" s="1524"/>
      <c r="N27" s="1524"/>
      <c r="O27" s="1524"/>
      <c r="P27" s="1524"/>
      <c r="Q27" s="1524"/>
      <c r="R27" s="1524"/>
      <c r="S27" s="1524"/>
      <c r="T27" s="1524"/>
      <c r="U27" s="1524"/>
      <c r="V27" s="1524"/>
      <c r="W27" s="1524"/>
      <c r="X27" s="1524"/>
      <c r="Y27" s="1524"/>
      <c r="Z27" s="1524"/>
      <c r="AA27" s="1524"/>
      <c r="AB27" s="1524"/>
      <c r="AC27" s="1524"/>
      <c r="AD27" s="1524"/>
      <c r="AE27" s="1524"/>
      <c r="AF27" s="1524"/>
      <c r="AG27" s="1524"/>
      <c r="AH27" s="1524"/>
      <c r="AI27" s="1524"/>
      <c r="AJ27" s="1524"/>
      <c r="AK27" s="1524"/>
      <c r="AL27" s="204"/>
    </row>
    <row r="28" spans="1:38">
      <c r="A28" s="204"/>
      <c r="B28" s="204"/>
      <c r="C28" s="205"/>
      <c r="D28" s="1524"/>
      <c r="E28" s="1524"/>
      <c r="F28" s="1524"/>
      <c r="G28" s="1524"/>
      <c r="H28" s="1524"/>
      <c r="I28" s="1524"/>
      <c r="J28" s="1524"/>
      <c r="K28" s="1524"/>
      <c r="L28" s="1524"/>
      <c r="M28" s="1524"/>
      <c r="N28" s="1524"/>
      <c r="O28" s="1524"/>
      <c r="P28" s="1524"/>
      <c r="Q28" s="1524"/>
      <c r="R28" s="1524"/>
      <c r="S28" s="1524"/>
      <c r="T28" s="1524"/>
      <c r="U28" s="1524"/>
      <c r="V28" s="1524"/>
      <c r="W28" s="1524"/>
      <c r="X28" s="1524"/>
      <c r="Y28" s="1524"/>
      <c r="Z28" s="1524"/>
      <c r="AA28" s="1524"/>
      <c r="AB28" s="1524"/>
      <c r="AC28" s="1524"/>
      <c r="AD28" s="1524"/>
      <c r="AE28" s="1524"/>
      <c r="AF28" s="1524"/>
      <c r="AG28" s="1524"/>
      <c r="AH28" s="1524"/>
      <c r="AI28" s="1524"/>
      <c r="AJ28" s="1524"/>
      <c r="AK28" s="1524"/>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 customHeight="1">
      <c r="A30" s="204"/>
      <c r="B30" s="204"/>
      <c r="C30" s="205"/>
      <c r="D30" s="1524" t="s">
        <v>1995</v>
      </c>
      <c r="E30" s="1524"/>
      <c r="F30" s="1524"/>
      <c r="G30" s="1524"/>
      <c r="H30" s="1524"/>
      <c r="I30" s="1524"/>
      <c r="J30" s="1524"/>
      <c r="K30" s="1524"/>
      <c r="L30" s="1524"/>
      <c r="M30" s="1524"/>
      <c r="N30" s="1524"/>
      <c r="O30" s="1524"/>
      <c r="P30" s="1524"/>
      <c r="Q30" s="1524"/>
      <c r="R30" s="1524"/>
      <c r="S30" s="1524"/>
      <c r="T30" s="1524"/>
      <c r="U30" s="1524"/>
      <c r="V30" s="1524"/>
      <c r="W30" s="1524"/>
      <c r="X30" s="1524"/>
      <c r="Y30" s="1524"/>
      <c r="Z30" s="1524"/>
      <c r="AA30" s="1524"/>
      <c r="AB30" s="1524"/>
      <c r="AC30" s="1524"/>
      <c r="AD30" s="1524"/>
      <c r="AE30" s="1524"/>
      <c r="AF30" s="1524"/>
      <c r="AG30" s="1524"/>
      <c r="AH30" s="1524"/>
      <c r="AI30" s="1524"/>
      <c r="AJ30" s="1524"/>
      <c r="AK30" s="1524"/>
      <c r="AL30" s="204"/>
    </row>
    <row r="31" spans="1:38">
      <c r="A31" s="204"/>
      <c r="B31" s="204"/>
      <c r="C31" s="205"/>
      <c r="D31" s="455"/>
      <c r="E31" s="1532" t="s">
        <v>2593</v>
      </c>
      <c r="F31" s="1533"/>
      <c r="G31" s="1533"/>
      <c r="H31" s="1533"/>
      <c r="I31" s="1533"/>
      <c r="J31" s="1533"/>
      <c r="K31" s="1533"/>
      <c r="L31" s="1533"/>
      <c r="M31" s="1533"/>
      <c r="N31" s="1533"/>
      <c r="O31" s="1533"/>
      <c r="P31" s="1533"/>
      <c r="Q31" s="1533"/>
      <c r="R31" s="1533"/>
      <c r="S31" s="1533"/>
      <c r="T31" s="1533"/>
      <c r="U31" s="1533"/>
      <c r="V31" s="1533"/>
      <c r="W31" s="1533"/>
      <c r="X31" s="1533"/>
      <c r="Y31" s="1533"/>
      <c r="Z31" s="1533"/>
      <c r="AA31" s="1533"/>
      <c r="AB31" s="1533"/>
      <c r="AC31" s="1533"/>
      <c r="AD31" s="1533"/>
      <c r="AE31" s="1533"/>
      <c r="AF31" s="1533"/>
      <c r="AG31" s="1533"/>
      <c r="AH31" s="1533"/>
      <c r="AI31" s="1533"/>
      <c r="AJ31" s="1533"/>
      <c r="AK31" s="1533"/>
      <c r="AL31" s="204"/>
    </row>
    <row r="32" spans="1:38">
      <c r="A32" s="4"/>
      <c r="C32" s="2"/>
    </row>
    <row r="33" spans="1:38">
      <c r="A33" s="4"/>
      <c r="D33" s="1525" t="s">
        <v>2095</v>
      </c>
      <c r="E33" s="1525"/>
      <c r="F33" s="1525"/>
      <c r="G33" s="1525"/>
      <c r="H33" s="1525"/>
      <c r="I33" s="1525"/>
      <c r="J33" s="1525"/>
      <c r="K33" s="1525"/>
      <c r="L33" s="1525"/>
      <c r="M33" s="1525"/>
      <c r="N33" s="1525"/>
      <c r="O33" s="1525"/>
      <c r="P33" s="1525"/>
      <c r="Q33" s="1525"/>
      <c r="R33" s="1525"/>
      <c r="S33" s="1525"/>
      <c r="T33" s="1525"/>
      <c r="U33" s="1525"/>
      <c r="V33" s="1525"/>
      <c r="W33" s="1525"/>
      <c r="X33" s="1525"/>
      <c r="Y33" s="1525"/>
      <c r="Z33" s="1525"/>
      <c r="AA33" s="1525"/>
      <c r="AB33" s="1525"/>
      <c r="AC33" s="1525"/>
      <c r="AD33" s="1525"/>
      <c r="AE33" s="1525"/>
      <c r="AF33" s="1525"/>
      <c r="AG33" s="1525"/>
      <c r="AH33" s="1525"/>
      <c r="AI33" s="1525"/>
      <c r="AJ33" s="1525"/>
      <c r="AK33" s="1525"/>
    </row>
    <row r="34" spans="1:38">
      <c r="A34" s="4"/>
      <c r="D34" s="1525"/>
      <c r="E34" s="1525"/>
      <c r="F34" s="1525"/>
      <c r="G34" s="1525"/>
      <c r="H34" s="1525"/>
      <c r="I34" s="1525"/>
      <c r="J34" s="1525"/>
      <c r="K34" s="1525"/>
      <c r="L34" s="1525"/>
      <c r="M34" s="1525"/>
      <c r="N34" s="1525"/>
      <c r="O34" s="1525"/>
      <c r="P34" s="1525"/>
      <c r="Q34" s="1525"/>
      <c r="R34" s="1525"/>
      <c r="S34" s="1525"/>
      <c r="T34" s="1525"/>
      <c r="U34" s="1525"/>
      <c r="V34" s="1525"/>
      <c r="W34" s="1525"/>
      <c r="X34" s="1525"/>
      <c r="Y34" s="1525"/>
      <c r="Z34" s="1525"/>
      <c r="AA34" s="1525"/>
      <c r="AB34" s="1525"/>
      <c r="AC34" s="1525"/>
      <c r="AD34" s="1525"/>
      <c r="AE34" s="1525"/>
      <c r="AF34" s="1525"/>
      <c r="AG34" s="1525"/>
      <c r="AH34" s="1525"/>
      <c r="AI34" s="1525"/>
      <c r="AJ34" s="1525"/>
      <c r="AK34" s="1525"/>
    </row>
    <row r="35" spans="1:38">
      <c r="A35" s="4"/>
      <c r="D35" s="120"/>
      <c r="E35" s="1531" t="s">
        <v>2594</v>
      </c>
      <c r="F35" s="1531"/>
      <c r="G35" s="1531"/>
      <c r="H35" s="1531"/>
      <c r="I35" s="1531"/>
      <c r="J35" s="1531"/>
      <c r="K35" s="1531"/>
      <c r="L35" s="1531"/>
      <c r="M35" s="1531"/>
      <c r="N35" s="1531"/>
      <c r="O35" s="1531"/>
      <c r="P35" s="1531"/>
      <c r="Q35" s="1531"/>
      <c r="R35" s="1531"/>
      <c r="S35" s="1531"/>
      <c r="T35" s="1531"/>
      <c r="U35" s="1531"/>
      <c r="V35" s="1531"/>
      <c r="W35" s="1531"/>
      <c r="X35" s="1531"/>
      <c r="Y35" s="1531"/>
      <c r="Z35" s="1531"/>
      <c r="AA35" s="1531"/>
      <c r="AB35" s="1531"/>
      <c r="AC35" s="1531"/>
      <c r="AD35" s="1531"/>
      <c r="AE35" s="1531"/>
      <c r="AF35" s="1531"/>
      <c r="AG35" s="1531"/>
      <c r="AH35" s="1531"/>
      <c r="AI35" s="1531"/>
      <c r="AJ35" s="1531"/>
      <c r="AK35" s="1531"/>
    </row>
    <row r="36" spans="1:38">
      <c r="A36" s="4"/>
      <c r="D36" s="120"/>
      <c r="E36" s="1531" t="s">
        <v>2595</v>
      </c>
      <c r="F36" s="1531"/>
      <c r="G36" s="1531"/>
      <c r="H36" s="1531"/>
      <c r="I36" s="1531"/>
      <c r="J36" s="1531"/>
      <c r="K36" s="1531"/>
      <c r="L36" s="1531"/>
      <c r="M36" s="1531"/>
      <c r="N36" s="1531"/>
      <c r="O36" s="1531"/>
      <c r="P36" s="1531"/>
      <c r="Q36" s="1531"/>
      <c r="R36" s="1531"/>
      <c r="S36" s="1531"/>
      <c r="T36" s="1531"/>
      <c r="U36" s="1531"/>
      <c r="V36" s="1531"/>
      <c r="W36" s="1531"/>
      <c r="X36" s="1531"/>
      <c r="Y36" s="1531"/>
      <c r="Z36" s="1531"/>
      <c r="AA36" s="1531"/>
      <c r="AB36" s="1531"/>
      <c r="AC36" s="1531"/>
      <c r="AD36" s="1531"/>
      <c r="AE36" s="1531"/>
      <c r="AF36" s="1531"/>
      <c r="AG36" s="1531"/>
      <c r="AH36" s="1531"/>
      <c r="AI36" s="1531"/>
      <c r="AJ36" s="1531"/>
      <c r="AK36" s="1531"/>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524" customFormat="1" ht="13.2" customHeight="1">
      <c r="A40" s="4"/>
      <c r="B40"/>
      <c r="C40" s="2"/>
      <c r="D40" s="4"/>
      <c r="E40" s="4" t="s">
        <v>653</v>
      </c>
      <c r="F40" s="1524" t="s">
        <v>1163</v>
      </c>
    </row>
    <row r="41" spans="1:38" s="1524" customFormat="1" ht="13.2"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 customHeight="1">
      <c r="A43" s="4"/>
      <c r="B43"/>
      <c r="C43" s="2"/>
      <c r="D43" s="4"/>
      <c r="E43" s="3" t="s">
        <v>348</v>
      </c>
      <c r="F43" s="1529" t="s">
        <v>1245</v>
      </c>
      <c r="G43" s="1529"/>
      <c r="H43" s="1529"/>
      <c r="I43" s="1529"/>
      <c r="J43" s="1529"/>
      <c r="K43" s="1529"/>
      <c r="L43" s="1529"/>
      <c r="M43" s="1529"/>
      <c r="N43" s="1529"/>
      <c r="O43" s="1529"/>
      <c r="P43" s="1529"/>
      <c r="Q43" s="1529"/>
      <c r="R43" s="1529"/>
      <c r="S43" s="1529"/>
      <c r="T43" s="1529"/>
      <c r="U43" s="1529"/>
      <c r="V43" s="1529"/>
      <c r="W43" s="1529"/>
      <c r="X43" s="1529"/>
      <c r="Y43" s="1529"/>
      <c r="Z43" s="1529"/>
      <c r="AA43" s="1529"/>
      <c r="AB43" s="1529"/>
      <c r="AC43" s="1529"/>
      <c r="AD43" s="1529"/>
      <c r="AE43" s="1529"/>
      <c r="AF43" s="1529"/>
      <c r="AG43" s="1529"/>
      <c r="AH43" s="1529"/>
      <c r="AI43" s="1529"/>
      <c r="AJ43" s="1529"/>
      <c r="AK43" s="1529"/>
      <c r="AL43" s="1529"/>
    </row>
    <row r="44" spans="1:38" s="118" customFormat="1">
      <c r="A44" s="4"/>
      <c r="B44"/>
      <c r="C44" s="2"/>
      <c r="D44" s="4"/>
      <c r="E44" s="4"/>
      <c r="F44" s="1529"/>
      <c r="G44" s="1529"/>
      <c r="H44" s="1529"/>
      <c r="I44" s="1529"/>
      <c r="J44" s="1529"/>
      <c r="K44" s="1529"/>
      <c r="L44" s="1529"/>
      <c r="M44" s="1529"/>
      <c r="N44" s="1529"/>
      <c r="O44" s="1529"/>
      <c r="P44" s="1529"/>
      <c r="Q44" s="1529"/>
      <c r="R44" s="1529"/>
      <c r="S44" s="1529"/>
      <c r="T44" s="1529"/>
      <c r="U44" s="1529"/>
      <c r="V44" s="1529"/>
      <c r="W44" s="1529"/>
      <c r="X44" s="1529"/>
      <c r="Y44" s="1529"/>
      <c r="Z44" s="1529"/>
      <c r="AA44" s="1529"/>
      <c r="AB44" s="1529"/>
      <c r="AC44" s="1529"/>
      <c r="AD44" s="1529"/>
      <c r="AE44" s="1529"/>
      <c r="AF44" s="1529"/>
      <c r="AG44" s="1529"/>
      <c r="AH44" s="1529"/>
      <c r="AI44" s="1529"/>
      <c r="AJ44" s="1529"/>
      <c r="AK44" s="1529"/>
      <c r="AL44" s="1529"/>
    </row>
    <row r="45" spans="1:38" s="118" customFormat="1" ht="13.2" customHeight="1">
      <c r="A45" s="4"/>
      <c r="B45"/>
      <c r="C45" s="2"/>
      <c r="D45" s="4"/>
      <c r="E45" s="4"/>
      <c r="F45" s="1529"/>
      <c r="G45" s="1529"/>
      <c r="H45" s="1529"/>
      <c r="I45" s="1529"/>
      <c r="J45" s="1529"/>
      <c r="K45" s="1529"/>
      <c r="L45" s="1529"/>
      <c r="M45" s="1529"/>
      <c r="N45" s="1529"/>
      <c r="O45" s="1529"/>
      <c r="P45" s="1529"/>
      <c r="Q45" s="1529"/>
      <c r="R45" s="1529"/>
      <c r="S45" s="1529"/>
      <c r="T45" s="1529"/>
      <c r="U45" s="1529"/>
      <c r="V45" s="1529"/>
      <c r="W45" s="1529"/>
      <c r="X45" s="1529"/>
      <c r="Y45" s="1529"/>
      <c r="Z45" s="1529"/>
      <c r="AA45" s="1529"/>
      <c r="AB45" s="1529"/>
      <c r="AC45" s="1529"/>
      <c r="AD45" s="1529"/>
      <c r="AE45" s="1529"/>
      <c r="AF45" s="1529"/>
      <c r="AG45" s="1529"/>
      <c r="AH45" s="1529"/>
      <c r="AI45" s="1529"/>
      <c r="AJ45" s="1529"/>
      <c r="AK45" s="1529"/>
      <c r="AL45" s="1529"/>
    </row>
    <row r="46" spans="1:38">
      <c r="A46" s="4"/>
      <c r="C46" s="2"/>
      <c r="D46" s="4"/>
      <c r="E46" s="4"/>
      <c r="F46" s="118" t="s">
        <v>687</v>
      </c>
      <c r="G46" s="3" t="s">
        <v>1996</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524" t="s">
        <v>1997</v>
      </c>
      <c r="G48" s="1524"/>
      <c r="H48" s="1524"/>
      <c r="I48" s="1524"/>
      <c r="J48" s="1524"/>
      <c r="K48" s="1524"/>
      <c r="L48" s="1524"/>
      <c r="M48" s="1524"/>
      <c r="N48" s="1524"/>
      <c r="O48" s="1524"/>
      <c r="P48" s="1524"/>
      <c r="Q48" s="1524"/>
      <c r="R48" s="1524"/>
      <c r="S48" s="1524"/>
      <c r="T48" s="1524"/>
      <c r="U48" s="1524"/>
      <c r="V48" s="1524"/>
      <c r="W48" s="1524"/>
      <c r="X48" s="1524"/>
      <c r="Y48" s="1524"/>
      <c r="Z48" s="1524"/>
      <c r="AA48" s="1524"/>
      <c r="AB48" s="1524"/>
      <c r="AC48" s="1524"/>
      <c r="AD48" s="1524"/>
      <c r="AE48" s="1524"/>
      <c r="AF48" s="1524"/>
      <c r="AG48" s="1524"/>
      <c r="AH48" s="1524"/>
      <c r="AI48" s="1524"/>
      <c r="AJ48" s="1524"/>
      <c r="AK48" s="1524"/>
    </row>
    <row r="49" spans="1:38">
      <c r="A49" s="4"/>
      <c r="C49" s="2"/>
      <c r="D49" s="4"/>
      <c r="E49" s="4"/>
      <c r="F49" s="1524"/>
      <c r="G49" s="1524"/>
      <c r="H49" s="1524"/>
      <c r="I49" s="1524"/>
      <c r="J49" s="1524"/>
      <c r="K49" s="1524"/>
      <c r="L49" s="1524"/>
      <c r="M49" s="1524"/>
      <c r="N49" s="1524"/>
      <c r="O49" s="1524"/>
      <c r="P49" s="1524"/>
      <c r="Q49" s="1524"/>
      <c r="R49" s="1524"/>
      <c r="S49" s="1524"/>
      <c r="T49" s="1524"/>
      <c r="U49" s="1524"/>
      <c r="V49" s="1524"/>
      <c r="W49" s="1524"/>
      <c r="X49" s="1524"/>
      <c r="Y49" s="1524"/>
      <c r="Z49" s="1524"/>
      <c r="AA49" s="1524"/>
      <c r="AB49" s="1524"/>
      <c r="AC49" s="1524"/>
      <c r="AD49" s="1524"/>
      <c r="AE49" s="1524"/>
      <c r="AF49" s="1524"/>
      <c r="AG49" s="1524"/>
      <c r="AH49" s="1524"/>
      <c r="AI49" s="1524"/>
      <c r="AJ49" s="1524"/>
      <c r="AK49" s="1524"/>
    </row>
    <row r="50" spans="1:38">
      <c r="A50" s="4"/>
      <c r="C50" s="2"/>
      <c r="D50" s="4"/>
      <c r="F50" s="1524"/>
      <c r="G50" s="1524"/>
      <c r="H50" s="1524"/>
      <c r="I50" s="1524"/>
      <c r="J50" s="1524"/>
      <c r="K50" s="1524"/>
      <c r="L50" s="1524"/>
      <c r="M50" s="1524"/>
      <c r="N50" s="1524"/>
      <c r="O50" s="1524"/>
      <c r="P50" s="1524"/>
      <c r="Q50" s="1524"/>
      <c r="R50" s="1524"/>
      <c r="S50" s="1524"/>
      <c r="T50" s="1524"/>
      <c r="U50" s="1524"/>
      <c r="V50" s="1524"/>
      <c r="W50" s="1524"/>
      <c r="X50" s="1524"/>
      <c r="Y50" s="1524"/>
      <c r="Z50" s="1524"/>
      <c r="AA50" s="1524"/>
      <c r="AB50" s="1524"/>
      <c r="AC50" s="1524"/>
      <c r="AD50" s="1524"/>
      <c r="AE50" s="1524"/>
      <c r="AF50" s="1524"/>
      <c r="AG50" s="1524"/>
      <c r="AH50" s="1524"/>
      <c r="AI50" s="1524"/>
      <c r="AJ50" s="1524"/>
      <c r="AK50" s="1524"/>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4"/>
      <c r="B54" s="204"/>
      <c r="C54" s="205"/>
      <c r="D54" s="205"/>
      <c r="E54" s="204"/>
      <c r="F54" s="206" t="s">
        <v>687</v>
      </c>
      <c r="G54" s="1527" t="s">
        <v>1190</v>
      </c>
      <c r="H54" s="1527"/>
      <c r="I54" s="1527"/>
      <c r="J54" s="1527"/>
      <c r="K54" s="1527"/>
      <c r="L54" s="1527"/>
      <c r="M54" s="1527"/>
      <c r="N54" s="1527"/>
      <c r="O54" s="1527"/>
      <c r="P54" s="1527"/>
      <c r="Q54" s="1527"/>
      <c r="R54" s="1527"/>
      <c r="S54" s="1527"/>
      <c r="T54" s="1527"/>
      <c r="U54" s="1527"/>
      <c r="V54" s="1527"/>
      <c r="W54" s="1527"/>
      <c r="X54" s="1527"/>
      <c r="Y54" s="1527"/>
      <c r="Z54" s="1527"/>
      <c r="AA54" s="1527"/>
      <c r="AB54" s="1527"/>
      <c r="AC54" s="1527"/>
      <c r="AD54" s="1527"/>
      <c r="AE54" s="1527"/>
      <c r="AF54" s="1527"/>
      <c r="AG54" s="1527"/>
      <c r="AH54" s="1527"/>
      <c r="AI54" s="1527"/>
      <c r="AJ54" s="1527"/>
      <c r="AK54" s="1527"/>
      <c r="AL54" s="204"/>
    </row>
    <row r="55" spans="1:38" ht="13.2"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527" t="s">
        <v>575</v>
      </c>
      <c r="H56" s="1527"/>
      <c r="I56" s="1527"/>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 customHeight="1">
      <c r="A57" s="204"/>
      <c r="B57" s="205"/>
      <c r="C57" s="205"/>
      <c r="D57" s="205"/>
      <c r="E57" s="204"/>
      <c r="F57" s="206" t="s">
        <v>509</v>
      </c>
      <c r="G57" s="1527" t="s">
        <v>1998</v>
      </c>
      <c r="H57" s="1527"/>
      <c r="I57" s="1527"/>
      <c r="J57" s="1527"/>
      <c r="K57" s="1527"/>
      <c r="L57" s="1527"/>
      <c r="M57" s="1527"/>
      <c r="N57" s="1527"/>
      <c r="O57" s="1527"/>
      <c r="P57" s="1527"/>
      <c r="Q57" s="1527"/>
      <c r="R57" s="1527"/>
      <c r="S57" s="1527"/>
      <c r="T57" s="1527"/>
      <c r="U57" s="1527"/>
      <c r="V57" s="1527"/>
      <c r="W57" s="1527"/>
      <c r="X57" s="1527"/>
      <c r="Y57" s="1527"/>
      <c r="Z57" s="1527"/>
      <c r="AA57" s="1527"/>
      <c r="AB57" s="1527"/>
      <c r="AC57" s="1527"/>
      <c r="AD57" s="1527"/>
      <c r="AE57" s="1527"/>
      <c r="AF57" s="1527"/>
      <c r="AG57" s="1527"/>
      <c r="AH57" s="1527"/>
      <c r="AI57" s="1527"/>
      <c r="AJ57" s="1527"/>
      <c r="AK57" s="1527"/>
      <c r="AL57" s="1527"/>
    </row>
    <row r="58" spans="1:38">
      <c r="A58" s="204"/>
      <c r="B58" s="204"/>
      <c r="C58" s="205"/>
      <c r="D58" s="205"/>
      <c r="E58" s="204"/>
      <c r="F58" s="206"/>
      <c r="G58" s="1527"/>
      <c r="H58" s="1527"/>
      <c r="I58" s="1527"/>
      <c r="J58" s="1527"/>
      <c r="K58" s="1527"/>
      <c r="L58" s="1527"/>
      <c r="M58" s="1527"/>
      <c r="N58" s="1527"/>
      <c r="O58" s="1527"/>
      <c r="P58" s="1527"/>
      <c r="Q58" s="1527"/>
      <c r="R58" s="1527"/>
      <c r="S58" s="1527"/>
      <c r="T58" s="1527"/>
      <c r="U58" s="1527"/>
      <c r="V58" s="1527"/>
      <c r="W58" s="1527"/>
      <c r="X58" s="1527"/>
      <c r="Y58" s="1527"/>
      <c r="Z58" s="1527"/>
      <c r="AA58" s="1527"/>
      <c r="AB58" s="1527"/>
      <c r="AC58" s="1527"/>
      <c r="AD58" s="1527"/>
      <c r="AE58" s="1527"/>
      <c r="AF58" s="1527"/>
      <c r="AG58" s="1527"/>
      <c r="AH58" s="1527"/>
      <c r="AI58" s="1527"/>
      <c r="AJ58" s="1527"/>
      <c r="AK58" s="1527"/>
      <c r="AL58" s="1527"/>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524" t="s">
        <v>1165</v>
      </c>
      <c r="H64" s="1524"/>
      <c r="I64" s="1524"/>
      <c r="J64" s="1524"/>
      <c r="K64" s="1524"/>
      <c r="L64" s="1524"/>
      <c r="M64" s="1524"/>
      <c r="N64" s="1524"/>
      <c r="O64" s="1524"/>
      <c r="P64" s="1524"/>
      <c r="Q64" s="1524"/>
      <c r="R64" s="1524"/>
      <c r="S64" s="1524"/>
      <c r="T64" s="1524"/>
      <c r="U64" s="1524"/>
      <c r="V64" s="1524"/>
      <c r="W64" s="1524"/>
      <c r="X64" s="1524"/>
      <c r="Y64" s="1524"/>
      <c r="Z64" s="1524"/>
      <c r="AA64" s="1524"/>
      <c r="AB64" s="1524"/>
      <c r="AC64" s="1524"/>
      <c r="AD64" s="1524"/>
      <c r="AE64" s="1524"/>
      <c r="AF64" s="1524"/>
      <c r="AG64" s="1524"/>
      <c r="AH64" s="1524"/>
      <c r="AI64" s="1524"/>
      <c r="AJ64" s="1524"/>
      <c r="AK64" s="1524"/>
    </row>
    <row r="65" spans="1:37">
      <c r="A65" s="4"/>
      <c r="C65" s="2"/>
      <c r="D65" s="4"/>
      <c r="E65" s="4"/>
      <c r="G65" s="1524"/>
      <c r="H65" s="1524"/>
      <c r="I65" s="1524"/>
      <c r="J65" s="1524"/>
      <c r="K65" s="1524"/>
      <c r="L65" s="1524"/>
      <c r="M65" s="1524"/>
      <c r="N65" s="1524"/>
      <c r="O65" s="1524"/>
      <c r="P65" s="1524"/>
      <c r="Q65" s="1524"/>
      <c r="R65" s="1524"/>
      <c r="S65" s="1524"/>
      <c r="T65" s="1524"/>
      <c r="U65" s="1524"/>
      <c r="V65" s="1524"/>
      <c r="W65" s="1524"/>
      <c r="X65" s="1524"/>
      <c r="Y65" s="1524"/>
      <c r="Z65" s="1524"/>
      <c r="AA65" s="1524"/>
      <c r="AB65" s="1524"/>
      <c r="AC65" s="1524"/>
      <c r="AD65" s="1524"/>
      <c r="AE65" s="1524"/>
      <c r="AF65" s="1524"/>
      <c r="AG65" s="1524"/>
      <c r="AH65" s="1524"/>
      <c r="AI65" s="1524"/>
      <c r="AJ65" s="1524"/>
      <c r="AK65" s="1524"/>
    </row>
    <row r="66" spans="1:37">
      <c r="A66" s="4"/>
      <c r="C66" s="2"/>
      <c r="D66" s="4"/>
      <c r="E66" s="4"/>
      <c r="G66" s="1524"/>
      <c r="H66" s="1524"/>
      <c r="I66" s="1524"/>
      <c r="J66" s="1524"/>
      <c r="K66" s="1524"/>
      <c r="L66" s="1524"/>
      <c r="M66" s="1524"/>
      <c r="N66" s="1524"/>
      <c r="O66" s="1524"/>
      <c r="P66" s="1524"/>
      <c r="Q66" s="1524"/>
      <c r="R66" s="1524"/>
      <c r="S66" s="1524"/>
      <c r="T66" s="1524"/>
      <c r="U66" s="1524"/>
      <c r="V66" s="1524"/>
      <c r="W66" s="1524"/>
      <c r="X66" s="1524"/>
      <c r="Y66" s="1524"/>
      <c r="Z66" s="1524"/>
      <c r="AA66" s="1524"/>
      <c r="AB66" s="1524"/>
      <c r="AC66" s="1524"/>
      <c r="AD66" s="1524"/>
      <c r="AE66" s="1524"/>
      <c r="AF66" s="1524"/>
      <c r="AG66" s="1524"/>
      <c r="AH66" s="1524"/>
      <c r="AI66" s="1524"/>
      <c r="AJ66" s="1524"/>
      <c r="AK66" s="1524"/>
    </row>
    <row r="67" spans="1:37" ht="13.2" customHeight="1">
      <c r="A67" s="4"/>
      <c r="C67" s="2"/>
      <c r="D67" s="4"/>
      <c r="E67" s="4"/>
      <c r="F67" t="s">
        <v>509</v>
      </c>
      <c r="G67" s="1524" t="s">
        <v>1166</v>
      </c>
      <c r="H67" s="1524"/>
      <c r="I67" s="1524"/>
      <c r="J67" s="1524"/>
      <c r="K67" s="1524"/>
      <c r="L67" s="1524"/>
      <c r="M67" s="1524"/>
      <c r="N67" s="1524"/>
      <c r="O67" s="1524"/>
      <c r="P67" s="1524"/>
      <c r="Q67" s="1524"/>
      <c r="R67" s="1524"/>
      <c r="S67" s="1524"/>
      <c r="T67" s="1524"/>
      <c r="U67" s="1524"/>
      <c r="V67" s="1524"/>
      <c r="W67" s="1524"/>
      <c r="X67" s="1524"/>
      <c r="Y67" s="1524"/>
      <c r="Z67" s="1524"/>
      <c r="AA67" s="1524"/>
      <c r="AB67" s="1524"/>
      <c r="AC67" s="1524"/>
      <c r="AD67" s="1524"/>
      <c r="AE67" s="1524"/>
      <c r="AF67" s="1524"/>
      <c r="AG67" s="1524"/>
      <c r="AH67" s="1524"/>
      <c r="AI67" s="1524"/>
      <c r="AJ67" s="1524"/>
      <c r="AK67" s="1524"/>
    </row>
    <row r="68" spans="1:37">
      <c r="A68" s="4"/>
      <c r="C68" s="2"/>
      <c r="D68" s="4"/>
      <c r="E68" s="4"/>
      <c r="F68" s="27"/>
      <c r="G68" s="1524"/>
      <c r="H68" s="1524"/>
      <c r="I68" s="1524"/>
      <c r="J68" s="1524"/>
      <c r="K68" s="1524"/>
      <c r="L68" s="1524"/>
      <c r="M68" s="1524"/>
      <c r="N68" s="1524"/>
      <c r="O68" s="1524"/>
      <c r="P68" s="1524"/>
      <c r="Q68" s="1524"/>
      <c r="R68" s="1524"/>
      <c r="S68" s="1524"/>
      <c r="T68" s="1524"/>
      <c r="U68" s="1524"/>
      <c r="V68" s="1524"/>
      <c r="W68" s="1524"/>
      <c r="X68" s="1524"/>
      <c r="Y68" s="1524"/>
      <c r="Z68" s="1524"/>
      <c r="AA68" s="1524"/>
      <c r="AB68" s="1524"/>
      <c r="AC68" s="1524"/>
      <c r="AD68" s="1524"/>
      <c r="AE68" s="1524"/>
      <c r="AF68" s="1524"/>
      <c r="AG68" s="1524"/>
      <c r="AH68" s="1524"/>
      <c r="AI68" s="1524"/>
      <c r="AJ68" s="1524"/>
      <c r="AK68" s="1524"/>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524" t="s">
        <v>1167</v>
      </c>
      <c r="H70" s="1524"/>
      <c r="I70" s="1524"/>
      <c r="J70" s="1524"/>
      <c r="K70" s="1524"/>
      <c r="L70" s="1524"/>
      <c r="M70" s="1524"/>
      <c r="N70" s="1524"/>
      <c r="O70" s="1524"/>
      <c r="P70" s="1524"/>
      <c r="Q70" s="1524"/>
      <c r="R70" s="1524"/>
      <c r="S70" s="1524"/>
      <c r="T70" s="1524"/>
      <c r="U70" s="1524"/>
      <c r="V70" s="1524"/>
      <c r="W70" s="1524"/>
      <c r="X70" s="1524"/>
      <c r="Y70" s="1524"/>
      <c r="Z70" s="1524"/>
      <c r="AA70" s="1524"/>
      <c r="AB70" s="1524"/>
      <c r="AC70" s="1524"/>
      <c r="AD70" s="1524"/>
      <c r="AE70" s="1524"/>
      <c r="AF70" s="1524"/>
      <c r="AG70" s="1524"/>
      <c r="AH70" s="1524"/>
      <c r="AI70" s="1524"/>
      <c r="AJ70" s="1524"/>
      <c r="AK70" s="1524"/>
    </row>
    <row r="71" spans="1:37">
      <c r="A71" s="4"/>
      <c r="C71" s="2"/>
      <c r="D71" s="4"/>
      <c r="E71" s="4"/>
      <c r="F71" s="8"/>
      <c r="G71" s="1524"/>
      <c r="H71" s="1524"/>
      <c r="I71" s="1524"/>
      <c r="J71" s="1524"/>
      <c r="K71" s="1524"/>
      <c r="L71" s="1524"/>
      <c r="M71" s="1524"/>
      <c r="N71" s="1524"/>
      <c r="O71" s="1524"/>
      <c r="P71" s="1524"/>
      <c r="Q71" s="1524"/>
      <c r="R71" s="1524"/>
      <c r="S71" s="1524"/>
      <c r="T71" s="1524"/>
      <c r="U71" s="1524"/>
      <c r="V71" s="1524"/>
      <c r="W71" s="1524"/>
      <c r="X71" s="1524"/>
      <c r="Y71" s="1524"/>
      <c r="Z71" s="1524"/>
      <c r="AA71" s="1524"/>
      <c r="AB71" s="1524"/>
      <c r="AC71" s="1524"/>
      <c r="AD71" s="1524"/>
      <c r="AE71" s="1524"/>
      <c r="AF71" s="1524"/>
      <c r="AG71" s="1524"/>
      <c r="AH71" s="1524"/>
      <c r="AI71" s="1524"/>
      <c r="AJ71" s="1524"/>
      <c r="AK71" s="1524"/>
    </row>
    <row r="72" spans="1:37">
      <c r="A72" s="4"/>
      <c r="C72" s="2"/>
      <c r="D72" s="4"/>
      <c r="E72" s="4"/>
      <c r="F72" s="8" t="s">
        <v>509</v>
      </c>
      <c r="G72" s="1524" t="s">
        <v>1168</v>
      </c>
      <c r="H72" s="1524"/>
      <c r="I72" s="1524"/>
      <c r="J72" s="1524"/>
      <c r="K72" s="1524"/>
      <c r="L72" s="1524"/>
      <c r="M72" s="1524"/>
      <c r="N72" s="1524"/>
      <c r="O72" s="1524"/>
      <c r="P72" s="1524"/>
      <c r="Q72" s="1524"/>
      <c r="R72" s="1524"/>
      <c r="S72" s="1524"/>
      <c r="T72" s="1524"/>
      <c r="U72" s="1524"/>
      <c r="V72" s="1524"/>
      <c r="W72" s="1524"/>
      <c r="X72" s="1524"/>
      <c r="Y72" s="1524"/>
      <c r="Z72" s="1524"/>
      <c r="AA72" s="1524"/>
      <c r="AB72" s="1524"/>
      <c r="AC72" s="1524"/>
      <c r="AD72" s="1524"/>
      <c r="AE72" s="1524"/>
      <c r="AF72" s="1524"/>
      <c r="AG72" s="1524"/>
      <c r="AH72" s="1524"/>
      <c r="AI72" s="1524"/>
      <c r="AJ72" s="1524"/>
      <c r="AK72" s="1524"/>
    </row>
    <row r="73" spans="1:37">
      <c r="A73" s="4"/>
      <c r="C73" s="2"/>
      <c r="D73" s="4"/>
      <c r="E73" s="4"/>
      <c r="F73" s="8"/>
      <c r="G73" s="1524"/>
      <c r="H73" s="1524"/>
      <c r="I73" s="1524"/>
      <c r="J73" s="1524"/>
      <c r="K73" s="1524"/>
      <c r="L73" s="1524"/>
      <c r="M73" s="1524"/>
      <c r="N73" s="1524"/>
      <c r="O73" s="1524"/>
      <c r="P73" s="1524"/>
      <c r="Q73" s="1524"/>
      <c r="R73" s="1524"/>
      <c r="S73" s="1524"/>
      <c r="T73" s="1524"/>
      <c r="U73" s="1524"/>
      <c r="V73" s="1524"/>
      <c r="W73" s="1524"/>
      <c r="X73" s="1524"/>
      <c r="Y73" s="1524"/>
      <c r="Z73" s="1524"/>
      <c r="AA73" s="1524"/>
      <c r="AB73" s="1524"/>
      <c r="AC73" s="1524"/>
      <c r="AD73" s="1524"/>
      <c r="AE73" s="1524"/>
      <c r="AF73" s="1524"/>
      <c r="AG73" s="1524"/>
      <c r="AH73" s="1524"/>
      <c r="AI73" s="1524"/>
      <c r="AJ73" s="1524"/>
      <c r="AK73" s="1524"/>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524" t="s">
        <v>1169</v>
      </c>
      <c r="H80" s="1524"/>
      <c r="I80" s="1524"/>
      <c r="J80" s="1524"/>
      <c r="K80" s="1524"/>
      <c r="L80" s="1524"/>
      <c r="M80" s="1524"/>
      <c r="N80" s="1524"/>
      <c r="O80" s="1524"/>
      <c r="P80" s="1524"/>
      <c r="Q80" s="1524"/>
      <c r="R80" s="1524"/>
      <c r="S80" s="1524"/>
      <c r="T80" s="1524"/>
      <c r="U80" s="1524"/>
      <c r="V80" s="1524"/>
      <c r="W80" s="1524"/>
      <c r="X80" s="1524"/>
      <c r="Y80" s="1524"/>
      <c r="Z80" s="1524"/>
      <c r="AA80" s="1524"/>
      <c r="AB80" s="1524"/>
      <c r="AC80" s="1524"/>
      <c r="AD80" s="1524"/>
      <c r="AE80" s="1524"/>
      <c r="AF80" s="1524"/>
      <c r="AG80" s="1524"/>
      <c r="AH80" s="1524"/>
      <c r="AI80" s="1524"/>
      <c r="AJ80" s="1524"/>
      <c r="AK80" s="1524"/>
    </row>
    <row r="81" spans="1:37">
      <c r="A81" s="4"/>
      <c r="C81" s="2"/>
      <c r="D81" s="4"/>
      <c r="E81" s="4"/>
      <c r="F81" s="4"/>
      <c r="G81" s="1524"/>
      <c r="H81" s="1524"/>
      <c r="I81" s="1524"/>
      <c r="J81" s="1524"/>
      <c r="K81" s="1524"/>
      <c r="L81" s="1524"/>
      <c r="M81" s="1524"/>
      <c r="N81" s="1524"/>
      <c r="O81" s="1524"/>
      <c r="P81" s="1524"/>
      <c r="Q81" s="1524"/>
      <c r="R81" s="1524"/>
      <c r="S81" s="1524"/>
      <c r="T81" s="1524"/>
      <c r="U81" s="1524"/>
      <c r="V81" s="1524"/>
      <c r="W81" s="1524"/>
      <c r="X81" s="1524"/>
      <c r="Y81" s="1524"/>
      <c r="Z81" s="1524"/>
      <c r="AA81" s="1524"/>
      <c r="AB81" s="1524"/>
      <c r="AC81" s="1524"/>
      <c r="AD81" s="1524"/>
      <c r="AE81" s="1524"/>
      <c r="AF81" s="1524"/>
      <c r="AG81" s="1524"/>
      <c r="AH81" s="1524"/>
      <c r="AI81" s="1524"/>
      <c r="AJ81" s="1524"/>
      <c r="AK81" s="1524"/>
    </row>
    <row r="82" spans="1:37">
      <c r="A82" s="4"/>
      <c r="C82" s="2"/>
      <c r="D82" s="4"/>
      <c r="E82" s="4"/>
      <c r="F82" s="4"/>
      <c r="G82" s="1524"/>
      <c r="H82" s="1524"/>
      <c r="I82" s="1524"/>
      <c r="J82" s="1524"/>
      <c r="K82" s="1524"/>
      <c r="L82" s="1524"/>
      <c r="M82" s="1524"/>
      <c r="N82" s="1524"/>
      <c r="O82" s="1524"/>
      <c r="P82" s="1524"/>
      <c r="Q82" s="1524"/>
      <c r="R82" s="1524"/>
      <c r="S82" s="1524"/>
      <c r="T82" s="1524"/>
      <c r="U82" s="1524"/>
      <c r="V82" s="1524"/>
      <c r="W82" s="1524"/>
      <c r="X82" s="1524"/>
      <c r="Y82" s="1524"/>
      <c r="Z82" s="1524"/>
      <c r="AA82" s="1524"/>
      <c r="AB82" s="1524"/>
      <c r="AC82" s="1524"/>
      <c r="AD82" s="1524"/>
      <c r="AE82" s="1524"/>
      <c r="AF82" s="1524"/>
      <c r="AG82" s="1524"/>
      <c r="AH82" s="1524"/>
      <c r="AI82" s="1524"/>
      <c r="AJ82" s="1524"/>
      <c r="AK82" s="1524"/>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524" t="s">
        <v>1170</v>
      </c>
      <c r="H84" s="1524"/>
      <c r="I84" s="1524"/>
      <c r="J84" s="1524"/>
      <c r="K84" s="1524"/>
      <c r="L84" s="1524"/>
      <c r="M84" s="1524"/>
      <c r="N84" s="1524"/>
      <c r="O84" s="1524"/>
      <c r="P84" s="1524"/>
      <c r="Q84" s="1524"/>
      <c r="R84" s="1524"/>
      <c r="S84" s="1524"/>
      <c r="T84" s="1524"/>
      <c r="U84" s="1524"/>
      <c r="V84" s="1524"/>
      <c r="W84" s="1524"/>
      <c r="X84" s="1524"/>
      <c r="Y84" s="1524"/>
      <c r="Z84" s="1524"/>
      <c r="AA84" s="1524"/>
      <c r="AB84" s="1524"/>
      <c r="AC84" s="1524"/>
      <c r="AD84" s="1524"/>
      <c r="AE84" s="1524"/>
      <c r="AF84" s="1524"/>
      <c r="AG84" s="1524"/>
      <c r="AH84" s="1524"/>
      <c r="AI84" s="1524"/>
      <c r="AJ84" s="1524"/>
      <c r="AK84" s="1524"/>
    </row>
    <row r="85" spans="1:37">
      <c r="A85" s="4"/>
      <c r="C85" s="2"/>
      <c r="D85" s="4"/>
      <c r="E85" s="4"/>
      <c r="F85" s="4"/>
      <c r="G85" s="1524"/>
      <c r="H85" s="1524"/>
      <c r="I85" s="1524"/>
      <c r="J85" s="1524"/>
      <c r="K85" s="1524"/>
      <c r="L85" s="1524"/>
      <c r="M85" s="1524"/>
      <c r="N85" s="1524"/>
      <c r="O85" s="1524"/>
      <c r="P85" s="1524"/>
      <c r="Q85" s="1524"/>
      <c r="R85" s="1524"/>
      <c r="S85" s="1524"/>
      <c r="T85" s="1524"/>
      <c r="U85" s="1524"/>
      <c r="V85" s="1524"/>
      <c r="W85" s="1524"/>
      <c r="X85" s="1524"/>
      <c r="Y85" s="1524"/>
      <c r="Z85" s="1524"/>
      <c r="AA85" s="1524"/>
      <c r="AB85" s="1524"/>
      <c r="AC85" s="1524"/>
      <c r="AD85" s="1524"/>
      <c r="AE85" s="1524"/>
      <c r="AF85" s="1524"/>
      <c r="AG85" s="1524"/>
      <c r="AH85" s="1524"/>
      <c r="AI85" s="1524"/>
      <c r="AJ85" s="1524"/>
      <c r="AK85" s="1524"/>
    </row>
    <row r="86" spans="1:37">
      <c r="A86" s="4"/>
      <c r="C86" s="2"/>
      <c r="D86" s="4"/>
      <c r="E86" s="4"/>
      <c r="G86" s="1524"/>
      <c r="H86" s="1524"/>
      <c r="I86" s="1524"/>
      <c r="J86" s="1524"/>
      <c r="K86" s="1524"/>
      <c r="L86" s="1524"/>
      <c r="M86" s="1524"/>
      <c r="N86" s="1524"/>
      <c r="O86" s="1524"/>
      <c r="P86" s="1524"/>
      <c r="Q86" s="1524"/>
      <c r="R86" s="1524"/>
      <c r="S86" s="1524"/>
      <c r="T86" s="1524"/>
      <c r="U86" s="1524"/>
      <c r="V86" s="1524"/>
      <c r="W86" s="1524"/>
      <c r="X86" s="1524"/>
      <c r="Y86" s="1524"/>
      <c r="Z86" s="1524"/>
      <c r="AA86" s="1524"/>
      <c r="AB86" s="1524"/>
      <c r="AC86" s="1524"/>
      <c r="AD86" s="1524"/>
      <c r="AE86" s="1524"/>
      <c r="AF86" s="1524"/>
      <c r="AG86" s="1524"/>
      <c r="AH86" s="1524"/>
      <c r="AI86" s="1524"/>
      <c r="AJ86" s="1524"/>
      <c r="AK86" s="1524"/>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534" t="s">
        <v>1171</v>
      </c>
      <c r="H88" s="1534"/>
      <c r="I88" s="1534"/>
      <c r="J88" s="1534"/>
      <c r="K88" s="1534"/>
      <c r="L88" s="1534"/>
      <c r="M88" s="1534"/>
      <c r="N88" s="1534"/>
      <c r="O88" s="1534"/>
      <c r="P88" s="1534"/>
      <c r="Q88" s="1534"/>
      <c r="R88" s="1534"/>
      <c r="S88" s="1534"/>
      <c r="T88" s="1534"/>
      <c r="U88" s="1534"/>
      <c r="V88" s="1534"/>
      <c r="W88" s="1534"/>
      <c r="X88" s="1534"/>
      <c r="Y88" s="1534"/>
      <c r="Z88" s="1534"/>
      <c r="AA88" s="1534"/>
      <c r="AB88" s="1534"/>
      <c r="AC88" s="1534"/>
      <c r="AD88" s="1534"/>
      <c r="AE88" s="1534"/>
      <c r="AF88" s="1534"/>
      <c r="AG88" s="1534"/>
      <c r="AH88" s="1534"/>
      <c r="AI88" s="1534"/>
      <c r="AJ88" s="1534"/>
      <c r="AK88" s="1534"/>
    </row>
    <row r="89" spans="1:37">
      <c r="A89" s="4"/>
      <c r="C89" s="2"/>
      <c r="D89" s="4"/>
      <c r="E89" s="4"/>
      <c r="G89" s="1534"/>
      <c r="H89" s="1534"/>
      <c r="I89" s="1534"/>
      <c r="J89" s="1534"/>
      <c r="K89" s="1534"/>
      <c r="L89" s="1534"/>
      <c r="M89" s="1534"/>
      <c r="N89" s="1534"/>
      <c r="O89" s="1534"/>
      <c r="P89" s="1534"/>
      <c r="Q89" s="1534"/>
      <c r="R89" s="1534"/>
      <c r="S89" s="1534"/>
      <c r="T89" s="1534"/>
      <c r="U89" s="1534"/>
      <c r="V89" s="1534"/>
      <c r="W89" s="1534"/>
      <c r="X89" s="1534"/>
      <c r="Y89" s="1534"/>
      <c r="Z89" s="1534"/>
      <c r="AA89" s="1534"/>
      <c r="AB89" s="1534"/>
      <c r="AC89" s="1534"/>
      <c r="AD89" s="1534"/>
      <c r="AE89" s="1534"/>
      <c r="AF89" s="1534"/>
      <c r="AG89" s="1534"/>
      <c r="AH89" s="1534"/>
      <c r="AI89" s="1534"/>
      <c r="AJ89" s="1534"/>
      <c r="AK89" s="1534"/>
    </row>
    <row r="90" spans="1:37">
      <c r="A90" s="4"/>
      <c r="C90" s="2"/>
      <c r="D90" s="4"/>
      <c r="E90" s="4"/>
      <c r="G90" s="1534"/>
      <c r="H90" s="1534"/>
      <c r="I90" s="1534"/>
      <c r="J90" s="1534"/>
      <c r="K90" s="1534"/>
      <c r="L90" s="1534"/>
      <c r="M90" s="1534"/>
      <c r="N90" s="1534"/>
      <c r="O90" s="1534"/>
      <c r="P90" s="1534"/>
      <c r="Q90" s="1534"/>
      <c r="R90" s="1534"/>
      <c r="S90" s="1534"/>
      <c r="T90" s="1534"/>
      <c r="U90" s="1534"/>
      <c r="V90" s="1534"/>
      <c r="W90" s="1534"/>
      <c r="X90" s="1534"/>
      <c r="Y90" s="1534"/>
      <c r="Z90" s="1534"/>
      <c r="AA90" s="1534"/>
      <c r="AB90" s="1534"/>
      <c r="AC90" s="1534"/>
      <c r="AD90" s="1534"/>
      <c r="AE90" s="1534"/>
      <c r="AF90" s="1534"/>
      <c r="AG90" s="1534"/>
      <c r="AH90" s="1534"/>
      <c r="AI90" s="1534"/>
      <c r="AJ90" s="1534"/>
      <c r="AK90" s="1534"/>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524" t="s">
        <v>1172</v>
      </c>
      <c r="H92" s="1524"/>
      <c r="I92" s="1524"/>
      <c r="J92" s="1524"/>
      <c r="K92" s="1524"/>
      <c r="L92" s="1524"/>
      <c r="M92" s="1524"/>
      <c r="N92" s="1524"/>
      <c r="O92" s="1524"/>
      <c r="P92" s="1524"/>
      <c r="Q92" s="1524"/>
      <c r="R92" s="1524"/>
      <c r="S92" s="1524"/>
      <c r="T92" s="1524"/>
      <c r="U92" s="1524"/>
      <c r="V92" s="1524"/>
      <c r="W92" s="1524"/>
      <c r="X92" s="1524"/>
      <c r="Y92" s="1524"/>
      <c r="Z92" s="1524"/>
      <c r="AA92" s="1524"/>
      <c r="AB92" s="1524"/>
      <c r="AC92" s="1524"/>
      <c r="AD92" s="1524"/>
      <c r="AE92" s="1524"/>
      <c r="AF92" s="1524"/>
      <c r="AG92" s="1524"/>
      <c r="AH92" s="1524"/>
      <c r="AI92" s="1524"/>
      <c r="AJ92" s="1524"/>
      <c r="AK92" s="1524"/>
    </row>
    <row r="93" spans="1:37">
      <c r="A93" s="4"/>
      <c r="C93" s="2"/>
      <c r="D93" s="4"/>
      <c r="E93" s="4"/>
      <c r="G93" s="1524"/>
      <c r="H93" s="1524"/>
      <c r="I93" s="1524"/>
      <c r="J93" s="1524"/>
      <c r="K93" s="1524"/>
      <c r="L93" s="1524"/>
      <c r="M93" s="1524"/>
      <c r="N93" s="1524"/>
      <c r="O93" s="1524"/>
      <c r="P93" s="1524"/>
      <c r="Q93" s="1524"/>
      <c r="R93" s="1524"/>
      <c r="S93" s="1524"/>
      <c r="T93" s="1524"/>
      <c r="U93" s="1524"/>
      <c r="V93" s="1524"/>
      <c r="W93" s="1524"/>
      <c r="X93" s="1524"/>
      <c r="Y93" s="1524"/>
      <c r="Z93" s="1524"/>
      <c r="AA93" s="1524"/>
      <c r="AB93" s="1524"/>
      <c r="AC93" s="1524"/>
      <c r="AD93" s="1524"/>
      <c r="AE93" s="1524"/>
      <c r="AF93" s="1524"/>
      <c r="AG93" s="1524"/>
      <c r="AH93" s="1524"/>
      <c r="AI93" s="1524"/>
      <c r="AJ93" s="1524"/>
      <c r="AK93" s="1524"/>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524" t="s">
        <v>1173</v>
      </c>
      <c r="H95" s="1524"/>
      <c r="I95" s="1524"/>
      <c r="J95" s="1524"/>
      <c r="K95" s="1524"/>
      <c r="L95" s="1524"/>
      <c r="M95" s="1524"/>
      <c r="N95" s="1524"/>
      <c r="O95" s="1524"/>
      <c r="P95" s="1524"/>
      <c r="Q95" s="1524"/>
      <c r="R95" s="1524"/>
      <c r="S95" s="1524"/>
      <c r="T95" s="1524"/>
      <c r="U95" s="1524"/>
      <c r="V95" s="1524"/>
      <c r="W95" s="1524"/>
      <c r="X95" s="1524"/>
      <c r="Y95" s="1524"/>
      <c r="Z95" s="1524"/>
      <c r="AA95" s="1524"/>
      <c r="AB95" s="1524"/>
      <c r="AC95" s="1524"/>
      <c r="AD95" s="1524"/>
      <c r="AE95" s="1524"/>
      <c r="AF95" s="1524"/>
      <c r="AG95" s="1524"/>
      <c r="AH95" s="1524"/>
      <c r="AI95" s="1524"/>
      <c r="AJ95" s="1524"/>
      <c r="AK95" s="1524"/>
    </row>
    <row r="96" spans="1:37">
      <c r="A96" s="4"/>
      <c r="C96" s="2"/>
      <c r="D96" s="4"/>
      <c r="E96" s="4"/>
      <c r="G96" s="1524"/>
      <c r="H96" s="1524"/>
      <c r="I96" s="1524"/>
      <c r="J96" s="1524"/>
      <c r="K96" s="1524"/>
      <c r="L96" s="1524"/>
      <c r="M96" s="1524"/>
      <c r="N96" s="1524"/>
      <c r="O96" s="1524"/>
      <c r="P96" s="1524"/>
      <c r="Q96" s="1524"/>
      <c r="R96" s="1524"/>
      <c r="S96" s="1524"/>
      <c r="T96" s="1524"/>
      <c r="U96" s="1524"/>
      <c r="V96" s="1524"/>
      <c r="W96" s="1524"/>
      <c r="X96" s="1524"/>
      <c r="Y96" s="1524"/>
      <c r="Z96" s="1524"/>
      <c r="AA96" s="1524"/>
      <c r="AB96" s="1524"/>
      <c r="AC96" s="1524"/>
      <c r="AD96" s="1524"/>
      <c r="AE96" s="1524"/>
      <c r="AF96" s="1524"/>
      <c r="AG96" s="1524"/>
      <c r="AH96" s="1524"/>
      <c r="AI96" s="1524"/>
      <c r="AJ96" s="1524"/>
      <c r="AK96" s="1524"/>
    </row>
    <row r="97" spans="1:38">
      <c r="A97" s="4"/>
      <c r="C97" s="2"/>
      <c r="D97" s="4"/>
      <c r="E97" s="4"/>
      <c r="G97" s="1524"/>
      <c r="H97" s="1524"/>
      <c r="I97" s="1524"/>
      <c r="J97" s="1524"/>
      <c r="K97" s="1524"/>
      <c r="L97" s="1524"/>
      <c r="M97" s="1524"/>
      <c r="N97" s="1524"/>
      <c r="O97" s="1524"/>
      <c r="P97" s="1524"/>
      <c r="Q97" s="1524"/>
      <c r="R97" s="1524"/>
      <c r="S97" s="1524"/>
      <c r="T97" s="1524"/>
      <c r="U97" s="1524"/>
      <c r="V97" s="1524"/>
      <c r="W97" s="1524"/>
      <c r="X97" s="1524"/>
      <c r="Y97" s="1524"/>
      <c r="Z97" s="1524"/>
      <c r="AA97" s="1524"/>
      <c r="AB97" s="1524"/>
      <c r="AC97" s="1524"/>
      <c r="AD97" s="1524"/>
      <c r="AE97" s="1524"/>
      <c r="AF97" s="1524"/>
      <c r="AG97" s="1524"/>
      <c r="AH97" s="1524"/>
      <c r="AI97" s="1524"/>
      <c r="AJ97" s="1524"/>
      <c r="AK97" s="1524"/>
    </row>
    <row r="98" spans="1:38">
      <c r="A98" s="4"/>
      <c r="D98" s="99"/>
      <c r="E98" s="1535" t="s">
        <v>1174</v>
      </c>
      <c r="F98" s="1535"/>
      <c r="G98" s="1535"/>
      <c r="H98" s="1535"/>
      <c r="I98" s="1535"/>
      <c r="J98" s="1535"/>
      <c r="K98" s="1535"/>
      <c r="L98" s="1535"/>
      <c r="M98" s="1535"/>
      <c r="N98" s="1535"/>
      <c r="O98" s="1535"/>
      <c r="P98" s="1535"/>
      <c r="Q98" s="1535"/>
      <c r="R98" s="1535"/>
      <c r="S98" s="1535"/>
      <c r="T98" s="1535"/>
      <c r="U98" s="1535"/>
      <c r="V98" s="1535"/>
      <c r="W98" s="1535"/>
      <c r="X98" s="1535"/>
      <c r="Y98" s="1535"/>
      <c r="Z98" s="1535"/>
      <c r="AA98" s="1535"/>
      <c r="AB98" s="1535"/>
      <c r="AC98" s="1535"/>
      <c r="AD98" s="1535"/>
      <c r="AE98" s="1535"/>
      <c r="AF98" s="1535"/>
      <c r="AG98" s="1535"/>
      <c r="AH98" s="1535"/>
      <c r="AI98" s="1535"/>
      <c r="AJ98" s="1535"/>
      <c r="AK98" s="1535"/>
    </row>
    <row r="99" spans="1:38">
      <c r="A99" s="4"/>
      <c r="D99" s="99"/>
      <c r="E99" s="1535"/>
      <c r="F99" s="1535"/>
      <c r="G99" s="1535"/>
      <c r="H99" s="1535"/>
      <c r="I99" s="1535"/>
      <c r="J99" s="1535"/>
      <c r="K99" s="1535"/>
      <c r="L99" s="1535"/>
      <c r="M99" s="1535"/>
      <c r="N99" s="1535"/>
      <c r="O99" s="1535"/>
      <c r="P99" s="1535"/>
      <c r="Q99" s="1535"/>
      <c r="R99" s="1535"/>
      <c r="S99" s="1535"/>
      <c r="T99" s="1535"/>
      <c r="U99" s="1535"/>
      <c r="V99" s="1535"/>
      <c r="W99" s="1535"/>
      <c r="X99" s="1535"/>
      <c r="Y99" s="1535"/>
      <c r="Z99" s="1535"/>
      <c r="AA99" s="1535"/>
      <c r="AB99" s="1535"/>
      <c r="AC99" s="1535"/>
      <c r="AD99" s="1535"/>
      <c r="AE99" s="1535"/>
      <c r="AF99" s="1535"/>
      <c r="AG99" s="1535"/>
      <c r="AH99" s="1535"/>
      <c r="AI99" s="1535"/>
      <c r="AJ99" s="1535"/>
      <c r="AK99" s="1535"/>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1185</v>
      </c>
      <c r="H103" s="2"/>
      <c r="I103" s="2"/>
      <c r="K103" s="2"/>
    </row>
    <row r="104" spans="1:38">
      <c r="B104" s="2"/>
      <c r="C104" s="2"/>
      <c r="D104" s="2" t="s">
        <v>207</v>
      </c>
      <c r="E104" s="2" t="s">
        <v>1187</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1014</v>
      </c>
      <c r="G117" s="4"/>
    </row>
    <row r="118" spans="2:10">
      <c r="F118" s="99" t="s">
        <v>1186</v>
      </c>
      <c r="G118" s="99"/>
    </row>
    <row r="119" spans="2:10">
      <c r="G119" s="99"/>
    </row>
    <row r="120" spans="2:10">
      <c r="E120" s="4" t="s">
        <v>763</v>
      </c>
      <c r="F120" s="98" t="s">
        <v>378</v>
      </c>
    </row>
    <row r="121" spans="2:10">
      <c r="E121" s="4"/>
      <c r="F121" s="4" t="s">
        <v>1006</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1212</v>
      </c>
      <c r="F136" s="4"/>
    </row>
    <row r="137" spans="4:37">
      <c r="F137" s="4"/>
    </row>
    <row r="138" spans="4:37">
      <c r="D138" s="2" t="s">
        <v>303</v>
      </c>
      <c r="E138" s="2" t="s">
        <v>1999</v>
      </c>
      <c r="F138" s="2"/>
      <c r="G138" s="2"/>
      <c r="H138" s="2"/>
    </row>
    <row r="139" spans="4:37">
      <c r="E139" t="s">
        <v>112</v>
      </c>
      <c r="F139" t="s">
        <v>52</v>
      </c>
    </row>
    <row r="140" spans="4:37">
      <c r="E140" t="s">
        <v>113</v>
      </c>
      <c r="F140" t="s">
        <v>466</v>
      </c>
    </row>
    <row r="141" spans="4:37"/>
    <row r="142" spans="4:37">
      <c r="D142" s="2" t="s">
        <v>429</v>
      </c>
      <c r="E142" s="2" t="s">
        <v>2000</v>
      </c>
    </row>
    <row r="143" spans="4:37">
      <c r="E143" s="204" t="s">
        <v>2001</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1147</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1007</v>
      </c>
    </row>
    <row r="184" spans="2:19">
      <c r="B184" s="4"/>
      <c r="C184" s="4"/>
      <c r="E184" s="4" t="s">
        <v>709</v>
      </c>
      <c r="F184" s="4"/>
      <c r="I184" s="4"/>
    </row>
    <row r="185" spans="2:19">
      <c r="B185" s="4"/>
      <c r="C185" s="4"/>
      <c r="E185" s="4" t="s">
        <v>1005</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1015</v>
      </c>
      <c r="G191" s="4"/>
      <c r="H191" s="4"/>
      <c r="I191" s="4"/>
    </row>
    <row r="192" spans="2:19">
      <c r="B192" s="4"/>
      <c r="C192" s="2"/>
      <c r="F192" s="4" t="s">
        <v>653</v>
      </c>
      <c r="G192" s="3" t="s">
        <v>1206</v>
      </c>
    </row>
    <row r="193" spans="2:37">
      <c r="B193" s="4"/>
      <c r="C193" s="4"/>
      <c r="F193" s="4" t="s">
        <v>348</v>
      </c>
      <c r="G193" s="3" t="s">
        <v>1207</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524" t="s">
        <v>1175</v>
      </c>
      <c r="H205" s="1524"/>
      <c r="I205" s="1524"/>
      <c r="J205" s="1524"/>
      <c r="K205" s="1524"/>
      <c r="L205" s="1524"/>
      <c r="M205" s="1524"/>
      <c r="N205" s="1524"/>
      <c r="O205" s="1524"/>
      <c r="P205" s="1524"/>
      <c r="Q205" s="1524"/>
      <c r="R205" s="1524"/>
      <c r="S205" s="1524"/>
      <c r="T205" s="1524"/>
      <c r="U205" s="1524"/>
      <c r="V205" s="1524"/>
      <c r="W205" s="1524"/>
      <c r="X205" s="1524"/>
      <c r="Y205" s="1524"/>
      <c r="Z205" s="1524"/>
      <c r="AA205" s="1524"/>
      <c r="AB205" s="1524"/>
      <c r="AC205" s="1524"/>
      <c r="AD205" s="1524"/>
      <c r="AE205" s="1524"/>
      <c r="AF205" s="1524"/>
      <c r="AG205" s="1524"/>
      <c r="AH205" s="1524"/>
      <c r="AI205" s="1524"/>
      <c r="AJ205" s="1524"/>
      <c r="AK205" s="1524"/>
    </row>
    <row r="206" spans="2:37">
      <c r="B206" s="4"/>
      <c r="C206" s="4"/>
      <c r="D206" s="2"/>
      <c r="G206" s="1524"/>
      <c r="H206" s="1524"/>
      <c r="I206" s="1524"/>
      <c r="J206" s="1524"/>
      <c r="K206" s="1524"/>
      <c r="L206" s="1524"/>
      <c r="M206" s="1524"/>
      <c r="N206" s="1524"/>
      <c r="O206" s="1524"/>
      <c r="P206" s="1524"/>
      <c r="Q206" s="1524"/>
      <c r="R206" s="1524"/>
      <c r="S206" s="1524"/>
      <c r="T206" s="1524"/>
      <c r="U206" s="1524"/>
      <c r="V206" s="1524"/>
      <c r="W206" s="1524"/>
      <c r="X206" s="1524"/>
      <c r="Y206" s="1524"/>
      <c r="Z206" s="1524"/>
      <c r="AA206" s="1524"/>
      <c r="AB206" s="1524"/>
      <c r="AC206" s="1524"/>
      <c r="AD206" s="1524"/>
      <c r="AE206" s="1524"/>
      <c r="AF206" s="1524"/>
      <c r="AG206" s="1524"/>
      <c r="AH206" s="1524"/>
      <c r="AI206" s="1524"/>
      <c r="AJ206" s="1524"/>
      <c r="AK206" s="1524"/>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524" t="s">
        <v>1154</v>
      </c>
      <c r="G336" s="1524"/>
      <c r="H336" s="1524"/>
      <c r="I336" s="1524"/>
      <c r="J336" s="1524"/>
      <c r="K336" s="1524"/>
      <c r="L336" s="1524"/>
      <c r="M336" s="1524"/>
      <c r="N336" s="1524"/>
      <c r="O336" s="1524"/>
      <c r="P336" s="1524"/>
      <c r="Q336" s="1524"/>
      <c r="R336" s="1524"/>
      <c r="S336" s="1524"/>
      <c r="T336" s="1524"/>
      <c r="U336" s="1524"/>
      <c r="V336" s="1524"/>
      <c r="W336" s="1524"/>
      <c r="X336" s="1524"/>
      <c r="Y336" s="1524"/>
      <c r="Z336" s="1524"/>
      <c r="AA336" s="1524"/>
      <c r="AB336" s="1524"/>
      <c r="AC336" s="1524"/>
      <c r="AD336" s="1524"/>
      <c r="AE336" s="1524"/>
      <c r="AF336" s="1524"/>
      <c r="AG336" s="1524"/>
      <c r="AH336" s="1524"/>
      <c r="AI336" s="1524"/>
      <c r="AJ336" s="1524"/>
      <c r="AK336" s="1524"/>
    </row>
    <row r="337" spans="2:37">
      <c r="B337" s="2"/>
      <c r="E337" s="4"/>
      <c r="F337" s="1524"/>
      <c r="G337" s="1524"/>
      <c r="H337" s="1524"/>
      <c r="I337" s="1524"/>
      <c r="J337" s="1524"/>
      <c r="K337" s="1524"/>
      <c r="L337" s="1524"/>
      <c r="M337" s="1524"/>
      <c r="N337" s="1524"/>
      <c r="O337" s="1524"/>
      <c r="P337" s="1524"/>
      <c r="Q337" s="1524"/>
      <c r="R337" s="1524"/>
      <c r="S337" s="1524"/>
      <c r="T337" s="1524"/>
      <c r="U337" s="1524"/>
      <c r="V337" s="1524"/>
      <c r="W337" s="1524"/>
      <c r="X337" s="1524"/>
      <c r="Y337" s="1524"/>
      <c r="Z337" s="1524"/>
      <c r="AA337" s="1524"/>
      <c r="AB337" s="1524"/>
      <c r="AC337" s="1524"/>
      <c r="AD337" s="1524"/>
      <c r="AE337" s="1524"/>
      <c r="AF337" s="1524"/>
      <c r="AG337" s="1524"/>
      <c r="AH337" s="1524"/>
      <c r="AI337" s="1524"/>
      <c r="AJ337" s="1524"/>
      <c r="AK337" s="1524"/>
    </row>
    <row r="338" spans="2:37">
      <c r="B338" s="2"/>
      <c r="E338" s="4"/>
      <c r="F338" s="1524"/>
      <c r="G338" s="1524"/>
      <c r="H338" s="1524"/>
      <c r="I338" s="1524"/>
      <c r="J338" s="1524"/>
      <c r="K338" s="1524"/>
      <c r="L338" s="1524"/>
      <c r="M338" s="1524"/>
      <c r="N338" s="1524"/>
      <c r="O338" s="1524"/>
      <c r="P338" s="1524"/>
      <c r="Q338" s="1524"/>
      <c r="R338" s="1524"/>
      <c r="S338" s="1524"/>
      <c r="T338" s="1524"/>
      <c r="U338" s="1524"/>
      <c r="V338" s="1524"/>
      <c r="W338" s="1524"/>
      <c r="X338" s="1524"/>
      <c r="Y338" s="1524"/>
      <c r="Z338" s="1524"/>
      <c r="AA338" s="1524"/>
      <c r="AB338" s="1524"/>
      <c r="AC338" s="1524"/>
      <c r="AD338" s="1524"/>
      <c r="AE338" s="1524"/>
      <c r="AF338" s="1524"/>
      <c r="AG338" s="1524"/>
      <c r="AH338" s="1524"/>
      <c r="AI338" s="1524"/>
      <c r="AJ338" s="1524"/>
      <c r="AK338" s="1524"/>
    </row>
    <row r="339" spans="2:37">
      <c r="B339" s="2"/>
      <c r="F339" s="4"/>
      <c r="H339" s="4"/>
      <c r="I339" s="4"/>
      <c r="J339" s="4"/>
      <c r="K339" s="4"/>
      <c r="L339" s="4"/>
      <c r="M339" s="4"/>
      <c r="N339" s="4"/>
      <c r="O339" s="4"/>
      <c r="P339" s="4"/>
      <c r="Q339" s="4"/>
      <c r="R339" s="4"/>
      <c r="S339" s="4"/>
    </row>
    <row r="340" spans="2:37">
      <c r="B340" s="2"/>
      <c r="C340" s="2" t="s">
        <v>431</v>
      </c>
      <c r="G340" s="2" t="s">
        <v>1227</v>
      </c>
      <c r="I340" s="2"/>
      <c r="J340" s="4"/>
      <c r="K340" s="4"/>
      <c r="L340" s="4"/>
      <c r="M340" s="4"/>
      <c r="N340" s="4"/>
      <c r="O340" s="4"/>
      <c r="P340" s="4"/>
      <c r="Q340" s="4"/>
      <c r="R340" s="4"/>
      <c r="S340" s="4"/>
    </row>
    <row r="341" spans="2:37" ht="13.2" customHeight="1">
      <c r="B341" s="2"/>
      <c r="E341" s="1527" t="s">
        <v>1234</v>
      </c>
      <c r="F341" s="1527"/>
      <c r="G341" s="1527"/>
      <c r="H341" s="1527"/>
      <c r="I341" s="1527"/>
      <c r="J341" s="1527"/>
      <c r="K341" s="1527"/>
      <c r="L341" s="1527"/>
      <c r="M341" s="1527"/>
      <c r="N341" s="1527"/>
      <c r="O341" s="1527"/>
      <c r="P341" s="1527"/>
      <c r="Q341" s="1527"/>
      <c r="R341" s="1527"/>
      <c r="S341" s="1527"/>
      <c r="T341" s="1527"/>
      <c r="U341" s="1527"/>
      <c r="V341" s="1527"/>
      <c r="W341" s="1527"/>
      <c r="X341" s="1527"/>
      <c r="Y341" s="1527"/>
      <c r="Z341" s="1527"/>
      <c r="AA341" s="1527"/>
      <c r="AB341" s="1527"/>
      <c r="AC341" s="1527"/>
      <c r="AD341" s="1527"/>
      <c r="AE341" s="1527"/>
      <c r="AF341" s="1527"/>
      <c r="AG341" s="1527"/>
      <c r="AH341" s="1527"/>
      <c r="AI341" s="1527"/>
      <c r="AJ341" s="1527"/>
      <c r="AK341" s="1527"/>
    </row>
    <row r="342" spans="2:37">
      <c r="B342" s="2"/>
      <c r="E342" s="1527"/>
      <c r="F342" s="1527"/>
      <c r="G342" s="1527"/>
      <c r="H342" s="1527"/>
      <c r="I342" s="1527"/>
      <c r="J342" s="1527"/>
      <c r="K342" s="1527"/>
      <c r="L342" s="1527"/>
      <c r="M342" s="1527"/>
      <c r="N342" s="1527"/>
      <c r="O342" s="1527"/>
      <c r="P342" s="1527"/>
      <c r="Q342" s="1527"/>
      <c r="R342" s="1527"/>
      <c r="S342" s="1527"/>
      <c r="T342" s="1527"/>
      <c r="U342" s="1527"/>
      <c r="V342" s="1527"/>
      <c r="W342" s="1527"/>
      <c r="X342" s="1527"/>
      <c r="Y342" s="1527"/>
      <c r="Z342" s="1527"/>
      <c r="AA342" s="1527"/>
      <c r="AB342" s="1527"/>
      <c r="AC342" s="1527"/>
      <c r="AD342" s="1527"/>
      <c r="AE342" s="1527"/>
      <c r="AF342" s="1527"/>
      <c r="AG342" s="1527"/>
      <c r="AH342" s="1527"/>
      <c r="AI342" s="1527"/>
      <c r="AJ342" s="1527"/>
      <c r="AK342" s="1527"/>
    </row>
    <row r="343" spans="2:37">
      <c r="B343" s="2"/>
      <c r="E343" s="1527"/>
      <c r="F343" s="1527"/>
      <c r="G343" s="1527"/>
      <c r="H343" s="1527"/>
      <c r="I343" s="1527"/>
      <c r="J343" s="1527"/>
      <c r="K343" s="1527"/>
      <c r="L343" s="1527"/>
      <c r="M343" s="1527"/>
      <c r="N343" s="1527"/>
      <c r="O343" s="1527"/>
      <c r="P343" s="1527"/>
      <c r="Q343" s="1527"/>
      <c r="R343" s="1527"/>
      <c r="S343" s="1527"/>
      <c r="T343" s="1527"/>
      <c r="U343" s="1527"/>
      <c r="V343" s="1527"/>
      <c r="W343" s="1527"/>
      <c r="X343" s="1527"/>
      <c r="Y343" s="1527"/>
      <c r="Z343" s="1527"/>
      <c r="AA343" s="1527"/>
      <c r="AB343" s="1527"/>
      <c r="AC343" s="1527"/>
      <c r="AD343" s="1527"/>
      <c r="AE343" s="1527"/>
      <c r="AF343" s="1527"/>
      <c r="AG343" s="1527"/>
      <c r="AH343" s="1527"/>
      <c r="AI343" s="1527"/>
      <c r="AJ343" s="1527"/>
      <c r="AK343" s="1527"/>
    </row>
    <row r="344" spans="2:37">
      <c r="B344" s="2"/>
      <c r="E344" s="1527"/>
      <c r="F344" s="1527"/>
      <c r="G344" s="1527"/>
      <c r="H344" s="1527"/>
      <c r="I344" s="1527"/>
      <c r="J344" s="1527"/>
      <c r="K344" s="1527"/>
      <c r="L344" s="1527"/>
      <c r="M344" s="1527"/>
      <c r="N344" s="1527"/>
      <c r="O344" s="1527"/>
      <c r="P344" s="1527"/>
      <c r="Q344" s="1527"/>
      <c r="R344" s="1527"/>
      <c r="S344" s="1527"/>
      <c r="T344" s="1527"/>
      <c r="U344" s="1527"/>
      <c r="V344" s="1527"/>
      <c r="W344" s="1527"/>
      <c r="X344" s="1527"/>
      <c r="Y344" s="1527"/>
      <c r="Z344" s="1527"/>
      <c r="AA344" s="1527"/>
      <c r="AB344" s="1527"/>
      <c r="AC344" s="1527"/>
      <c r="AD344" s="1527"/>
      <c r="AE344" s="1527"/>
      <c r="AF344" s="1527"/>
      <c r="AG344" s="1527"/>
      <c r="AH344" s="1527"/>
      <c r="AI344" s="1527"/>
      <c r="AJ344" s="1527"/>
      <c r="AK344" s="1527"/>
    </row>
    <row r="345" spans="2:37">
      <c r="B345" s="2"/>
      <c r="E345" s="1527"/>
      <c r="F345" s="1527"/>
      <c r="G345" s="1527"/>
      <c r="H345" s="1527"/>
      <c r="I345" s="1527"/>
      <c r="J345" s="1527"/>
      <c r="K345" s="1527"/>
      <c r="L345" s="1527"/>
      <c r="M345" s="1527"/>
      <c r="N345" s="1527"/>
      <c r="O345" s="1527"/>
      <c r="P345" s="1527"/>
      <c r="Q345" s="1527"/>
      <c r="R345" s="1527"/>
      <c r="S345" s="1527"/>
      <c r="T345" s="1527"/>
      <c r="U345" s="1527"/>
      <c r="V345" s="1527"/>
      <c r="W345" s="1527"/>
      <c r="X345" s="1527"/>
      <c r="Y345" s="1527"/>
      <c r="Z345" s="1527"/>
      <c r="AA345" s="1527"/>
      <c r="AB345" s="1527"/>
      <c r="AC345" s="1527"/>
      <c r="AD345" s="1527"/>
      <c r="AE345" s="1527"/>
      <c r="AF345" s="1527"/>
      <c r="AG345" s="1527"/>
      <c r="AH345" s="1527"/>
      <c r="AI345" s="1527"/>
      <c r="AJ345" s="1527"/>
      <c r="AK345" s="1527"/>
    </row>
    <row r="346" spans="2:37">
      <c r="B346" s="2"/>
      <c r="E346" s="3" t="s">
        <v>112</v>
      </c>
      <c r="F346" s="1524" t="s">
        <v>1236</v>
      </c>
      <c r="G346" s="1524"/>
      <c r="H346" s="1524"/>
      <c r="I346" s="1524"/>
      <c r="J346" s="1524"/>
      <c r="K346" s="1524"/>
      <c r="L346" s="1524"/>
      <c r="M346" s="1524"/>
      <c r="N346" s="1524"/>
      <c r="O346" s="1524"/>
      <c r="P346" s="1524"/>
      <c r="Q346" s="1524"/>
      <c r="R346" s="1524"/>
      <c r="S346" s="1524"/>
      <c r="T346" s="1524"/>
      <c r="U346" s="1524"/>
      <c r="V346" s="1524"/>
      <c r="W346" s="1524"/>
      <c r="X346" s="1524"/>
      <c r="Y346" s="1524"/>
      <c r="Z346" s="1524"/>
      <c r="AA346" s="1524"/>
      <c r="AB346" s="1524"/>
      <c r="AC346" s="1524"/>
      <c r="AD346" s="1524"/>
      <c r="AE346" s="1524"/>
      <c r="AF346" s="1524"/>
      <c r="AG346" s="1524"/>
      <c r="AH346" s="1524"/>
      <c r="AI346" s="1524"/>
      <c r="AJ346" s="1524"/>
      <c r="AK346" s="1524"/>
    </row>
    <row r="347" spans="2:37">
      <c r="B347" s="2"/>
      <c r="E347" s="3"/>
      <c r="F347" s="1524"/>
      <c r="G347" s="1524"/>
      <c r="H347" s="1524"/>
      <c r="I347" s="1524"/>
      <c r="J347" s="1524"/>
      <c r="K347" s="1524"/>
      <c r="L347" s="1524"/>
      <c r="M347" s="1524"/>
      <c r="N347" s="1524"/>
      <c r="O347" s="1524"/>
      <c r="P347" s="1524"/>
      <c r="Q347" s="1524"/>
      <c r="R347" s="1524"/>
      <c r="S347" s="1524"/>
      <c r="T347" s="1524"/>
      <c r="U347" s="1524"/>
      <c r="V347" s="1524"/>
      <c r="W347" s="1524"/>
      <c r="X347" s="1524"/>
      <c r="Y347" s="1524"/>
      <c r="Z347" s="1524"/>
      <c r="AA347" s="1524"/>
      <c r="AB347" s="1524"/>
      <c r="AC347" s="1524"/>
      <c r="AD347" s="1524"/>
      <c r="AE347" s="1524"/>
      <c r="AF347" s="1524"/>
      <c r="AG347" s="1524"/>
      <c r="AH347" s="1524"/>
      <c r="AI347" s="1524"/>
      <c r="AJ347" s="1524"/>
      <c r="AK347" s="1524"/>
    </row>
    <row r="348" spans="2:37">
      <c r="B348" s="2"/>
      <c r="E348" s="3"/>
      <c r="F348" s="1524"/>
      <c r="G348" s="1524"/>
      <c r="H348" s="1524"/>
      <c r="I348" s="1524"/>
      <c r="J348" s="1524"/>
      <c r="K348" s="1524"/>
      <c r="L348" s="1524"/>
      <c r="M348" s="1524"/>
      <c r="N348" s="1524"/>
      <c r="O348" s="1524"/>
      <c r="P348" s="1524"/>
      <c r="Q348" s="1524"/>
      <c r="R348" s="1524"/>
      <c r="S348" s="1524"/>
      <c r="T348" s="1524"/>
      <c r="U348" s="1524"/>
      <c r="V348" s="1524"/>
      <c r="W348" s="1524"/>
      <c r="X348" s="1524"/>
      <c r="Y348" s="1524"/>
      <c r="Z348" s="1524"/>
      <c r="AA348" s="1524"/>
      <c r="AB348" s="1524"/>
      <c r="AC348" s="1524"/>
      <c r="AD348" s="1524"/>
      <c r="AE348" s="1524"/>
      <c r="AF348" s="1524"/>
      <c r="AG348" s="1524"/>
      <c r="AH348" s="1524"/>
      <c r="AI348" s="1524"/>
      <c r="AJ348" s="1524"/>
      <c r="AK348" s="1524"/>
    </row>
    <row r="349" spans="2:37">
      <c r="B349" s="2"/>
      <c r="E349" s="3"/>
      <c r="F349" s="1524"/>
      <c r="G349" s="1524"/>
      <c r="H349" s="1524"/>
      <c r="I349" s="1524"/>
      <c r="J349" s="1524"/>
      <c r="K349" s="1524"/>
      <c r="L349" s="1524"/>
      <c r="M349" s="1524"/>
      <c r="N349" s="1524"/>
      <c r="O349" s="1524"/>
      <c r="P349" s="1524"/>
      <c r="Q349" s="1524"/>
      <c r="R349" s="1524"/>
      <c r="S349" s="1524"/>
      <c r="T349" s="1524"/>
      <c r="U349" s="1524"/>
      <c r="V349" s="1524"/>
      <c r="W349" s="1524"/>
      <c r="X349" s="1524"/>
      <c r="Y349" s="1524"/>
      <c r="Z349" s="1524"/>
      <c r="AA349" s="1524"/>
      <c r="AB349" s="1524"/>
      <c r="AC349" s="1524"/>
      <c r="AD349" s="1524"/>
      <c r="AE349" s="1524"/>
      <c r="AF349" s="1524"/>
      <c r="AG349" s="1524"/>
      <c r="AH349" s="1524"/>
      <c r="AI349" s="1524"/>
      <c r="AJ349" s="1524"/>
      <c r="AK349" s="1524"/>
    </row>
    <row r="350" spans="2:37">
      <c r="B350" s="2"/>
      <c r="E350" s="3" t="s">
        <v>113</v>
      </c>
      <c r="F350" s="1524" t="s">
        <v>1235</v>
      </c>
      <c r="G350" s="1524"/>
      <c r="H350" s="1524"/>
      <c r="I350" s="1524"/>
      <c r="J350" s="1524"/>
      <c r="K350" s="1524"/>
      <c r="L350" s="1524"/>
      <c r="M350" s="1524"/>
      <c r="N350" s="1524"/>
      <c r="O350" s="1524"/>
      <c r="P350" s="1524"/>
      <c r="Q350" s="1524"/>
      <c r="R350" s="1524"/>
      <c r="S350" s="1524"/>
      <c r="T350" s="1524"/>
      <c r="U350" s="1524"/>
      <c r="V350" s="1524"/>
      <c r="W350" s="1524"/>
      <c r="X350" s="1524"/>
      <c r="Y350" s="1524"/>
      <c r="Z350" s="1524"/>
      <c r="AA350" s="1524"/>
      <c r="AB350" s="1524"/>
      <c r="AC350" s="1524"/>
      <c r="AD350" s="1524"/>
      <c r="AE350" s="1524"/>
      <c r="AF350" s="1524"/>
      <c r="AG350" s="1524"/>
      <c r="AH350" s="1524"/>
      <c r="AI350" s="1524"/>
      <c r="AJ350" s="1524"/>
      <c r="AK350" s="1524"/>
    </row>
    <row r="351" spans="2:37">
      <c r="B351" s="2"/>
      <c r="F351" s="1524"/>
      <c r="G351" s="1524"/>
      <c r="H351" s="1524"/>
      <c r="I351" s="1524"/>
      <c r="J351" s="1524"/>
      <c r="K351" s="1524"/>
      <c r="L351" s="1524"/>
      <c r="M351" s="1524"/>
      <c r="N351" s="1524"/>
      <c r="O351" s="1524"/>
      <c r="P351" s="1524"/>
      <c r="Q351" s="1524"/>
      <c r="R351" s="1524"/>
      <c r="S351" s="1524"/>
      <c r="T351" s="1524"/>
      <c r="U351" s="1524"/>
      <c r="V351" s="1524"/>
      <c r="W351" s="1524"/>
      <c r="X351" s="1524"/>
      <c r="Y351" s="1524"/>
      <c r="Z351" s="1524"/>
      <c r="AA351" s="1524"/>
      <c r="AB351" s="1524"/>
      <c r="AC351" s="1524"/>
      <c r="AD351" s="1524"/>
      <c r="AE351" s="1524"/>
      <c r="AF351" s="1524"/>
      <c r="AG351" s="1524"/>
      <c r="AH351" s="1524"/>
      <c r="AI351" s="1524"/>
      <c r="AJ351" s="1524"/>
      <c r="AK351" s="1524"/>
    </row>
    <row r="352" spans="2:37">
      <c r="B352" s="2"/>
      <c r="F352" s="1524"/>
      <c r="G352" s="1524"/>
      <c r="H352" s="1524"/>
      <c r="I352" s="1524"/>
      <c r="J352" s="1524"/>
      <c r="K352" s="1524"/>
      <c r="L352" s="1524"/>
      <c r="M352" s="1524"/>
      <c r="N352" s="1524"/>
      <c r="O352" s="1524"/>
      <c r="P352" s="1524"/>
      <c r="Q352" s="1524"/>
      <c r="R352" s="1524"/>
      <c r="S352" s="1524"/>
      <c r="T352" s="1524"/>
      <c r="U352" s="1524"/>
      <c r="V352" s="1524"/>
      <c r="W352" s="1524"/>
      <c r="X352" s="1524"/>
      <c r="Y352" s="1524"/>
      <c r="Z352" s="1524"/>
      <c r="AA352" s="1524"/>
      <c r="AB352" s="1524"/>
      <c r="AC352" s="1524"/>
      <c r="AD352" s="1524"/>
      <c r="AE352" s="1524"/>
      <c r="AF352" s="1524"/>
      <c r="AG352" s="1524"/>
      <c r="AH352" s="1524"/>
      <c r="AI352" s="1524"/>
      <c r="AJ352" s="1524"/>
      <c r="AK352" s="1524"/>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528" t="s">
        <v>1225</v>
      </c>
      <c r="F365" s="1528"/>
      <c r="G365" s="1528"/>
      <c r="H365" s="1528"/>
      <c r="I365" s="1528"/>
      <c r="J365" s="1528"/>
      <c r="K365" s="1528"/>
      <c r="L365" s="1528"/>
      <c r="M365" s="1528"/>
      <c r="N365" s="1528"/>
      <c r="O365" s="1528"/>
      <c r="P365" s="1528"/>
      <c r="Q365" s="1528"/>
      <c r="R365" s="1528"/>
      <c r="S365" s="1528"/>
      <c r="T365" s="1528"/>
      <c r="U365" s="1528"/>
      <c r="V365" s="1528"/>
      <c r="W365" s="1528"/>
      <c r="X365" s="1528"/>
      <c r="Y365" s="1528"/>
      <c r="Z365" s="1528"/>
      <c r="AA365" s="1528"/>
      <c r="AB365" s="1528"/>
      <c r="AC365" s="1528"/>
      <c r="AD365" s="1528"/>
      <c r="AE365" s="1528"/>
      <c r="AF365" s="1528"/>
      <c r="AG365" s="1528"/>
      <c r="AH365" s="1528"/>
      <c r="AI365" s="1528"/>
      <c r="AJ365" s="1528"/>
      <c r="AK365" s="1528"/>
      <c r="AL365" s="1528"/>
    </row>
    <row r="366" spans="1:38">
      <c r="B366" s="2"/>
      <c r="E366" s="1528"/>
      <c r="F366" s="1528"/>
      <c r="G366" s="1528"/>
      <c r="H366" s="1528"/>
      <c r="I366" s="1528"/>
      <c r="J366" s="1528"/>
      <c r="K366" s="1528"/>
      <c r="L366" s="1528"/>
      <c r="M366" s="1528"/>
      <c r="N366" s="1528"/>
      <c r="O366" s="1528"/>
      <c r="P366" s="1528"/>
      <c r="Q366" s="1528"/>
      <c r="R366" s="1528"/>
      <c r="S366" s="1528"/>
      <c r="T366" s="1528"/>
      <c r="U366" s="1528"/>
      <c r="V366" s="1528"/>
      <c r="W366" s="1528"/>
      <c r="X366" s="1528"/>
      <c r="Y366" s="1528"/>
      <c r="Z366" s="1528"/>
      <c r="AA366" s="1528"/>
      <c r="AB366" s="1528"/>
      <c r="AC366" s="1528"/>
      <c r="AD366" s="1528"/>
      <c r="AE366" s="1528"/>
      <c r="AF366" s="1528"/>
      <c r="AG366" s="1528"/>
      <c r="AH366" s="1528"/>
      <c r="AI366" s="1528"/>
      <c r="AJ366" s="1528"/>
      <c r="AK366" s="1528"/>
      <c r="AL366" s="1528"/>
    </row>
    <row r="367" spans="1:38" s="1530" customFormat="1">
      <c r="A367"/>
      <c r="B367" s="2"/>
      <c r="C367"/>
      <c r="D367"/>
      <c r="E367" s="1529" t="s">
        <v>1257</v>
      </c>
    </row>
    <row r="368" spans="1:38" s="1530"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1258</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524" t="s">
        <v>1268</v>
      </c>
      <c r="G386" s="1524"/>
      <c r="H386" s="1524"/>
      <c r="I386" s="1524"/>
      <c r="J386" s="1524"/>
      <c r="K386" s="1524"/>
      <c r="L386" s="1524"/>
      <c r="M386" s="1524"/>
      <c r="N386" s="1524"/>
      <c r="O386" s="1524"/>
      <c r="P386" s="1524"/>
      <c r="Q386" s="1524"/>
      <c r="R386" s="1524"/>
      <c r="S386" s="1524"/>
      <c r="T386" s="1524"/>
      <c r="U386" s="1524"/>
      <c r="V386" s="1524"/>
      <c r="W386" s="1524"/>
      <c r="X386" s="1524"/>
      <c r="Y386" s="1524"/>
      <c r="Z386" s="1524"/>
      <c r="AA386" s="1524"/>
      <c r="AB386" s="1524"/>
      <c r="AC386" s="1524"/>
      <c r="AD386" s="1524"/>
      <c r="AE386" s="1524"/>
      <c r="AF386" s="1524"/>
      <c r="AG386" s="1524"/>
      <c r="AH386" s="1524"/>
      <c r="AI386" s="1524"/>
      <c r="AJ386" s="1524"/>
      <c r="AK386" s="1524"/>
    </row>
    <row r="387" spans="1:38">
      <c r="B387" s="2"/>
      <c r="E387" s="3"/>
      <c r="F387" s="1524"/>
      <c r="G387" s="1524"/>
      <c r="H387" s="1524"/>
      <c r="I387" s="1524"/>
      <c r="J387" s="1524"/>
      <c r="K387" s="1524"/>
      <c r="L387" s="1524"/>
      <c r="M387" s="1524"/>
      <c r="N387" s="1524"/>
      <c r="O387" s="1524"/>
      <c r="P387" s="1524"/>
      <c r="Q387" s="1524"/>
      <c r="R387" s="1524"/>
      <c r="S387" s="1524"/>
      <c r="T387" s="1524"/>
      <c r="U387" s="1524"/>
      <c r="V387" s="1524"/>
      <c r="W387" s="1524"/>
      <c r="X387" s="1524"/>
      <c r="Y387" s="1524"/>
      <c r="Z387" s="1524"/>
      <c r="AA387" s="1524"/>
      <c r="AB387" s="1524"/>
      <c r="AC387" s="1524"/>
      <c r="AD387" s="1524"/>
      <c r="AE387" s="1524"/>
      <c r="AF387" s="1524"/>
      <c r="AG387" s="1524"/>
      <c r="AH387" s="1524"/>
      <c r="AI387" s="1524"/>
      <c r="AJ387" s="1524"/>
      <c r="AK387" s="1524"/>
    </row>
    <row r="388" spans="1:38">
      <c r="B388" s="2"/>
      <c r="E388" s="3"/>
      <c r="F388" s="1524"/>
      <c r="G388" s="1524"/>
      <c r="H388" s="1524"/>
      <c r="I388" s="1524"/>
      <c r="J388" s="1524"/>
      <c r="K388" s="1524"/>
      <c r="L388" s="1524"/>
      <c r="M388" s="1524"/>
      <c r="N388" s="1524"/>
      <c r="O388" s="1524"/>
      <c r="P388" s="1524"/>
      <c r="Q388" s="1524"/>
      <c r="R388" s="1524"/>
      <c r="S388" s="1524"/>
      <c r="T388" s="1524"/>
      <c r="U388" s="1524"/>
      <c r="V388" s="1524"/>
      <c r="W388" s="1524"/>
      <c r="X388" s="1524"/>
      <c r="Y388" s="1524"/>
      <c r="Z388" s="1524"/>
      <c r="AA388" s="1524"/>
      <c r="AB388" s="1524"/>
      <c r="AC388" s="1524"/>
      <c r="AD388" s="1524"/>
      <c r="AE388" s="1524"/>
      <c r="AF388" s="1524"/>
      <c r="AG388" s="1524"/>
      <c r="AH388" s="1524"/>
      <c r="AI388" s="1524"/>
      <c r="AJ388" s="1524"/>
      <c r="AK388" s="1524"/>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1274</v>
      </c>
      <c r="F390" s="3"/>
      <c r="G390" s="2"/>
      <c r="I390" s="120"/>
      <c r="J390" s="3"/>
      <c r="K390" s="3"/>
      <c r="L390" s="3"/>
      <c r="M390" s="3"/>
      <c r="N390" s="3"/>
      <c r="O390" s="3"/>
      <c r="P390" s="3"/>
      <c r="Q390" s="3"/>
      <c r="R390" s="3"/>
      <c r="S390" s="3"/>
    </row>
    <row r="391" spans="1:38" ht="13.2"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29" workbookViewId="0">
      <selection activeCell="I10" sqref="I10"/>
    </sheetView>
  </sheetViews>
  <sheetFormatPr defaultColWidth="9.109375" defaultRowHeight="13.8"/>
  <cols>
    <col min="1" max="1" width="2.44140625" style="1039" customWidth="1"/>
    <col min="2" max="9" width="14.6640625" style="1039" customWidth="1"/>
    <col min="10" max="10" width="2.33203125" style="1039" customWidth="1"/>
    <col min="11" max="11" width="11.77734375" style="1040" customWidth="1"/>
    <col min="12" max="12" width="10.6640625" style="1039" customWidth="1"/>
    <col min="13" max="13" width="10.44140625" style="1039" customWidth="1"/>
    <col min="14" max="14" width="10.77734375" style="1039" customWidth="1"/>
    <col min="15" max="18" width="9.109375" style="1039"/>
    <col min="19" max="19" width="9.44140625" style="1039" bestFit="1" customWidth="1"/>
    <col min="20" max="16384" width="9.109375" style="1039"/>
  </cols>
  <sheetData>
    <row r="1" spans="1:13" ht="30" customHeight="1">
      <c r="A1" s="2661" t="s">
        <v>1573</v>
      </c>
      <c r="B1" s="2661"/>
      <c r="C1" s="2661"/>
      <c r="D1" s="2661"/>
      <c r="E1" s="2661"/>
      <c r="F1" s="2661"/>
      <c r="G1" s="2661"/>
      <c r="H1" s="2661"/>
      <c r="I1" s="2661"/>
      <c r="J1" s="2661"/>
    </row>
    <row r="2" spans="1:13" ht="15" customHeight="1" thickBot="1">
      <c r="A2" s="1041"/>
      <c r="B2" s="1041"/>
      <c r="I2" s="1042"/>
      <c r="K2" s="1043"/>
    </row>
    <row r="3" spans="1:13" s="1046" customFormat="1" ht="20.25" customHeight="1">
      <c r="A3" s="1094"/>
      <c r="B3" s="1095"/>
      <c r="C3" s="1096"/>
      <c r="D3" s="1101"/>
      <c r="E3" s="1096"/>
      <c r="F3" s="1097" t="s">
        <v>1961</v>
      </c>
      <c r="G3" s="1096"/>
      <c r="H3" s="1098">
        <f>E18</f>
        <v>55832958</v>
      </c>
      <c r="I3" s="1099"/>
    </row>
    <row r="4" spans="1:13" s="1046" customFormat="1" ht="20.25" customHeight="1">
      <c r="B4" s="1088"/>
      <c r="D4" s="1102"/>
      <c r="F4" s="1087" t="s">
        <v>1963</v>
      </c>
      <c r="G4" s="1086" t="s">
        <v>1962</v>
      </c>
      <c r="H4" s="1201">
        <f>I18</f>
        <v>24050000</v>
      </c>
      <c r="I4" s="1089"/>
      <c r="K4" s="1050"/>
    </row>
    <row r="5" spans="1:13" s="1046" customFormat="1" ht="20.25" customHeight="1" thickBot="1">
      <c r="B5" s="1090"/>
      <c r="C5" s="1091"/>
      <c r="D5" s="1103"/>
      <c r="E5" s="1092"/>
      <c r="F5" s="1103" t="s">
        <v>1913</v>
      </c>
      <c r="G5" s="1104"/>
      <c r="H5" s="1100">
        <f>IFERROR(H3/H4,0)</f>
        <v>2.3215367151767152</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4" t="s">
        <v>1911</v>
      </c>
      <c r="C8" s="2665"/>
      <c r="D8" s="2665"/>
      <c r="E8" s="2666"/>
      <c r="G8" s="2667" t="s">
        <v>1912</v>
      </c>
      <c r="H8" s="2668"/>
      <c r="I8" s="2669"/>
      <c r="K8" s="1052"/>
    </row>
    <row r="9" spans="1:13" ht="15" customHeight="1">
      <c r="A9" s="1041"/>
      <c r="B9" s="2662" t="s">
        <v>1945</v>
      </c>
      <c r="C9" s="2662"/>
      <c r="D9" s="2662"/>
      <c r="E9" s="1054">
        <f>G33</f>
        <v>6687500</v>
      </c>
      <c r="G9" s="2658" t="s">
        <v>1943</v>
      </c>
      <c r="H9" s="2658"/>
      <c r="I9" s="1055">
        <f>MAX(SUMIF(Application!M562:M573,"Loan, Tax-Exempt",Application!AM562:AM573),27.5%*SUM('Sources and Uses Budget'!C8,'Sources and Uses Budget'!S105,'Sources and Uses Budget'!T105))</f>
        <v>21000000</v>
      </c>
      <c r="K9" s="1056"/>
      <c r="M9" s="1057"/>
    </row>
    <row r="10" spans="1:13" ht="15" customHeight="1" thickBot="1">
      <c r="A10" s="1041"/>
      <c r="B10" s="2662" t="s">
        <v>1946</v>
      </c>
      <c r="C10" s="2662"/>
      <c r="D10" s="2662"/>
      <c r="E10" s="1055">
        <f>G47</f>
        <v>35684208</v>
      </c>
      <c r="G10" s="2660" t="s">
        <v>1914</v>
      </c>
      <c r="H10" s="2660"/>
      <c r="I10" s="1134">
        <f>IF(OR(Application!Z205="State Farmworker Credit",Application!Z205="$500M (Farmworker Housing)"),0,'Basis &amp; Credits'!AB78)</f>
        <v>5000000</v>
      </c>
      <c r="M10" s="1057"/>
    </row>
    <row r="11" spans="1:13" ht="15" customHeight="1">
      <c r="A11" s="1041"/>
      <c r="B11" s="2671" t="s">
        <v>2208</v>
      </c>
      <c r="C11" s="2672"/>
      <c r="D11" s="2673"/>
      <c r="E11" s="1055">
        <f>SUM(E13,E12)</f>
        <v>220000</v>
      </c>
      <c r="G11" s="2670" t="s">
        <v>1954</v>
      </c>
      <c r="H11" s="2670"/>
      <c r="I11" s="1133">
        <f>I9+I10</f>
        <v>26000000</v>
      </c>
      <c r="M11" s="1057"/>
    </row>
    <row r="12" spans="1:13" ht="15" customHeight="1">
      <c r="A12" s="1058"/>
      <c r="B12" s="2663" t="s">
        <v>2559</v>
      </c>
      <c r="C12" s="2663"/>
      <c r="D12" s="2663"/>
      <c r="E12" s="1158">
        <f>G56</f>
        <v>220000</v>
      </c>
      <c r="M12" s="1057"/>
    </row>
    <row r="13" spans="1:13" ht="15" customHeight="1">
      <c r="A13" s="1044"/>
      <c r="B13" s="2663" t="s">
        <v>2560</v>
      </c>
      <c r="C13" s="2663"/>
      <c r="D13" s="2663"/>
      <c r="E13" s="1158">
        <f>IF(G67,MAX(G65,G79),G65)</f>
        <v>0</v>
      </c>
      <c r="G13" s="2667" t="s">
        <v>1977</v>
      </c>
      <c r="H13" s="2668"/>
      <c r="I13" s="2669"/>
    </row>
    <row r="14" spans="1:13" ht="15" customHeight="1">
      <c r="A14" s="1044"/>
      <c r="B14" s="2671" t="s">
        <v>2209</v>
      </c>
      <c r="C14" s="2672"/>
      <c r="D14" s="2673"/>
      <c r="E14" s="1160">
        <f>MAX(E15,E16)+E17</f>
        <v>13241250</v>
      </c>
      <c r="G14" s="2658" t="s">
        <v>2576</v>
      </c>
      <c r="H14" s="2658"/>
      <c r="I14" s="1059">
        <f>IF(AND(G134="Yes",G136&lt;&gt;""),IF(OR(G141="Yes",G145="Yes"),18%,15%),0)</f>
        <v>0</v>
      </c>
      <c r="M14" s="1057"/>
    </row>
    <row r="15" spans="1:13" ht="15" customHeight="1">
      <c r="A15" s="1044"/>
      <c r="B15" s="2674" t="s">
        <v>2573</v>
      </c>
      <c r="C15" s="2675"/>
      <c r="D15" s="2676"/>
      <c r="E15" s="1158">
        <f>G94</f>
        <v>4012500</v>
      </c>
      <c r="G15" s="1131" t="s">
        <v>1955</v>
      </c>
      <c r="H15" s="1131"/>
      <c r="I15" s="1059">
        <f>IF(Application!AJ1041&gt;0,10%,IF(Application!AJ1045&gt;0,5%,0))</f>
        <v>0.05</v>
      </c>
      <c r="M15" s="1057"/>
    </row>
    <row r="16" spans="1:13" ht="15" customHeight="1">
      <c r="A16" s="1044"/>
      <c r="B16" s="2674" t="s">
        <v>2574</v>
      </c>
      <c r="C16" s="2675"/>
      <c r="D16" s="2676"/>
      <c r="E16" s="1158">
        <f>G104</f>
        <v>0</v>
      </c>
      <c r="G16" s="2658" t="s">
        <v>1956</v>
      </c>
      <c r="H16" s="2658"/>
      <c r="I16" s="1059">
        <f>G155</f>
        <v>2.5000000000000001E-2</v>
      </c>
    </row>
    <row r="17" spans="1:21" ht="15" customHeight="1" thickBot="1">
      <c r="A17" s="1044"/>
      <c r="B17" s="2674" t="s">
        <v>2575</v>
      </c>
      <c r="C17" s="2675"/>
      <c r="D17" s="2676"/>
      <c r="E17" s="1158">
        <f>G129</f>
        <v>9228750</v>
      </c>
      <c r="G17" s="2658" t="s">
        <v>2217</v>
      </c>
      <c r="H17" s="2658"/>
      <c r="I17" s="1059">
        <f>IF(AND(G161="Yes",G159),IF(G165&gt;15%,15%,G165),0)</f>
        <v>0</v>
      </c>
    </row>
    <row r="18" spans="1:21" ht="15" customHeight="1">
      <c r="A18" s="1041"/>
      <c r="B18" s="2659" t="s">
        <v>1910</v>
      </c>
      <c r="C18" s="2659"/>
      <c r="D18" s="2659"/>
      <c r="E18" s="1105">
        <f>SUM(E9:E11,E14)</f>
        <v>55832958</v>
      </c>
      <c r="G18" s="1132" t="s">
        <v>1944</v>
      </c>
      <c r="H18" s="1132"/>
      <c r="I18" s="1106">
        <f>I11-((I11*I14)+(I11*I15)+(I11*I16)+(I11*I17))</f>
        <v>24050000</v>
      </c>
      <c r="M18" s="1060">
        <f>SUM(Cdlac[Quantity])</f>
        <v>101</v>
      </c>
      <c r="O18" s="1079" t="s">
        <v>582</v>
      </c>
      <c r="P18" s="1039">
        <f>MATCH(Application!T189,Application!CB160:CB217,0)</f>
        <v>44</v>
      </c>
      <c r="T18" s="1060">
        <f>SUM(Cdlac[Population])</f>
        <v>0</v>
      </c>
    </row>
    <row r="19" spans="1:21" ht="15" customHeight="1">
      <c r="A19" s="1041"/>
      <c r="B19" s="1041"/>
      <c r="C19" s="1041"/>
      <c r="D19" s="1041"/>
      <c r="E19" s="1041"/>
      <c r="L19" s="1039" t="s">
        <v>1906</v>
      </c>
      <c r="M19" s="1039" t="s">
        <v>1905</v>
      </c>
      <c r="N19" s="1039" t="s">
        <v>1917</v>
      </c>
      <c r="O19" s="1039" t="s">
        <v>1918</v>
      </c>
      <c r="P19" s="1039" t="s">
        <v>1907</v>
      </c>
      <c r="Q19" s="1039" t="s">
        <v>2206</v>
      </c>
      <c r="R19" s="1039" t="s">
        <v>1908</v>
      </c>
      <c r="S19" s="1039" t="s">
        <v>1919</v>
      </c>
      <c r="T19" s="1039" t="s">
        <v>1925</v>
      </c>
      <c r="U19" s="1039" t="s">
        <v>385</v>
      </c>
    </row>
    <row r="20" spans="1:21" ht="15" customHeight="1">
      <c r="B20" s="1061" t="str">
        <f>B9</f>
        <v>A. Unit Production Benefit</v>
      </c>
      <c r="C20" s="1062"/>
      <c r="D20" s="1062"/>
      <c r="E20" s="1062"/>
      <c r="F20" s="1062"/>
      <c r="G20" s="1062"/>
      <c r="H20" s="1062"/>
      <c r="I20" s="1063"/>
      <c r="L20" s="1039">
        <f>IFERROR(MIN(4,MATCH(Application!B726,UnitSizes,0)-1),"")</f>
        <v>2</v>
      </c>
      <c r="M20" s="1060">
        <f>Application!G726</f>
        <v>20</v>
      </c>
      <c r="N20" s="1066">
        <f>Application!AC726</f>
        <v>0.7</v>
      </c>
      <c r="O20" s="1066">
        <f>IF(Cdlac[[#This Row],[Quantity]]&gt;0,IF(Cdlac[[#This Row],[Federal]],30%,IF(AND(OR(NOT($G$38),$G$38=""),$G$43),40%,Cdlac[[#This Row],[iAMI]])),"")</f>
        <v>0.7</v>
      </c>
      <c r="P20" s="1060" cm="1">
        <f t="array" ref="P20">IF(Cdlac[[#This Row],[Quantity]]&gt;0,INDEX(TcacRents,$P$18,Cdlac[[#This Row],[Bedrooms]]+1)*Cdlac[[#This Row],[AMI]],"")</f>
        <v>3115</v>
      </c>
      <c r="Q20" s="1157"/>
      <c r="R20" s="1060" cm="1">
        <f t="array" ref="R20">IF(Cdlac[[#This Row],[Quantity]]&gt;0,INDEX(HudFmrs,$P$18,Cdlac[[#This Row],[Bedrooms]]+1),"")</f>
        <v>4223</v>
      </c>
      <c r="S20" s="1060">
        <f>IF(Cdlac[[#This Row],[Quantity]]&gt;0,MAX(0,Cdlac[[#This Row],[Fair Market Rent]]-IF(AND($G$37,$G$38,$G$38&lt;&gt;"",NOT(Cdlac[[#This Row],[Federal]]),Cdlac[[#This Row],[Preservation Rent]]&lt;&gt;""),Cdlac[[#This Row],[Preservation Rent]],Cdlac[[#This Row],[Restricted Rent]])),"")</f>
        <v>1108</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2</v>
      </c>
      <c r="M21" s="1060">
        <f>Application!G727</f>
        <v>2</v>
      </c>
      <c r="N21" s="1066">
        <f>Application!AC727</f>
        <v>0.6</v>
      </c>
      <c r="O21" s="1066">
        <f>IF(Cdlac[[#This Row],[Quantity]]&gt;0,IF(Cdlac[[#This Row],[Federal]],30%,IF(AND(OR(NOT($G$38),$G$38=""),$G$43),40%,Cdlac[[#This Row],[iAMI]])),"")</f>
        <v>0.6</v>
      </c>
      <c r="P21" s="1060" cm="1">
        <f t="array" ref="P21">IF(Cdlac[[#This Row],[Quantity]]&gt;0,INDEX(TcacRents,$P$18,Cdlac[[#This Row],[Bedrooms]]+1)*Cdlac[[#This Row],[AMI]],"")</f>
        <v>2670</v>
      </c>
      <c r="Q21" s="1157"/>
      <c r="R21" s="1060" cm="1">
        <f t="array" ref="R21">IF(Cdlac[[#This Row],[Quantity]]&gt;0,INDEX(HudFmrs,$P$18,Cdlac[[#This Row],[Bedrooms]]+1),"")</f>
        <v>4223</v>
      </c>
      <c r="S21" s="1060">
        <f>IF(Cdlac[[#This Row],[Quantity]]&gt;0,MAX(0,Cdlac[[#This Row],[Fair Market Rent]]-IF(AND($G$37,$G$38,$G$38&lt;&gt;"",NOT(Cdlac[[#This Row],[Federal]]),Cdlac[[#This Row],[Preservation Rent]]&lt;&gt;""),Cdlac[[#This Row],[Preservation Rent]],Cdlac[[#This Row],[Restricted Rent]])),"")</f>
        <v>1553</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8" t="s">
        <v>1958</v>
      </c>
      <c r="D22" s="2648" t="s">
        <v>1959</v>
      </c>
      <c r="E22" s="2648" t="s">
        <v>1960</v>
      </c>
      <c r="F22" s="2648" t="s">
        <v>2524</v>
      </c>
      <c r="G22" s="2648" t="s">
        <v>1957</v>
      </c>
      <c r="H22" s="1065"/>
      <c r="I22" s="1064"/>
      <c r="L22" s="1039">
        <f>IFERROR(MIN(4,MATCH(Application!B728,UnitSizes,0)-1),"")</f>
        <v>2</v>
      </c>
      <c r="M22" s="1060">
        <f>Application!G728</f>
        <v>8</v>
      </c>
      <c r="N22" s="1066">
        <f>Application!AC728</f>
        <v>0.5</v>
      </c>
      <c r="O22" s="1066">
        <f>IF(Cdlac[[#This Row],[Quantity]]&gt;0,IF(Cdlac[[#This Row],[Federal]],30%,IF(AND(OR(NOT($G$38),$G$38=""),$G$43),40%,Cdlac[[#This Row],[iAMI]])),"")</f>
        <v>0.5</v>
      </c>
      <c r="P22" s="1060" cm="1">
        <f t="array" ref="P22">IF(Cdlac[[#This Row],[Quantity]]&gt;0,INDEX(TcacRents,$P$18,Cdlac[[#This Row],[Bedrooms]]+1)*Cdlac[[#This Row],[AMI]],"")</f>
        <v>2225</v>
      </c>
      <c r="Q22" s="1157"/>
      <c r="R22" s="1060" cm="1">
        <f t="array" ref="R22">IF(Cdlac[[#This Row],[Quantity]]&gt;0,INDEX(HudFmrs,$P$18,Cdlac[[#This Row],[Bedrooms]]+1),"")</f>
        <v>4223</v>
      </c>
      <c r="S22" s="1060">
        <f>IF(Cdlac[[#This Row],[Quantity]]&gt;0,MAX(0,Cdlac[[#This Row],[Fair Market Rent]]-IF(AND($G$37,$G$38,$G$38&lt;&gt;"",NOT(Cdlac[[#This Row],[Federal]]),Cdlac[[#This Row],[Preservation Rent]]&lt;&gt;""),Cdlac[[#This Row],[Preservation Rent]],Cdlac[[#This Row],[Restricted Rent]])),"")</f>
        <v>1998</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9"/>
      <c r="D23" s="2649"/>
      <c r="E23" s="2649"/>
      <c r="F23" s="2649"/>
      <c r="G23" s="2649"/>
      <c r="H23" s="1065"/>
      <c r="I23" s="1064"/>
      <c r="L23" s="1039">
        <f>IFERROR(MIN(4,MATCH(Application!B729,UnitSizes,0)-1),"")</f>
        <v>2</v>
      </c>
      <c r="M23" s="1060">
        <f>Application!G729</f>
        <v>4</v>
      </c>
      <c r="N23" s="1066">
        <f>Application!AC729</f>
        <v>0.3</v>
      </c>
      <c r="O23" s="1066">
        <f>IF(Cdlac[[#This Row],[Quantity]]&gt;0,IF(Cdlac[[#This Row],[Federal]],30%,IF(AND(OR(NOT($G$38),$G$38=""),$G$43),40%,Cdlac[[#This Row],[iAMI]])),"")</f>
        <v>0.3</v>
      </c>
      <c r="P23" s="1060" cm="1">
        <f t="array" ref="P23">IF(Cdlac[[#This Row],[Quantity]]&gt;0,INDEX(TcacRents,$P$18,Cdlac[[#This Row],[Bedrooms]]+1)*Cdlac[[#This Row],[AMI]],"")</f>
        <v>1335</v>
      </c>
      <c r="Q23" s="1157"/>
      <c r="R23" s="1060" cm="1">
        <f t="array" ref="R23">IF(Cdlac[[#This Row],[Quantity]]&gt;0,INDEX(HudFmrs,$P$18,Cdlac[[#This Row],[Bedrooms]]+1),"")</f>
        <v>4223</v>
      </c>
      <c r="S23" s="1060">
        <f>IF(Cdlac[[#This Row],[Quantity]]&gt;0,MAX(0,Cdlac[[#This Row],[Fair Market Rent]]-IF(AND($G$37,$G$38,$G$38&lt;&gt;"",NOT(Cdlac[[#This Row],[Federal]]),Cdlac[[#This Row],[Preservation Rent]]&lt;&gt;""),Cdlac[[#This Row],[Preservation Rent]],Cdlac[[#This Row],[Restricted Rent]])),"")</f>
        <v>2888</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3</v>
      </c>
      <c r="M24" s="1060">
        <f>Application!G730</f>
        <v>35</v>
      </c>
      <c r="N24" s="1066">
        <f>Application!AC730</f>
        <v>0.7</v>
      </c>
      <c r="O24" s="1066">
        <f>IF(Cdlac[[#This Row],[Quantity]]&gt;0,IF(Cdlac[[#This Row],[Federal]],30%,IF(AND(OR(NOT($G$38),$G$38=""),$G$43),40%,Cdlac[[#This Row],[iAMI]])),"")</f>
        <v>0.7</v>
      </c>
      <c r="P24" s="1060" cm="1">
        <f t="array" ref="P24">IF(Cdlac[[#This Row],[Quantity]]&gt;0,INDEX(TcacRents,$P$18,Cdlac[[#This Row],[Bedrooms]]+1)*Cdlac[[#This Row],[AMI]],"")</f>
        <v>3599.3999999999996</v>
      </c>
      <c r="Q24" s="1157"/>
      <c r="R24" s="1060" cm="1">
        <f t="array" ref="R24">IF(Cdlac[[#This Row],[Quantity]]&gt;0,INDEX(HudFmrs,$P$18,Cdlac[[#This Row],[Bedrooms]]+1),"")</f>
        <v>5256</v>
      </c>
      <c r="S24" s="1060">
        <f>IF(Cdlac[[#This Row],[Quantity]]&gt;0,MAX(0,Cdlac[[#This Row],[Fair Market Rent]]-IF(AND($G$37,$G$38,$G$38&lt;&gt;"",NOT(Cdlac[[#This Row],[Federal]]),Cdlac[[#This Row],[Preservation Rent]]&lt;&gt;""),Cdlac[[#This Row],[Preservation Rent]],Cdlac[[#This Row],[Restricted Rent]])),"")</f>
        <v>1656.6000000000004</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0</v>
      </c>
      <c r="F25" s="1067">
        <f>E25</f>
        <v>0</v>
      </c>
      <c r="G25" s="1067">
        <f>D25*F25</f>
        <v>0</v>
      </c>
      <c r="L25" s="1039">
        <f>IFERROR(MIN(4,MATCH(Application!B731,UnitSizes,0)-1),"")</f>
        <v>3</v>
      </c>
      <c r="M25" s="1060">
        <f>Application!G731</f>
        <v>11</v>
      </c>
      <c r="N25" s="1066">
        <f>Application!AC731</f>
        <v>0.6</v>
      </c>
      <c r="O25" s="1066">
        <f>IF(Cdlac[[#This Row],[Quantity]]&gt;0,IF(Cdlac[[#This Row],[Federal]],30%,IF(AND(OR(NOT($G$38),$G$38=""),$G$43),40%,Cdlac[[#This Row],[iAMI]])),"")</f>
        <v>0.6</v>
      </c>
      <c r="P25" s="1060" cm="1">
        <f t="array" ref="P25">IF(Cdlac[[#This Row],[Quantity]]&gt;0,INDEX(TcacRents,$P$18,Cdlac[[#This Row],[Bedrooms]]+1)*Cdlac[[#This Row],[AMI]],"")</f>
        <v>3085.2</v>
      </c>
      <c r="Q25" s="1157"/>
      <c r="R25" s="1060" cm="1">
        <f t="array" ref="R25">IF(Cdlac[[#This Row],[Quantity]]&gt;0,INDEX(HudFmrs,$P$18,Cdlac[[#This Row],[Bedrooms]]+1),"")</f>
        <v>5256</v>
      </c>
      <c r="S25" s="1060">
        <f>IF(Cdlac[[#This Row],[Quantity]]&gt;0,MAX(0,Cdlac[[#This Row],[Fair Market Rent]]-IF(AND($G$37,$G$38,$G$38&lt;&gt;"",NOT(Cdlac[[#This Row],[Federal]]),Cdlac[[#This Row],[Preservation Rent]]&lt;&gt;""),Cdlac[[#This Row],[Preservation Rent]],Cdlac[[#This Row],[Restricted Rent]])),"")</f>
        <v>2170.8000000000002</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34</v>
      </c>
      <c r="F26" s="1070">
        <f>SUM(E26:E28)-SUM(F27:F28)</f>
        <v>71</v>
      </c>
      <c r="G26" s="1067">
        <f>D26*F26</f>
        <v>88.75</v>
      </c>
      <c r="H26" s="1069"/>
      <c r="I26" s="1069"/>
      <c r="L26" s="1039">
        <f>IFERROR(MIN(4,MATCH(Application!B732,UnitSizes,0)-1),"")</f>
        <v>3</v>
      </c>
      <c r="M26" s="1060">
        <f>Application!G732</f>
        <v>14</v>
      </c>
      <c r="N26" s="1066">
        <f>Application!AC732</f>
        <v>0.5</v>
      </c>
      <c r="O26" s="1066">
        <f>IF(Cdlac[[#This Row],[Quantity]]&gt;0,IF(Cdlac[[#This Row],[Federal]],30%,IF(AND(OR(NOT($G$38),$G$38=""),$G$43),40%,Cdlac[[#This Row],[iAMI]])),"")</f>
        <v>0.5</v>
      </c>
      <c r="P26" s="1060" cm="1">
        <f t="array" ref="P26">IF(Cdlac[[#This Row],[Quantity]]&gt;0,INDEX(TcacRents,$P$18,Cdlac[[#This Row],[Bedrooms]]+1)*Cdlac[[#This Row],[AMI]],"")</f>
        <v>2571</v>
      </c>
      <c r="Q26" s="1157"/>
      <c r="R26" s="1060" cm="1">
        <f t="array" ref="R26">IF(Cdlac[[#This Row],[Quantity]]&gt;0,INDEX(HudFmrs,$P$18,Cdlac[[#This Row],[Bedrooms]]+1),"")</f>
        <v>5256</v>
      </c>
      <c r="S26" s="1060">
        <f>IF(Cdlac[[#This Row],[Quantity]]&gt;0,MAX(0,Cdlac[[#This Row],[Fair Market Rent]]-IF(AND($G$37,$G$38,$G$38&lt;&gt;"",NOT(Cdlac[[#This Row],[Federal]]),Cdlac[[#This Row],[Preservation Rent]]&lt;&gt;""),Cdlac[[#This Row],[Preservation Rent]],Cdlac[[#This Row],[Restricted Rent]])),"")</f>
        <v>2685</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67</v>
      </c>
      <c r="F27" s="1070">
        <f>MIN(E27,ROUNDDOWN(E29*30%,0))</f>
        <v>30</v>
      </c>
      <c r="G27" s="1067">
        <f>D27*F27</f>
        <v>45</v>
      </c>
      <c r="H27" s="1069"/>
      <c r="I27" s="1069"/>
      <c r="L27" s="1039">
        <f>IFERROR(MIN(4,MATCH(Application!B733,UnitSizes,0)-1),"")</f>
        <v>3</v>
      </c>
      <c r="M27" s="1060">
        <f>Application!G733</f>
        <v>7</v>
      </c>
      <c r="N27" s="1066">
        <f>Application!AC733</f>
        <v>0.3</v>
      </c>
      <c r="O27" s="1066">
        <f>IF(Cdlac[[#This Row],[Quantity]]&gt;0,IF(Cdlac[[#This Row],[Federal]],30%,IF(AND(OR(NOT($G$38),$G$38=""),$G$43),40%,Cdlac[[#This Row],[iAMI]])),"")</f>
        <v>0.3</v>
      </c>
      <c r="P27" s="1060" cm="1">
        <f t="array" ref="P27">IF(Cdlac[[#This Row],[Quantity]]&gt;0,INDEX(TcacRents,$P$18,Cdlac[[#This Row],[Bedrooms]]+1)*Cdlac[[#This Row],[AMI]],"")</f>
        <v>1542.6</v>
      </c>
      <c r="Q27" s="1157"/>
      <c r="R27" s="1060" cm="1">
        <f t="array" ref="R27">IF(Cdlac[[#This Row],[Quantity]]&gt;0,INDEX(HudFmrs,$P$18,Cdlac[[#This Row],[Bedrooms]]+1),"")</f>
        <v>5256</v>
      </c>
      <c r="S27" s="1060">
        <f>IF(Cdlac[[#This Row],[Quantity]]&gt;0,MAX(0,Cdlac[[#This Row],[Fair Market Rent]]-IF(AND($G$37,$G$38,$G$38&lt;&gt;"",NOT(Cdlac[[#This Row],[Federal]]),Cdlac[[#This Row],[Preservation Rent]]&lt;&gt;""),Cdlac[[#This Row],[Preservation Rent]],Cdlac[[#This Row],[Restricted Rent]])),"")</f>
        <v>3713.4</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78" t="s">
        <v>1574</v>
      </c>
      <c r="D29" s="2679"/>
      <c r="E29" s="1084">
        <f>SUM(E24:E28)</f>
        <v>101</v>
      </c>
      <c r="F29" s="1084">
        <f>SUM(F24:F28)</f>
        <v>101</v>
      </c>
      <c r="G29" s="1085">
        <f>SUMPRODUCT(D24:D28,F24:F28)</f>
        <v>133.75</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1957</v>
      </c>
      <c r="G31" s="1108">
        <f>G29</f>
        <v>133.75</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1916</v>
      </c>
      <c r="F32" s="1107" t="s">
        <v>1964</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1950</v>
      </c>
      <c r="F33" s="1041"/>
      <c r="G33" s="1113">
        <f>G32*G31</f>
        <v>6687500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2558</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2205</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81" t="str">
        <f>IF(AND(G37,G38,G38&lt;&gt;""),"Enter the average rent charged for each unit type over the last three years, as documented with rent rolls or property audits, in cells Q20:Q44","")</f>
        <v/>
      </c>
      <c r="D39" s="2681"/>
      <c r="E39" s="2681"/>
      <c r="F39" s="2681"/>
      <c r="G39" s="2681"/>
      <c r="H39" s="2681"/>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81"/>
      <c r="D40" s="2681"/>
      <c r="E40" s="2681"/>
      <c r="F40" s="2681"/>
      <c r="G40" s="2681"/>
      <c r="H40" s="2681"/>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81"/>
      <c r="D41" s="2681"/>
      <c r="E41" s="2681"/>
      <c r="F41" s="2681"/>
      <c r="G41" s="2681"/>
      <c r="H41" s="2681"/>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1975</v>
      </c>
      <c r="G42" s="1114" cm="1">
        <f t="array" ref="G42">SUMPRODUCT(Cdlac[Quantity],Cdlac[iAMI],IF(Cdlac[Federal],0,1))/SUMIFS(Cdlac[Quantity],Cdlac[Federal],FALSE)</f>
        <v>0.6</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1970</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1920</v>
      </c>
      <c r="G45" s="1073">
        <f>IFERROR(SUMPRODUCT(Cdlac[Quantity],Cdlac[Delta]),0)</f>
        <v>198245.6</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1976</v>
      </c>
      <c r="F46" s="1107" t="s">
        <v>1964</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1915</v>
      </c>
      <c r="F47" s="1041"/>
      <c r="G47" s="1117">
        <f>G45*G46</f>
        <v>35684208</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1967</v>
      </c>
      <c r="G51" s="1074">
        <f>SUMIFS(Cdlac[Quantity],Cdlac[iAMI],"&lt;=30%")</f>
        <v>11</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1966</v>
      </c>
      <c r="G52" s="1074">
        <f>ROUNDDOWN(E29*50%,0)</f>
        <v>50</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1926</v>
      </c>
      <c r="G54" s="1108">
        <f>MIN(G51:G52)</f>
        <v>11</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1916</v>
      </c>
      <c r="F55" s="1107" t="s">
        <v>1964</v>
      </c>
      <c r="G55" s="1118">
        <v>20000</v>
      </c>
      <c r="M55" s="1060"/>
      <c r="N55" s="1066"/>
      <c r="O55" s="1066"/>
      <c r="P55" s="1060"/>
      <c r="Q55" s="1157"/>
      <c r="R55" s="1060"/>
      <c r="S55" s="1060"/>
    </row>
    <row r="56" spans="2:21" ht="15" customHeight="1">
      <c r="E56" s="1112" t="s">
        <v>1948</v>
      </c>
      <c r="F56" s="1041"/>
      <c r="G56" s="1117">
        <f>G54*G55</f>
        <v>220000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1965</v>
      </c>
      <c r="G60" s="1202">
        <f>T18</f>
        <v>0</v>
      </c>
    </row>
    <row r="61" spans="2:21" ht="15" customHeight="1">
      <c r="E61" s="1111" t="s">
        <v>1966</v>
      </c>
      <c r="G61" s="1108">
        <f>ROUNDDOWN(E29*50%,0)</f>
        <v>50</v>
      </c>
    </row>
    <row r="62" spans="2:21" ht="15" customHeight="1">
      <c r="E62" s="1111"/>
      <c r="G62" s="1119"/>
    </row>
    <row r="63" spans="2:21" ht="15" customHeight="1">
      <c r="E63" s="1111" t="s">
        <v>1926</v>
      </c>
      <c r="G63" s="1108">
        <f>MIN(G60:G61)</f>
        <v>0</v>
      </c>
    </row>
    <row r="64" spans="2:21" ht="15" customHeight="1">
      <c r="E64" s="1111" t="s">
        <v>1916</v>
      </c>
      <c r="F64" s="1107" t="s">
        <v>1964</v>
      </c>
      <c r="G64" s="1118">
        <v>10000</v>
      </c>
    </row>
    <row r="65" spans="5:7" ht="15" customHeight="1">
      <c r="E65" s="1112" t="s">
        <v>1949</v>
      </c>
      <c r="F65" s="1041"/>
      <c r="G65" s="1117">
        <f>G63*G64</f>
        <v>0</v>
      </c>
    </row>
    <row r="66" spans="5:7" ht="15" customHeight="1">
      <c r="E66" s="1112"/>
      <c r="F66" s="1041"/>
      <c r="G66" s="1117"/>
    </row>
    <row r="67" spans="5:7" ht="15" customHeight="1">
      <c r="E67" s="1079" t="s">
        <v>2563</v>
      </c>
      <c r="G67" s="1039" t="b">
        <f>Application!V227="Yes"</f>
        <v>0</v>
      </c>
    </row>
    <row r="68" spans="5:7" ht="15" customHeight="1">
      <c r="E68" s="1079" t="s">
        <v>2564</v>
      </c>
      <c r="G68" s="1202">
        <f>SUMIF(Application!AK726:AK760,"Homeless",Application!G726:G760)</f>
        <v>0</v>
      </c>
    </row>
    <row r="69" spans="5:7" ht="15" customHeight="1">
      <c r="E69" s="1079"/>
    </row>
    <row r="70" spans="5:7" ht="15" customHeight="1">
      <c r="E70" s="1079" t="s">
        <v>2565</v>
      </c>
      <c r="G70" s="1203"/>
    </row>
    <row r="71" spans="5:7" ht="15" customHeight="1">
      <c r="E71" s="1079" t="s">
        <v>2566</v>
      </c>
      <c r="G71" s="1203"/>
    </row>
    <row r="72" spans="5:7" ht="15" customHeight="1">
      <c r="E72" s="1079" t="s">
        <v>2567</v>
      </c>
      <c r="G72" s="1202">
        <f>IF(G71=0,0,(G70/G71)*100000)</f>
        <v>0</v>
      </c>
    </row>
    <row r="73" spans="5:7" ht="15" customHeight="1">
      <c r="E73" s="1079" t="s">
        <v>2568</v>
      </c>
      <c r="G73" s="1203"/>
    </row>
    <row r="74" spans="5:7" ht="15" customHeight="1">
      <c r="E74" s="1079" t="s">
        <v>2569</v>
      </c>
      <c r="G74" s="1203"/>
    </row>
    <row r="75" spans="5:7" ht="15" customHeight="1">
      <c r="E75" s="1079" t="s">
        <v>2570</v>
      </c>
      <c r="G75" s="1202">
        <f>IF(G74=0,0,(G73/G74)*100000)</f>
        <v>0</v>
      </c>
    </row>
    <row r="76" spans="5:7" ht="15" customHeight="1">
      <c r="E76" s="1112"/>
      <c r="F76" s="1041"/>
      <c r="G76" s="1117"/>
    </row>
    <row r="77" spans="5:7" ht="15" customHeight="1">
      <c r="E77" s="1111" t="s">
        <v>1926</v>
      </c>
      <c r="G77" s="1108">
        <f>IF(OR(G75&gt;G72,G71&lt;100000),G75*G68,G72*G68)</f>
        <v>0</v>
      </c>
    </row>
    <row r="78" spans="5:7" ht="15" customHeight="1">
      <c r="E78" s="1111" t="s">
        <v>1916</v>
      </c>
      <c r="F78" s="1107" t="s">
        <v>1964</v>
      </c>
      <c r="G78" s="1118">
        <v>100</v>
      </c>
    </row>
    <row r="79" spans="5:7" ht="15" customHeight="1">
      <c r="E79" s="1112" t="s">
        <v>1949</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1952</v>
      </c>
      <c r="G83" s="1038" t="s">
        <v>545</v>
      </c>
      <c r="L83" s="2650" t="s">
        <v>1941</v>
      </c>
      <c r="M83" s="2651"/>
      <c r="N83" s="1125">
        <v>30000</v>
      </c>
    </row>
    <row r="84" spans="2:14" ht="15" customHeight="1">
      <c r="C84" s="1072" t="s">
        <v>1953</v>
      </c>
      <c r="G84" s="1076" t="str">
        <f>IF(Application!D211="Large Family","Yes","No")</f>
        <v>Yes</v>
      </c>
      <c r="L84" s="2654" t="s">
        <v>1909</v>
      </c>
      <c r="M84" s="2655"/>
      <c r="N84" s="1126">
        <v>20000</v>
      </c>
    </row>
    <row r="85" spans="2:14" ht="15" customHeight="1" thickBot="1">
      <c r="C85" s="1072" t="s">
        <v>1939</v>
      </c>
      <c r="G85" s="1038"/>
      <c r="L85" s="2656" t="s">
        <v>1942</v>
      </c>
      <c r="M85" s="2657"/>
      <c r="N85" s="1127">
        <v>10000</v>
      </c>
    </row>
    <row r="86" spans="2:14" ht="15" customHeight="1" thickBot="1">
      <c r="C86" s="1072" t="s">
        <v>1940</v>
      </c>
      <c r="G86" s="1039" t="str">
        <f>Application!T193</f>
        <v>Highest Resource</v>
      </c>
    </row>
    <row r="87" spans="2:14" ht="15" customHeight="1">
      <c r="C87" s="2684" t="s">
        <v>2207</v>
      </c>
      <c r="D87" s="2684"/>
      <c r="E87" s="2684"/>
      <c r="F87" s="2684"/>
      <c r="G87" s="1038"/>
      <c r="L87" s="1121" t="str">
        <f>'Points System'!H651</f>
        <v>(i)</v>
      </c>
      <c r="M87" s="2652" t="s">
        <v>1396</v>
      </c>
      <c r="N87" s="2653"/>
    </row>
    <row r="88" spans="2:14" ht="15" customHeight="1">
      <c r="C88" s="2684"/>
      <c r="D88" s="2684"/>
      <c r="E88" s="2684"/>
      <c r="F88" s="2684"/>
      <c r="L88" s="1122" t="str">
        <f>'Points System'!H663</f>
        <v>(ii)</v>
      </c>
      <c r="M88" s="2644" t="s">
        <v>1928</v>
      </c>
      <c r="N88" s="2645"/>
    </row>
    <row r="89" spans="2:14" ht="15" customHeight="1">
      <c r="C89" s="1072"/>
      <c r="L89" s="1122" t="str">
        <f>'Points System'!H698</f>
        <v>(i)</v>
      </c>
      <c r="M89" s="2644" t="s">
        <v>1929</v>
      </c>
      <c r="N89" s="2645"/>
    </row>
    <row r="90" spans="2:14" ht="15" customHeight="1">
      <c r="E90" s="1079" t="s">
        <v>1971</v>
      </c>
      <c r="G90" s="1074" t="b">
        <f>OR(AND(COUNTIFS(G84:G85,"Yes")&gt;=1,G83="Yes"),G87="Yes")</f>
        <v>1</v>
      </c>
      <c r="L90" s="1122" t="str">
        <f>IF(OR('Points System'!H722="(ii)",'Points System'!H722="(i)"),"(i)","N/A")</f>
        <v>(i)</v>
      </c>
      <c r="M90" s="2644" t="s">
        <v>1930</v>
      </c>
      <c r="N90" s="2645"/>
    </row>
    <row r="91" spans="2:14" ht="15" customHeight="1">
      <c r="E91" s="1079"/>
      <c r="G91" s="1074"/>
      <c r="L91" s="1123" t="str">
        <f>'Points System'!H736</f>
        <v>N/A</v>
      </c>
      <c r="M91" s="2644" t="s">
        <v>1422</v>
      </c>
      <c r="N91" s="2645"/>
    </row>
    <row r="92" spans="2:14" ht="15" customHeight="1">
      <c r="E92" s="1079" t="s">
        <v>1916</v>
      </c>
      <c r="G92" s="1073">
        <f>IFERROR(IF($G$87="Yes",30000,INDEX(N83:N85,MATCH(LEFT(G86,17),L83:L85,0))),0)</f>
        <v>30000</v>
      </c>
      <c r="L92" s="1122" t="str">
        <f>'Points System'!H748</f>
        <v>N/A</v>
      </c>
      <c r="M92" s="2644" t="s">
        <v>1931</v>
      </c>
      <c r="N92" s="2645"/>
    </row>
    <row r="93" spans="2:14" ht="15" customHeight="1">
      <c r="E93" s="1079" t="str">
        <f>E110</f>
        <v>Bedroom-Adjusted Low-Income Units</v>
      </c>
      <c r="F93" s="1107" t="s">
        <v>1964</v>
      </c>
      <c r="G93" s="1108">
        <f>G29</f>
        <v>133.75</v>
      </c>
      <c r="L93" s="1122" t="str">
        <f>'Points System'!H764</f>
        <v>(ii)</v>
      </c>
      <c r="M93" s="2644" t="s">
        <v>1932</v>
      </c>
      <c r="N93" s="2645"/>
    </row>
    <row r="94" spans="2:14" ht="15" customHeight="1" thickBot="1">
      <c r="D94" s="1041"/>
      <c r="E94" s="1112" t="s">
        <v>2210</v>
      </c>
      <c r="F94" s="1041"/>
      <c r="G94" s="1117">
        <f>G93*G92*G90</f>
        <v>4012500</v>
      </c>
      <c r="L94" s="1124" t="str">
        <f>'Points System'!H776</f>
        <v>(i)</v>
      </c>
      <c r="M94" s="2646" t="s">
        <v>1425</v>
      </c>
      <c r="N94" s="2647"/>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1947</v>
      </c>
      <c r="G98" s="1038" t="s">
        <v>669</v>
      </c>
    </row>
    <row r="99" spans="2:9" ht="15" customHeight="1">
      <c r="F99" s="1110"/>
    </row>
    <row r="100" spans="2:9" ht="15" customHeight="1">
      <c r="E100" s="1079" t="s">
        <v>1971</v>
      </c>
      <c r="G100" s="1074" t="b">
        <f>G98="Yes"</f>
        <v>0</v>
      </c>
    </row>
    <row r="101" spans="2:9" ht="15" customHeight="1"/>
    <row r="102" spans="2:9" ht="15" customHeight="1">
      <c r="E102" s="1079" t="str">
        <f>E110</f>
        <v>Bedroom-Adjusted Low-Income Units</v>
      </c>
      <c r="G102" s="1108">
        <f>G29</f>
        <v>133.75</v>
      </c>
    </row>
    <row r="103" spans="2:9" ht="15" customHeight="1">
      <c r="E103" s="1079" t="s">
        <v>1916</v>
      </c>
      <c r="F103" s="1107" t="s">
        <v>1964</v>
      </c>
      <c r="G103" s="1045">
        <v>20000</v>
      </c>
    </row>
    <row r="104" spans="2:9" ht="15" customHeight="1">
      <c r="E104" s="1112" t="s">
        <v>2211</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1927</v>
      </c>
      <c r="G108" s="1108">
        <f>VLOOKUP('Points System'!$H$619,'Points System'!$AO$599:$AP$604,2,FALSE)</f>
        <v>7</v>
      </c>
    </row>
    <row r="109" spans="2:9" ht="15" customHeight="1">
      <c r="E109" s="1079" t="s">
        <v>1916</v>
      </c>
      <c r="F109" s="1107" t="s">
        <v>1964</v>
      </c>
      <c r="G109" s="1071">
        <v>4000</v>
      </c>
    </row>
    <row r="110" spans="2:9" ht="15" customHeight="1">
      <c r="E110" s="1079" t="s">
        <v>1968</v>
      </c>
      <c r="F110" s="1107" t="s">
        <v>1964</v>
      </c>
      <c r="G110" s="1120">
        <f>G29</f>
        <v>133.75</v>
      </c>
    </row>
    <row r="111" spans="2:9" ht="15" customHeight="1">
      <c r="E111" s="1112" t="s">
        <v>1933</v>
      </c>
      <c r="F111" s="1041"/>
      <c r="G111" s="1117">
        <f>G108*G109*G110</f>
        <v>3745000</v>
      </c>
    </row>
    <row r="112" spans="2:9" ht="15" customHeight="1">
      <c r="C112" s="1072"/>
      <c r="G112" s="1108"/>
    </row>
    <row r="113" spans="2:7" ht="15" customHeight="1">
      <c r="E113" s="1079" t="s">
        <v>1969</v>
      </c>
      <c r="G113" s="1108">
        <f>COUNTIFS(L87:L94,"(i)")</f>
        <v>4</v>
      </c>
    </row>
    <row r="114" spans="2:7" ht="15" customHeight="1">
      <c r="E114" s="1079" t="s">
        <v>1916</v>
      </c>
      <c r="F114" s="1107" t="s">
        <v>1964</v>
      </c>
      <c r="G114" s="1118">
        <v>4000</v>
      </c>
    </row>
    <row r="115" spans="2:7" ht="15" customHeight="1">
      <c r="E115" s="1112" t="s">
        <v>1934</v>
      </c>
      <c r="F115" s="1041"/>
      <c r="G115" s="1117">
        <f>G110*G113*G114</f>
        <v>2140000</v>
      </c>
    </row>
    <row r="116" spans="2:7" ht="15" customHeight="1"/>
    <row r="117" spans="2:7" ht="15" customHeight="1">
      <c r="C117" s="1075" t="s">
        <v>1936</v>
      </c>
    </row>
    <row r="118" spans="2:7" ht="15" customHeight="1">
      <c r="C118" s="1072" t="s">
        <v>1937</v>
      </c>
      <c r="G118" s="1038"/>
    </row>
    <row r="119" spans="2:7" ht="15" customHeight="1">
      <c r="C119" s="1072" t="s">
        <v>1938</v>
      </c>
      <c r="G119" s="1038"/>
    </row>
    <row r="120" spans="2:7" ht="15" customHeight="1">
      <c r="C120" s="1072" t="s">
        <v>2093</v>
      </c>
      <c r="G120" s="1038" t="s">
        <v>545</v>
      </c>
    </row>
    <row r="121" spans="2:7">
      <c r="C121" s="1072" t="s">
        <v>2094</v>
      </c>
      <c r="G121" s="1038"/>
    </row>
    <row r="123" spans="2:7">
      <c r="B123" s="1073"/>
      <c r="C123" s="1072"/>
      <c r="E123" s="1079" t="s">
        <v>1971</v>
      </c>
      <c r="G123" s="1074" t="b">
        <f>COUNTIFS(G118:G121,"Yes")&gt;=1</f>
        <v>1</v>
      </c>
    </row>
    <row r="124" spans="2:7">
      <c r="E124" s="1072"/>
    </row>
    <row r="125" spans="2:7" ht="14.4">
      <c r="E125" s="1079" t="s">
        <v>1968</v>
      </c>
      <c r="F125" s="1107" t="s">
        <v>1964</v>
      </c>
      <c r="G125" s="1108">
        <f>G29</f>
        <v>133.75</v>
      </c>
    </row>
    <row r="126" spans="2:7" ht="14.4">
      <c r="E126" s="1079" t="s">
        <v>1916</v>
      </c>
      <c r="F126" s="1107" t="s">
        <v>1964</v>
      </c>
      <c r="G126" s="1118">
        <v>25000</v>
      </c>
    </row>
    <row r="127" spans="2:7">
      <c r="E127" s="1112" t="s">
        <v>1935</v>
      </c>
      <c r="F127" s="1041"/>
      <c r="G127" s="1117">
        <f>G123*G126*G110</f>
        <v>3343750</v>
      </c>
    </row>
    <row r="128" spans="2:7">
      <c r="C128" s="1072"/>
      <c r="E128" s="1072"/>
    </row>
    <row r="129" spans="2:9">
      <c r="E129" s="1112" t="s">
        <v>2212</v>
      </c>
      <c r="G129" s="1117">
        <f>G127+G115+G111</f>
        <v>9228750</v>
      </c>
    </row>
    <row r="131" spans="2:9">
      <c r="B131" s="1061" t="s">
        <v>139</v>
      </c>
      <c r="C131" s="1062"/>
      <c r="D131" s="1062"/>
      <c r="E131" s="1062"/>
      <c r="F131" s="1062"/>
      <c r="G131" s="1062"/>
      <c r="H131" s="1062"/>
      <c r="I131" s="1063"/>
    </row>
    <row r="133" spans="2:9">
      <c r="C133" s="2680" t="s">
        <v>2179</v>
      </c>
      <c r="D133" s="2680"/>
      <c r="E133" s="2680"/>
      <c r="F133" s="2680"/>
    </row>
    <row r="134" spans="2:9">
      <c r="C134" s="2680"/>
      <c r="D134" s="2680"/>
      <c r="E134" s="2680"/>
      <c r="F134" s="2680"/>
      <c r="G134" s="1038"/>
    </row>
    <row r="135" spans="2:9" ht="14.25" customHeight="1"/>
    <row r="136" spans="2:9">
      <c r="C136" s="1039" t="s">
        <v>2181</v>
      </c>
      <c r="G136" s="2682"/>
      <c r="H136" s="2682"/>
    </row>
    <row r="137" spans="2:9">
      <c r="G137" s="2682"/>
      <c r="H137" s="2682"/>
    </row>
    <row r="138" spans="2:9">
      <c r="G138" s="2683"/>
      <c r="H138" s="2683"/>
    </row>
    <row r="140" spans="2:9">
      <c r="C140" s="2680" t="s">
        <v>2578</v>
      </c>
      <c r="D140" s="2680"/>
      <c r="E140" s="2680"/>
      <c r="F140" s="2680"/>
    </row>
    <row r="141" spans="2:9">
      <c r="C141" s="2680"/>
      <c r="D141" s="2680"/>
      <c r="E141" s="2680"/>
      <c r="F141" s="2680"/>
      <c r="G141" s="1038"/>
    </row>
    <row r="142" spans="2:9">
      <c r="C142" s="2680"/>
      <c r="D142" s="2680"/>
      <c r="E142" s="2680"/>
      <c r="F142" s="2680"/>
    </row>
    <row r="144" spans="2:9">
      <c r="C144" s="2680" t="s">
        <v>2577</v>
      </c>
      <c r="D144" s="2680"/>
      <c r="E144" s="2680"/>
      <c r="F144" s="2680"/>
    </row>
    <row r="145" spans="2:9">
      <c r="C145" s="2680"/>
      <c r="D145" s="2680"/>
      <c r="E145" s="2680"/>
      <c r="F145" s="2680"/>
      <c r="G145" s="1038"/>
    </row>
    <row r="146" spans="2:9">
      <c r="C146" s="2680"/>
      <c r="D146" s="2680"/>
      <c r="E146" s="2680"/>
      <c r="F146" s="2680"/>
    </row>
    <row r="147" spans="2:9">
      <c r="C147" s="2680"/>
      <c r="D147" s="2680"/>
      <c r="E147" s="2680"/>
      <c r="F147" s="2680"/>
    </row>
    <row r="149" spans="2:9">
      <c r="B149" s="1061" t="s">
        <v>1973</v>
      </c>
      <c r="C149" s="1062"/>
      <c r="D149" s="1062"/>
      <c r="E149" s="1062"/>
      <c r="F149" s="1062"/>
      <c r="G149" s="1062"/>
      <c r="H149" s="1062"/>
      <c r="I149" s="1063"/>
    </row>
    <row r="151" spans="2:9">
      <c r="E151" s="1079" t="s">
        <v>582</v>
      </c>
      <c r="G151" s="1039" t="str">
        <f>IF(Application!T189="","",Application!T189)</f>
        <v>Santa Cruz</v>
      </c>
    </row>
    <row r="152" spans="2:9">
      <c r="E152" s="1079"/>
      <c r="G152" s="1073"/>
    </row>
    <row r="153" spans="2:9">
      <c r="E153" s="1079" t="str">
        <f>"2-Bedroom "&amp;G151&amp;" County Basis Limit"</f>
        <v>2-Bedroom Santa Cruz County Basis Limit</v>
      </c>
      <c r="G153" s="1073">
        <f>Application!R997</f>
        <v>616000</v>
      </c>
    </row>
    <row r="154" spans="2:9">
      <c r="E154" s="1079" t="s">
        <v>1972</v>
      </c>
      <c r="G154" s="1073">
        <f>MEDIAN((Application!CU160:CU217))</f>
        <v>560000</v>
      </c>
    </row>
    <row r="155" spans="2:9">
      <c r="D155" s="1041"/>
      <c r="E155" s="1112" t="s">
        <v>1974</v>
      </c>
      <c r="F155" s="1128"/>
      <c r="G155" s="1129">
        <f>((G153-G154)/G154)*0.25</f>
        <v>2.5000000000000001E-2</v>
      </c>
      <c r="H155" s="1037"/>
      <c r="I155" s="1037"/>
    </row>
    <row r="156" spans="2:9">
      <c r="D156" s="1040"/>
      <c r="E156" s="1040"/>
    </row>
    <row r="157" spans="2:9">
      <c r="B157" s="1061" t="s">
        <v>2213</v>
      </c>
      <c r="C157" s="1062"/>
      <c r="D157" s="1062"/>
      <c r="E157" s="1062"/>
      <c r="F157" s="1062"/>
      <c r="G157" s="1062"/>
      <c r="H157" s="1062"/>
      <c r="I157" s="1063"/>
    </row>
    <row r="159" spans="2:9">
      <c r="E159" s="1079" t="s">
        <v>2558</v>
      </c>
      <c r="G159" s="1039" t="b">
        <f>G37</f>
        <v>0</v>
      </c>
    </row>
    <row r="160" spans="2:9">
      <c r="C160" s="2677" t="s">
        <v>2214</v>
      </c>
      <c r="D160" s="2677"/>
      <c r="E160" s="2677"/>
      <c r="F160" s="2677"/>
    </row>
    <row r="161" spans="2:7">
      <c r="B161" s="1040"/>
      <c r="C161" s="2677"/>
      <c r="D161" s="2677"/>
      <c r="E161" s="2677"/>
      <c r="F161" s="2677"/>
      <c r="G161" s="1038"/>
    </row>
    <row r="162" spans="2:7">
      <c r="B162" s="1040"/>
      <c r="C162" s="1040"/>
      <c r="D162" s="1040"/>
      <c r="E162" s="1040"/>
      <c r="F162" s="1040"/>
    </row>
    <row r="163" spans="2:7">
      <c r="E163" s="1079" t="s">
        <v>2216</v>
      </c>
      <c r="G163" s="1162"/>
    </row>
    <row r="165" spans="2:7">
      <c r="E165" s="1079" t="s">
        <v>2218</v>
      </c>
      <c r="G165" s="1161">
        <f>IF(I9=0,0,G163/I9)</f>
        <v>0</v>
      </c>
    </row>
    <row r="166" spans="2:7">
      <c r="E166" s="1079" t="s">
        <v>2215</v>
      </c>
      <c r="G166" s="1159">
        <f>I9*0.15</f>
        <v>3150000</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31"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09375" defaultRowHeight="13.8"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109375" style="304"/>
  </cols>
  <sheetData>
    <row r="1" spans="1:12">
      <c r="A1" s="2685" t="s">
        <v>909</v>
      </c>
      <c r="B1" s="2685"/>
      <c r="C1" s="2685"/>
      <c r="D1" s="2685"/>
      <c r="E1" s="2685"/>
      <c r="F1" s="2685"/>
      <c r="G1" s="2685"/>
      <c r="H1" s="2685"/>
      <c r="I1" s="2685"/>
      <c r="J1" s="2685"/>
      <c r="K1" s="204"/>
      <c r="L1" s="204"/>
    </row>
    <row r="2" spans="1:12">
      <c r="A2" s="210"/>
      <c r="B2" s="210"/>
      <c r="C2" s="210"/>
      <c r="D2" s="210"/>
      <c r="E2" s="210"/>
      <c r="F2" s="210"/>
      <c r="G2" s="210"/>
      <c r="H2" s="210"/>
      <c r="I2" s="210"/>
      <c r="J2" s="210"/>
    </row>
    <row r="3" spans="1:12" ht="83.4">
      <c r="A3" s="426" t="s">
        <v>910</v>
      </c>
      <c r="B3" s="426" t="s">
        <v>2200</v>
      </c>
      <c r="C3" s="426" t="s">
        <v>2201</v>
      </c>
      <c r="D3" s="1140" t="s">
        <v>2202</v>
      </c>
      <c r="E3" s="204"/>
      <c r="F3" s="1140" t="s">
        <v>911</v>
      </c>
      <c r="G3" s="426" t="s">
        <v>912</v>
      </c>
      <c r="H3" s="427"/>
      <c r="I3" s="426" t="s">
        <v>913</v>
      </c>
      <c r="J3" s="426" t="s">
        <v>914</v>
      </c>
      <c r="K3" s="204"/>
      <c r="L3" s="305"/>
    </row>
    <row r="4" spans="1:12">
      <c r="A4" s="428" t="str">
        <f>Application!B726</f>
        <v>2 Bedrooms</v>
      </c>
      <c r="B4" s="1077">
        <f>Application!G726</f>
        <v>20</v>
      </c>
      <c r="C4" s="1155"/>
      <c r="D4" s="428">
        <f>Application!O726</f>
        <v>2933</v>
      </c>
      <c r="E4" s="429"/>
      <c r="F4" s="1078"/>
      <c r="G4" s="428">
        <f>F4*B4</f>
        <v>0</v>
      </c>
      <c r="H4" s="429"/>
      <c r="I4" s="428" t="str">
        <f t="shared" ref="I4:I27" si="0">IF(F4=0,"",(F4-D4))</f>
        <v/>
      </c>
      <c r="J4" s="428" t="str">
        <f t="shared" ref="J4:J27" si="1">IF(F4=0,"",(I4*B4))</f>
        <v/>
      </c>
      <c r="K4" s="204"/>
      <c r="L4" s="305"/>
    </row>
    <row r="5" spans="1:12">
      <c r="A5" s="428" t="str">
        <f>Application!B727</f>
        <v>2 Bedrooms</v>
      </c>
      <c r="B5" s="1077">
        <f>Application!G727</f>
        <v>2</v>
      </c>
      <c r="C5" s="1155"/>
      <c r="D5" s="428">
        <f>Application!O727</f>
        <v>2488</v>
      </c>
      <c r="E5" s="429"/>
      <c r="F5" s="1078"/>
      <c r="G5" s="428">
        <f t="shared" ref="G5:G38" si="2">F5*B5</f>
        <v>0</v>
      </c>
      <c r="H5" s="429"/>
      <c r="I5" s="428" t="str">
        <f t="shared" si="0"/>
        <v/>
      </c>
      <c r="J5" s="428" t="str">
        <f t="shared" si="1"/>
        <v/>
      </c>
      <c r="K5" s="204"/>
      <c r="L5" s="305"/>
    </row>
    <row r="6" spans="1:12">
      <c r="A6" s="428" t="str">
        <f>Application!B728</f>
        <v>2 Bedrooms</v>
      </c>
      <c r="B6" s="1077">
        <f>Application!G728</f>
        <v>8</v>
      </c>
      <c r="C6" s="1155"/>
      <c r="D6" s="428">
        <f>Application!O728</f>
        <v>2043</v>
      </c>
      <c r="E6" s="429"/>
      <c r="F6" s="1078"/>
      <c r="G6" s="428">
        <f t="shared" si="2"/>
        <v>0</v>
      </c>
      <c r="H6" s="429"/>
      <c r="I6" s="428" t="str">
        <f t="shared" si="0"/>
        <v/>
      </c>
      <c r="J6" s="428" t="str">
        <f t="shared" si="1"/>
        <v/>
      </c>
      <c r="K6" s="204"/>
      <c r="L6" s="305"/>
    </row>
    <row r="7" spans="1:12">
      <c r="A7" s="428" t="str">
        <f>Application!B729</f>
        <v>2 Bedrooms</v>
      </c>
      <c r="B7" s="1077">
        <f>Application!G729</f>
        <v>4</v>
      </c>
      <c r="C7" s="1155"/>
      <c r="D7" s="428">
        <f>Application!O729</f>
        <v>1153</v>
      </c>
      <c r="E7" s="429"/>
      <c r="F7" s="1078"/>
      <c r="G7" s="428">
        <f t="shared" si="2"/>
        <v>0</v>
      </c>
      <c r="H7" s="429"/>
      <c r="I7" s="428" t="str">
        <f t="shared" si="0"/>
        <v/>
      </c>
      <c r="J7" s="428" t="str">
        <f t="shared" si="1"/>
        <v/>
      </c>
      <c r="K7" s="204"/>
      <c r="L7" s="305"/>
    </row>
    <row r="8" spans="1:12">
      <c r="A8" s="428" t="str">
        <f>Application!B730</f>
        <v>3 Bedrooms</v>
      </c>
      <c r="B8" s="1077">
        <f>Application!G730</f>
        <v>35</v>
      </c>
      <c r="C8" s="1155"/>
      <c r="D8" s="428">
        <f>Application!O730</f>
        <v>3363</v>
      </c>
      <c r="E8" s="429"/>
      <c r="F8" s="1078"/>
      <c r="G8" s="428">
        <f t="shared" si="2"/>
        <v>0</v>
      </c>
      <c r="H8" s="429"/>
      <c r="I8" s="428" t="str">
        <f t="shared" si="0"/>
        <v/>
      </c>
      <c r="J8" s="428" t="str">
        <f t="shared" si="1"/>
        <v/>
      </c>
      <c r="K8" s="204"/>
      <c r="L8" s="305"/>
    </row>
    <row r="9" spans="1:12">
      <c r="A9" s="428" t="str">
        <f>Application!B731</f>
        <v>3 Bedrooms</v>
      </c>
      <c r="B9" s="1077">
        <f>Application!G731</f>
        <v>11</v>
      </c>
      <c r="C9" s="1155"/>
      <c r="D9" s="428">
        <f>Application!O731</f>
        <v>2849</v>
      </c>
      <c r="E9" s="429"/>
      <c r="F9" s="1078"/>
      <c r="G9" s="428">
        <f t="shared" si="2"/>
        <v>0</v>
      </c>
      <c r="H9" s="429"/>
      <c r="I9" s="428" t="str">
        <f t="shared" si="0"/>
        <v/>
      </c>
      <c r="J9" s="428" t="str">
        <f t="shared" si="1"/>
        <v/>
      </c>
      <c r="K9" s="204"/>
      <c r="L9" s="305"/>
    </row>
    <row r="10" spans="1:12">
      <c r="A10" s="428" t="str">
        <f>Application!B732</f>
        <v>3 Bedrooms</v>
      </c>
      <c r="B10" s="1077">
        <f>Application!G732</f>
        <v>14</v>
      </c>
      <c r="C10" s="1155"/>
      <c r="D10" s="428">
        <f>Application!O732</f>
        <v>2335</v>
      </c>
      <c r="E10" s="429"/>
      <c r="F10" s="1078"/>
      <c r="G10" s="428">
        <f t="shared" si="2"/>
        <v>0</v>
      </c>
      <c r="H10" s="429"/>
      <c r="I10" s="428" t="str">
        <f t="shared" si="0"/>
        <v/>
      </c>
      <c r="J10" s="428" t="str">
        <f t="shared" si="1"/>
        <v/>
      </c>
      <c r="K10" s="204"/>
      <c r="L10" s="305"/>
    </row>
    <row r="11" spans="1:12">
      <c r="A11" s="428" t="str">
        <f>Application!B733</f>
        <v>3 Bedrooms</v>
      </c>
      <c r="B11" s="1077">
        <f>Application!G733</f>
        <v>7</v>
      </c>
      <c r="C11" s="1155"/>
      <c r="D11" s="428">
        <f>Application!O733</f>
        <v>1306</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Application!O761</f>
        <v>275468</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2203</v>
      </c>
    </row>
    <row r="43" spans="1:12">
      <c r="A43" s="2686" t="s">
        <v>2416</v>
      </c>
      <c r="B43" s="2686"/>
      <c r="C43" s="2686"/>
      <c r="D43" s="2686"/>
      <c r="E43" s="2686"/>
      <c r="F43" s="2686"/>
      <c r="G43" s="2686"/>
      <c r="H43" s="2686"/>
      <c r="I43" s="2686"/>
      <c r="J43" s="2686"/>
    </row>
    <row r="44" spans="1:12">
      <c r="A44" s="2686"/>
      <c r="B44" s="2686"/>
      <c r="C44" s="2686"/>
      <c r="D44" s="2686"/>
      <c r="E44" s="2686"/>
      <c r="F44" s="2686"/>
      <c r="G44" s="2686"/>
      <c r="H44" s="2686"/>
      <c r="I44" s="2686"/>
      <c r="J44" s="2686"/>
    </row>
    <row r="45" spans="1:12">
      <c r="A45" s="2686" t="s">
        <v>2204</v>
      </c>
      <c r="B45" s="2686"/>
      <c r="C45" s="2686"/>
      <c r="D45" s="2686"/>
      <c r="E45" s="2686"/>
      <c r="F45" s="2686"/>
      <c r="G45" s="2686"/>
      <c r="H45" s="2686"/>
      <c r="I45" s="2686"/>
      <c r="J45" s="2686"/>
    </row>
    <row r="46" spans="1:12">
      <c r="A46" s="2686"/>
      <c r="B46" s="2686"/>
      <c r="C46" s="2686"/>
      <c r="D46" s="2686"/>
      <c r="E46" s="2686"/>
      <c r="F46" s="2686"/>
      <c r="G46" s="2686"/>
      <c r="H46" s="2686"/>
      <c r="I46" s="2686"/>
      <c r="J46" s="2686"/>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9" zoomScale="90" zoomScaleNormal="90" workbookViewId="0">
      <selection activeCell="C4" sqref="C4"/>
    </sheetView>
  </sheetViews>
  <sheetFormatPr defaultColWidth="0" defaultRowHeight="13.2" zeroHeight="1"/>
  <cols>
    <col min="1" max="1" width="3.6640625" customWidth="1"/>
    <col min="2" max="2" width="30.44140625" customWidth="1"/>
    <col min="3" max="3" width="9.10937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77734375" hidden="1"/>
  </cols>
  <sheetData>
    <row r="1" spans="1:34" ht="17.399999999999999">
      <c r="A1" s="211" t="s">
        <v>2047</v>
      </c>
      <c r="B1" s="211"/>
    </row>
    <row r="2" spans="1:34"/>
    <row r="3" spans="1:34" ht="15.6">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3.8">
      <c r="A4" s="219" t="s">
        <v>837</v>
      </c>
      <c r="C4" s="237">
        <v>1.0249999999999999</v>
      </c>
      <c r="E4" s="219">
        <f>Application!Y809</f>
        <v>3305616</v>
      </c>
      <c r="G4" s="219">
        <f>E4*$C$4</f>
        <v>3388256.4</v>
      </c>
      <c r="I4" s="219">
        <f>G4*$C$4</f>
        <v>3472962.8099999996</v>
      </c>
      <c r="K4" s="219">
        <f>I4*$C$4</f>
        <v>3559786.8802499995</v>
      </c>
      <c r="M4" s="219">
        <f>K4*$C$4</f>
        <v>3648781.5522562494</v>
      </c>
      <c r="O4" s="219">
        <f>M4*$C$4</f>
        <v>3740001.0910626552</v>
      </c>
      <c r="Q4" s="219">
        <f>O4*$C$4</f>
        <v>3833501.1183392215</v>
      </c>
      <c r="S4" s="219">
        <f>Q4*$C$4</f>
        <v>3929338.6462977016</v>
      </c>
      <c r="U4" s="219">
        <f>S4*$C$4</f>
        <v>4027572.1124551441</v>
      </c>
      <c r="W4" s="219">
        <f>U4*$C$4</f>
        <v>4128261.4152665222</v>
      </c>
      <c r="Y4" s="219">
        <f>W4*$C$4</f>
        <v>4231467.9506481849</v>
      </c>
      <c r="AA4" s="219">
        <f>Y4*$C$4</f>
        <v>4337254.6494143894</v>
      </c>
      <c r="AC4" s="219">
        <f>AA4*$C$4</f>
        <v>4445686.015649749</v>
      </c>
      <c r="AE4" s="219">
        <f>AC4*$C$4</f>
        <v>4556828.1660409924</v>
      </c>
      <c r="AG4" s="219">
        <f>AE4*$C$4</f>
        <v>4670748.8701920165</v>
      </c>
    </row>
    <row r="5" spans="1:34" s="210" customFormat="1" ht="13.8">
      <c r="B5" s="210" t="s">
        <v>838</v>
      </c>
      <c r="C5" s="238">
        <f>IF(Application!$D$211="Special Needs",(((0.1*Application!$T$212)+(0.05*(1-Application!$T$212)))),0.05)</f>
        <v>0.05</v>
      </c>
      <c r="E5" s="221">
        <f>-E4*$C$5</f>
        <v>-165280.80000000002</v>
      </c>
      <c r="F5" s="221"/>
      <c r="G5" s="221">
        <f>-G4*$C$5</f>
        <v>-169412.82</v>
      </c>
      <c r="H5" s="221"/>
      <c r="I5" s="221">
        <f>-I4*$C$5</f>
        <v>-173648.14049999998</v>
      </c>
      <c r="J5" s="221"/>
      <c r="K5" s="221">
        <f>-K4*$C$5</f>
        <v>-177989.34401249999</v>
      </c>
      <c r="L5" s="221"/>
      <c r="M5" s="221">
        <f>-M4*$C$5</f>
        <v>-182439.07761281249</v>
      </c>
      <c r="N5" s="221"/>
      <c r="O5" s="221">
        <f>-O4*$C$5</f>
        <v>-187000.05455313277</v>
      </c>
      <c r="P5" s="221"/>
      <c r="Q5" s="221">
        <f>-Q4*$C$5</f>
        <v>-191675.05591696108</v>
      </c>
      <c r="R5" s="221"/>
      <c r="S5" s="221">
        <f>-S4*$C$5</f>
        <v>-196466.93231488508</v>
      </c>
      <c r="T5" s="221"/>
      <c r="U5" s="221">
        <f>-U4*$C$5</f>
        <v>-201378.60562275723</v>
      </c>
      <c r="V5" s="221"/>
      <c r="W5" s="221">
        <f>-W4*$C$5</f>
        <v>-206413.07076332613</v>
      </c>
      <c r="X5" s="221"/>
      <c r="Y5" s="221">
        <f>-Y4*$C$5</f>
        <v>-211573.39753240926</v>
      </c>
      <c r="Z5" s="221"/>
      <c r="AA5" s="221">
        <f>-AA4*$C$5</f>
        <v>-216862.73247071949</v>
      </c>
      <c r="AB5" s="221"/>
      <c r="AC5" s="221">
        <f>-AC4*$C$5</f>
        <v>-222284.30078248747</v>
      </c>
      <c r="AD5" s="221"/>
      <c r="AE5" s="221">
        <f>-AE4*$C$5</f>
        <v>-227841.40830204962</v>
      </c>
      <c r="AF5" s="221"/>
      <c r="AG5" s="221">
        <f>-AG4*$C$5</f>
        <v>-233537.44350960082</v>
      </c>
    </row>
    <row r="6" spans="1:34" s="210" customFormat="1" ht="13.8">
      <c r="A6" s="210" t="s">
        <v>836</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3.8">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3.8">
      <c r="A8" s="210" t="s">
        <v>288</v>
      </c>
      <c r="C8" s="237">
        <v>1.0249999999999999</v>
      </c>
      <c r="E8" s="222">
        <f>Application!Z825</f>
        <v>19584</v>
      </c>
      <c r="F8" s="222"/>
      <c r="G8" s="222">
        <f>E8*$C$8</f>
        <v>20073.599999999999</v>
      </c>
      <c r="H8" s="222"/>
      <c r="I8" s="222">
        <f>G8*$C$8</f>
        <v>20575.439999999995</v>
      </c>
      <c r="J8" s="222"/>
      <c r="K8" s="222">
        <f>I8*$C$8</f>
        <v>21089.825999999994</v>
      </c>
      <c r="L8" s="222"/>
      <c r="M8" s="222">
        <f>K8*$C$8</f>
        <v>21617.071649999991</v>
      </c>
      <c r="N8" s="222"/>
      <c r="O8" s="222">
        <f>M8*$C$8</f>
        <v>22157.498441249987</v>
      </c>
      <c r="P8" s="222"/>
      <c r="Q8" s="222">
        <f>O8*$C$8</f>
        <v>22711.435902281235</v>
      </c>
      <c r="R8" s="222"/>
      <c r="S8" s="222">
        <f>Q8*$C$8</f>
        <v>23279.221799838262</v>
      </c>
      <c r="T8" s="222"/>
      <c r="U8" s="222">
        <f>S8*$C$8</f>
        <v>23861.202344834215</v>
      </c>
      <c r="V8" s="222"/>
      <c r="W8" s="222">
        <f>U8*$C$8</f>
        <v>24457.732403455069</v>
      </c>
      <c r="X8" s="222"/>
      <c r="Y8" s="222">
        <f>W8*$C$8</f>
        <v>25069.175713541445</v>
      </c>
      <c r="Z8" s="222"/>
      <c r="AA8" s="222">
        <f>Y8*$C$8</f>
        <v>25695.905106379978</v>
      </c>
      <c r="AB8" s="222"/>
      <c r="AC8" s="222">
        <f>AA8*$C$8</f>
        <v>26338.302734039476</v>
      </c>
      <c r="AD8" s="222"/>
      <c r="AE8" s="222">
        <f>AC8*$C$8</f>
        <v>26996.760302390459</v>
      </c>
      <c r="AF8" s="222"/>
      <c r="AG8" s="222">
        <f>AE8*$C$8</f>
        <v>27671.679309950217</v>
      </c>
    </row>
    <row r="9" spans="1:34" s="210" customFormat="1" ht="13.8">
      <c r="B9" s="210" t="s">
        <v>838</v>
      </c>
      <c r="C9" s="238">
        <f>IF(Application!$D$211="Special Needs",(((0.1*Application!$T$212)+(0.05*(1-Application!$T$212)))),0.05)</f>
        <v>0.05</v>
      </c>
      <c r="E9" s="221">
        <f>-E8*$C$9</f>
        <v>-979.2</v>
      </c>
      <c r="F9" s="221"/>
      <c r="G9" s="221">
        <f>-G8*$C$9</f>
        <v>-1003.68</v>
      </c>
      <c r="H9" s="221"/>
      <c r="I9" s="221">
        <f>-I8*$C$9</f>
        <v>-1028.7719999999997</v>
      </c>
      <c r="J9" s="221"/>
      <c r="K9" s="221">
        <f>-K8*$C$9</f>
        <v>-1054.4912999999997</v>
      </c>
      <c r="L9" s="221"/>
      <c r="M9" s="221">
        <f>-M8*$C$9</f>
        <v>-1080.8535824999997</v>
      </c>
      <c r="N9" s="221"/>
      <c r="O9" s="221">
        <f>-O8*$C$9</f>
        <v>-1107.8749220624993</v>
      </c>
      <c r="P9" s="221"/>
      <c r="Q9" s="221">
        <f>-Q8*$C$9</f>
        <v>-1135.5717951140618</v>
      </c>
      <c r="R9" s="221"/>
      <c r="S9" s="221">
        <f>-S8*$C$9</f>
        <v>-1163.9610899919132</v>
      </c>
      <c r="T9" s="221"/>
      <c r="U9" s="221">
        <f>-U8*$C$9</f>
        <v>-1193.0601172417107</v>
      </c>
      <c r="V9" s="221"/>
      <c r="W9" s="221">
        <f>-W8*$C$9</f>
        <v>-1222.8866201727535</v>
      </c>
      <c r="X9" s="221"/>
      <c r="Y9" s="221">
        <f>-Y8*$C$9</f>
        <v>-1253.4587856770722</v>
      </c>
      <c r="Z9" s="221"/>
      <c r="AA9" s="221">
        <f>-AA8*$C$9</f>
        <v>-1284.7952553189989</v>
      </c>
      <c r="AB9" s="221"/>
      <c r="AC9" s="221">
        <f>-AC8*$C$9</f>
        <v>-1316.915136701974</v>
      </c>
      <c r="AD9" s="221"/>
      <c r="AE9" s="221">
        <f>-AE8*$C$9</f>
        <v>-1349.8380151195231</v>
      </c>
      <c r="AF9" s="221"/>
      <c r="AG9" s="221">
        <f>-AG8*$C$9</f>
        <v>-1383.5839654975109</v>
      </c>
    </row>
    <row r="10" spans="1:34" s="210" customFormat="1" ht="13.8">
      <c r="A10" s="1137" t="s">
        <v>2175</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3.8">
      <c r="A11" s="223" t="s">
        <v>859</v>
      </c>
      <c r="C11" s="216"/>
      <c r="E11" s="223">
        <f>SUM(E4:E10)</f>
        <v>3158940</v>
      </c>
      <c r="G11" s="223">
        <f>SUM(G4:G10)</f>
        <v>3237913.5</v>
      </c>
      <c r="I11" s="223">
        <f>SUM(I4:I10)</f>
        <v>3318861.3374999999</v>
      </c>
      <c r="K11" s="223">
        <f>SUM(K4:K10)</f>
        <v>3401832.8709374997</v>
      </c>
      <c r="M11" s="223">
        <f>SUM(M4:M10)</f>
        <v>3486878.6927109365</v>
      </c>
      <c r="O11" s="223">
        <f>SUM(O4:O10)</f>
        <v>3574050.66002871</v>
      </c>
      <c r="Q11" s="223">
        <f>SUM(Q4:Q10)</f>
        <v>3663401.9265294275</v>
      </c>
      <c r="S11" s="223">
        <f>SUM(S4:S10)</f>
        <v>3754986.9746926632</v>
      </c>
      <c r="U11" s="223">
        <f>SUM(U4:U10)</f>
        <v>3848861.6490599792</v>
      </c>
      <c r="W11" s="223">
        <f>SUM(W4:W10)</f>
        <v>3945083.1902864785</v>
      </c>
      <c r="Y11" s="223">
        <f>SUM(Y4:Y10)</f>
        <v>4043710.2700436404</v>
      </c>
      <c r="AA11" s="223">
        <f>SUM(AA4:AA10)</f>
        <v>4144803.0267947307</v>
      </c>
      <c r="AC11" s="223">
        <f>SUM(AC4:AC10)</f>
        <v>4248423.1024645986</v>
      </c>
      <c r="AE11" s="223">
        <f>SUM(AE4:AE10)</f>
        <v>4354633.6800262136</v>
      </c>
      <c r="AG11" s="223">
        <f>SUM(AG4:AG10)</f>
        <v>4463499.5220268685</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6">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3.8">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3.8">
      <c r="A15" s="219" t="s">
        <v>841</v>
      </c>
      <c r="C15" s="176"/>
      <c r="E15" s="219">
        <f>Application!W855</f>
        <v>37000</v>
      </c>
      <c r="G15" s="219">
        <f>E15*$C$14</f>
        <v>38295</v>
      </c>
      <c r="I15" s="219">
        <f>G15*$C$14</f>
        <v>39635.324999999997</v>
      </c>
      <c r="K15" s="219">
        <f>I15*$C$14</f>
        <v>41022.56137499999</v>
      </c>
      <c r="M15" s="219">
        <f>K15*$C$14</f>
        <v>42458.351023124989</v>
      </c>
      <c r="O15" s="219">
        <f>M15*$C$14</f>
        <v>43944.393308934363</v>
      </c>
      <c r="Q15" s="219">
        <f>O15*$C$14</f>
        <v>45482.447074747062</v>
      </c>
      <c r="S15" s="219">
        <f>Q15*$C$14</f>
        <v>47074.332722363208</v>
      </c>
      <c r="U15" s="219">
        <f>S15*$C$14</f>
        <v>48721.934367645918</v>
      </c>
      <c r="W15" s="219">
        <f>U15*$C$14</f>
        <v>50427.202070513522</v>
      </c>
      <c r="Y15" s="219">
        <f>W15*$C$14</f>
        <v>52192.15414298149</v>
      </c>
      <c r="AA15" s="219">
        <f>Y15*$C$14</f>
        <v>54018.879537985835</v>
      </c>
      <c r="AC15" s="219">
        <f>AA15*$C$14</f>
        <v>55909.540321815337</v>
      </c>
      <c r="AE15" s="219">
        <f>AC15*$C$14</f>
        <v>57866.374233078866</v>
      </c>
      <c r="AG15" s="219">
        <f>AE15*$C$14</f>
        <v>59891.697331236624</v>
      </c>
    </row>
    <row r="16" spans="1:34" s="210" customFormat="1" ht="13.8">
      <c r="A16" s="210" t="s">
        <v>344</v>
      </c>
      <c r="C16" s="233"/>
      <c r="E16" s="222">
        <f>Application!W857</f>
        <v>130000</v>
      </c>
      <c r="F16" s="222"/>
      <c r="G16" s="222">
        <f t="shared" ref="G16:AG21" si="0">E16*$C$14</f>
        <v>134550</v>
      </c>
      <c r="H16" s="222"/>
      <c r="I16" s="222">
        <f t="shared" si="0"/>
        <v>139259.25</v>
      </c>
      <c r="J16" s="222"/>
      <c r="K16" s="222">
        <f t="shared" si="0"/>
        <v>144133.32374999998</v>
      </c>
      <c r="L16" s="222"/>
      <c r="M16" s="222">
        <f t="shared" si="0"/>
        <v>149177.99008124997</v>
      </c>
      <c r="N16" s="222"/>
      <c r="O16" s="222">
        <f t="shared" si="0"/>
        <v>154399.2197340937</v>
      </c>
      <c r="P16" s="222"/>
      <c r="Q16" s="222">
        <f t="shared" si="0"/>
        <v>159803.19242478698</v>
      </c>
      <c r="R16" s="222"/>
      <c r="S16" s="222">
        <f t="shared" si="0"/>
        <v>165396.30415965451</v>
      </c>
      <c r="T16" s="222"/>
      <c r="U16" s="222">
        <f t="shared" si="0"/>
        <v>171185.17480524239</v>
      </c>
      <c r="V16" s="222"/>
      <c r="W16" s="222">
        <f t="shared" si="0"/>
        <v>177176.65592342586</v>
      </c>
      <c r="X16" s="222"/>
      <c r="Y16" s="222">
        <f t="shared" si="0"/>
        <v>183377.83888074575</v>
      </c>
      <c r="Z16" s="222"/>
      <c r="AA16" s="222">
        <f t="shared" si="0"/>
        <v>189796.06324157183</v>
      </c>
      <c r="AB16" s="222"/>
      <c r="AC16" s="222">
        <f t="shared" si="0"/>
        <v>196438.92545502682</v>
      </c>
      <c r="AD16" s="222"/>
      <c r="AE16" s="222">
        <f t="shared" si="0"/>
        <v>203314.28784595276</v>
      </c>
      <c r="AF16" s="222"/>
      <c r="AG16" s="222">
        <f t="shared" si="0"/>
        <v>210430.2879205611</v>
      </c>
    </row>
    <row r="17" spans="1:33" s="210" customFormat="1" ht="13.8">
      <c r="A17" s="210" t="s">
        <v>561</v>
      </c>
      <c r="C17" s="233"/>
      <c r="E17" s="222">
        <f>Application!W863</f>
        <v>130000</v>
      </c>
      <c r="F17" s="222"/>
      <c r="G17" s="222">
        <f t="shared" si="0"/>
        <v>134550</v>
      </c>
      <c r="H17" s="222"/>
      <c r="I17" s="222">
        <f t="shared" si="0"/>
        <v>139259.25</v>
      </c>
      <c r="J17" s="222"/>
      <c r="K17" s="222">
        <f t="shared" si="0"/>
        <v>144133.32374999998</v>
      </c>
      <c r="L17" s="222"/>
      <c r="M17" s="222">
        <f t="shared" si="0"/>
        <v>149177.99008124997</v>
      </c>
      <c r="N17" s="222"/>
      <c r="O17" s="222">
        <f t="shared" si="0"/>
        <v>154399.2197340937</v>
      </c>
      <c r="P17" s="222"/>
      <c r="Q17" s="222">
        <f t="shared" si="0"/>
        <v>159803.19242478698</v>
      </c>
      <c r="R17" s="222"/>
      <c r="S17" s="222">
        <f t="shared" si="0"/>
        <v>165396.30415965451</v>
      </c>
      <c r="T17" s="222"/>
      <c r="U17" s="222">
        <f t="shared" si="0"/>
        <v>171185.17480524239</v>
      </c>
      <c r="V17" s="222"/>
      <c r="W17" s="222">
        <f t="shared" si="0"/>
        <v>177176.65592342586</v>
      </c>
      <c r="X17" s="222"/>
      <c r="Y17" s="222">
        <f t="shared" si="0"/>
        <v>183377.83888074575</v>
      </c>
      <c r="Z17" s="222"/>
      <c r="AA17" s="222">
        <f t="shared" si="0"/>
        <v>189796.06324157183</v>
      </c>
      <c r="AB17" s="222"/>
      <c r="AC17" s="222">
        <f t="shared" si="0"/>
        <v>196438.92545502682</v>
      </c>
      <c r="AD17" s="222"/>
      <c r="AE17" s="222">
        <f t="shared" si="0"/>
        <v>203314.28784595276</v>
      </c>
      <c r="AF17" s="222"/>
      <c r="AG17" s="222">
        <f t="shared" si="0"/>
        <v>210430.2879205611</v>
      </c>
    </row>
    <row r="18" spans="1:33" s="210" customFormat="1" ht="13.8">
      <c r="A18" s="210" t="s">
        <v>842</v>
      </c>
      <c r="C18" s="233"/>
      <c r="E18" s="222">
        <f>Application!W870</f>
        <v>204145</v>
      </c>
      <c r="F18" s="222"/>
      <c r="G18" s="222">
        <f t="shared" si="0"/>
        <v>211290.07499999998</v>
      </c>
      <c r="H18" s="222"/>
      <c r="I18" s="222">
        <f t="shared" si="0"/>
        <v>218685.22762499997</v>
      </c>
      <c r="J18" s="222"/>
      <c r="K18" s="222">
        <f t="shared" si="0"/>
        <v>226339.21059187496</v>
      </c>
      <c r="L18" s="222"/>
      <c r="M18" s="222">
        <f t="shared" si="0"/>
        <v>234261.08296259056</v>
      </c>
      <c r="N18" s="222"/>
      <c r="O18" s="222">
        <f t="shared" si="0"/>
        <v>242460.22086628122</v>
      </c>
      <c r="P18" s="222"/>
      <c r="Q18" s="222">
        <f t="shared" si="0"/>
        <v>250946.32859660103</v>
      </c>
      <c r="R18" s="222"/>
      <c r="S18" s="222">
        <f t="shared" si="0"/>
        <v>259729.45009748204</v>
      </c>
      <c r="T18" s="222"/>
      <c r="U18" s="222">
        <f t="shared" si="0"/>
        <v>268819.98085089389</v>
      </c>
      <c r="V18" s="222"/>
      <c r="W18" s="222">
        <f t="shared" si="0"/>
        <v>278228.68018067518</v>
      </c>
      <c r="X18" s="222"/>
      <c r="Y18" s="222">
        <f t="shared" si="0"/>
        <v>287966.6839869988</v>
      </c>
      <c r="Z18" s="222"/>
      <c r="AA18" s="222">
        <f t="shared" si="0"/>
        <v>298045.51792654372</v>
      </c>
      <c r="AB18" s="222"/>
      <c r="AC18" s="222">
        <f t="shared" si="0"/>
        <v>308477.11105397274</v>
      </c>
      <c r="AD18" s="222"/>
      <c r="AE18" s="222">
        <f t="shared" si="0"/>
        <v>319273.80994086177</v>
      </c>
      <c r="AF18" s="222"/>
      <c r="AG18" s="222">
        <f t="shared" si="0"/>
        <v>330448.39328879194</v>
      </c>
    </row>
    <row r="19" spans="1:33" s="210" customFormat="1" ht="13.8">
      <c r="A19" s="210" t="s">
        <v>155</v>
      </c>
      <c r="C19" s="233"/>
      <c r="E19" s="222">
        <f>Application!W872</f>
        <v>85455</v>
      </c>
      <c r="F19" s="222"/>
      <c r="G19" s="222">
        <f t="shared" si="0"/>
        <v>88445.924999999988</v>
      </c>
      <c r="H19" s="222"/>
      <c r="I19" s="222">
        <f t="shared" si="0"/>
        <v>91541.532374999981</v>
      </c>
      <c r="J19" s="222"/>
      <c r="K19" s="222">
        <f t="shared" si="0"/>
        <v>94745.486008124979</v>
      </c>
      <c r="L19" s="222"/>
      <c r="M19" s="222">
        <f t="shared" si="0"/>
        <v>98061.578018409346</v>
      </c>
      <c r="N19" s="222"/>
      <c r="O19" s="222">
        <f t="shared" si="0"/>
        <v>101493.73324905366</v>
      </c>
      <c r="P19" s="222"/>
      <c r="Q19" s="222">
        <f t="shared" si="0"/>
        <v>105046.01391277053</v>
      </c>
      <c r="R19" s="222"/>
      <c r="S19" s="222">
        <f t="shared" si="0"/>
        <v>108722.62439971749</v>
      </c>
      <c r="T19" s="222"/>
      <c r="U19" s="222">
        <f t="shared" si="0"/>
        <v>112527.91625370759</v>
      </c>
      <c r="V19" s="222"/>
      <c r="W19" s="222">
        <f t="shared" si="0"/>
        <v>116466.39332258735</v>
      </c>
      <c r="X19" s="222"/>
      <c r="Y19" s="222">
        <f t="shared" si="0"/>
        <v>120542.71708887789</v>
      </c>
      <c r="Z19" s="222"/>
      <c r="AA19" s="222">
        <f t="shared" si="0"/>
        <v>124761.7121869886</v>
      </c>
      <c r="AB19" s="222"/>
      <c r="AC19" s="222">
        <f t="shared" si="0"/>
        <v>129128.37211353319</v>
      </c>
      <c r="AD19" s="222"/>
      <c r="AE19" s="222">
        <f t="shared" si="0"/>
        <v>133647.86513750683</v>
      </c>
      <c r="AF19" s="222"/>
      <c r="AG19" s="222">
        <f t="shared" si="0"/>
        <v>138325.54041731957</v>
      </c>
    </row>
    <row r="20" spans="1:33" s="210" customFormat="1" ht="13.8">
      <c r="A20" s="210" t="s">
        <v>390</v>
      </c>
      <c r="C20" s="233"/>
      <c r="E20" s="222">
        <f>Application!W881</f>
        <v>76298</v>
      </c>
      <c r="F20" s="222"/>
      <c r="G20" s="222">
        <f t="shared" si="0"/>
        <v>78968.429999999993</v>
      </c>
      <c r="H20" s="222"/>
      <c r="I20" s="222">
        <f t="shared" si="0"/>
        <v>81732.325049999985</v>
      </c>
      <c r="J20" s="222"/>
      <c r="K20" s="222">
        <f t="shared" si="0"/>
        <v>84592.956426749981</v>
      </c>
      <c r="L20" s="222"/>
      <c r="M20" s="222">
        <f t="shared" si="0"/>
        <v>87553.709901686219</v>
      </c>
      <c r="N20" s="222"/>
      <c r="O20" s="222">
        <f t="shared" si="0"/>
        <v>90618.089748245227</v>
      </c>
      <c r="P20" s="222"/>
      <c r="Q20" s="222">
        <f t="shared" si="0"/>
        <v>93789.722889433804</v>
      </c>
      <c r="R20" s="222"/>
      <c r="S20" s="222">
        <f t="shared" si="0"/>
        <v>97072.363190563978</v>
      </c>
      <c r="T20" s="222"/>
      <c r="U20" s="222">
        <f t="shared" si="0"/>
        <v>100469.89590223371</v>
      </c>
      <c r="V20" s="222"/>
      <c r="W20" s="222">
        <f t="shared" si="0"/>
        <v>103986.34225881188</v>
      </c>
      <c r="X20" s="222"/>
      <c r="Y20" s="222">
        <f t="shared" si="0"/>
        <v>107625.86423787029</v>
      </c>
      <c r="Z20" s="222"/>
      <c r="AA20" s="222">
        <f t="shared" si="0"/>
        <v>111392.76948619574</v>
      </c>
      <c r="AB20" s="222"/>
      <c r="AC20" s="222">
        <f t="shared" si="0"/>
        <v>115291.51641821259</v>
      </c>
      <c r="AD20" s="222"/>
      <c r="AE20" s="222">
        <f t="shared" si="0"/>
        <v>119326.71949285002</v>
      </c>
      <c r="AF20" s="222"/>
      <c r="AG20" s="222">
        <f t="shared" si="0"/>
        <v>123503.15467509977</v>
      </c>
    </row>
    <row r="21" spans="1:33" s="210" customFormat="1" ht="13.8">
      <c r="A21" s="226" t="s">
        <v>2743</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3.8">
      <c r="A22" s="223" t="s">
        <v>843</v>
      </c>
      <c r="C22" s="233"/>
      <c r="E22" s="223">
        <f>SUM(E15:E21)</f>
        <v>662898</v>
      </c>
      <c r="G22" s="223">
        <f>SUM(G15:G21)</f>
        <v>686099.42999999993</v>
      </c>
      <c r="I22" s="223">
        <f>SUM(I15:I21)</f>
        <v>710112.91004999995</v>
      </c>
      <c r="K22" s="223">
        <f>SUM(K15:K21)</f>
        <v>734966.86190174986</v>
      </c>
      <c r="M22" s="223">
        <f>SUM(M15:M21)</f>
        <v>760690.70206831093</v>
      </c>
      <c r="O22" s="223">
        <f>SUM(O15:O21)</f>
        <v>787314.8766407019</v>
      </c>
      <c r="Q22" s="223">
        <f>SUM(Q15:Q21)</f>
        <v>814870.89732312644</v>
      </c>
      <c r="S22" s="223">
        <f>SUM(S15:S21)</f>
        <v>843391.37872943573</v>
      </c>
      <c r="U22" s="223">
        <f>SUM(U15:U21)</f>
        <v>872910.07698496582</v>
      </c>
      <c r="W22" s="223">
        <f>SUM(W15:W21)</f>
        <v>903461.92967943975</v>
      </c>
      <c r="Y22" s="223">
        <f>SUM(Y15:Y21)</f>
        <v>935083.09721822012</v>
      </c>
      <c r="AA22" s="223">
        <f>SUM(AA15:AA21)</f>
        <v>967811.00562085747</v>
      </c>
      <c r="AC22" s="223">
        <f>SUM(AC15:AC21)</f>
        <v>1001684.3908175875</v>
      </c>
      <c r="AE22" s="223">
        <f>SUM(AE15:AE21)</f>
        <v>1036743.344496203</v>
      </c>
      <c r="AG22" s="223">
        <f>SUM(AG15:AG21)</f>
        <v>1073029.36155357</v>
      </c>
    </row>
    <row r="23" spans="1:33" s="210" customFormat="1" ht="13.8">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3.8">
      <c r="A24" s="210" t="s">
        <v>1670</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3.8">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3.8">
      <c r="A26" s="210" t="s">
        <v>1158</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3.8">
      <c r="A27" s="210" t="s">
        <v>845</v>
      </c>
      <c r="C27" s="237">
        <v>1.0349999999999999</v>
      </c>
      <c r="E27" s="222">
        <f>Application!AC897</f>
        <v>30000</v>
      </c>
      <c r="F27" s="222"/>
      <c r="G27" s="222">
        <f>E27*$C$27</f>
        <v>31049.999999999996</v>
      </c>
      <c r="H27" s="222"/>
      <c r="I27" s="222">
        <f>G27*$C$27</f>
        <v>32136.749999999993</v>
      </c>
      <c r="J27" s="222"/>
      <c r="K27" s="222">
        <f>I27*$C$27</f>
        <v>33261.53624999999</v>
      </c>
      <c r="L27" s="222"/>
      <c r="M27" s="222">
        <f>K27*$C$27</f>
        <v>34425.690018749985</v>
      </c>
      <c r="N27" s="222"/>
      <c r="O27" s="222">
        <f>M27*$C$27</f>
        <v>35630.58916940623</v>
      </c>
      <c r="P27" s="222"/>
      <c r="Q27" s="222">
        <f>O27*$C$27</f>
        <v>36877.659790335449</v>
      </c>
      <c r="R27" s="222"/>
      <c r="S27" s="222">
        <f>Q27*$C$27</f>
        <v>38168.377882997185</v>
      </c>
      <c r="T27" s="222"/>
      <c r="U27" s="222">
        <f>S27*$C$27</f>
        <v>39504.271108902081</v>
      </c>
      <c r="V27" s="222"/>
      <c r="W27" s="222">
        <f>U27*$C$27</f>
        <v>40886.920597713652</v>
      </c>
      <c r="X27" s="222"/>
      <c r="Y27" s="222">
        <f>W27*$C$27</f>
        <v>42317.962818633627</v>
      </c>
      <c r="Z27" s="222"/>
      <c r="AA27" s="222">
        <f>Y27*$C$27</f>
        <v>43799.0915172858</v>
      </c>
      <c r="AB27" s="222"/>
      <c r="AC27" s="222">
        <f>AA27*$C$27</f>
        <v>45332.059720390796</v>
      </c>
      <c r="AD27" s="222"/>
      <c r="AE27" s="222">
        <f>AC27*$C$27</f>
        <v>46918.681810604474</v>
      </c>
      <c r="AF27" s="222"/>
      <c r="AG27" s="222">
        <f>AE27*$C$27</f>
        <v>48560.835673975627</v>
      </c>
    </row>
    <row r="28" spans="1:33" s="210" customFormat="1" ht="13.8">
      <c r="A28" s="210" t="s">
        <v>846</v>
      </c>
      <c r="C28" s="237">
        <v>1</v>
      </c>
      <c r="E28" s="222">
        <f>Application!AC898</f>
        <v>25500</v>
      </c>
      <c r="F28" s="222"/>
      <c r="G28" s="222">
        <f>E28*$C$28</f>
        <v>25500</v>
      </c>
      <c r="H28" s="222"/>
      <c r="I28" s="222">
        <f t="shared" ref="I28:AG28" si="1">G28*$C$28</f>
        <v>25500</v>
      </c>
      <c r="J28" s="222"/>
      <c r="K28" s="222">
        <f t="shared" si="1"/>
        <v>25500</v>
      </c>
      <c r="L28" s="222"/>
      <c r="M28" s="222">
        <f t="shared" si="1"/>
        <v>25500</v>
      </c>
      <c r="N28" s="222"/>
      <c r="O28" s="222">
        <f t="shared" si="1"/>
        <v>25500</v>
      </c>
      <c r="P28" s="222"/>
      <c r="Q28" s="222">
        <f t="shared" si="1"/>
        <v>25500</v>
      </c>
      <c r="R28" s="222"/>
      <c r="S28" s="222">
        <f t="shared" si="1"/>
        <v>25500</v>
      </c>
      <c r="T28" s="222"/>
      <c r="U28" s="222">
        <f t="shared" si="1"/>
        <v>25500</v>
      </c>
      <c r="V28" s="222"/>
      <c r="W28" s="222">
        <f t="shared" si="1"/>
        <v>25500</v>
      </c>
      <c r="X28" s="222"/>
      <c r="Y28" s="222">
        <f t="shared" si="1"/>
        <v>25500</v>
      </c>
      <c r="Z28" s="222"/>
      <c r="AA28" s="222">
        <f t="shared" si="1"/>
        <v>25500</v>
      </c>
      <c r="AB28" s="222"/>
      <c r="AC28" s="222">
        <f t="shared" si="1"/>
        <v>25500</v>
      </c>
      <c r="AD28" s="222"/>
      <c r="AE28" s="222">
        <f t="shared" si="1"/>
        <v>25500</v>
      </c>
      <c r="AF28" s="222"/>
      <c r="AG28" s="222">
        <f t="shared" si="1"/>
        <v>25500</v>
      </c>
    </row>
    <row r="29" spans="1:33" s="210" customFormat="1" ht="13.8">
      <c r="A29" s="210" t="s">
        <v>1668</v>
      </c>
      <c r="C29" s="237"/>
      <c r="E29" s="222">
        <f>Application!AC899</f>
        <v>10500</v>
      </c>
      <c r="F29" s="222"/>
      <c r="G29" s="222">
        <f>$E$29</f>
        <v>10500</v>
      </c>
      <c r="H29" s="222"/>
      <c r="I29" s="222">
        <f>$E$29</f>
        <v>10500</v>
      </c>
      <c r="J29" s="222"/>
      <c r="K29" s="222">
        <f>$E$29</f>
        <v>10500</v>
      </c>
      <c r="L29" s="222"/>
      <c r="M29" s="222">
        <f>$E$29</f>
        <v>10500</v>
      </c>
      <c r="N29" s="222"/>
      <c r="O29" s="222">
        <f>$E$29</f>
        <v>10500</v>
      </c>
      <c r="P29" s="222"/>
      <c r="Q29" s="222">
        <f>$E$29</f>
        <v>10500</v>
      </c>
      <c r="R29" s="222"/>
      <c r="S29" s="222">
        <f>$E$29</f>
        <v>10500</v>
      </c>
      <c r="T29" s="222"/>
      <c r="U29" s="222">
        <f>$E$29</f>
        <v>10500</v>
      </c>
      <c r="V29" s="222"/>
      <c r="W29" s="222">
        <f>$E$29</f>
        <v>10500</v>
      </c>
      <c r="X29" s="222"/>
      <c r="Y29" s="222">
        <f>$E$29</f>
        <v>10500</v>
      </c>
      <c r="Z29" s="222"/>
      <c r="AA29" s="222">
        <f>$E$29</f>
        <v>10500</v>
      </c>
      <c r="AB29" s="222"/>
      <c r="AC29" s="222">
        <f>$E$29</f>
        <v>10500</v>
      </c>
      <c r="AD29" s="222"/>
      <c r="AE29" s="222">
        <f>$E$29</f>
        <v>10500</v>
      </c>
      <c r="AF29" s="222"/>
      <c r="AG29" s="222">
        <f>$E$29</f>
        <v>10500</v>
      </c>
    </row>
    <row r="30" spans="1:33" s="210" customFormat="1" ht="13.8">
      <c r="A30" s="210" t="s">
        <v>844</v>
      </c>
      <c r="C30" s="237">
        <v>1.0349999999999999</v>
      </c>
      <c r="E30" s="222">
        <f>Application!AC900</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3.8">
      <c r="A31" s="210" t="s">
        <v>1669</v>
      </c>
      <c r="C31" s="237">
        <v>1.0349999999999999</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3.8">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3.8">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3.8">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3.8">
      <c r="A35" s="223" t="s">
        <v>178</v>
      </c>
      <c r="C35" s="224"/>
      <c r="E35" s="223">
        <f>SUM(E22:E33)</f>
        <v>728898</v>
      </c>
      <c r="G35" s="223">
        <f>SUM(G22:G33)</f>
        <v>753149.42999999993</v>
      </c>
      <c r="I35" s="223">
        <f>SUM(I22:I33)</f>
        <v>778249.66004999995</v>
      </c>
      <c r="K35" s="223">
        <f>SUM(K22:K33)</f>
        <v>804228.39815174986</v>
      </c>
      <c r="M35" s="223">
        <f>SUM(M22:M33)</f>
        <v>831116.39208706096</v>
      </c>
      <c r="O35" s="223">
        <f>SUM(O22:O33)</f>
        <v>858945.46581010811</v>
      </c>
      <c r="Q35" s="223">
        <f>SUM(Q22:Q33)</f>
        <v>887748.55711346189</v>
      </c>
      <c r="S35" s="223">
        <f>SUM(S22:S33)</f>
        <v>917559.75661243289</v>
      </c>
      <c r="U35" s="223">
        <f>SUM(U22:U33)</f>
        <v>948414.34809386788</v>
      </c>
      <c r="W35" s="223">
        <f>SUM(W22:W33)</f>
        <v>980348.85027715343</v>
      </c>
      <c r="Y35" s="223">
        <f>SUM(Y22:Y33)</f>
        <v>1013401.0600368538</v>
      </c>
      <c r="AA35" s="223">
        <f>SUM(AA22:AA33)</f>
        <v>1047610.0971381433</v>
      </c>
      <c r="AC35" s="223">
        <f>SUM(AC22:AC33)</f>
        <v>1083016.4505379782</v>
      </c>
      <c r="AE35" s="223">
        <f>SUM(AE22:AE33)</f>
        <v>1119662.0263068075</v>
      </c>
      <c r="AG35" s="223">
        <f>SUM(AG22:AG33)</f>
        <v>1157590.1972275455</v>
      </c>
    </row>
    <row r="36" spans="1:33" s="210" customFormat="1" ht="13.8">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3.8">
      <c r="A37" s="223" t="s">
        <v>847</v>
      </c>
      <c r="C37" s="224"/>
      <c r="E37" s="223">
        <f>E11-E35</f>
        <v>2430042</v>
      </c>
      <c r="G37" s="223">
        <f>G11-G35</f>
        <v>2484764.0700000003</v>
      </c>
      <c r="I37" s="223">
        <f>I11-I35</f>
        <v>2540611.6774499998</v>
      </c>
      <c r="K37" s="223">
        <f>K11-K35</f>
        <v>2597604.4727857499</v>
      </c>
      <c r="M37" s="223">
        <f>M11-M35</f>
        <v>2655762.3006238756</v>
      </c>
      <c r="O37" s="223">
        <f>O11-O35</f>
        <v>2715105.194218602</v>
      </c>
      <c r="Q37" s="223">
        <f>Q11-Q35</f>
        <v>2775653.3694159659</v>
      </c>
      <c r="S37" s="223">
        <f>S11-S35</f>
        <v>2837427.2180802301</v>
      </c>
      <c r="U37" s="223">
        <f>U11-U35</f>
        <v>2900447.3009661115</v>
      </c>
      <c r="W37" s="223">
        <f>W11-W35</f>
        <v>2964734.3400093252</v>
      </c>
      <c r="Y37" s="223">
        <f>Y11-Y35</f>
        <v>3030309.2100067865</v>
      </c>
      <c r="AA37" s="223">
        <f>AA11-AA35</f>
        <v>3097192.9296565875</v>
      </c>
      <c r="AC37" s="223">
        <f>AC11-AC35</f>
        <v>3165406.6519266204</v>
      </c>
      <c r="AE37" s="223">
        <f>AE11-AE35</f>
        <v>3234971.6537194061</v>
      </c>
      <c r="AG37" s="223">
        <f>AG11-AG35</f>
        <v>3305909.324799323</v>
      </c>
    </row>
    <row r="38" spans="1:33" s="210" customFormat="1" ht="13.8">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3.8">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3.8">
      <c r="A40" s="225" t="str">
        <f>Application!C635</f>
        <v>Permanent Loan (Tranche A)</v>
      </c>
      <c r="B40" s="226"/>
      <c r="C40" s="220"/>
      <c r="E40" s="222">
        <f>Application!AF635</f>
        <v>1511402</v>
      </c>
      <c r="F40" s="222"/>
      <c r="G40" s="222">
        <f>$E$40</f>
        <v>1511402</v>
      </c>
      <c r="H40" s="222"/>
      <c r="I40" s="222">
        <f>$E$40</f>
        <v>1511402</v>
      </c>
      <c r="J40" s="222"/>
      <c r="K40" s="222">
        <f>$E$40</f>
        <v>1511402</v>
      </c>
      <c r="L40" s="222"/>
      <c r="M40" s="222">
        <f>$E$40</f>
        <v>1511402</v>
      </c>
      <c r="N40" s="222"/>
      <c r="O40" s="222">
        <f>$E$40</f>
        <v>1511402</v>
      </c>
      <c r="P40" s="222"/>
      <c r="Q40" s="222">
        <f>$E$40</f>
        <v>1511402</v>
      </c>
      <c r="R40" s="222"/>
      <c r="S40" s="222">
        <f>$E$40</f>
        <v>1511402</v>
      </c>
      <c r="T40" s="222"/>
      <c r="U40" s="222">
        <f>$E$40</f>
        <v>1511402</v>
      </c>
      <c r="V40" s="222"/>
      <c r="W40" s="222">
        <f>$E$40</f>
        <v>1511402</v>
      </c>
      <c r="X40" s="222"/>
      <c r="Y40" s="222">
        <f>$E$40</f>
        <v>1511402</v>
      </c>
      <c r="Z40" s="222"/>
      <c r="AA40" s="222">
        <f>$E$40</f>
        <v>1511402</v>
      </c>
      <c r="AB40" s="222"/>
      <c r="AC40" s="222">
        <f>$E$40</f>
        <v>1511402</v>
      </c>
      <c r="AD40" s="222"/>
      <c r="AE40" s="222">
        <f>$E$40</f>
        <v>1511402</v>
      </c>
      <c r="AF40" s="222"/>
      <c r="AG40" s="222">
        <f>$E$40</f>
        <v>1511402</v>
      </c>
    </row>
    <row r="41" spans="1:33" s="210" customFormat="1" ht="13.8">
      <c r="A41" s="226" t="s">
        <v>2736</v>
      </c>
      <c r="B41" s="226"/>
      <c r="C41" s="220"/>
      <c r="E41" s="222">
        <f>Application!AF636</f>
        <v>601659</v>
      </c>
      <c r="F41" s="222"/>
      <c r="G41" s="222">
        <f>$E$41</f>
        <v>601659</v>
      </c>
      <c r="H41" s="222"/>
      <c r="I41" s="222">
        <f>$E$41</f>
        <v>601659</v>
      </c>
      <c r="J41" s="222"/>
      <c r="K41" s="222">
        <f>$E$41</f>
        <v>601659</v>
      </c>
      <c r="L41" s="222"/>
      <c r="M41" s="222">
        <f>$E$41</f>
        <v>601659</v>
      </c>
      <c r="N41" s="222"/>
      <c r="O41" s="222">
        <f>$E$41</f>
        <v>601659</v>
      </c>
      <c r="P41" s="222"/>
      <c r="Q41" s="222">
        <f>$E$41</f>
        <v>601659</v>
      </c>
      <c r="R41" s="222"/>
      <c r="S41" s="222">
        <f>$E$41</f>
        <v>601659</v>
      </c>
      <c r="T41" s="222"/>
      <c r="U41" s="222">
        <f>$E$41</f>
        <v>601659</v>
      </c>
      <c r="V41" s="222"/>
      <c r="W41" s="222">
        <f>$E$41</f>
        <v>601659</v>
      </c>
      <c r="X41" s="222"/>
      <c r="Y41" s="222">
        <f>$E$41</f>
        <v>601659</v>
      </c>
      <c r="Z41" s="222"/>
      <c r="AA41" s="222">
        <f>$E$41</f>
        <v>601659</v>
      </c>
      <c r="AB41" s="222"/>
      <c r="AC41" s="222">
        <f>$E$41</f>
        <v>601659</v>
      </c>
      <c r="AD41" s="222"/>
      <c r="AE41" s="222">
        <f>$E$41</f>
        <v>601659</v>
      </c>
      <c r="AF41" s="222"/>
      <c r="AG41" s="222">
        <f>$E$41</f>
        <v>601659</v>
      </c>
    </row>
    <row r="42" spans="1:33" s="210" customFormat="1" ht="13.8">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3.8">
      <c r="A43" s="223" t="s">
        <v>848</v>
      </c>
      <c r="C43" s="224"/>
      <c r="E43" s="223">
        <f>SUM(E40:E42)</f>
        <v>2113061</v>
      </c>
      <c r="G43" s="223">
        <f>SUM(G40:G42)</f>
        <v>2113061</v>
      </c>
      <c r="I43" s="223">
        <f>SUM(I40:I42)</f>
        <v>2113061</v>
      </c>
      <c r="K43" s="223">
        <f>SUM(K40:K42)</f>
        <v>2113061</v>
      </c>
      <c r="M43" s="223">
        <f>SUM(M40:M42)</f>
        <v>2113061</v>
      </c>
      <c r="O43" s="223">
        <f>SUM(O40:O42)</f>
        <v>2113061</v>
      </c>
      <c r="Q43" s="223">
        <f>SUM(Q40:Q42)</f>
        <v>2113061</v>
      </c>
      <c r="S43" s="223">
        <f>SUM(S40:S42)</f>
        <v>2113061</v>
      </c>
      <c r="U43" s="223">
        <f>SUM(U40:U42)</f>
        <v>2113061</v>
      </c>
      <c r="W43" s="223">
        <f>SUM(W40:W42)</f>
        <v>2113061</v>
      </c>
      <c r="Y43" s="223">
        <f>SUM(Y40:Y42)</f>
        <v>2113061</v>
      </c>
      <c r="AA43" s="223">
        <f>SUM(AA40:AA42)</f>
        <v>2113061</v>
      </c>
      <c r="AC43" s="223">
        <f>SUM(AC40:AC42)</f>
        <v>2113061</v>
      </c>
      <c r="AE43" s="223">
        <f>SUM(AE40:AE42)</f>
        <v>2113061</v>
      </c>
      <c r="AG43" s="223">
        <f>SUM(AG40:AG42)</f>
        <v>2113061</v>
      </c>
    </row>
    <row r="44" spans="1:33" s="210" customFormat="1" ht="13.8">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3.8">
      <c r="A45" s="223" t="s">
        <v>849</v>
      </c>
      <c r="C45" s="224"/>
      <c r="E45" s="223">
        <f>E37-E43</f>
        <v>316981</v>
      </c>
      <c r="G45" s="223">
        <f>G37-G43</f>
        <v>371703.0700000003</v>
      </c>
      <c r="I45" s="223">
        <f>I37-I43</f>
        <v>427550.67744999984</v>
      </c>
      <c r="K45" s="223">
        <f>K37-K43</f>
        <v>484543.47278574994</v>
      </c>
      <c r="M45" s="223">
        <f>M37-M43</f>
        <v>542701.30062387558</v>
      </c>
      <c r="O45" s="223">
        <f>O37-O43</f>
        <v>602044.19421860203</v>
      </c>
      <c r="Q45" s="223">
        <f>Q37-Q43</f>
        <v>662592.36941596586</v>
      </c>
      <c r="S45" s="223">
        <f>S37-S43</f>
        <v>724366.21808023006</v>
      </c>
      <c r="U45" s="223">
        <f>U37-U43</f>
        <v>787386.30096611148</v>
      </c>
      <c r="W45" s="223">
        <f>W37-W43</f>
        <v>851673.34000932518</v>
      </c>
      <c r="Y45" s="223">
        <f>Y37-Y43</f>
        <v>917248.21000678651</v>
      </c>
      <c r="AA45" s="223">
        <f>AA37-AA43</f>
        <v>984131.92965658754</v>
      </c>
      <c r="AC45" s="223">
        <f>AC37-AC43</f>
        <v>1052345.6519266204</v>
      </c>
      <c r="AE45" s="223">
        <f>AE37-AE43</f>
        <v>1121910.6537194061</v>
      </c>
      <c r="AG45" s="223">
        <f>AG37-AG43</f>
        <v>1192848.324799323</v>
      </c>
    </row>
    <row r="46" spans="1:33" s="210" customFormat="1" ht="13.8">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3.8">
      <c r="A47" s="227" t="s">
        <v>851</v>
      </c>
      <c r="C47" s="220"/>
      <c r="E47" s="227">
        <f>E45/(E4+E6+E8)</f>
        <v>9.5326897630217733E-2</v>
      </c>
      <c r="G47" s="227">
        <f>G45/(G4+G6+G8)</f>
        <v>0.10905724210977233</v>
      </c>
      <c r="I47" s="227">
        <f>I45/(I4+I6+I8)</f>
        <v>0.12238328217817564</v>
      </c>
      <c r="K47" s="227">
        <f>K45/(K4+K6+K8)</f>
        <v>0.13531420167023239</v>
      </c>
      <c r="M47" s="227">
        <f>M45/(M4+M6+M8)</f>
        <v>0.14785895381747438</v>
      </c>
      <c r="O47" s="227">
        <f>O45/(O4+O6+O8)</f>
        <v>0.16002626680817042</v>
      </c>
      <c r="Q47" s="227">
        <f>Q45/(Q4+Q6+Q8)</f>
        <v>0.17182464921109475</v>
      </c>
      <c r="S47" s="227">
        <f>S45/(S4+S6+S8)</f>
        <v>0.18326239526637556</v>
      </c>
      <c r="U47" s="227">
        <f>U45/(U4+U6+U8)</f>
        <v>0.19434759004665617</v>
      </c>
      <c r="W47" s="227">
        <f>W45/(W4+W6+W8)</f>
        <v>0.20508811449172648</v>
      </c>
      <c r="Y47" s="227">
        <f>Y45/(Y4+Y6+Y8)</f>
        <v>0.21549165031970582</v>
      </c>
      <c r="AA47" s="227">
        <f>AA45/(AA4+AA6+AA8)</f>
        <v>0.22556568481777939</v>
      </c>
      <c r="AC47" s="227">
        <f>AC45/(AC4+AC6+AC8)</f>
        <v>0.23531751551542171</v>
      </c>
      <c r="AE47" s="227">
        <f>AE45/(AE4+AE6+AE8)</f>
        <v>0.24475425474296608</v>
      </c>
      <c r="AG47" s="227">
        <f>AG45/(AG4+AG6+AG8)</f>
        <v>0.25388283407830853</v>
      </c>
    </row>
    <row r="48" spans="1:33" s="227" customFormat="1" ht="13.8">
      <c r="A48" s="227" t="s">
        <v>852</v>
      </c>
      <c r="C48" s="220"/>
      <c r="E48" s="227">
        <f>E45/E43</f>
        <v>0.15001034044923456</v>
      </c>
      <c r="G48" s="227">
        <f>G45/G43</f>
        <v>0.17590740163204011</v>
      </c>
      <c r="I48" s="227">
        <f>I45/I43</f>
        <v>0.20233712015412705</v>
      </c>
      <c r="K48" s="227">
        <f>K45/K43</f>
        <v>0.22930879552731792</v>
      </c>
      <c r="M48" s="227">
        <f>M45/M43</f>
        <v>0.25683181915897157</v>
      </c>
      <c r="O48" s="227">
        <f>O45/O43</f>
        <v>0.28491567172864485</v>
      </c>
      <c r="Q48" s="227">
        <f>Q45/Q43</f>
        <v>0.31356992032694081</v>
      </c>
      <c r="S48" s="227">
        <f>S45/S43</f>
        <v>0.34280421534457833</v>
      </c>
      <c r="U48" s="227">
        <f>U45/U43</f>
        <v>0.37262828709919471</v>
      </c>
      <c r="W48" s="227">
        <f>W45/W43</f>
        <v>0.40305194218686785</v>
      </c>
      <c r="Y48" s="227">
        <f>Y45/Y43</f>
        <v>0.43408505954479615</v>
      </c>
      <c r="AA48" s="227">
        <f>AA45/AA43</f>
        <v>0.4657375862109932</v>
      </c>
      <c r="AC48" s="227">
        <f>AC45/AC43</f>
        <v>0.49801953276626676</v>
      </c>
      <c r="AE48" s="227">
        <f>AE45/AE43</f>
        <v>0.53094096844312877</v>
      </c>
      <c r="AG48" s="227">
        <f>AG45/AG43</f>
        <v>0.56451201588563837</v>
      </c>
    </row>
    <row r="49" spans="1:34" s="228" customFormat="1" ht="13.8">
      <c r="A49" s="228" t="s">
        <v>850</v>
      </c>
      <c r="C49" s="229"/>
      <c r="E49" s="228">
        <f>E37/E43</f>
        <v>1.1500103404492346</v>
      </c>
      <c r="G49" s="228">
        <f>G37/G43</f>
        <v>1.1759074016320401</v>
      </c>
      <c r="I49" s="228">
        <f>I37/I43</f>
        <v>1.2023371201541271</v>
      </c>
      <c r="K49" s="228">
        <f>K37/K43</f>
        <v>1.2293087955273179</v>
      </c>
      <c r="M49" s="228">
        <f>M37/M43</f>
        <v>1.2568318191589716</v>
      </c>
      <c r="O49" s="228">
        <f>O37/O43</f>
        <v>1.284915671728645</v>
      </c>
      <c r="Q49" s="228">
        <f>Q37/Q43</f>
        <v>1.3135699203269409</v>
      </c>
      <c r="S49" s="228">
        <f>S37/S43</f>
        <v>1.3428042153445783</v>
      </c>
      <c r="U49" s="228">
        <f>U37/U43</f>
        <v>1.3726282870991948</v>
      </c>
      <c r="W49" s="228">
        <f>W37/W43</f>
        <v>1.4030519421868679</v>
      </c>
      <c r="Y49" s="228">
        <f>Y37/Y43</f>
        <v>1.4340850595447963</v>
      </c>
      <c r="AA49" s="228">
        <f>AA37/AA43</f>
        <v>1.4657375862109931</v>
      </c>
      <c r="AC49" s="228">
        <f>AC37/AC43</f>
        <v>1.4980195327662666</v>
      </c>
      <c r="AE49" s="228">
        <f>AE37/AE43</f>
        <v>1.5309409684431288</v>
      </c>
      <c r="AG49" s="228">
        <f>AG37/AG43</f>
        <v>1.5645120158856385</v>
      </c>
    </row>
    <row r="50" spans="1:34" s="210" customFormat="1" ht="13.8">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9" t="s">
        <v>1183</v>
      </c>
      <c r="B52" s="2689"/>
      <c r="C52" s="2689"/>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v>1.03</v>
      </c>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855</v>
      </c>
      <c r="C54" s="954"/>
      <c r="E54" s="961">
        <v>5000</v>
      </c>
      <c r="F54" s="956"/>
      <c r="G54" s="956">
        <f t="shared" ref="G54:AG56" si="2">E54*$C$53</f>
        <v>5150</v>
      </c>
      <c r="H54" s="956"/>
      <c r="I54" s="956">
        <f t="shared" si="2"/>
        <v>5304.5</v>
      </c>
      <c r="J54" s="956"/>
      <c r="K54" s="956">
        <f t="shared" si="2"/>
        <v>5463.6350000000002</v>
      </c>
      <c r="L54" s="956"/>
      <c r="M54" s="956">
        <f t="shared" si="2"/>
        <v>5627.5440500000004</v>
      </c>
      <c r="N54" s="956"/>
      <c r="O54" s="956">
        <f t="shared" si="2"/>
        <v>5796.3703715000001</v>
      </c>
      <c r="P54" s="956"/>
      <c r="Q54" s="956">
        <f t="shared" si="2"/>
        <v>5970.2614826449999</v>
      </c>
      <c r="R54" s="956"/>
      <c r="S54" s="956">
        <f t="shared" si="2"/>
        <v>6149.3693271243501</v>
      </c>
      <c r="T54" s="956"/>
      <c r="U54" s="956">
        <f t="shared" si="2"/>
        <v>6333.8504069380806</v>
      </c>
      <c r="V54" s="956"/>
      <c r="W54" s="956">
        <f t="shared" si="2"/>
        <v>6523.865919146223</v>
      </c>
      <c r="X54" s="956"/>
      <c r="Y54" s="956">
        <f t="shared" si="2"/>
        <v>6719.5818967206096</v>
      </c>
      <c r="Z54" s="956"/>
      <c r="AA54" s="956">
        <f t="shared" si="2"/>
        <v>6921.1693536222283</v>
      </c>
      <c r="AB54" s="956"/>
      <c r="AC54" s="956">
        <f t="shared" si="2"/>
        <v>7128.8044342308949</v>
      </c>
      <c r="AD54" s="956"/>
      <c r="AE54" s="956">
        <f t="shared" si="2"/>
        <v>7342.6685672578224</v>
      </c>
      <c r="AF54" s="956"/>
      <c r="AG54" s="956">
        <f t="shared" si="2"/>
        <v>7562.9486242755574</v>
      </c>
      <c r="AH54" s="956"/>
    </row>
    <row r="55" spans="1:34" s="3" customFormat="1">
      <c r="A55" s="3" t="s">
        <v>856</v>
      </c>
      <c r="C55" s="954"/>
      <c r="E55" s="961"/>
      <c r="F55" s="956"/>
      <c r="G55" s="956">
        <f t="shared" si="2"/>
        <v>0</v>
      </c>
      <c r="H55" s="956"/>
      <c r="I55" s="956">
        <f t="shared" si="2"/>
        <v>0</v>
      </c>
      <c r="J55" s="956"/>
      <c r="K55" s="956">
        <f t="shared" si="2"/>
        <v>0</v>
      </c>
      <c r="L55" s="956"/>
      <c r="M55" s="956">
        <f t="shared" si="2"/>
        <v>0</v>
      </c>
      <c r="N55" s="956"/>
      <c r="O55" s="956">
        <f t="shared" si="2"/>
        <v>0</v>
      </c>
      <c r="P55" s="956"/>
      <c r="Q55" s="956">
        <f t="shared" si="2"/>
        <v>0</v>
      </c>
      <c r="R55" s="956"/>
      <c r="S55" s="956">
        <f t="shared" si="2"/>
        <v>0</v>
      </c>
      <c r="T55" s="956"/>
      <c r="U55" s="956">
        <f t="shared" si="2"/>
        <v>0</v>
      </c>
      <c r="V55" s="956"/>
      <c r="W55" s="956">
        <f t="shared" si="2"/>
        <v>0</v>
      </c>
      <c r="X55" s="956"/>
      <c r="Y55" s="956">
        <f t="shared" si="2"/>
        <v>0</v>
      </c>
      <c r="Z55" s="956"/>
      <c r="AA55" s="956">
        <f t="shared" si="2"/>
        <v>0</v>
      </c>
      <c r="AB55" s="956"/>
      <c r="AC55" s="956">
        <f t="shared" si="2"/>
        <v>0</v>
      </c>
      <c r="AD55" s="956"/>
      <c r="AE55" s="956">
        <f t="shared" si="2"/>
        <v>0</v>
      </c>
      <c r="AF55" s="956"/>
      <c r="AG55" s="956">
        <f t="shared" si="2"/>
        <v>0</v>
      </c>
      <c r="AH55" s="956"/>
    </row>
    <row r="56" spans="1:34" s="3" customFormat="1">
      <c r="A56" s="962" t="s">
        <v>2749</v>
      </c>
      <c r="B56" s="962"/>
      <c r="C56" s="954"/>
      <c r="E56" s="961">
        <v>10800</v>
      </c>
      <c r="F56" s="956"/>
      <c r="G56" s="956">
        <f t="shared" si="2"/>
        <v>11124</v>
      </c>
      <c r="H56" s="956"/>
      <c r="I56" s="956">
        <f t="shared" si="2"/>
        <v>11457.720000000001</v>
      </c>
      <c r="J56" s="956"/>
      <c r="K56" s="956">
        <f t="shared" si="2"/>
        <v>11801.451600000002</v>
      </c>
      <c r="L56" s="956"/>
      <c r="M56" s="956">
        <f t="shared" si="2"/>
        <v>12155.495148000002</v>
      </c>
      <c r="N56" s="956"/>
      <c r="O56" s="956">
        <f t="shared" si="2"/>
        <v>12520.160002440001</v>
      </c>
      <c r="P56" s="956"/>
      <c r="Q56" s="956">
        <f t="shared" si="2"/>
        <v>12895.764802513202</v>
      </c>
      <c r="R56" s="956"/>
      <c r="S56" s="956">
        <f t="shared" si="2"/>
        <v>13282.637746588598</v>
      </c>
      <c r="T56" s="956"/>
      <c r="U56" s="956">
        <f t="shared" si="2"/>
        <v>13681.116878986257</v>
      </c>
      <c r="V56" s="956"/>
      <c r="W56" s="956">
        <f t="shared" si="2"/>
        <v>14091.550385355846</v>
      </c>
      <c r="X56" s="956"/>
      <c r="Y56" s="956">
        <f t="shared" si="2"/>
        <v>14514.296896916521</v>
      </c>
      <c r="Z56" s="956"/>
      <c r="AA56" s="956">
        <f t="shared" si="2"/>
        <v>14949.725803824018</v>
      </c>
      <c r="AB56" s="956"/>
      <c r="AC56" s="956">
        <f t="shared" si="2"/>
        <v>15398.217577938738</v>
      </c>
      <c r="AD56" s="956"/>
      <c r="AE56" s="956">
        <f t="shared" si="2"/>
        <v>15860.164105276901</v>
      </c>
      <c r="AF56" s="956"/>
      <c r="AG56" s="956">
        <f t="shared" si="2"/>
        <v>16335.969028435209</v>
      </c>
      <c r="AH56" s="956"/>
    </row>
    <row r="57" spans="1:34" s="3" customFormat="1">
      <c r="A57" s="962" t="s">
        <v>2750</v>
      </c>
      <c r="B57" s="962"/>
      <c r="C57" s="954">
        <v>1.03</v>
      </c>
      <c r="E57" s="963">
        <v>0</v>
      </c>
      <c r="F57" s="956"/>
      <c r="G57" s="964">
        <f>E57*$C$57</f>
        <v>0</v>
      </c>
      <c r="H57" s="956"/>
      <c r="I57" s="964">
        <f>G57*$C$57</f>
        <v>0</v>
      </c>
      <c r="J57" s="956"/>
      <c r="K57" s="964">
        <f>I57*$C$57</f>
        <v>0</v>
      </c>
      <c r="L57" s="956"/>
      <c r="M57" s="964">
        <f>K57*$C$57</f>
        <v>0</v>
      </c>
      <c r="N57" s="964"/>
      <c r="O57" s="964">
        <f t="shared" ref="O57:AG57" si="3">M57*$C$57</f>
        <v>0</v>
      </c>
      <c r="P57" s="964"/>
      <c r="Q57" s="964">
        <f t="shared" si="3"/>
        <v>0</v>
      </c>
      <c r="R57" s="964"/>
      <c r="S57" s="964">
        <f t="shared" si="3"/>
        <v>0</v>
      </c>
      <c r="T57" s="964"/>
      <c r="U57" s="964">
        <f t="shared" si="3"/>
        <v>0</v>
      </c>
      <c r="V57" s="964"/>
      <c r="W57" s="964">
        <f t="shared" si="3"/>
        <v>0</v>
      </c>
      <c r="X57" s="964"/>
      <c r="Y57" s="964">
        <f t="shared" si="3"/>
        <v>0</v>
      </c>
      <c r="Z57" s="964"/>
      <c r="AA57" s="964">
        <f t="shared" si="3"/>
        <v>0</v>
      </c>
      <c r="AB57" s="964"/>
      <c r="AC57" s="964">
        <f t="shared" si="3"/>
        <v>0</v>
      </c>
      <c r="AD57" s="964"/>
      <c r="AE57" s="964">
        <f t="shared" si="3"/>
        <v>0</v>
      </c>
      <c r="AF57" s="964"/>
      <c r="AG57" s="964">
        <f t="shared" si="3"/>
        <v>0</v>
      </c>
      <c r="AH57" s="956"/>
    </row>
    <row r="58" spans="1:34" s="3" customFormat="1">
      <c r="A58" s="958" t="s">
        <v>853</v>
      </c>
      <c r="C58" s="957"/>
      <c r="E58" s="956">
        <f>SUM(E53:E57)</f>
        <v>15800</v>
      </c>
      <c r="F58" s="956"/>
      <c r="G58" s="956">
        <f>SUM(G53:G57)</f>
        <v>16274</v>
      </c>
      <c r="H58" s="956"/>
      <c r="I58" s="956">
        <f>SUM(I53:I57)</f>
        <v>16762.22</v>
      </c>
      <c r="J58" s="956"/>
      <c r="K58" s="956">
        <f>SUM(K53:K57)</f>
        <v>17265.086600000002</v>
      </c>
      <c r="L58" s="956"/>
      <c r="M58" s="956">
        <f>SUM(M53:M57)</f>
        <v>17783.039198000002</v>
      </c>
      <c r="N58" s="956"/>
      <c r="O58" s="956">
        <f>SUM(O53:O57)</f>
        <v>18316.530373940001</v>
      </c>
      <c r="P58" s="956"/>
      <c r="Q58" s="956">
        <f>SUM(Q53:Q57)</f>
        <v>18866.026285158201</v>
      </c>
      <c r="R58" s="956"/>
      <c r="S58" s="956">
        <f>SUM(S53:S57)</f>
        <v>19432.00707371295</v>
      </c>
      <c r="T58" s="956"/>
      <c r="U58" s="956">
        <f>SUM(U53:U57)</f>
        <v>20014.967285924336</v>
      </c>
      <c r="V58" s="956"/>
      <c r="W58" s="956">
        <f>SUM(W53:W57)</f>
        <v>20615.416304502069</v>
      </c>
      <c r="X58" s="956"/>
      <c r="Y58" s="956">
        <f>SUM(Y53:Y57)</f>
        <v>21233.87879363713</v>
      </c>
      <c r="Z58" s="956"/>
      <c r="AA58" s="956">
        <f>SUM(AA53:AA57)</f>
        <v>21870.895157446248</v>
      </c>
      <c r="AB58" s="956"/>
      <c r="AC58" s="956">
        <f>SUM(AC53:AC57)</f>
        <v>22527.022012169633</v>
      </c>
      <c r="AD58" s="956"/>
      <c r="AE58" s="956">
        <f>SUM(AE53:AE57)</f>
        <v>23202.832672534721</v>
      </c>
      <c r="AF58" s="956"/>
      <c r="AG58" s="956">
        <f>SUM(AG53:AG57)</f>
        <v>23898.917652710767</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301181</v>
      </c>
      <c r="G60" s="958">
        <f>G45-G58</f>
        <v>355429.0700000003</v>
      </c>
      <c r="I60" s="958">
        <f>I45-I58</f>
        <v>410788.45744999987</v>
      </c>
      <c r="K60" s="958">
        <f>K45-K58</f>
        <v>467278.38618574996</v>
      </c>
      <c r="M60" s="958">
        <f>M45-M58</f>
        <v>524918.26142587559</v>
      </c>
      <c r="O60" s="958">
        <f>O45-O58</f>
        <v>583727.66384466202</v>
      </c>
      <c r="Q60" s="958">
        <f>Q45-Q58</f>
        <v>643726.34313080763</v>
      </c>
      <c r="S60" s="958">
        <f>S45-S58</f>
        <v>704934.21100651706</v>
      </c>
      <c r="U60" s="958">
        <f>U45-U58</f>
        <v>767371.33368018712</v>
      </c>
      <c r="W60" s="958">
        <f>W45-W58</f>
        <v>831057.92370482313</v>
      </c>
      <c r="Y60" s="958">
        <f>Y45-Y58</f>
        <v>896014.33121314936</v>
      </c>
      <c r="AA60" s="958">
        <f>AA45-AA58</f>
        <v>962261.03449914127</v>
      </c>
      <c r="AC60" s="958">
        <f>AC45-AC58</f>
        <v>1029818.6299144508</v>
      </c>
      <c r="AE60" s="958">
        <f>AE45-AE58</f>
        <v>1098707.8210468714</v>
      </c>
      <c r="AG60" s="958">
        <f>AG45-AG58</f>
        <v>1168949.4071466122</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0.5</v>
      </c>
      <c r="E62" s="960">
        <f>E60*$C$62</f>
        <v>150590.5</v>
      </c>
      <c r="G62" s="958">
        <f>G60*$C$62</f>
        <v>177714.53500000015</v>
      </c>
      <c r="I62" s="958">
        <f>I60*$C$62</f>
        <v>205394.22872499994</v>
      </c>
      <c r="K62" s="958">
        <f>K60*$C$62</f>
        <v>233639.19309287498</v>
      </c>
      <c r="M62" s="958">
        <f>M60*$C$62</f>
        <v>262459.1307129378</v>
      </c>
      <c r="O62" s="958">
        <f>O60*$C$62</f>
        <v>291863.83192233101</v>
      </c>
      <c r="Q62" s="958">
        <f>Q60*$C$62</f>
        <v>321863.17156540381</v>
      </c>
      <c r="S62" s="958">
        <f>S60*$C$62</f>
        <v>352467.10550325853</v>
      </c>
      <c r="U62" s="958">
        <f>U60*$C$62</f>
        <v>383685.66684009356</v>
      </c>
      <c r="W62" s="958">
        <f>W60*$C$62</f>
        <v>415528.96185241156</v>
      </c>
      <c r="Y62" s="958">
        <f>Y60*$C$62</f>
        <v>448007.16560657468</v>
      </c>
      <c r="AA62" s="958">
        <f>AA60*$C$62</f>
        <v>481130.51724957064</v>
      </c>
      <c r="AC62" s="958">
        <f>AC60*$C$62</f>
        <v>514909.3149572254</v>
      </c>
      <c r="AE62" s="958">
        <f>AE60*$C$62</f>
        <v>549353.91052343568</v>
      </c>
      <c r="AG62" s="958">
        <f>AG60*$C$62</f>
        <v>584474.70357330609</v>
      </c>
    </row>
    <row r="63" spans="1:34" s="958" customFormat="1">
      <c r="A63" s="2689" t="s">
        <v>1183</v>
      </c>
      <c r="B63" s="2689"/>
      <c r="C63" s="2689"/>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v>0</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t="s">
        <v>2439</v>
      </c>
      <c r="B66" s="960"/>
      <c r="C66" s="959">
        <v>0.5</v>
      </c>
      <c r="E66" s="960">
        <f>$E60*$C$66</f>
        <v>150590.5</v>
      </c>
      <c r="G66" s="956">
        <f>G60*$C$66</f>
        <v>177714.53500000015</v>
      </c>
      <c r="I66" s="956">
        <f>I60*$C$66</f>
        <v>205394.22872499994</v>
      </c>
      <c r="K66" s="956">
        <f>K60*$C$66</f>
        <v>233639.19309287498</v>
      </c>
      <c r="M66" s="956">
        <f>M60*$C$66</f>
        <v>262459.1307129378</v>
      </c>
      <c r="O66" s="956">
        <f>O60*$C$66</f>
        <v>291863.83192233101</v>
      </c>
      <c r="Q66" s="956">
        <f>Q60*$C$66</f>
        <v>321863.17156540381</v>
      </c>
      <c r="S66" s="956">
        <f>S60*$C$66</f>
        <v>352467.10550325853</v>
      </c>
      <c r="U66" s="956">
        <f>U60*$C$66</f>
        <v>383685.66684009356</v>
      </c>
      <c r="W66" s="956">
        <f>W60*$C$66</f>
        <v>415528.96185241156</v>
      </c>
      <c r="Y66" s="956">
        <f>Y60*$C$66</f>
        <v>448007.16560657468</v>
      </c>
      <c r="AA66" s="956">
        <f>AA60*$C$66</f>
        <v>481130.51724957064</v>
      </c>
      <c r="AC66" s="956">
        <f>AC60*$C$66</f>
        <v>514909.3149572254</v>
      </c>
      <c r="AE66" s="956">
        <f>AE60*$C$66</f>
        <v>549353.91052343568</v>
      </c>
      <c r="AG66" s="956">
        <f>AG60*$C$66</f>
        <v>584474.70357330609</v>
      </c>
    </row>
    <row r="67" spans="1:34" s="956" customFormat="1">
      <c r="A67" s="961" t="s">
        <v>2758</v>
      </c>
      <c r="B67" s="961"/>
      <c r="C67" s="966"/>
      <c r="E67" s="960">
        <v>0</v>
      </c>
      <c r="G67" s="956">
        <f>G60*$C$65</f>
        <v>0</v>
      </c>
      <c r="I67" s="956">
        <f>I60*$C$65</f>
        <v>0</v>
      </c>
      <c r="K67" s="956">
        <f>K60*$C$65</f>
        <v>0</v>
      </c>
      <c r="M67" s="956">
        <f>M60*$C$65</f>
        <v>0</v>
      </c>
      <c r="O67" s="956">
        <f>O60*$C$65</f>
        <v>0</v>
      </c>
      <c r="Q67" s="956">
        <f>Q60*$C$65</f>
        <v>0</v>
      </c>
      <c r="S67" s="956">
        <f>S60*$C$65</f>
        <v>0</v>
      </c>
      <c r="U67" s="956">
        <f>U60*$C$65</f>
        <v>0</v>
      </c>
      <c r="W67" s="956">
        <v>205978</v>
      </c>
      <c r="Y67" s="956">
        <v>513823</v>
      </c>
      <c r="AA67" s="956">
        <v>558155</v>
      </c>
      <c r="AC67" s="956">
        <v>603813</v>
      </c>
      <c r="AE67" s="956">
        <v>650838</v>
      </c>
      <c r="AG67" s="956">
        <v>699270</v>
      </c>
    </row>
    <row r="68" spans="1:34" s="956" customFormat="1">
      <c r="A68" s="961" t="s">
        <v>2759</v>
      </c>
      <c r="B68" s="961"/>
      <c r="C68" s="966"/>
      <c r="E68" s="961"/>
      <c r="G68" s="956">
        <f t="shared" ref="G68:U69" si="4">E68*$C$66</f>
        <v>0</v>
      </c>
      <c r="I68" s="956">
        <f t="shared" si="4"/>
        <v>0</v>
      </c>
      <c r="K68" s="956">
        <f t="shared" si="4"/>
        <v>0</v>
      </c>
      <c r="M68" s="956">
        <f t="shared" si="4"/>
        <v>0</v>
      </c>
      <c r="O68" s="956">
        <f t="shared" si="4"/>
        <v>0</v>
      </c>
      <c r="Q68" s="956">
        <f t="shared" si="4"/>
        <v>0</v>
      </c>
      <c r="S68" s="956">
        <f t="shared" si="4"/>
        <v>0</v>
      </c>
      <c r="U68" s="956">
        <f t="shared" si="4"/>
        <v>0</v>
      </c>
      <c r="W68" s="956">
        <v>22884</v>
      </c>
      <c r="Y68" s="956">
        <v>57086</v>
      </c>
      <c r="AA68" s="956">
        <v>62011</v>
      </c>
      <c r="AC68" s="956">
        <v>67084</v>
      </c>
      <c r="AE68" s="956">
        <v>72308</v>
      </c>
      <c r="AG68" s="956">
        <v>77689</v>
      </c>
    </row>
    <row r="69" spans="1:34" s="956" customFormat="1">
      <c r="A69" s="961" t="s">
        <v>2760</v>
      </c>
      <c r="B69" s="961"/>
      <c r="C69" s="966"/>
      <c r="E69" s="963"/>
      <c r="G69" s="964">
        <f t="shared" si="4"/>
        <v>0</v>
      </c>
      <c r="I69" s="964">
        <f t="shared" si="4"/>
        <v>0</v>
      </c>
      <c r="K69" s="964">
        <f t="shared" si="4"/>
        <v>0</v>
      </c>
      <c r="M69" s="964">
        <f t="shared" si="4"/>
        <v>0</v>
      </c>
      <c r="O69" s="964">
        <f t="shared" si="4"/>
        <v>0</v>
      </c>
      <c r="Q69" s="964">
        <f t="shared" si="4"/>
        <v>0</v>
      </c>
      <c r="S69" s="964">
        <f t="shared" si="4"/>
        <v>0</v>
      </c>
      <c r="U69" s="964">
        <f t="shared" si="4"/>
        <v>0</v>
      </c>
      <c r="W69" s="964">
        <v>2</v>
      </c>
      <c r="Y69" s="964">
        <v>5</v>
      </c>
      <c r="AA69" s="964">
        <v>6</v>
      </c>
      <c r="AC69" s="964">
        <v>6</v>
      </c>
      <c r="AE69" s="964">
        <v>7</v>
      </c>
      <c r="AG69" s="964">
        <v>7</v>
      </c>
    </row>
    <row r="70" spans="1:34" s="956" customFormat="1">
      <c r="A70" s="958" t="s">
        <v>853</v>
      </c>
      <c r="C70" s="966"/>
      <c r="E70" s="956">
        <f>SUM(E66:E69)</f>
        <v>150590.5</v>
      </c>
      <c r="G70" s="956">
        <f>SUM(G66:G69)</f>
        <v>177714.53500000015</v>
      </c>
      <c r="I70" s="956">
        <f>SUM(I66:I69)</f>
        <v>205394.22872499994</v>
      </c>
      <c r="K70" s="956">
        <f>SUM(K66:K69)</f>
        <v>233639.19309287498</v>
      </c>
      <c r="M70" s="956">
        <f>SUM(M66:M69)</f>
        <v>262459.1307129378</v>
      </c>
      <c r="O70" s="956">
        <f>SUM(O66:O69)</f>
        <v>291863.83192233101</v>
      </c>
      <c r="Q70" s="956">
        <f>SUM(Q66:Q69)</f>
        <v>321863.17156540381</v>
      </c>
      <c r="S70" s="956">
        <f>SUM(S66:S69)</f>
        <v>352467.10550325853</v>
      </c>
      <c r="U70" s="956">
        <f>SUM(U66:U69)</f>
        <v>383685.66684009356</v>
      </c>
      <c r="W70" s="956">
        <f>SUM(W66:W69)</f>
        <v>644392.96185241151</v>
      </c>
      <c r="Y70" s="956">
        <f>SUM(Y66:Y69)</f>
        <v>1018921.1656065746</v>
      </c>
      <c r="AA70" s="956">
        <f>SUM(AA66:AA69)</f>
        <v>1101302.5172495707</v>
      </c>
      <c r="AC70" s="956">
        <f>SUM(AC66:AC69)</f>
        <v>1185812.3149572255</v>
      </c>
      <c r="AE70" s="956">
        <f>SUM(AE66:AE69)</f>
        <v>1272506.9105234356</v>
      </c>
      <c r="AG70" s="956">
        <f>SUM(AG66:AG69)</f>
        <v>1361440.7035733061</v>
      </c>
    </row>
    <row r="71" spans="1:34" s="956" customFormat="1">
      <c r="A71" s="958"/>
      <c r="C71" s="966"/>
    </row>
    <row r="72" spans="1:34" s="956" customFormat="1">
      <c r="A72" s="958" t="s">
        <v>1711</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-228863.99999999994</v>
      </c>
      <c r="Y72" s="958">
        <f>Y60-Y62-Y70</f>
        <v>-570914</v>
      </c>
      <c r="AA72" s="958">
        <f>AA60-AA62-AA70</f>
        <v>-620172</v>
      </c>
      <c r="AC72" s="958">
        <f>AC60-AC62-AC70</f>
        <v>-670903</v>
      </c>
      <c r="AE72" s="958">
        <f>AE60-AE62-AE70</f>
        <v>-723152.99999999988</v>
      </c>
      <c r="AG72" s="958">
        <f>AG60-AG62-AG70</f>
        <v>-776966</v>
      </c>
    </row>
    <row r="73" spans="1:34" s="956" customFormat="1">
      <c r="A73" s="529"/>
      <c r="C73" s="966"/>
    </row>
    <row r="74" spans="1:34" s="217" customFormat="1">
      <c r="A74" s="529"/>
      <c r="C74" s="183"/>
    </row>
    <row r="75" spans="1:34" s="217" customFormat="1">
      <c r="A75" s="956" t="s">
        <v>1710</v>
      </c>
      <c r="C75" s="183"/>
    </row>
    <row r="76" spans="1:34" s="217" customFormat="1">
      <c r="C76" s="183"/>
    </row>
    <row r="77" spans="1:34" s="234" customFormat="1" ht="30" customHeight="1">
      <c r="A77" s="2687" t="s">
        <v>1709</v>
      </c>
      <c r="B77" s="2688"/>
      <c r="C77" s="2688"/>
      <c r="D77" s="2688"/>
      <c r="E77" s="2688"/>
      <c r="F77" s="2688"/>
      <c r="G77" s="2688"/>
      <c r="H77" s="2688"/>
      <c r="I77" s="2688"/>
      <c r="J77" s="2688"/>
      <c r="K77" s="2688"/>
      <c r="L77" s="2688"/>
      <c r="M77" s="2688"/>
      <c r="N77" s="2688"/>
      <c r="O77" s="2688"/>
      <c r="P77" s="2688"/>
      <c r="Q77" s="2688"/>
      <c r="R77" s="2688"/>
      <c r="S77" s="2688"/>
      <c r="T77" s="2688"/>
      <c r="U77" s="2688"/>
      <c r="V77" s="2688"/>
      <c r="W77" s="2688"/>
      <c r="X77" s="2688"/>
      <c r="Y77" s="2688"/>
      <c r="Z77" s="2688"/>
      <c r="AA77" s="2688"/>
      <c r="AB77" s="2688"/>
      <c r="AC77" s="2688"/>
      <c r="AD77" s="2688"/>
      <c r="AE77" s="2688"/>
      <c r="AF77" s="2688"/>
      <c r="AG77" s="2688"/>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2" zeroHeight="1"/>
  <cols>
    <col min="1" max="1" width="161.6640625" customWidth="1"/>
    <col min="2" max="16384" width="8.77734375" hidden="1"/>
  </cols>
  <sheetData>
    <row r="1" spans="1:1" ht="46.8">
      <c r="A1" s="313" t="s">
        <v>970</v>
      </c>
    </row>
    <row r="2" spans="1:1" ht="15.6">
      <c r="A2" s="314"/>
    </row>
    <row r="3" spans="1:1" ht="15.6">
      <c r="A3" s="315" t="s">
        <v>965</v>
      </c>
    </row>
    <row r="4" spans="1:1" ht="15.6">
      <c r="A4" s="315" t="s">
        <v>966</v>
      </c>
    </row>
    <row r="5" spans="1:1" ht="15.6">
      <c r="A5" s="315" t="s">
        <v>967</v>
      </c>
    </row>
    <row r="6" spans="1:1" ht="15.6">
      <c r="A6" s="315" t="s">
        <v>969</v>
      </c>
    </row>
    <row r="7" spans="1:1" ht="15.6">
      <c r="A7" s="315" t="s">
        <v>968</v>
      </c>
    </row>
    <row r="8" spans="1:1" ht="15.6">
      <c r="A8" s="346" t="s">
        <v>1023</v>
      </c>
    </row>
    <row r="9" spans="1:1" ht="15.6">
      <c r="A9" s="315" t="s">
        <v>1024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topLeftCell="A3" workbookViewId="0">
      <selection activeCell="B6" sqref="B6"/>
    </sheetView>
  </sheetViews>
  <sheetFormatPr defaultColWidth="9.109375" defaultRowHeight="13.2" zeroHeight="1"/>
  <cols>
    <col min="1" max="1" width="35.6640625" style="204" customWidth="1"/>
    <col min="2" max="4" width="14.6640625" style="204" customWidth="1"/>
    <col min="5" max="5" width="50.6640625" style="204" customWidth="1"/>
    <col min="6" max="253" width="9.109375" style="204" customWidth="1"/>
    <col min="254" max="16384" width="9.109375" style="204"/>
  </cols>
  <sheetData>
    <row r="1" spans="1:6" s="275" customFormat="1" ht="18" customHeight="1">
      <c r="A1" s="513" t="s">
        <v>1216</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4250000</v>
      </c>
      <c r="C5" s="266">
        <f>'Sources and Uses Budget'!$C4</f>
        <v>4250000</v>
      </c>
      <c r="D5" s="270">
        <f>C5-B5</f>
        <v>0</v>
      </c>
      <c r="E5" s="268"/>
      <c r="F5" s="267"/>
    </row>
    <row r="6" spans="1:6" s="352" customFormat="1">
      <c r="A6" s="364" t="s">
        <v>28</v>
      </c>
      <c r="B6" s="266">
        <f>'Sources and Uses Budget'!$C5</f>
        <v>164514</v>
      </c>
      <c r="C6" s="266">
        <f>'Sources and Uses Budget'!$C5</f>
        <v>164514</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4414514</v>
      </c>
      <c r="C9" s="270">
        <f>SUM(C5:C8)</f>
        <v>4414514</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500000</v>
      </c>
      <c r="C11" s="266">
        <f>'Sources and Uses Budget'!$C10</f>
        <v>500000</v>
      </c>
      <c r="D11" s="270">
        <f t="shared" si="0"/>
        <v>0</v>
      </c>
      <c r="E11" s="268"/>
      <c r="F11" s="267"/>
    </row>
    <row r="12" spans="1:6" s="352" customFormat="1">
      <c r="A12" s="365" t="s">
        <v>596</v>
      </c>
      <c r="B12" s="270">
        <f>SUM(B10:B11)</f>
        <v>500000</v>
      </c>
      <c r="C12" s="270">
        <f>SUM(C10:C11)</f>
        <v>500000</v>
      </c>
      <c r="D12" s="270">
        <f t="shared" si="0"/>
        <v>0</v>
      </c>
      <c r="E12" s="268"/>
      <c r="F12" s="267"/>
    </row>
    <row r="13" spans="1:6" s="352" customFormat="1">
      <c r="A13" s="365" t="s">
        <v>84</v>
      </c>
      <c r="B13" s="270">
        <f>SUM(B9+B12)</f>
        <v>4914514</v>
      </c>
      <c r="C13" s="270">
        <f>SUM(C9+C12)</f>
        <v>4914514</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2.8">
      <c r="A15" s="364" t="s">
        <v>903</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1628</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1100000</v>
      </c>
      <c r="C28" s="266">
        <f>'Sources and Uses Budget'!$C$27</f>
        <v>1100000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1000000</v>
      </c>
      <c r="C30" s="266">
        <f>'Sources and Uses Budget'!$C29</f>
        <v>1000000</v>
      </c>
      <c r="D30" s="270">
        <f t="shared" si="0"/>
        <v>0</v>
      </c>
      <c r="E30" s="268"/>
      <c r="F30" s="267"/>
    </row>
    <row r="31" spans="1:6" s="352" customFormat="1">
      <c r="A31" s="145" t="s">
        <v>599</v>
      </c>
      <c r="B31" s="266">
        <f>'Sources and Uses Budget'!$C30</f>
        <v>38451449</v>
      </c>
      <c r="C31" s="266">
        <f>'Sources and Uses Budget'!$C30</f>
        <v>38451449</v>
      </c>
      <c r="D31" s="270">
        <f t="shared" si="0"/>
        <v>0</v>
      </c>
      <c r="E31" s="268"/>
      <c r="F31" s="267"/>
    </row>
    <row r="32" spans="1:6" s="352" customFormat="1">
      <c r="A32" s="145" t="s">
        <v>600</v>
      </c>
      <c r="B32" s="266">
        <f>'Sources and Uses Budget'!$C31</f>
        <v>2796601</v>
      </c>
      <c r="C32" s="266">
        <f>'Sources and Uses Budget'!$C31</f>
        <v>2796601</v>
      </c>
      <c r="D32" s="270">
        <f t="shared" si="0"/>
        <v>0</v>
      </c>
      <c r="E32" s="268"/>
      <c r="F32" s="267"/>
    </row>
    <row r="33" spans="1:6" s="352" customFormat="1">
      <c r="A33" s="145" t="s">
        <v>137</v>
      </c>
      <c r="B33" s="266">
        <f>'Sources and Uses Budget'!$C32</f>
        <v>1598058</v>
      </c>
      <c r="C33" s="266">
        <f>'Sources and Uses Budget'!$C32</f>
        <v>1598058</v>
      </c>
      <c r="D33" s="270">
        <f t="shared" si="0"/>
        <v>0</v>
      </c>
      <c r="E33" s="268"/>
      <c r="F33" s="267"/>
    </row>
    <row r="34" spans="1:6" s="352" customFormat="1">
      <c r="A34" s="145" t="s">
        <v>138</v>
      </c>
      <c r="B34" s="266">
        <f>'Sources and Uses Budget'!$C33</f>
        <v>1198543</v>
      </c>
      <c r="C34" s="266">
        <f>'Sources and Uses Budget'!$C33</f>
        <v>1198543</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455447</v>
      </c>
      <c r="C36" s="266">
        <f>'Sources and Uses Budget'!$C35</f>
        <v>455447</v>
      </c>
      <c r="D36" s="270">
        <f t="shared" si="0"/>
        <v>0</v>
      </c>
      <c r="E36" s="268"/>
      <c r="F36" s="267"/>
    </row>
    <row r="37" spans="1:6" s="352" customFormat="1">
      <c r="A37" s="283" t="s">
        <v>1628</v>
      </c>
      <c r="B37" s="266">
        <f>'Sources and Uses Budget'!$C36</f>
        <v>0</v>
      </c>
      <c r="C37" s="266">
        <f>'Sources and Uses Budget'!$C36</f>
        <v>0</v>
      </c>
      <c r="D37" s="270"/>
      <c r="E37" s="268"/>
      <c r="F37" s="267"/>
    </row>
    <row r="38" spans="1:6" s="352" customFormat="1">
      <c r="A38" s="155" t="str">
        <f>'Sources and Uses Budget'!A37</f>
        <v>Other: (Bond Premium)</v>
      </c>
      <c r="B38" s="266">
        <f>'Sources and Uses Budget'!$C37</f>
        <v>409902</v>
      </c>
      <c r="C38" s="266">
        <f>'Sources and Uses Budget'!$C37</f>
        <v>409902</v>
      </c>
      <c r="D38" s="270">
        <f t="shared" si="0"/>
        <v>0</v>
      </c>
      <c r="E38" s="268"/>
      <c r="F38" s="267"/>
    </row>
    <row r="39" spans="1:6" s="352" customFormat="1">
      <c r="A39" s="271" t="s">
        <v>143</v>
      </c>
      <c r="B39" s="270">
        <f>SUM(B30:B38)</f>
        <v>45910000</v>
      </c>
      <c r="C39" s="270">
        <f>SUM(C30:C38)</f>
        <v>45910000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1160000</v>
      </c>
      <c r="C41" s="266">
        <f>'Sources and Uses Budget'!$C40</f>
        <v>1160000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1160000</v>
      </c>
      <c r="C43" s="270">
        <f>SUM(C41:C42)</f>
        <v>1160000</v>
      </c>
      <c r="D43" s="270">
        <f t="shared" si="0"/>
        <v>0</v>
      </c>
      <c r="E43" s="268"/>
      <c r="F43" s="267"/>
    </row>
    <row r="44" spans="1:6" s="352" customFormat="1">
      <c r="A44" s="271" t="s">
        <v>148</v>
      </c>
      <c r="B44" s="266">
        <f>'Sources and Uses Budget'!$C43</f>
        <v>650000</v>
      </c>
      <c r="C44" s="266">
        <f>'Sources and Uses Budget'!$C43</f>
        <v>650000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4148959</v>
      </c>
      <c r="C46" s="266">
        <f>'Sources and Uses Budget'!$C45</f>
        <v>4148959</v>
      </c>
      <c r="D46" s="270">
        <f t="shared" si="0"/>
        <v>0</v>
      </c>
      <c r="E46" s="268"/>
      <c r="F46" s="267"/>
    </row>
    <row r="47" spans="1:6" s="352" customFormat="1">
      <c r="A47" s="145" t="s">
        <v>151</v>
      </c>
      <c r="B47" s="266">
        <f>'Sources and Uses Budget'!$C46</f>
        <v>253001</v>
      </c>
      <c r="C47" s="266">
        <f>'Sources and Uses Budget'!$C46</f>
        <v>253001</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63250</v>
      </c>
      <c r="C50" s="266">
        <f>'Sources and Uses Budget'!$C49</f>
        <v>63250</v>
      </c>
      <c r="D50" s="270">
        <f t="shared" si="0"/>
        <v>0</v>
      </c>
      <c r="E50" s="268"/>
      <c r="F50" s="267"/>
    </row>
    <row r="51" spans="1:6" s="352" customFormat="1">
      <c r="A51" s="145" t="s">
        <v>156</v>
      </c>
      <c r="B51" s="266">
        <f>'Sources and Uses Budget'!$C50</f>
        <v>100000</v>
      </c>
      <c r="C51" s="266">
        <f>'Sources and Uses Budget'!$C50</f>
        <v>100000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464000</v>
      </c>
      <c r="C53" s="266">
        <f>'Sources and Uses Budget'!$C52</f>
        <v>464000</v>
      </c>
      <c r="D53" s="270">
        <f t="shared" si="0"/>
        <v>0</v>
      </c>
      <c r="E53" s="268"/>
      <c r="F53" s="267"/>
    </row>
    <row r="54" spans="1:6" s="352" customFormat="1">
      <c r="A54" s="155" t="str">
        <f>'Sources and Uses Budget'!A53</f>
        <v>Employment Reporting</v>
      </c>
      <c r="B54" s="266">
        <f>'Sources and Uses Budget'!$C53</f>
        <v>25000</v>
      </c>
      <c r="C54" s="266">
        <f>'Sources and Uses Budget'!$C53</f>
        <v>25000</v>
      </c>
      <c r="D54" s="270">
        <f t="shared" si="0"/>
        <v>0</v>
      </c>
      <c r="E54" s="268"/>
      <c r="F54" s="267"/>
    </row>
    <row r="55" spans="1:6" s="353" customFormat="1">
      <c r="A55" s="271" t="s">
        <v>157</v>
      </c>
      <c r="B55" s="273">
        <f>SUM(B46:B54)</f>
        <v>5054210</v>
      </c>
      <c r="C55" s="273">
        <f>SUM(C46:C54)</f>
        <v>5054210</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315000</v>
      </c>
      <c r="C57" s="266">
        <f>'Sources and Uses Budget'!$C56</f>
        <v>315000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(Legal or Permanent Financing)</v>
      </c>
      <c r="B62" s="266">
        <f>'Sources and Uses Budget'!$C61</f>
        <v>15000</v>
      </c>
      <c r="C62" s="266">
        <f>'Sources and Uses Budget'!$C61</f>
        <v>15000</v>
      </c>
      <c r="D62" s="270">
        <f t="shared" si="0"/>
        <v>0</v>
      </c>
      <c r="E62" s="268"/>
      <c r="F62" s="267"/>
    </row>
    <row r="63" spans="1:6" s="352" customFormat="1" ht="13.8" customHeight="1">
      <c r="A63" s="271" t="s">
        <v>301</v>
      </c>
      <c r="B63" s="270">
        <f>SUM(B57:B62)</f>
        <v>340000</v>
      </c>
      <c r="C63" s="270">
        <f>SUM(C57:C62)</f>
        <v>340000</v>
      </c>
      <c r="D63" s="270">
        <f t="shared" si="0"/>
        <v>0</v>
      </c>
      <c r="E63" s="268"/>
      <c r="F63" s="267"/>
    </row>
    <row r="64" spans="1:6" s="352" customFormat="1">
      <c r="A64" s="274" t="s">
        <v>302</v>
      </c>
      <c r="B64" s="270">
        <f>SUM(B9+B12+B14+B15+B17+B26+B28+B39+B43+B44+B55+B63)</f>
        <v>59128724</v>
      </c>
      <c r="C64" s="270">
        <f>SUM(C9+C12+C14+C15+C17+C26+C28+C39+C43+C44+C55+C63)</f>
        <v>59128724</v>
      </c>
      <c r="D64" s="270">
        <f t="shared" si="0"/>
        <v>0</v>
      </c>
      <c r="E64" s="268"/>
      <c r="F64" s="267"/>
    </row>
    <row r="65" spans="1:6" s="352" customFormat="1" ht="22.8">
      <c r="A65" s="141" t="s">
        <v>1632</v>
      </c>
      <c r="B65" s="264"/>
      <c r="C65" s="264"/>
      <c r="D65" s="264"/>
      <c r="E65" s="282"/>
      <c r="F65" s="264"/>
    </row>
    <row r="66" spans="1:6" s="352" customFormat="1">
      <c r="A66" s="145" t="s">
        <v>171</v>
      </c>
      <c r="B66" s="266">
        <f>'Sources and Uses Budget'!$C65</f>
        <v>100000</v>
      </c>
      <c r="C66" s="266">
        <f>'Sources and Uses Budget'!$C65</f>
        <v>100000</v>
      </c>
      <c r="D66" s="270">
        <f t="shared" si="0"/>
        <v>0</v>
      </c>
      <c r="E66" s="268"/>
      <c r="F66" s="267"/>
    </row>
    <row r="67" spans="1:6" s="352" customFormat="1" ht="22.8">
      <c r="A67" s="283" t="s">
        <v>1629</v>
      </c>
      <c r="B67" s="266">
        <f>'Sources and Uses Budget'!$C66</f>
        <v>0</v>
      </c>
      <c r="C67" s="266">
        <f>'Sources and Uses Budget'!$C66</f>
        <v>0</v>
      </c>
      <c r="D67" s="270"/>
      <c r="E67" s="268"/>
      <c r="F67" s="267"/>
    </row>
    <row r="68" spans="1:6" s="352" customFormat="1" ht="22.8">
      <c r="A68" s="283" t="s">
        <v>1630</v>
      </c>
      <c r="B68" s="266">
        <f>'Sources and Uses Budget'!$C67</f>
        <v>0</v>
      </c>
      <c r="C68" s="266">
        <f>'Sources and Uses Budget'!$C67</f>
        <v>0</v>
      </c>
      <c r="D68" s="270"/>
      <c r="E68" s="268"/>
      <c r="F68" s="267"/>
    </row>
    <row r="69" spans="1:6" s="352" customFormat="1">
      <c r="A69" s="283" t="s">
        <v>1636</v>
      </c>
      <c r="B69" s="266">
        <f>'Sources and Uses Budget'!$C68</f>
        <v>0</v>
      </c>
      <c r="C69" s="266">
        <f>'Sources and Uses Budget'!$C68</f>
        <v>0</v>
      </c>
      <c r="D69" s="270"/>
      <c r="E69" s="268"/>
      <c r="F69" s="267"/>
    </row>
    <row r="70" spans="1:6" s="352" customFormat="1" ht="22.8">
      <c r="A70" s="155" t="str">
        <f>'Sources and Uses Budget'!A69</f>
        <v>Other: (Lender Legal+ Bond Issur Legal+MGP Legal)</v>
      </c>
      <c r="B70" s="266">
        <f>'Sources and Uses Budget'!$C69</f>
        <v>225000</v>
      </c>
      <c r="C70" s="266">
        <f>'Sources and Uses Budget'!$C69</f>
        <v>225000</v>
      </c>
      <c r="D70" s="270">
        <f t="shared" si="0"/>
        <v>0</v>
      </c>
      <c r="E70" s="268"/>
      <c r="F70" s="267"/>
    </row>
    <row r="71" spans="1:6" s="352" customFormat="1">
      <c r="A71" s="149" t="s">
        <v>1633</v>
      </c>
      <c r="B71" s="270">
        <f>SUM(B66:B70)</f>
        <v>325000</v>
      </c>
      <c r="C71" s="270">
        <f>SUM(C66:C70)</f>
        <v>325000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605</v>
      </c>
      <c r="B76" s="266">
        <f>'Sources and Uses Budget'!$C75</f>
        <v>1421030</v>
      </c>
      <c r="C76" s="266">
        <f>'Sources and Uses Budget'!$C75</f>
        <v>1421030</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1421030</v>
      </c>
      <c r="C78" s="270">
        <f>SUM(C73:C77)</f>
        <v>1421030</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2561598</v>
      </c>
      <c r="C80" s="266">
        <f>'Sources and Uses Budget'!$C79</f>
        <v>2561598</v>
      </c>
      <c r="D80" s="270">
        <f t="shared" si="1"/>
        <v>0</v>
      </c>
      <c r="E80" s="268"/>
      <c r="F80" s="267"/>
    </row>
    <row r="81" spans="1:6" s="352" customFormat="1">
      <c r="A81" s="510" t="s">
        <v>58</v>
      </c>
      <c r="B81" s="266">
        <f>'Sources and Uses Budget'!$C80</f>
        <v>749117</v>
      </c>
      <c r="C81" s="266">
        <f>'Sources and Uses Budget'!$C80</f>
        <v>749117</v>
      </c>
      <c r="D81" s="270">
        <f>C81-B81</f>
        <v>0</v>
      </c>
      <c r="E81" s="268"/>
      <c r="F81" s="267"/>
    </row>
    <row r="82" spans="1:6" s="352" customFormat="1">
      <c r="A82" s="271" t="s">
        <v>1208</v>
      </c>
      <c r="B82" s="270">
        <f>SUM(B80:B81)</f>
        <v>3310715</v>
      </c>
      <c r="C82" s="270">
        <f>SUM(C80:C81)</f>
        <v>3310715</v>
      </c>
      <c r="D82" s="270">
        <f t="shared" si="1"/>
        <v>0</v>
      </c>
      <c r="E82" s="268"/>
      <c r="F82" s="267"/>
    </row>
    <row r="83" spans="1:6" s="352" customFormat="1">
      <c r="A83" s="264" t="s">
        <v>765</v>
      </c>
      <c r="B83" s="264"/>
      <c r="C83" s="264"/>
      <c r="D83" s="264"/>
      <c r="E83" s="282"/>
      <c r="F83" s="264"/>
    </row>
    <row r="84" spans="1:6" s="352" customFormat="1" ht="13.8" customHeight="1">
      <c r="A84" s="269" t="s">
        <v>766</v>
      </c>
      <c r="B84" s="266">
        <f>'Sources and Uses Budget'!$C83</f>
        <v>109297</v>
      </c>
      <c r="C84" s="266">
        <f>'Sources and Uses Budget'!$C83</f>
        <v>109297</v>
      </c>
      <c r="D84" s="270">
        <f t="shared" si="1"/>
        <v>0</v>
      </c>
      <c r="E84" s="268"/>
      <c r="F84" s="267"/>
    </row>
    <row r="85" spans="1:6" s="352" customFormat="1">
      <c r="A85" s="269" t="s">
        <v>767</v>
      </c>
      <c r="B85" s="266">
        <f>'Sources and Uses Budget'!$C84</f>
        <v>50000</v>
      </c>
      <c r="C85" s="266">
        <f>'Sources and Uses Budget'!$C84</f>
        <v>50000</v>
      </c>
      <c r="D85" s="270">
        <f t="shared" si="1"/>
        <v>0</v>
      </c>
      <c r="E85" s="268"/>
      <c r="F85" s="267"/>
    </row>
    <row r="86" spans="1:6" s="352" customFormat="1">
      <c r="A86" s="269" t="s">
        <v>768</v>
      </c>
      <c r="B86" s="266">
        <f>'Sources and Uses Budget'!$C85</f>
        <v>3570000</v>
      </c>
      <c r="C86" s="266">
        <f>'Sources and Uses Budget'!$C85</f>
        <v>3570000</v>
      </c>
      <c r="D86" s="270">
        <f t="shared" si="1"/>
        <v>0</v>
      </c>
      <c r="E86" s="268"/>
      <c r="F86" s="267"/>
    </row>
    <row r="87" spans="1:6" s="352" customFormat="1">
      <c r="A87" s="269" t="s">
        <v>769</v>
      </c>
      <c r="B87" s="266">
        <f>'Sources and Uses Budget'!$C86</f>
        <v>1020000</v>
      </c>
      <c r="C87" s="266">
        <f>'Sources and Uses Budget'!$C86</f>
        <v>1020000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75000</v>
      </c>
      <c r="C89" s="266">
        <f>'Sources and Uses Budget'!$C88</f>
        <v>75000</v>
      </c>
      <c r="D89" s="270">
        <f t="shared" si="1"/>
        <v>0</v>
      </c>
      <c r="E89" s="268"/>
      <c r="F89" s="267"/>
    </row>
    <row r="90" spans="1:6" s="352" customFormat="1">
      <c r="A90" s="269" t="s">
        <v>772</v>
      </c>
      <c r="B90" s="266">
        <f>'Sources and Uses Budget'!$C89</f>
        <v>75000</v>
      </c>
      <c r="C90" s="266">
        <f>'Sources and Uses Budget'!$C89</f>
        <v>75000</v>
      </c>
      <c r="D90" s="270">
        <f t="shared" si="1"/>
        <v>0</v>
      </c>
      <c r="E90" s="268"/>
      <c r="F90" s="267"/>
    </row>
    <row r="91" spans="1:6" s="352" customFormat="1">
      <c r="A91" s="269" t="s">
        <v>773</v>
      </c>
      <c r="B91" s="266">
        <f>'Sources and Uses Budget'!$C90</f>
        <v>15000</v>
      </c>
      <c r="C91" s="266">
        <f>'Sources and Uses Budget'!$C90</f>
        <v>15000</v>
      </c>
      <c r="D91" s="270">
        <f t="shared" si="1"/>
        <v>0</v>
      </c>
      <c r="E91" s="268"/>
      <c r="F91" s="267"/>
    </row>
    <row r="92" spans="1:6" s="352" customFormat="1">
      <c r="A92" s="269" t="s">
        <v>372</v>
      </c>
      <c r="B92" s="266">
        <f>'Sources and Uses Budget'!$C91</f>
        <v>50000</v>
      </c>
      <c r="C92" s="266">
        <f>'Sources and Uses Budget'!$C91</f>
        <v>50000</v>
      </c>
      <c r="D92" s="270">
        <f t="shared" si="1"/>
        <v>0</v>
      </c>
      <c r="E92" s="268"/>
      <c r="F92" s="267"/>
    </row>
    <row r="93" spans="1:6" s="352" customFormat="1">
      <c r="A93" s="510" t="s">
        <v>1210</v>
      </c>
      <c r="B93" s="266">
        <f>'Sources and Uses Budget'!$C92</f>
        <v>20000</v>
      </c>
      <c r="C93" s="266">
        <f>'Sources and Uses Budget'!$C92</f>
        <v>20000</v>
      </c>
      <c r="D93" s="270">
        <f t="shared" si="1"/>
        <v>0</v>
      </c>
      <c r="E93" s="268"/>
      <c r="F93" s="267"/>
    </row>
    <row r="94" spans="1:6" s="352" customFormat="1">
      <c r="A94" s="272" t="s">
        <v>34</v>
      </c>
      <c r="B94" s="266">
        <f>'Sources and Uses Budget'!$C93</f>
        <v>150000</v>
      </c>
      <c r="C94" s="266">
        <f>'Sources and Uses Budget'!$C93</f>
        <v>150000</v>
      </c>
      <c r="D94" s="270">
        <f t="shared" si="1"/>
        <v>0</v>
      </c>
      <c r="E94" s="268"/>
      <c r="F94" s="267"/>
    </row>
    <row r="95" spans="1:6" s="352" customFormat="1">
      <c r="A95" s="272" t="s">
        <v>34</v>
      </c>
      <c r="B95" s="266">
        <f>'Sources and Uses Budget'!$C94</f>
        <v>7350</v>
      </c>
      <c r="C95" s="266">
        <f>'Sources and Uses Budget'!$C94</f>
        <v>7350</v>
      </c>
      <c r="D95" s="270">
        <f t="shared" si="1"/>
        <v>0</v>
      </c>
      <c r="E95" s="268"/>
      <c r="F95" s="267"/>
    </row>
    <row r="96" spans="1:6" s="352" customFormat="1">
      <c r="A96" s="272" t="s">
        <v>34</v>
      </c>
      <c r="B96" s="266">
        <f>'Sources and Uses Budget'!$C95</f>
        <v>1100000</v>
      </c>
      <c r="C96" s="266">
        <f>'Sources and Uses Budget'!$C95</f>
        <v>1100000</v>
      </c>
      <c r="D96" s="270">
        <f t="shared" si="1"/>
        <v>0</v>
      </c>
      <c r="E96" s="268"/>
      <c r="F96" s="267"/>
    </row>
    <row r="97" spans="1:6" s="352" customFormat="1">
      <c r="A97" s="271" t="s">
        <v>774</v>
      </c>
      <c r="B97" s="270">
        <f>SUM(B84:B96)</f>
        <v>6241647</v>
      </c>
      <c r="C97" s="270">
        <f>SUM(C84:C96)</f>
        <v>6241647</v>
      </c>
      <c r="D97" s="270">
        <f t="shared" si="1"/>
        <v>0</v>
      </c>
      <c r="E97" s="268"/>
      <c r="F97" s="267"/>
    </row>
    <row r="98" spans="1:6" s="352" customFormat="1">
      <c r="A98" s="271" t="s">
        <v>775</v>
      </c>
      <c r="B98" s="270">
        <f>SUM(B64+B71+B78+B82+B97)</f>
        <v>70427116</v>
      </c>
      <c r="C98" s="270">
        <f>SUM(C64+C71+C78+C82+C97)</f>
        <v>70427116</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9179795</v>
      </c>
      <c r="C100" s="266">
        <f>'Sources and Uses Budget'!$C99</f>
        <v>9179795</v>
      </c>
      <c r="D100" s="270">
        <f t="shared" si="1"/>
        <v>0</v>
      </c>
      <c r="E100" s="268"/>
      <c r="F100" s="267"/>
    </row>
    <row r="101" spans="1:6" s="352" customFormat="1">
      <c r="A101" s="283" t="s">
        <v>1634</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1635</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9179795</v>
      </c>
      <c r="C105" s="270">
        <f>SUM(C100:C104)</f>
        <v>9179795</v>
      </c>
      <c r="D105" s="270">
        <f t="shared" si="1"/>
        <v>0</v>
      </c>
      <c r="E105" s="268"/>
      <c r="F105" s="267"/>
    </row>
    <row r="106" spans="1:6" s="352" customFormat="1">
      <c r="A106" s="271" t="s">
        <v>780</v>
      </c>
      <c r="B106" s="273">
        <f>SUM(B98+B105)</f>
        <v>79606911</v>
      </c>
      <c r="C106" s="273">
        <f>SUM(C98+C105)</f>
        <v>79606911</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topLeftCell="A34" workbookViewId="0">
      <selection activeCell="A10" sqref="A10:J15"/>
    </sheetView>
  </sheetViews>
  <sheetFormatPr defaultColWidth="0" defaultRowHeight="12.45" customHeight="1" zeroHeight="1"/>
  <cols>
    <col min="1" max="10" width="10.6640625" style="402" customWidth="1"/>
    <col min="11" max="16384" width="8.77734375" style="402" hidden="1"/>
  </cols>
  <sheetData>
    <row r="1" spans="1:10" ht="15.6">
      <c r="A1" s="1536" t="s">
        <v>1841</v>
      </c>
      <c r="B1" s="1537"/>
      <c r="C1" s="1537"/>
      <c r="D1" s="1537"/>
      <c r="E1" s="1537"/>
      <c r="F1" s="1537"/>
      <c r="G1" s="1537"/>
      <c r="H1" s="1537"/>
      <c r="I1" s="1537"/>
      <c r="J1" s="1537"/>
    </row>
    <row r="2" spans="1:10" ht="15">
      <c r="A2" s="1540" t="s">
        <v>1267</v>
      </c>
      <c r="B2" s="1541"/>
      <c r="C2" s="1541"/>
      <c r="D2" s="1541"/>
      <c r="E2" s="1541"/>
      <c r="F2" s="1541"/>
      <c r="G2" s="1541"/>
      <c r="H2" s="1541"/>
      <c r="I2" s="1541"/>
      <c r="J2" s="1541"/>
    </row>
    <row r="3" spans="1:10" ht="13.2"/>
    <row r="4" spans="1:10" ht="12.75" customHeight="1">
      <c r="A4" s="1538" t="s">
        <v>2004</v>
      </c>
      <c r="B4" s="1538"/>
      <c r="C4" s="1538"/>
      <c r="D4" s="1538"/>
      <c r="E4" s="1538"/>
      <c r="F4" s="1538"/>
      <c r="G4" s="1538"/>
      <c r="H4" s="1538"/>
      <c r="I4" s="1538"/>
      <c r="J4" s="1538"/>
    </row>
    <row r="5" spans="1:10" ht="13.2">
      <c r="A5" s="1538"/>
      <c r="B5" s="1538"/>
      <c r="C5" s="1538"/>
      <c r="D5" s="1538"/>
      <c r="E5" s="1538"/>
      <c r="F5" s="1538"/>
      <c r="G5" s="1538"/>
      <c r="H5" s="1538"/>
      <c r="I5" s="1538"/>
      <c r="J5" s="1538"/>
    </row>
    <row r="6" spans="1:10" ht="30" customHeight="1">
      <c r="A6" s="1538"/>
      <c r="B6" s="1538"/>
      <c r="C6" s="1538"/>
      <c r="D6" s="1538"/>
      <c r="E6" s="1538"/>
      <c r="F6" s="1538"/>
      <c r="G6" s="1538"/>
      <c r="H6" s="1538"/>
      <c r="I6" s="1538"/>
      <c r="J6" s="1538"/>
    </row>
    <row r="7" spans="1:10" ht="13.2">
      <c r="A7" s="416"/>
      <c r="B7" s="416"/>
      <c r="C7" s="416"/>
      <c r="D7" s="416"/>
      <c r="E7" s="416"/>
      <c r="F7" s="416"/>
      <c r="G7" s="416"/>
      <c r="H7" s="416"/>
      <c r="I7" s="416"/>
      <c r="J7" s="416"/>
    </row>
    <row r="8" spans="1:10" ht="12.75" customHeight="1">
      <c r="A8" s="402" t="s">
        <v>1844</v>
      </c>
      <c r="B8" s="416"/>
      <c r="C8" s="416"/>
      <c r="D8" s="416"/>
      <c r="E8" s="416"/>
      <c r="F8" s="416"/>
      <c r="G8" s="416"/>
      <c r="H8" s="416"/>
      <c r="I8" s="416"/>
      <c r="J8" s="416"/>
    </row>
    <row r="9" spans="1:10" ht="13.2"/>
    <row r="10" spans="1:10" ht="12.75" customHeight="1">
      <c r="A10" s="1542" t="s">
        <v>1846</v>
      </c>
      <c r="B10" s="1542"/>
      <c r="C10" s="1542"/>
      <c r="D10" s="1542"/>
      <c r="E10" s="1542"/>
      <c r="F10" s="1542"/>
      <c r="G10" s="1542"/>
      <c r="H10" s="1542"/>
      <c r="I10" s="1542"/>
      <c r="J10" s="1542"/>
    </row>
    <row r="11" spans="1:10" ht="13.2">
      <c r="A11" s="1542"/>
      <c r="B11" s="1542"/>
      <c r="C11" s="1542"/>
      <c r="D11" s="1542"/>
      <c r="E11" s="1542"/>
      <c r="F11" s="1542"/>
      <c r="G11" s="1542"/>
      <c r="H11" s="1542"/>
      <c r="I11" s="1542"/>
      <c r="J11" s="1542"/>
    </row>
    <row r="12" spans="1:10" ht="13.2">
      <c r="A12" s="1542"/>
      <c r="B12" s="1542"/>
      <c r="C12" s="1542"/>
      <c r="D12" s="1542"/>
      <c r="E12" s="1542"/>
      <c r="F12" s="1542"/>
      <c r="G12" s="1542"/>
      <c r="H12" s="1542"/>
      <c r="I12" s="1542"/>
      <c r="J12" s="1542"/>
    </row>
    <row r="13" spans="1:10" ht="13.2">
      <c r="A13" s="1542"/>
      <c r="B13" s="1542"/>
      <c r="C13" s="1542"/>
      <c r="D13" s="1542"/>
      <c r="E13" s="1542"/>
      <c r="F13" s="1542"/>
      <c r="G13" s="1542"/>
      <c r="H13" s="1542"/>
      <c r="I13" s="1542"/>
      <c r="J13" s="1542"/>
    </row>
    <row r="14" spans="1:10" ht="13.2">
      <c r="A14" s="1542"/>
      <c r="B14" s="1542"/>
      <c r="C14" s="1542"/>
      <c r="D14" s="1542"/>
      <c r="E14" s="1542"/>
      <c r="F14" s="1542"/>
      <c r="G14" s="1542"/>
      <c r="H14" s="1542"/>
      <c r="I14" s="1542"/>
      <c r="J14" s="1542"/>
    </row>
    <row r="15" spans="1:10" ht="13.2">
      <c r="A15" s="1542"/>
      <c r="B15" s="1542"/>
      <c r="C15" s="1542"/>
      <c r="D15" s="1542"/>
      <c r="E15" s="1542"/>
      <c r="F15" s="1542"/>
      <c r="G15" s="1542"/>
      <c r="H15" s="1542"/>
      <c r="I15" s="1542"/>
      <c r="J15" s="1542"/>
    </row>
    <row r="16" spans="1:10" ht="13.2">
      <c r="A16" s="524"/>
      <c r="B16" s="524"/>
      <c r="C16" s="524"/>
      <c r="D16" s="524"/>
      <c r="E16" s="524"/>
      <c r="F16" s="524"/>
      <c r="G16" s="524"/>
      <c r="H16" s="524"/>
      <c r="I16" s="524"/>
      <c r="J16" s="524"/>
    </row>
    <row r="17" spans="1:10" ht="13.2">
      <c r="A17" s="476" t="s">
        <v>1845</v>
      </c>
      <c r="B17" s="416"/>
      <c r="C17" s="416"/>
      <c r="D17" s="416"/>
      <c r="E17" s="416"/>
      <c r="F17" s="416"/>
      <c r="G17" s="416"/>
      <c r="H17" s="416"/>
      <c r="I17" s="416"/>
      <c r="J17" s="416"/>
    </row>
    <row r="18" spans="1:10" ht="13.2">
      <c r="A18" s="416" t="s">
        <v>250</v>
      </c>
      <c r="B18" s="416"/>
      <c r="C18" s="416"/>
      <c r="D18" s="416"/>
      <c r="E18" s="416"/>
      <c r="F18" s="416"/>
      <c r="G18" s="416"/>
      <c r="H18" s="416"/>
      <c r="I18" s="416"/>
      <c r="J18" s="416"/>
    </row>
    <row r="19" spans="1:10" ht="13.2">
      <c r="A19" s="1541" t="s">
        <v>1188</v>
      </c>
      <c r="B19" s="1541"/>
      <c r="C19" s="1541"/>
      <c r="D19" s="1541"/>
      <c r="E19" s="1541"/>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ht="13.2"/>
    <row r="50" ht="13.2"/>
    <row r="51" ht="13.2"/>
    <row r="52" ht="13.2"/>
    <row r="53" ht="13.2"/>
    <row r="54" ht="13.2"/>
    <row r="55" ht="13.2"/>
    <row r="56" ht="13.2"/>
    <row r="57" ht="13.2"/>
    <row r="58" ht="13.2"/>
    <row r="59" ht="13.2"/>
    <row r="60" ht="13.2"/>
    <row r="61" ht="13.2"/>
    <row r="62" ht="13.2"/>
    <row r="63" ht="13.2"/>
    <row r="64" ht="13.2"/>
    <row r="65" spans="1:10" ht="13.2"/>
    <row r="66" spans="1:10" ht="13.2"/>
    <row r="67" spans="1:10" ht="13.2"/>
    <row r="68" spans="1:10" ht="13.2"/>
    <row r="69" spans="1:10" ht="13.2"/>
    <row r="70" spans="1:10" ht="13.2"/>
    <row r="71" spans="1:10" ht="13.2"/>
    <row r="72" spans="1:10" ht="13.2"/>
    <row r="73" spans="1:10" ht="13.2"/>
    <row r="74" spans="1:10" ht="13.2"/>
    <row r="75" spans="1:10" ht="13.2"/>
    <row r="76" spans="1:10" ht="13.2">
      <c r="A76" s="1538" t="s">
        <v>1189</v>
      </c>
      <c r="B76" s="1538"/>
      <c r="C76" s="1538"/>
      <c r="D76" s="1538"/>
      <c r="E76" s="1538"/>
      <c r="F76" s="1538"/>
      <c r="G76" s="1538"/>
      <c r="H76" s="1538"/>
      <c r="I76" s="1538"/>
      <c r="J76" s="1538"/>
    </row>
    <row r="77" spans="1:10" ht="13.2">
      <c r="A77" s="1538"/>
      <c r="B77" s="1538"/>
      <c r="C77" s="1538"/>
      <c r="D77" s="1538"/>
      <c r="E77" s="1538"/>
      <c r="F77" s="1538"/>
      <c r="G77" s="1538"/>
      <c r="H77" s="1538"/>
      <c r="I77" s="1538"/>
      <c r="J77" s="1538"/>
    </row>
    <row r="78" spans="1:10" ht="13.2">
      <c r="A78" s="1538"/>
      <c r="B78" s="1538"/>
      <c r="C78" s="1538"/>
      <c r="D78" s="1538"/>
      <c r="E78" s="1538"/>
      <c r="F78" s="1538"/>
      <c r="G78" s="1538"/>
      <c r="H78" s="1538"/>
      <c r="I78" s="1538"/>
      <c r="J78" s="1538"/>
    </row>
    <row r="79" spans="1:10" ht="13.2"/>
    <row r="80" spans="1:10" ht="13.2">
      <c r="A80" s="402" t="s">
        <v>1188</v>
      </c>
    </row>
    <row r="81" spans="1:9" ht="13.2"/>
    <row r="82" spans="1:9" ht="13.2"/>
    <row r="83" spans="1:9" ht="13.2"/>
    <row r="84" spans="1:9" ht="13.2"/>
    <row r="85" spans="1:9" ht="13.2"/>
    <row r="86" spans="1:9" ht="13.2"/>
    <row r="87" spans="1:9" ht="13.2"/>
    <row r="88" spans="1:9" ht="13.2"/>
    <row r="89" spans="1:9" ht="13.2">
      <c r="A89" s="1539" t="s">
        <v>1842</v>
      </c>
      <c r="B89" s="1539"/>
      <c r="C89" s="1539"/>
      <c r="D89" s="1539"/>
      <c r="E89" s="1539"/>
      <c r="F89" s="1539"/>
      <c r="G89" s="1539"/>
      <c r="H89" s="1539"/>
      <c r="I89" s="1539"/>
    </row>
    <row r="90" spans="1:9" ht="13.2">
      <c r="A90" s="1531" t="s">
        <v>2002</v>
      </c>
      <c r="B90" s="1531"/>
      <c r="C90" s="1531"/>
      <c r="D90" s="1531"/>
      <c r="E90" s="1531"/>
    </row>
    <row r="91" spans="1:9" ht="13.2">
      <c r="A91" s="1531" t="s">
        <v>2003</v>
      </c>
      <c r="B91" s="1531"/>
      <c r="C91" s="1531"/>
      <c r="D91" s="1531"/>
      <c r="E91" s="1531"/>
    </row>
    <row r="92" spans="1:9" ht="13.2">
      <c r="A92" s="1531" t="s">
        <v>1843</v>
      </c>
      <c r="B92" s="1531"/>
      <c r="C92" s="1531"/>
      <c r="D92" s="1531"/>
      <c r="E92" s="1531"/>
    </row>
    <row r="93" spans="1:9" ht="13.2"/>
    <row r="94" spans="1:9" ht="13.2" hidden="1"/>
    <row r="95" spans="1:9" ht="13.2"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15240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workbookViewId="0">
      <selection activeCell="B429" sqref="B429"/>
    </sheetView>
  </sheetViews>
  <sheetFormatPr defaultColWidth="0" defaultRowHeight="13.2" zeroHeight="1"/>
  <cols>
    <col min="1" max="1" width="3.44140625" style="480" customWidth="1"/>
    <col min="2" max="2" width="13.44140625" style="480" customWidth="1"/>
    <col min="3" max="3" width="2.44140625" style="480" customWidth="1"/>
    <col min="4" max="5" width="3.44140625" style="402" customWidth="1"/>
    <col min="6" max="6" width="65.44140625" style="402" customWidth="1"/>
    <col min="7" max="7" width="1.44140625" style="402" customWidth="1"/>
    <col min="8" max="8" width="3.44140625" style="402" customWidth="1"/>
    <col min="9" max="9" width="9.109375" style="404" customWidth="1"/>
    <col min="10" max="13" width="8.77734375" style="402" hidden="1" customWidth="1"/>
    <col min="14" max="16384" width="0" style="402" hidden="1"/>
  </cols>
  <sheetData>
    <row r="1" spans="1:13"/>
    <row r="2" spans="1:13">
      <c r="A2" s="1594" t="s">
        <v>2591</v>
      </c>
      <c r="B2" s="1594"/>
      <c r="C2" s="1594"/>
      <c r="D2" s="1594"/>
      <c r="E2" s="1594"/>
      <c r="F2" s="1594"/>
      <c r="G2" s="1594"/>
      <c r="H2" s="1594"/>
      <c r="I2" s="1594"/>
    </row>
    <row r="3" spans="1:13">
      <c r="A3" s="1584" t="s">
        <v>2171</v>
      </c>
      <c r="B3" s="1584"/>
      <c r="C3" s="1584"/>
      <c r="D3" s="1584"/>
      <c r="E3" s="1584"/>
      <c r="F3" s="1584"/>
      <c r="G3" s="1584"/>
      <c r="H3" s="1584"/>
      <c r="I3" s="1584"/>
    </row>
    <row r="4" spans="1:13">
      <c r="A4" s="1584"/>
      <c r="B4" s="1584"/>
      <c r="C4" s="1541"/>
      <c r="D4" s="1541"/>
      <c r="E4" s="1541"/>
      <c r="F4" s="1541"/>
      <c r="G4" s="1541"/>
    </row>
    <row r="5" spans="1:13">
      <c r="A5" s="1584"/>
      <c r="B5" s="1584"/>
      <c r="C5" s="1541"/>
      <c r="D5" s="1541"/>
      <c r="E5" s="1541"/>
      <c r="F5" s="1541"/>
      <c r="G5" s="1541"/>
    </row>
    <row r="6" spans="1:13" ht="12.75" customHeight="1">
      <c r="A6" s="1587" t="s">
        <v>2170</v>
      </c>
      <c r="B6" s="1587"/>
      <c r="C6" s="1587"/>
      <c r="D6" s="1587"/>
      <c r="E6" s="1587"/>
      <c r="F6" s="1587"/>
      <c r="G6" s="1587"/>
      <c r="I6" s="490"/>
    </row>
    <row r="7" spans="1:13">
      <c r="A7" s="1587"/>
      <c r="B7" s="1587"/>
      <c r="C7" s="1587"/>
      <c r="D7" s="1587"/>
      <c r="E7" s="1587"/>
      <c r="F7" s="1587"/>
      <c r="G7" s="1587"/>
      <c r="I7" s="490"/>
    </row>
    <row r="8" spans="1:13">
      <c r="A8" s="481"/>
      <c r="B8" s="481"/>
      <c r="C8" s="482"/>
      <c r="D8" s="482"/>
      <c r="E8" s="482"/>
      <c r="F8" s="482"/>
    </row>
    <row r="9" spans="1:13">
      <c r="A9" s="1563" t="s">
        <v>1100</v>
      </c>
      <c r="B9" s="1563"/>
      <c r="C9" s="1563"/>
      <c r="D9" s="1563"/>
      <c r="E9" s="1563"/>
      <c r="F9" s="1563"/>
      <c r="G9" s="1563"/>
      <c r="H9" s="1023"/>
      <c r="I9" s="1024"/>
    </row>
    <row r="10" spans="1:13">
      <c r="A10" s="482"/>
      <c r="B10" s="482"/>
      <c r="E10" s="404"/>
    </row>
    <row r="11" spans="1:13" ht="13.8" customHeight="1">
      <c r="C11" s="482"/>
      <c r="D11" s="1586" t="s">
        <v>1099</v>
      </c>
      <c r="E11" s="1586"/>
      <c r="F11" s="1586"/>
    </row>
    <row r="12" spans="1:13">
      <c r="C12" s="482"/>
      <c r="D12" s="1586"/>
      <c r="E12" s="1586"/>
      <c r="F12" s="1586"/>
    </row>
    <row r="13" spans="1:13">
      <c r="A13" s="483"/>
      <c r="B13" s="483"/>
      <c r="C13" s="483"/>
      <c r="D13" s="1564" t="s">
        <v>1089</v>
      </c>
      <c r="E13" s="1564"/>
      <c r="F13" s="1564"/>
      <c r="M13" s="96"/>
    </row>
    <row r="14" spans="1:13">
      <c r="A14" s="483"/>
      <c r="B14" s="483"/>
      <c r="C14" s="483"/>
      <c r="D14" s="476"/>
      <c r="L14" s="312"/>
    </row>
    <row r="15" spans="1:13" ht="14.4">
      <c r="A15" s="484"/>
      <c r="B15" s="485" t="s">
        <v>2637</v>
      </c>
      <c r="C15" s="483"/>
      <c r="D15" s="1562" t="s">
        <v>1893</v>
      </c>
      <c r="E15" s="1562"/>
      <c r="F15" s="1562"/>
      <c r="I15" s="490"/>
    </row>
    <row r="16" spans="1:13">
      <c r="A16" s="483"/>
      <c r="B16" s="483"/>
      <c r="C16" s="483"/>
      <c r="D16" s="1562"/>
      <c r="E16" s="1562"/>
      <c r="F16" s="1562"/>
      <c r="I16" s="490"/>
    </row>
    <row r="17" spans="1:9">
      <c r="A17" s="483"/>
      <c r="B17" s="483"/>
      <c r="C17" s="483"/>
      <c r="D17" s="1562"/>
      <c r="E17" s="1562"/>
      <c r="F17" s="1562"/>
      <c r="I17" s="490"/>
    </row>
    <row r="18" spans="1:9">
      <c r="A18" s="483"/>
      <c r="B18" s="483"/>
      <c r="C18" s="483"/>
      <c r="D18" s="445"/>
      <c r="E18" s="312" t="s">
        <v>1891</v>
      </c>
      <c r="F18" s="445"/>
      <c r="I18" s="490"/>
    </row>
    <row r="19" spans="1:9">
      <c r="A19" s="483"/>
      <c r="B19" s="483"/>
      <c r="C19" s="483"/>
      <c r="I19" s="490"/>
    </row>
    <row r="20" spans="1:9" ht="14.4">
      <c r="A20" s="484"/>
      <c r="B20" s="485" t="s">
        <v>2637</v>
      </c>
      <c r="D20" s="1562" t="s">
        <v>1894</v>
      </c>
      <c r="E20" s="1562"/>
      <c r="F20" s="1562"/>
      <c r="I20" s="490"/>
    </row>
    <row r="21" spans="1:9" ht="14.4">
      <c r="A21" s="484"/>
      <c r="D21" s="1562"/>
      <c r="E21" s="1562"/>
      <c r="F21" s="1562"/>
      <c r="I21" s="490"/>
    </row>
    <row r="22" spans="1:9" ht="14.4">
      <c r="A22" s="484"/>
      <c r="D22" s="392"/>
      <c r="E22" s="96" t="s">
        <v>1890</v>
      </c>
      <c r="F22" s="392"/>
      <c r="I22" s="490"/>
    </row>
    <row r="23" spans="1:9" ht="14.4">
      <c r="A23" s="484"/>
      <c r="B23" s="484"/>
      <c r="D23" s="446"/>
      <c r="I23" s="490"/>
    </row>
    <row r="24" spans="1:9" ht="14.4">
      <c r="A24" s="484"/>
      <c r="B24" s="485" t="s">
        <v>2638</v>
      </c>
      <c r="D24" s="1562" t="s">
        <v>1090</v>
      </c>
      <c r="E24" s="1562"/>
      <c r="F24" s="1562"/>
      <c r="I24" s="490"/>
    </row>
    <row r="25" spans="1:9" ht="14.4">
      <c r="A25" s="484"/>
      <c r="B25" s="484"/>
      <c r="D25" s="1562"/>
      <c r="E25" s="1562"/>
      <c r="F25" s="1562"/>
      <c r="I25" s="490"/>
    </row>
    <row r="26" spans="1:9">
      <c r="I26" s="490"/>
    </row>
    <row r="27" spans="1:9" ht="14.4">
      <c r="A27" s="484"/>
      <c r="B27" s="485" t="s">
        <v>2637</v>
      </c>
      <c r="D27" s="1562" t="s">
        <v>2005</v>
      </c>
      <c r="E27" s="1562"/>
      <c r="F27" s="1562"/>
      <c r="I27" s="490"/>
    </row>
    <row r="28" spans="1:9">
      <c r="D28" s="1562"/>
      <c r="E28" s="1562"/>
      <c r="F28" s="1562"/>
      <c r="I28" s="490"/>
    </row>
    <row r="29" spans="1:9">
      <c r="D29" s="1562"/>
      <c r="E29" s="1562"/>
      <c r="F29" s="1562"/>
      <c r="I29" s="490"/>
    </row>
    <row r="30" spans="1:9">
      <c r="D30" s="1562"/>
      <c r="E30" s="1562"/>
      <c r="F30" s="1562"/>
      <c r="I30" s="490"/>
    </row>
    <row r="31" spans="1:9">
      <c r="D31" s="1562"/>
      <c r="E31" s="1562"/>
      <c r="F31" s="1562"/>
      <c r="I31" s="490"/>
    </row>
    <row r="32" spans="1:9">
      <c r="D32" s="447"/>
      <c r="I32" s="490"/>
    </row>
    <row r="33" spans="1:9">
      <c r="B33" s="485" t="s">
        <v>2638</v>
      </c>
      <c r="D33" s="1562" t="s">
        <v>2006</v>
      </c>
      <c r="E33" s="1562"/>
      <c r="F33" s="1562"/>
      <c r="I33" s="490"/>
    </row>
    <row r="34" spans="1:9">
      <c r="D34" s="1562"/>
      <c r="E34" s="1562"/>
      <c r="F34" s="1562"/>
      <c r="I34" s="490"/>
    </row>
    <row r="35" spans="1:9" ht="14.4">
      <c r="A35" s="484"/>
      <c r="B35" s="484"/>
      <c r="D35" s="447"/>
      <c r="I35" s="490"/>
    </row>
    <row r="36" spans="1:9" ht="14.55" customHeight="1">
      <c r="A36" s="484"/>
      <c r="B36" s="485" t="s">
        <v>2638</v>
      </c>
      <c r="D36" s="1562" t="s">
        <v>1213</v>
      </c>
      <c r="E36" s="1562"/>
      <c r="F36" s="1562"/>
      <c r="I36" s="490"/>
    </row>
    <row r="37" spans="1:9" ht="14.4">
      <c r="A37" s="484"/>
      <c r="B37" s="484"/>
      <c r="D37" s="1562"/>
      <c r="E37" s="1562"/>
      <c r="F37" s="1562"/>
      <c r="I37" s="490"/>
    </row>
    <row r="38" spans="1:9" ht="14.4">
      <c r="A38" s="484"/>
      <c r="B38" s="484"/>
      <c r="D38" s="1562"/>
      <c r="E38" s="1562"/>
      <c r="F38" s="1562"/>
      <c r="I38" s="490"/>
    </row>
    <row r="39" spans="1:9" ht="14.4">
      <c r="A39" s="484"/>
      <c r="B39" s="484"/>
      <c r="D39" s="1562"/>
      <c r="E39" s="1562"/>
      <c r="F39" s="1562"/>
      <c r="I39" s="490"/>
    </row>
    <row r="40" spans="1:9" ht="14.4">
      <c r="A40" s="484"/>
      <c r="B40" s="484"/>
      <c r="I40" s="490"/>
    </row>
    <row r="41" spans="1:9" ht="14.4">
      <c r="A41" s="484"/>
      <c r="B41" s="485" t="s">
        <v>2638</v>
      </c>
      <c r="D41" s="1562" t="s">
        <v>1091</v>
      </c>
      <c r="E41" s="1562"/>
      <c r="F41" s="1562"/>
      <c r="I41" s="490"/>
    </row>
    <row r="42" spans="1:9" ht="14.4">
      <c r="A42" s="484"/>
      <c r="B42" s="484"/>
      <c r="D42" s="1562"/>
      <c r="E42" s="1562"/>
      <c r="F42" s="1562"/>
      <c r="I42" s="490"/>
    </row>
    <row r="43" spans="1:9" ht="14.4">
      <c r="A43" s="484"/>
      <c r="B43" s="484"/>
      <c r="D43" s="1562"/>
      <c r="E43" s="1562"/>
      <c r="F43" s="1562"/>
      <c r="I43" s="490"/>
    </row>
    <row r="44" spans="1:9" ht="14.4">
      <c r="A44" s="484"/>
      <c r="B44" s="484"/>
      <c r="D44" s="1562"/>
      <c r="E44" s="1562"/>
      <c r="F44" s="1562"/>
      <c r="I44" s="490"/>
    </row>
    <row r="45" spans="1:9" ht="14.4">
      <c r="A45" s="484"/>
      <c r="B45" s="484"/>
      <c r="D45" s="1562"/>
      <c r="E45" s="1562"/>
      <c r="F45" s="1562"/>
      <c r="I45" s="490"/>
    </row>
    <row r="46" spans="1:9" ht="14.4">
      <c r="A46" s="484"/>
      <c r="B46" s="484"/>
      <c r="D46" s="445"/>
      <c r="E46" s="445"/>
      <c r="F46" s="445"/>
      <c r="I46" s="490"/>
    </row>
    <row r="47" spans="1:9" ht="14.4">
      <c r="A47" s="484"/>
      <c r="B47" s="485" t="s">
        <v>2637</v>
      </c>
      <c r="D47" s="1562" t="s">
        <v>1092</v>
      </c>
      <c r="E47" s="1562"/>
      <c r="F47" s="1562"/>
      <c r="I47" s="490"/>
    </row>
    <row r="48" spans="1:9" ht="14.4">
      <c r="A48" s="484"/>
      <c r="B48" s="484"/>
      <c r="D48" s="1562"/>
      <c r="E48" s="1562"/>
      <c r="F48" s="1562"/>
      <c r="I48" s="490"/>
    </row>
    <row r="49" spans="1:9" ht="14.4">
      <c r="A49" s="484"/>
      <c r="B49" s="484"/>
      <c r="D49" s="1562"/>
      <c r="E49" s="1562"/>
      <c r="F49" s="1562"/>
      <c r="I49" s="490"/>
    </row>
    <row r="50" spans="1:9" ht="23.25" customHeight="1">
      <c r="A50" s="484"/>
      <c r="B50" s="484"/>
      <c r="D50" s="1562"/>
      <c r="E50" s="1562"/>
      <c r="F50" s="1562"/>
      <c r="I50" s="490"/>
    </row>
    <row r="51" spans="1:9" ht="14.4">
      <c r="A51" s="484"/>
      <c r="B51" s="484"/>
      <c r="D51" s="446"/>
      <c r="I51" s="490"/>
    </row>
    <row r="52" spans="1:9" ht="14.55" customHeight="1">
      <c r="A52" s="484"/>
      <c r="B52" s="485" t="s">
        <v>2638</v>
      </c>
      <c r="D52" s="1562" t="s">
        <v>1093</v>
      </c>
      <c r="E52" s="1562"/>
      <c r="F52" s="1562"/>
      <c r="I52" s="490"/>
    </row>
    <row r="53" spans="1:9" ht="14.4">
      <c r="A53" s="484"/>
      <c r="B53" s="484"/>
      <c r="D53" s="1562"/>
      <c r="E53" s="1562"/>
      <c r="F53" s="1562"/>
      <c r="I53" s="490"/>
    </row>
    <row r="54" spans="1:9" ht="14.4">
      <c r="A54" s="484"/>
      <c r="B54" s="484"/>
      <c r="D54" s="1562"/>
      <c r="E54" s="1562"/>
      <c r="F54" s="1562"/>
      <c r="I54" s="490"/>
    </row>
    <row r="55" spans="1:9" ht="14.4">
      <c r="A55" s="484"/>
      <c r="B55" s="484"/>
      <c r="I55" s="490"/>
    </row>
    <row r="56" spans="1:9" ht="14.4">
      <c r="A56" s="484"/>
      <c r="B56" s="485" t="s">
        <v>2637</v>
      </c>
      <c r="D56" s="1589" t="s">
        <v>1094</v>
      </c>
      <c r="E56" s="1589"/>
      <c r="F56" s="1589"/>
      <c r="I56" s="490"/>
    </row>
    <row r="57" spans="1:9" ht="14.4">
      <c r="A57" s="484"/>
      <c r="B57" s="484"/>
      <c r="D57" s="1589"/>
      <c r="E57" s="1589"/>
      <c r="F57" s="1589"/>
      <c r="I57" s="490"/>
    </row>
    <row r="58" spans="1:9" ht="14.4">
      <c r="A58" s="484"/>
      <c r="B58" s="484"/>
      <c r="D58" s="392" t="s">
        <v>1892</v>
      </c>
      <c r="E58" s="445"/>
      <c r="F58" s="445"/>
      <c r="I58" s="490"/>
    </row>
    <row r="59" spans="1:9" ht="14.4">
      <c r="A59" s="484"/>
      <c r="B59" s="484"/>
      <c r="D59" s="445"/>
      <c r="E59" s="312" t="s">
        <v>1891</v>
      </c>
      <c r="F59" s="445"/>
      <c r="I59" s="490"/>
    </row>
    <row r="60" spans="1:9">
      <c r="D60" s="447"/>
      <c r="I60" s="490"/>
    </row>
    <row r="61" spans="1:9" ht="14.4">
      <c r="A61" s="484"/>
      <c r="B61" s="485" t="s">
        <v>2638</v>
      </c>
      <c r="D61" s="1562" t="s">
        <v>1095</v>
      </c>
      <c r="E61" s="1562"/>
      <c r="F61" s="1562"/>
      <c r="I61" s="490"/>
    </row>
    <row r="62" spans="1:9">
      <c r="D62" s="1562"/>
      <c r="E62" s="1562"/>
      <c r="F62" s="1562"/>
      <c r="I62" s="490"/>
    </row>
    <row r="63" spans="1:9">
      <c r="D63" s="1562"/>
      <c r="E63" s="1562"/>
      <c r="F63" s="1562"/>
      <c r="I63" s="490"/>
    </row>
    <row r="64" spans="1:9">
      <c r="I64" s="490"/>
    </row>
    <row r="65" spans="1:9" ht="14.4">
      <c r="A65" s="484"/>
      <c r="B65" s="485" t="s">
        <v>2638</v>
      </c>
      <c r="D65" s="1562" t="s">
        <v>1096</v>
      </c>
      <c r="E65" s="1562"/>
      <c r="F65" s="1562"/>
      <c r="I65" s="490"/>
    </row>
    <row r="66" spans="1:9">
      <c r="D66" s="1562"/>
      <c r="E66" s="1562"/>
      <c r="F66" s="1562"/>
      <c r="I66" s="490"/>
    </row>
    <row r="67" spans="1:9">
      <c r="I67" s="490"/>
    </row>
    <row r="68" spans="1:9" ht="14.4">
      <c r="A68" s="484"/>
      <c r="B68" s="485" t="s">
        <v>2637</v>
      </c>
      <c r="D68" s="1562" t="s">
        <v>1097</v>
      </c>
      <c r="E68" s="1562"/>
      <c r="F68" s="1562"/>
      <c r="I68" s="490"/>
    </row>
    <row r="69" spans="1:9">
      <c r="D69" s="1562"/>
      <c r="E69" s="1562"/>
      <c r="F69" s="1562"/>
      <c r="I69" s="490"/>
    </row>
    <row r="70" spans="1:9">
      <c r="D70" s="1562"/>
      <c r="E70" s="1562"/>
      <c r="F70" s="1562"/>
      <c r="I70" s="490"/>
    </row>
    <row r="71" spans="1:9">
      <c r="I71" s="490"/>
    </row>
    <row r="72" spans="1:9" ht="14.4">
      <c r="A72" s="484"/>
      <c r="B72" s="485" t="s">
        <v>2637</v>
      </c>
      <c r="D72" s="1562" t="s">
        <v>1098</v>
      </c>
      <c r="E72" s="1562"/>
      <c r="F72" s="1562"/>
      <c r="I72" s="490"/>
    </row>
    <row r="73" spans="1:9">
      <c r="D73" s="1562"/>
      <c r="E73" s="1562"/>
      <c r="F73" s="1562"/>
      <c r="I73" s="490"/>
    </row>
    <row r="74" spans="1:9" ht="14.4">
      <c r="A74" s="484"/>
      <c r="B74" s="484"/>
      <c r="D74" s="446"/>
      <c r="I74" s="490"/>
    </row>
    <row r="75" spans="1:9">
      <c r="A75" s="1563" t="s">
        <v>1043</v>
      </c>
      <c r="B75" s="1563"/>
      <c r="C75" s="1563"/>
      <c r="D75" s="1563"/>
      <c r="E75" s="1563"/>
      <c r="F75" s="1563"/>
      <c r="G75" s="1563"/>
      <c r="H75" s="1023"/>
      <c r="I75" s="1147"/>
    </row>
    <row r="76" spans="1:9">
      <c r="I76" s="490"/>
    </row>
    <row r="77" spans="1:9">
      <c r="C77" s="486"/>
      <c r="D77" s="1582" t="s">
        <v>1101</v>
      </c>
      <c r="E77" s="1582"/>
      <c r="F77" s="1582"/>
      <c r="I77" s="490"/>
    </row>
    <row r="78" spans="1:9">
      <c r="A78" s="446"/>
      <c r="B78" s="446"/>
      <c r="D78" s="1562" t="s">
        <v>1116</v>
      </c>
      <c r="E78" s="1562"/>
      <c r="F78" s="1562"/>
      <c r="I78" s="490"/>
    </row>
    <row r="79" spans="1:9">
      <c r="A79" s="446"/>
      <c r="B79" s="446"/>
      <c r="I79" s="490"/>
    </row>
    <row r="80" spans="1:9" ht="13.8" customHeight="1">
      <c r="A80" s="484"/>
      <c r="B80" s="485" t="s">
        <v>2637</v>
      </c>
      <c r="D80" s="1562" t="s">
        <v>1244</v>
      </c>
      <c r="E80" s="1562"/>
      <c r="F80" s="1562"/>
      <c r="I80" s="490"/>
    </row>
    <row r="81" spans="1:9" ht="14.4">
      <c r="A81" s="484"/>
      <c r="B81" s="484"/>
      <c r="D81" s="1562"/>
      <c r="E81" s="1562"/>
      <c r="F81" s="1562"/>
      <c r="I81" s="490"/>
    </row>
    <row r="82" spans="1:9" ht="14.4">
      <c r="A82" s="484"/>
      <c r="B82" s="484"/>
      <c r="D82" s="1562"/>
      <c r="E82" s="1562"/>
      <c r="F82" s="1562"/>
      <c r="I82" s="490"/>
    </row>
    <row r="83" spans="1:9" ht="14.4">
      <c r="A83" s="484"/>
      <c r="B83" s="484"/>
      <c r="D83" s="1562"/>
      <c r="E83" s="1562"/>
      <c r="F83" s="1562"/>
      <c r="I83" s="490"/>
    </row>
    <row r="84" spans="1:9" ht="14.4">
      <c r="A84" s="484"/>
      <c r="B84" s="484"/>
      <c r="D84" s="1562"/>
      <c r="E84" s="1562"/>
      <c r="F84" s="1562"/>
      <c r="I84" s="490"/>
    </row>
    <row r="85" spans="1:9" ht="14.4">
      <c r="A85" s="484"/>
      <c r="B85" s="484"/>
      <c r="D85" s="1562"/>
      <c r="E85" s="1562"/>
      <c r="F85" s="1562"/>
      <c r="I85" s="490"/>
    </row>
    <row r="86" spans="1:9" ht="14.4">
      <c r="A86" s="484"/>
      <c r="B86" s="484"/>
      <c r="D86" s="1562"/>
      <c r="E86" s="1562"/>
      <c r="F86" s="1562"/>
      <c r="I86" s="490"/>
    </row>
    <row r="87" spans="1:9" ht="14.4">
      <c r="A87" s="484"/>
      <c r="B87" s="484"/>
      <c r="D87" s="1562"/>
      <c r="E87" s="1562"/>
      <c r="F87" s="1562"/>
      <c r="I87" s="490"/>
    </row>
    <row r="88" spans="1:9" ht="14.4">
      <c r="A88" s="484"/>
      <c r="B88" s="484"/>
      <c r="D88" s="385"/>
      <c r="E88" s="385"/>
      <c r="F88" s="385"/>
      <c r="I88" s="490"/>
    </row>
    <row r="89" spans="1:9" ht="15" customHeight="1">
      <c r="A89" s="484"/>
      <c r="B89" s="485" t="s">
        <v>2637</v>
      </c>
      <c r="D89" s="1562" t="s">
        <v>1729</v>
      </c>
      <c r="E89" s="1562"/>
      <c r="F89" s="1562"/>
      <c r="I89" s="490"/>
    </row>
    <row r="90" spans="1:9" ht="14.4">
      <c r="A90" s="484"/>
      <c r="B90" s="484"/>
      <c r="D90" s="1562"/>
      <c r="E90" s="1562"/>
      <c r="F90" s="1562"/>
      <c r="I90" s="490"/>
    </row>
    <row r="91" spans="1:9" ht="14.4">
      <c r="A91" s="484"/>
      <c r="B91" s="484"/>
      <c r="D91" s="445"/>
      <c r="E91" s="445"/>
      <c r="F91" s="445"/>
      <c r="I91" s="490"/>
    </row>
    <row r="92" spans="1:9" ht="14.4">
      <c r="A92" s="484"/>
      <c r="B92" s="485" t="s">
        <v>2637</v>
      </c>
      <c r="D92" s="1562" t="s">
        <v>1732</v>
      </c>
      <c r="E92" s="1562"/>
      <c r="F92" s="1562"/>
      <c r="I92" s="490"/>
    </row>
    <row r="93" spans="1:9" ht="14.4">
      <c r="A93" s="484"/>
      <c r="B93" s="484"/>
      <c r="D93" s="1562"/>
      <c r="E93" s="1562"/>
      <c r="F93" s="1562"/>
      <c r="I93" s="490"/>
    </row>
    <row r="94" spans="1:9" ht="14.4">
      <c r="A94" s="484"/>
      <c r="B94" s="484"/>
      <c r="D94" s="1562"/>
      <c r="E94" s="1562"/>
      <c r="F94" s="1562"/>
      <c r="I94" s="490"/>
    </row>
    <row r="95" spans="1:9" ht="14.4">
      <c r="A95" s="484"/>
      <c r="B95" s="484"/>
      <c r="D95" s="445"/>
      <c r="E95" s="445"/>
      <c r="F95" s="445"/>
      <c r="I95" s="490"/>
    </row>
    <row r="96" spans="1:9" ht="14.4">
      <c r="A96" s="484"/>
      <c r="B96" s="485" t="s">
        <v>2637</v>
      </c>
      <c r="D96" s="1562" t="s">
        <v>1731</v>
      </c>
      <c r="E96" s="1562"/>
      <c r="F96" s="1562"/>
      <c r="I96" s="490"/>
    </row>
    <row r="97" spans="1:9" s="982" customFormat="1" ht="14.4">
      <c r="A97" s="980"/>
      <c r="B97" s="980"/>
      <c r="C97" s="981"/>
      <c r="D97" s="1562"/>
      <c r="E97" s="1562"/>
      <c r="F97" s="1562"/>
      <c r="I97" s="1148"/>
    </row>
    <row r="98" spans="1:9" ht="14.4">
      <c r="A98" s="484"/>
      <c r="B98" s="484"/>
      <c r="D98" s="392"/>
      <c r="E98" s="312" t="s">
        <v>1895</v>
      </c>
      <c r="F98" s="445"/>
      <c r="I98" s="490"/>
    </row>
    <row r="99" spans="1:9" ht="14.4">
      <c r="A99" s="484"/>
      <c r="B99" s="484"/>
      <c r="D99" s="385"/>
      <c r="E99" s="385"/>
      <c r="F99" s="385"/>
      <c r="I99" s="490"/>
    </row>
    <row r="100" spans="1:9" ht="14.4">
      <c r="A100" s="484"/>
      <c r="B100" s="485" t="s">
        <v>2638</v>
      </c>
      <c r="D100" s="1562" t="s">
        <v>1730</v>
      </c>
      <c r="E100" s="1562"/>
      <c r="F100" s="1562"/>
      <c r="I100" s="490"/>
    </row>
    <row r="101" spans="1:9" ht="14.4">
      <c r="A101" s="484"/>
      <c r="B101" s="484"/>
      <c r="D101" s="1562"/>
      <c r="E101" s="1562"/>
      <c r="F101" s="1562"/>
      <c r="I101" s="490"/>
    </row>
    <row r="102" spans="1:9" ht="14.4">
      <c r="A102" s="484"/>
      <c r="B102" s="484"/>
      <c r="D102" s="445"/>
      <c r="E102" s="445"/>
      <c r="F102" s="445"/>
      <c r="I102" s="490"/>
    </row>
    <row r="103" spans="1:9" ht="14.55" customHeight="1">
      <c r="A103" s="484"/>
      <c r="B103" s="485" t="s">
        <v>2638</v>
      </c>
      <c r="D103" s="1562" t="s">
        <v>1193</v>
      </c>
      <c r="E103" s="1562"/>
      <c r="F103" s="1562"/>
      <c r="I103" s="490"/>
    </row>
    <row r="104" spans="1:9" ht="14.4">
      <c r="A104" s="484"/>
      <c r="B104" s="484"/>
      <c r="D104" s="1562"/>
      <c r="E104" s="1562"/>
      <c r="F104" s="1562"/>
      <c r="I104" s="490"/>
    </row>
    <row r="105" spans="1:9" ht="14.4">
      <c r="A105" s="484"/>
      <c r="B105" s="484"/>
      <c r="D105" s="1562"/>
      <c r="E105" s="1562"/>
      <c r="F105" s="1562"/>
      <c r="I105" s="490"/>
    </row>
    <row r="106" spans="1:9" ht="14.4">
      <c r="A106" s="484"/>
      <c r="B106" s="484"/>
      <c r="D106" s="1562"/>
      <c r="E106" s="1562"/>
      <c r="F106" s="1562"/>
      <c r="I106" s="490"/>
    </row>
    <row r="107" spans="1:9" ht="14.4">
      <c r="A107" s="484"/>
      <c r="B107" s="484"/>
      <c r="D107" s="1562"/>
      <c r="E107" s="1562"/>
      <c r="F107" s="1562"/>
      <c r="I107" s="490"/>
    </row>
    <row r="108" spans="1:9" ht="14.4">
      <c r="A108" s="484"/>
      <c r="B108" s="484"/>
      <c r="D108" s="1562"/>
      <c r="E108" s="1562"/>
      <c r="F108" s="1562"/>
      <c r="I108" s="490"/>
    </row>
    <row r="109" spans="1:9" ht="14.4">
      <c r="A109" s="484"/>
      <c r="B109" s="484"/>
      <c r="D109" s="1562"/>
      <c r="E109" s="1562"/>
      <c r="F109" s="1562"/>
      <c r="I109" s="490"/>
    </row>
    <row r="110" spans="1:9" ht="14.4">
      <c r="A110" s="484"/>
      <c r="B110" s="484"/>
      <c r="D110" s="1562"/>
      <c r="E110" s="1562"/>
      <c r="F110" s="1562"/>
      <c r="I110" s="490"/>
    </row>
    <row r="111" spans="1:9" ht="14.4">
      <c r="A111" s="484"/>
      <c r="B111" s="484"/>
      <c r="D111" s="1562"/>
      <c r="E111" s="1562"/>
      <c r="F111" s="1562"/>
      <c r="I111" s="490"/>
    </row>
    <row r="112" spans="1:9" ht="14.4">
      <c r="A112" s="484"/>
      <c r="B112" s="484"/>
      <c r="D112" s="1562"/>
      <c r="E112" s="1562"/>
      <c r="F112" s="1562"/>
      <c r="I112" s="490"/>
    </row>
    <row r="113" spans="1:9" ht="14.4">
      <c r="A113" s="484"/>
      <c r="B113" s="484"/>
      <c r="D113" s="1562"/>
      <c r="E113" s="1562"/>
      <c r="F113" s="1562"/>
      <c r="I113" s="490"/>
    </row>
    <row r="114" spans="1:9" ht="14.4">
      <c r="A114" s="484"/>
      <c r="B114" s="484"/>
      <c r="D114" s="1562"/>
      <c r="E114" s="1562"/>
      <c r="F114" s="1562"/>
      <c r="I114" s="490"/>
    </row>
    <row r="115" spans="1:9" ht="14.4">
      <c r="A115" s="484"/>
      <c r="B115" s="484"/>
      <c r="D115" s="1562"/>
      <c r="E115" s="1562"/>
      <c r="F115" s="1562"/>
      <c r="I115" s="490"/>
    </row>
    <row r="116" spans="1:9" ht="14.4">
      <c r="A116" s="484"/>
      <c r="B116" s="484"/>
      <c r="D116" s="1562"/>
      <c r="E116" s="1562"/>
      <c r="F116" s="1562"/>
      <c r="I116" s="490"/>
    </row>
    <row r="117" spans="1:9" ht="14.4">
      <c r="A117" s="484"/>
      <c r="B117" s="484"/>
      <c r="D117" s="1562"/>
      <c r="E117" s="1562"/>
      <c r="F117" s="1562"/>
      <c r="I117" s="490"/>
    </row>
    <row r="118" spans="1:9" ht="14.4">
      <c r="A118" s="484"/>
      <c r="B118" s="484"/>
      <c r="D118" s="524"/>
      <c r="E118" s="524"/>
      <c r="F118" s="524"/>
      <c r="I118" s="490"/>
    </row>
    <row r="119" spans="1:9" ht="14.25" customHeight="1">
      <c r="A119" s="484"/>
      <c r="B119" s="485" t="s">
        <v>2638</v>
      </c>
      <c r="D119" s="1588" t="s">
        <v>1102</v>
      </c>
      <c r="E119" s="1588"/>
      <c r="F119" s="1588"/>
      <c r="I119" s="490"/>
    </row>
    <row r="120" spans="1:9" ht="14.4">
      <c r="A120" s="484"/>
      <c r="B120" s="484"/>
      <c r="D120" s="1588"/>
      <c r="E120" s="1588"/>
      <c r="F120" s="1588"/>
      <c r="I120" s="490"/>
    </row>
    <row r="121" spans="1:9" ht="14.4">
      <c r="A121" s="484"/>
      <c r="B121" s="484"/>
      <c r="D121" s="1588"/>
      <c r="E121" s="1588"/>
      <c r="F121" s="1588"/>
      <c r="I121" s="490"/>
    </row>
    <row r="122" spans="1:9" ht="14.4">
      <c r="A122" s="484"/>
      <c r="B122" s="484"/>
      <c r="D122" s="1588"/>
      <c r="E122" s="1588"/>
      <c r="F122" s="1588"/>
      <c r="I122" s="490"/>
    </row>
    <row r="123" spans="1:9" ht="14.4">
      <c r="A123" s="484"/>
      <c r="B123" s="484"/>
      <c r="D123" s="1588"/>
      <c r="E123" s="1588"/>
      <c r="F123" s="1588"/>
      <c r="I123" s="490"/>
    </row>
    <row r="124" spans="1:9" ht="14.4">
      <c r="A124" s="484"/>
      <c r="B124" s="484"/>
      <c r="D124" s="1588"/>
      <c r="E124" s="1588"/>
      <c r="F124" s="1588"/>
      <c r="I124" s="490"/>
    </row>
    <row r="125" spans="1:9" ht="14.4">
      <c r="A125" s="484"/>
      <c r="B125" s="484"/>
      <c r="D125" s="1588"/>
      <c r="E125" s="1588"/>
      <c r="F125" s="1588"/>
      <c r="I125" s="490"/>
    </row>
    <row r="126" spans="1:9" ht="14.4">
      <c r="A126" s="484"/>
      <c r="B126" s="484"/>
      <c r="D126" s="1588"/>
      <c r="E126" s="1588"/>
      <c r="F126" s="1588"/>
      <c r="I126" s="490"/>
    </row>
    <row r="127" spans="1:9">
      <c r="C127" s="402"/>
      <c r="D127" s="525"/>
      <c r="E127" s="525"/>
      <c r="F127" s="525"/>
      <c r="I127" s="490"/>
    </row>
    <row r="128" spans="1:9" ht="14.4">
      <c r="A128" s="484"/>
      <c r="B128" s="485" t="s">
        <v>2637</v>
      </c>
      <c r="C128" s="402"/>
      <c r="D128" s="1588" t="s">
        <v>2007</v>
      </c>
      <c r="E128" s="1588"/>
      <c r="F128" s="1588"/>
      <c r="I128" s="490"/>
    </row>
    <row r="129" spans="1:9" ht="14.4">
      <c r="A129" s="484"/>
      <c r="B129" s="484"/>
      <c r="C129" s="402"/>
      <c r="D129" s="1588"/>
      <c r="E129" s="1588"/>
      <c r="F129" s="1588"/>
      <c r="I129" s="490"/>
    </row>
    <row r="130" spans="1:9">
      <c r="I130" s="490"/>
    </row>
    <row r="131" spans="1:9" ht="14.4">
      <c r="A131" s="484"/>
      <c r="B131" s="485" t="s">
        <v>2638</v>
      </c>
      <c r="D131" s="1562" t="s">
        <v>1103</v>
      </c>
      <c r="E131" s="1562"/>
      <c r="F131" s="1562"/>
      <c r="I131" s="490"/>
    </row>
    <row r="132" spans="1:9">
      <c r="D132" s="1562"/>
      <c r="E132" s="1562"/>
      <c r="F132" s="1562"/>
      <c r="I132" s="490"/>
    </row>
    <row r="133" spans="1:9">
      <c r="D133" s="1562"/>
      <c r="E133" s="1562"/>
      <c r="F133" s="1562"/>
      <c r="I133" s="490"/>
    </row>
    <row r="134" spans="1:9">
      <c r="D134" s="1562"/>
      <c r="E134" s="1562"/>
      <c r="F134" s="1562"/>
      <c r="I134" s="490"/>
    </row>
    <row r="135" spans="1:9">
      <c r="D135" s="1562"/>
      <c r="E135" s="1562"/>
      <c r="F135" s="1562"/>
      <c r="I135" s="490"/>
    </row>
    <row r="136" spans="1:9">
      <c r="I136" s="490"/>
    </row>
    <row r="137" spans="1:9" ht="14.4">
      <c r="A137" s="484"/>
      <c r="B137" s="485" t="s">
        <v>2637</v>
      </c>
      <c r="D137" s="1562" t="s">
        <v>1104</v>
      </c>
      <c r="E137" s="1562"/>
      <c r="F137" s="1562"/>
      <c r="I137" s="490"/>
    </row>
    <row r="138" spans="1:9" s="417" customFormat="1" ht="13.8" customHeight="1">
      <c r="A138" s="488"/>
      <c r="B138" s="488"/>
      <c r="C138" s="488"/>
      <c r="D138" s="1562"/>
      <c r="E138" s="1562"/>
      <c r="F138" s="1562"/>
      <c r="I138" s="1149"/>
    </row>
    <row r="139" spans="1:9" ht="13.8" customHeight="1">
      <c r="D139" s="1562"/>
      <c r="E139" s="1562"/>
      <c r="F139" s="1562"/>
      <c r="I139" s="490"/>
    </row>
    <row r="140" spans="1:9" ht="13.8" customHeight="1">
      <c r="D140" s="1562"/>
      <c r="E140" s="1562"/>
      <c r="F140" s="1562"/>
      <c r="I140" s="490"/>
    </row>
    <row r="141" spans="1:9" ht="13.8" customHeight="1">
      <c r="D141" s="1562"/>
      <c r="E141" s="1562"/>
      <c r="F141" s="1562"/>
      <c r="I141" s="490"/>
    </row>
    <row r="142" spans="1:9" ht="13.8" customHeight="1">
      <c r="A142" s="489"/>
      <c r="B142" s="489"/>
      <c r="D142" s="1562"/>
      <c r="E142" s="1562"/>
      <c r="F142" s="1562"/>
      <c r="I142" s="490"/>
    </row>
    <row r="143" spans="1:9" ht="13.8" customHeight="1">
      <c r="D143" s="1562"/>
      <c r="E143" s="1562"/>
      <c r="F143" s="1562"/>
      <c r="I143" s="490"/>
    </row>
    <row r="144" spans="1:9" ht="13.8" customHeight="1">
      <c r="D144" s="1562"/>
      <c r="E144" s="1562"/>
      <c r="F144" s="1562"/>
      <c r="I144" s="490"/>
    </row>
    <row r="145" spans="2:9" ht="13.8" customHeight="1">
      <c r="D145" s="1562"/>
      <c r="E145" s="1562"/>
      <c r="F145" s="1562"/>
      <c r="I145" s="490"/>
    </row>
    <row r="146" spans="2:9" ht="13.8" customHeight="1">
      <c r="D146" s="1562"/>
      <c r="E146" s="1562"/>
      <c r="F146" s="1562"/>
      <c r="I146" s="490"/>
    </row>
    <row r="147" spans="2:9" ht="13.8" customHeight="1">
      <c r="D147" s="1562"/>
      <c r="E147" s="1562"/>
      <c r="F147" s="1562"/>
      <c r="I147" s="490"/>
    </row>
    <row r="148" spans="2:9" ht="13.8" customHeight="1">
      <c r="D148" s="1562"/>
      <c r="E148" s="1562"/>
      <c r="F148" s="1562"/>
      <c r="I148" s="490"/>
    </row>
    <row r="149" spans="2:9" ht="13.8" customHeight="1">
      <c r="D149" s="1562"/>
      <c r="E149" s="1562"/>
      <c r="F149" s="1562"/>
      <c r="I149" s="490"/>
    </row>
    <row r="150" spans="2:9" ht="13.8" customHeight="1">
      <c r="D150" s="476"/>
      <c r="E150" s="446"/>
      <c r="F150" s="446"/>
      <c r="I150" s="490"/>
    </row>
    <row r="151" spans="2:9" ht="13.8" customHeight="1">
      <c r="B151" s="485" t="s">
        <v>2638</v>
      </c>
      <c r="D151" s="1562" t="s">
        <v>1176</v>
      </c>
      <c r="E151" s="1562"/>
      <c r="F151" s="1562"/>
      <c r="I151" s="490"/>
    </row>
    <row r="152" spans="2:9" ht="13.8" customHeight="1">
      <c r="D152" s="1562"/>
      <c r="E152" s="1562"/>
      <c r="F152" s="1562"/>
      <c r="I152" s="490"/>
    </row>
    <row r="153" spans="2:9" ht="13.8" customHeight="1">
      <c r="D153" s="1562"/>
      <c r="E153" s="1562"/>
      <c r="F153" s="1562"/>
      <c r="I153" s="490"/>
    </row>
    <row r="154" spans="2:9" ht="13.8" customHeight="1">
      <c r="D154" s="1562"/>
      <c r="E154" s="1562"/>
      <c r="F154" s="1562"/>
      <c r="I154" s="490"/>
    </row>
    <row r="155" spans="2:9" ht="13.8" customHeight="1">
      <c r="D155" s="1562"/>
      <c r="E155" s="1562"/>
      <c r="F155" s="1562"/>
      <c r="I155" s="490"/>
    </row>
    <row r="156" spans="2:9" ht="13.8" customHeight="1">
      <c r="D156" s="1562"/>
      <c r="E156" s="1562"/>
      <c r="F156" s="1562"/>
      <c r="I156" s="490"/>
    </row>
    <row r="157" spans="2:9" ht="13.8" customHeight="1">
      <c r="D157" s="1562"/>
      <c r="E157" s="1562"/>
      <c r="F157" s="1562"/>
      <c r="I157" s="490"/>
    </row>
    <row r="158" spans="2:9" ht="13.8" customHeight="1">
      <c r="D158" s="1562"/>
      <c r="E158" s="1562"/>
      <c r="F158" s="1562"/>
      <c r="I158" s="490"/>
    </row>
    <row r="159" spans="2:9" ht="13.8" customHeight="1">
      <c r="D159" s="1562"/>
      <c r="E159" s="1562"/>
      <c r="F159" s="1562"/>
      <c r="I159" s="490"/>
    </row>
    <row r="160" spans="2:9" ht="13.8" customHeight="1">
      <c r="D160" s="1562"/>
      <c r="E160" s="1562"/>
      <c r="F160" s="1562"/>
      <c r="I160" s="490"/>
    </row>
    <row r="161" spans="1:9" ht="13.8" customHeight="1">
      <c r="D161" s="1562"/>
      <c r="E161" s="1562"/>
      <c r="F161" s="1562"/>
      <c r="I161" s="490"/>
    </row>
    <row r="162" spans="1:9" ht="13.8" customHeight="1">
      <c r="D162" s="1562"/>
      <c r="E162" s="1562"/>
      <c r="F162" s="1562"/>
      <c r="I162" s="490"/>
    </row>
    <row r="163" spans="1:9" ht="13.8" customHeight="1">
      <c r="D163" s="1562"/>
      <c r="E163" s="1562"/>
      <c r="F163" s="1562"/>
      <c r="I163" s="490"/>
    </row>
    <row r="164" spans="1:9" ht="13.8" customHeight="1">
      <c r="D164" s="1562"/>
      <c r="E164" s="1562"/>
      <c r="F164" s="1562"/>
      <c r="I164" s="490"/>
    </row>
    <row r="165" spans="1:9" ht="13.8" customHeight="1">
      <c r="D165" s="1562"/>
      <c r="E165" s="1562"/>
      <c r="F165" s="1562"/>
      <c r="I165" s="490"/>
    </row>
    <row r="166" spans="1:9" ht="13.8" customHeight="1">
      <c r="D166" s="1562"/>
      <c r="E166" s="1562"/>
      <c r="F166" s="1562"/>
      <c r="I166" s="490"/>
    </row>
    <row r="167" spans="1:9" ht="13.8" customHeight="1">
      <c r="D167" s="1562"/>
      <c r="E167" s="1562"/>
      <c r="F167" s="1562"/>
      <c r="I167" s="490"/>
    </row>
    <row r="168" spans="1:9" ht="13.8" customHeight="1">
      <c r="D168" s="1562"/>
      <c r="E168" s="1562"/>
      <c r="F168" s="1562"/>
      <c r="I168" s="490"/>
    </row>
    <row r="169" spans="1:9" ht="13.8" customHeight="1">
      <c r="D169" s="1585" t="s">
        <v>2029</v>
      </c>
      <c r="E169" s="1585"/>
      <c r="F169" s="1585"/>
      <c r="G169" s="507"/>
      <c r="I169" s="490"/>
    </row>
    <row r="170" spans="1:9" ht="13.8" customHeight="1">
      <c r="D170" s="1572"/>
      <c r="E170" s="1572"/>
      <c r="F170" s="1572"/>
      <c r="G170" s="1572"/>
      <c r="I170" s="490"/>
    </row>
    <row r="171" spans="1:9" ht="14.55" customHeight="1">
      <c r="A171" s="489"/>
      <c r="B171" s="485" t="s">
        <v>2638</v>
      </c>
      <c r="C171" s="476"/>
      <c r="D171" s="1534" t="s">
        <v>2165</v>
      </c>
      <c r="E171" s="1534"/>
      <c r="F171" s="1534"/>
      <c r="G171" s="476"/>
      <c r="I171" s="490"/>
    </row>
    <row r="172" spans="1:9" ht="14.55" customHeight="1">
      <c r="A172" s="489"/>
      <c r="B172" s="489"/>
      <c r="C172" s="476"/>
      <c r="D172" s="1534"/>
      <c r="E172" s="1534"/>
      <c r="F172" s="1534"/>
      <c r="G172" s="476"/>
      <c r="I172" s="490"/>
    </row>
    <row r="173" spans="1:9" ht="14.55" customHeight="1">
      <c r="A173" s="489"/>
      <c r="B173" s="489"/>
      <c r="C173" s="476"/>
      <c r="D173" s="1534"/>
      <c r="E173" s="1534"/>
      <c r="F173" s="1534"/>
      <c r="G173" s="476"/>
      <c r="I173" s="490"/>
    </row>
    <row r="174" spans="1:9" ht="14.55" customHeight="1">
      <c r="A174" s="489"/>
      <c r="B174" s="489"/>
      <c r="C174" s="476"/>
      <c r="D174" s="1534"/>
      <c r="E174" s="1534"/>
      <c r="F174" s="1534"/>
      <c r="G174" s="476"/>
      <c r="I174" s="490"/>
    </row>
    <row r="175" spans="1:9" ht="13.8" customHeight="1">
      <c r="A175" s="489"/>
      <c r="B175" s="489"/>
      <c r="C175" s="476"/>
      <c r="D175" s="1534"/>
      <c r="E175" s="1534"/>
      <c r="F175" s="1534"/>
      <c r="G175" s="476"/>
      <c r="I175" s="490"/>
    </row>
    <row r="176" spans="1:9" ht="13.8" customHeight="1">
      <c r="A176" s="489"/>
      <c r="B176" s="489"/>
      <c r="C176" s="476"/>
      <c r="D176" s="476"/>
      <c r="E176" s="476"/>
      <c r="F176" s="476"/>
      <c r="G176" s="476"/>
      <c r="I176" s="490"/>
    </row>
    <row r="177" spans="1:9" ht="13.8" customHeight="1">
      <c r="A177" s="489"/>
      <c r="B177" s="485" t="s">
        <v>2638</v>
      </c>
      <c r="C177" s="476"/>
      <c r="D177" s="1534" t="s">
        <v>1105</v>
      </c>
      <c r="E177" s="1534"/>
      <c r="F177" s="1534"/>
      <c r="G177" s="476"/>
      <c r="I177" s="490"/>
    </row>
    <row r="178" spans="1:9" ht="13.8" customHeight="1">
      <c r="A178" s="489"/>
      <c r="B178" s="489"/>
      <c r="C178" s="476"/>
      <c r="D178" s="1534"/>
      <c r="E178" s="1534"/>
      <c r="F178" s="1534"/>
      <c r="G178" s="476"/>
      <c r="I178" s="490"/>
    </row>
    <row r="179" spans="1:9" ht="13.8" customHeight="1">
      <c r="A179" s="489"/>
      <c r="B179" s="489"/>
      <c r="C179" s="476"/>
      <c r="D179" s="1534"/>
      <c r="E179" s="1534"/>
      <c r="F179" s="1534"/>
      <c r="G179" s="476"/>
      <c r="I179" s="490"/>
    </row>
    <row r="180" spans="1:9" ht="13.8" customHeight="1">
      <c r="A180" s="489"/>
      <c r="B180" s="489"/>
      <c r="C180" s="476"/>
      <c r="D180" s="1534"/>
      <c r="E180" s="1534"/>
      <c r="F180" s="1534"/>
      <c r="G180" s="476"/>
      <c r="I180" s="490"/>
    </row>
    <row r="181" spans="1:9" ht="13.8" customHeight="1">
      <c r="D181" s="446"/>
      <c r="E181" s="446"/>
      <c r="F181" s="446"/>
      <c r="I181" s="490"/>
    </row>
    <row r="182" spans="1:9" ht="13.8" hidden="1" customHeight="1">
      <c r="B182" s="485" t="s">
        <v>307</v>
      </c>
      <c r="D182" s="1578" t="s">
        <v>2008</v>
      </c>
      <c r="E182" s="1578"/>
      <c r="F182" s="1578"/>
      <c r="I182" s="490"/>
    </row>
    <row r="183" spans="1:9" ht="13.8" hidden="1" customHeight="1">
      <c r="D183" s="1578"/>
      <c r="E183" s="1578"/>
      <c r="F183" s="1578"/>
      <c r="I183" s="490"/>
    </row>
    <row r="184" spans="1:9" ht="13.8" hidden="1" customHeight="1">
      <c r="D184" s="1578"/>
      <c r="E184" s="1578"/>
      <c r="F184" s="1578"/>
      <c r="I184" s="490"/>
    </row>
    <row r="185" spans="1:9" ht="13.8" customHeight="1">
      <c r="A185" s="490"/>
      <c r="B185" s="490"/>
      <c r="E185" s="446"/>
      <c r="F185" s="446"/>
      <c r="I185" s="490"/>
    </row>
    <row r="186" spans="1:9">
      <c r="A186" s="1563" t="s">
        <v>2009</v>
      </c>
      <c r="B186" s="1563"/>
      <c r="C186" s="1563"/>
      <c r="D186" s="1563"/>
      <c r="E186" s="1563"/>
      <c r="F186" s="1563"/>
      <c r="G186" s="1563"/>
      <c r="H186" s="1023"/>
      <c r="I186" s="1147"/>
    </row>
    <row r="187" spans="1:9" ht="12" customHeight="1">
      <c r="D187" s="446"/>
      <c r="E187" s="446"/>
      <c r="F187" s="446"/>
      <c r="I187" s="490"/>
    </row>
    <row r="188" spans="1:9">
      <c r="B188" s="1568" t="s">
        <v>446</v>
      </c>
      <c r="C188" s="1568"/>
      <c r="D188" s="1568"/>
      <c r="E188" s="1568"/>
      <c r="F188" s="1568"/>
      <c r="I188" s="490"/>
    </row>
    <row r="189" spans="1:9">
      <c r="B189" s="392" t="s">
        <v>1847</v>
      </c>
      <c r="C189" s="392"/>
      <c r="D189" s="392"/>
      <c r="E189" s="392"/>
      <c r="F189" s="392"/>
      <c r="I189" s="490"/>
    </row>
    <row r="190" spans="1:9" ht="12" customHeight="1">
      <c r="A190" s="482"/>
      <c r="B190" s="482"/>
      <c r="C190" s="482"/>
      <c r="I190" s="490"/>
    </row>
    <row r="191" spans="1:9">
      <c r="A191" s="1563" t="s">
        <v>1044</v>
      </c>
      <c r="B191" s="1563"/>
      <c r="C191" s="1563"/>
      <c r="D191" s="1563"/>
      <c r="E191" s="1563"/>
      <c r="F191" s="1563"/>
      <c r="G191" s="1563"/>
      <c r="H191" s="1023"/>
      <c r="I191" s="1147"/>
    </row>
    <row r="192" spans="1:9" ht="12" customHeight="1">
      <c r="A192" s="404"/>
      <c r="B192" s="404"/>
      <c r="E192" s="404"/>
      <c r="I192" s="490"/>
    </row>
    <row r="193" spans="1:9" ht="13.8" customHeight="1">
      <c r="A193" s="404"/>
      <c r="B193" s="404"/>
      <c r="D193" s="1582" t="s">
        <v>1733</v>
      </c>
      <c r="E193" s="1582"/>
      <c r="F193" s="1582"/>
      <c r="I193" s="490"/>
    </row>
    <row r="194" spans="1:9">
      <c r="A194" s="404"/>
      <c r="B194" s="404"/>
      <c r="D194" s="1582"/>
      <c r="E194" s="1582"/>
      <c r="F194" s="1582"/>
      <c r="I194" s="490"/>
    </row>
    <row r="195" spans="1:9">
      <c r="A195" s="404"/>
      <c r="B195" s="404"/>
      <c r="D195" s="1568" t="s">
        <v>1194</v>
      </c>
      <c r="E195" s="1568"/>
      <c r="F195" s="1568"/>
      <c r="I195" s="490"/>
    </row>
    <row r="196" spans="1:9">
      <c r="A196" s="404"/>
      <c r="B196" s="404"/>
      <c r="D196" s="392"/>
      <c r="E196" s="392"/>
      <c r="F196" s="392"/>
      <c r="I196" s="490"/>
    </row>
    <row r="197" spans="1:9">
      <c r="A197" s="404"/>
      <c r="B197" s="485" t="s">
        <v>2637</v>
      </c>
      <c r="D197" s="1552" t="s">
        <v>1734</v>
      </c>
      <c r="E197" s="1552"/>
      <c r="F197" s="1552"/>
      <c r="I197" s="490"/>
    </row>
    <row r="198" spans="1:9">
      <c r="A198" s="404"/>
      <c r="B198" s="404"/>
      <c r="D198" s="1543" t="s">
        <v>1873</v>
      </c>
      <c r="E198" s="1543"/>
      <c r="F198" s="1543"/>
      <c r="I198" s="490"/>
    </row>
    <row r="199" spans="1:9">
      <c r="A199" s="404"/>
      <c r="B199" s="404"/>
      <c r="D199" s="96" t="s">
        <v>1735</v>
      </c>
      <c r="E199" s="1590" t="s">
        <v>1896</v>
      </c>
      <c r="F199" s="1590"/>
      <c r="I199" s="490"/>
    </row>
    <row r="200" spans="1:9">
      <c r="A200" s="404"/>
      <c r="B200" s="404"/>
      <c r="D200" s="3"/>
      <c r="E200" s="3"/>
      <c r="F200" s="3"/>
      <c r="I200" s="490"/>
    </row>
    <row r="201" spans="1:9">
      <c r="A201" s="404"/>
      <c r="B201" s="485" t="s">
        <v>2638</v>
      </c>
      <c r="D201" s="1543" t="s">
        <v>1736</v>
      </c>
      <c r="E201" s="1543"/>
      <c r="F201" s="1543"/>
      <c r="I201" s="490"/>
    </row>
    <row r="202" spans="1:9">
      <c r="A202" s="404"/>
      <c r="B202" s="404"/>
      <c r="D202" s="1552" t="s">
        <v>1873</v>
      </c>
      <c r="E202" s="1552"/>
      <c r="F202" s="1552"/>
      <c r="I202" s="490"/>
    </row>
    <row r="203" spans="1:9">
      <c r="A203" s="404"/>
      <c r="B203" s="404"/>
      <c r="D203" s="57" t="s">
        <v>1737</v>
      </c>
      <c r="E203" s="1590" t="s">
        <v>1897</v>
      </c>
      <c r="F203" s="1590"/>
      <c r="I203" s="490"/>
    </row>
    <row r="204" spans="1:9">
      <c r="A204" s="404"/>
      <c r="B204" s="404"/>
      <c r="D204" s="3"/>
      <c r="E204" s="3"/>
      <c r="F204" s="3"/>
      <c r="I204" s="490"/>
    </row>
    <row r="205" spans="1:9">
      <c r="A205" s="404"/>
      <c r="B205" s="485" t="s">
        <v>2638</v>
      </c>
      <c r="D205" s="1543" t="s">
        <v>1738</v>
      </c>
      <c r="E205" s="1543"/>
      <c r="F205" s="1543"/>
      <c r="I205" s="490"/>
    </row>
    <row r="206" spans="1:9">
      <c r="A206" s="404"/>
      <c r="B206" s="404"/>
      <c r="D206" s="1552" t="s">
        <v>1873</v>
      </c>
      <c r="E206" s="1552"/>
      <c r="F206" s="1552"/>
      <c r="I206" s="490"/>
    </row>
    <row r="207" spans="1:9">
      <c r="A207" s="404"/>
      <c r="B207" s="404"/>
      <c r="D207" s="57" t="s">
        <v>1735</v>
      </c>
      <c r="E207" s="1590" t="s">
        <v>1898</v>
      </c>
      <c r="F207" s="1590"/>
      <c r="I207" s="490"/>
    </row>
    <row r="208" spans="1:9">
      <c r="A208" s="404"/>
      <c r="B208" s="404"/>
      <c r="D208" s="392"/>
      <c r="E208" s="392"/>
      <c r="F208" s="392"/>
      <c r="I208" s="490"/>
    </row>
    <row r="209" spans="1:9" ht="14.25" customHeight="1">
      <c r="A209" s="484"/>
      <c r="B209" s="485" t="s">
        <v>2638</v>
      </c>
      <c r="D209" s="386" t="s">
        <v>1866</v>
      </c>
      <c r="E209" s="385"/>
      <c r="F209" s="385"/>
      <c r="I209" s="490"/>
    </row>
    <row r="210" spans="1:9" ht="14.4">
      <c r="A210" s="484"/>
      <c r="B210" s="484"/>
      <c r="D210" s="1552" t="s">
        <v>1873</v>
      </c>
      <c r="E210" s="1552"/>
      <c r="F210" s="1552"/>
      <c r="I210" s="490"/>
    </row>
    <row r="211" spans="1:9">
      <c r="D211" s="385"/>
      <c r="E211" s="1590" t="s">
        <v>1899</v>
      </c>
      <c r="F211" s="1590"/>
      <c r="I211" s="490"/>
    </row>
    <row r="212" spans="1:9">
      <c r="D212" s="447"/>
      <c r="I212" s="490"/>
    </row>
    <row r="213" spans="1:9">
      <c r="B213" s="485" t="s">
        <v>2638</v>
      </c>
      <c r="D213" s="1543" t="s">
        <v>1739</v>
      </c>
      <c r="E213" s="1543"/>
      <c r="F213" s="1543"/>
      <c r="I213" s="490"/>
    </row>
    <row r="214" spans="1:9">
      <c r="D214" s="1552" t="s">
        <v>1873</v>
      </c>
      <c r="E214" s="1552"/>
      <c r="F214" s="1552"/>
      <c r="I214" s="490"/>
    </row>
    <row r="215" spans="1:9">
      <c r="D215" s="57" t="s">
        <v>1735</v>
      </c>
      <c r="E215" s="1590" t="s">
        <v>1900</v>
      </c>
      <c r="F215" s="1590"/>
      <c r="I215" s="490"/>
    </row>
    <row r="216" spans="1:9">
      <c r="D216" s="451"/>
      <c r="E216" s="451"/>
      <c r="F216" s="451"/>
      <c r="I216" s="490"/>
    </row>
    <row r="217" spans="1:9" ht="14.4">
      <c r="A217" s="484"/>
      <c r="B217" s="485" t="s">
        <v>2638</v>
      </c>
      <c r="D217" s="1562" t="s">
        <v>1215</v>
      </c>
      <c r="E217" s="1562"/>
      <c r="F217" s="1562"/>
      <c r="I217" s="490"/>
    </row>
    <row r="218" spans="1:9" ht="14.55" customHeight="1">
      <c r="A218" s="484"/>
      <c r="B218" s="402"/>
      <c r="D218" s="1562"/>
      <c r="E218" s="1562"/>
      <c r="F218" s="1562"/>
      <c r="I218" s="490"/>
    </row>
    <row r="219" spans="1:9" ht="14.4">
      <c r="A219" s="484"/>
      <c r="D219" s="1562"/>
      <c r="E219" s="1562"/>
      <c r="F219" s="1562"/>
      <c r="I219" s="490"/>
    </row>
    <row r="220" spans="1:9" ht="14.4">
      <c r="A220" s="484"/>
      <c r="D220" s="1562"/>
      <c r="E220" s="1562"/>
      <c r="F220" s="1562"/>
      <c r="I220" s="490"/>
    </row>
    <row r="221" spans="1:9">
      <c r="D221" s="451"/>
      <c r="E221" s="451"/>
      <c r="F221" s="451"/>
      <c r="I221" s="490"/>
    </row>
    <row r="222" spans="1:9">
      <c r="A222" s="1563" t="s">
        <v>1045</v>
      </c>
      <c r="B222" s="1563"/>
      <c r="C222" s="1563"/>
      <c r="D222" s="1563"/>
      <c r="E222" s="1563"/>
      <c r="F222" s="1563"/>
      <c r="G222" s="1563"/>
      <c r="H222" s="1023"/>
      <c r="I222" s="1147"/>
    </row>
    <row r="223" spans="1:9" ht="12" customHeight="1">
      <c r="D223" s="446"/>
      <c r="E223" s="446"/>
      <c r="F223" s="446"/>
      <c r="I223" s="490"/>
    </row>
    <row r="224" spans="1:9">
      <c r="C224" s="486"/>
      <c r="D224" s="1565" t="s">
        <v>208</v>
      </c>
      <c r="E224" s="1565"/>
      <c r="F224" s="1565"/>
      <c r="I224" s="490"/>
    </row>
    <row r="225" spans="1:9">
      <c r="A225" s="482"/>
      <c r="B225" s="482"/>
      <c r="C225" s="482"/>
      <c r="D225" s="1564" t="s">
        <v>1119</v>
      </c>
      <c r="E225" s="1564"/>
      <c r="F225" s="1564"/>
      <c r="I225" s="490"/>
    </row>
    <row r="226" spans="1:9" ht="12" customHeight="1">
      <c r="A226" s="490"/>
      <c r="B226" s="490"/>
      <c r="C226" s="490"/>
      <c r="I226" s="490"/>
    </row>
    <row r="227" spans="1:9" ht="13.8" customHeight="1">
      <c r="A227" s="490"/>
      <c r="C227" s="490"/>
      <c r="D227" s="1565" t="s">
        <v>546</v>
      </c>
      <c r="E227" s="1565"/>
      <c r="F227" s="1565"/>
      <c r="I227" s="490"/>
    </row>
    <row r="228" spans="1:9" ht="14.4">
      <c r="A228" s="484"/>
      <c r="B228" s="485" t="s">
        <v>2637</v>
      </c>
      <c r="D228" s="1562" t="s">
        <v>1740</v>
      </c>
      <c r="E228" s="1562"/>
      <c r="F228" s="1562"/>
      <c r="I228" s="490"/>
    </row>
    <row r="229" spans="1:9" ht="14.25" customHeight="1">
      <c r="A229" s="484"/>
      <c r="B229" s="484"/>
      <c r="D229" s="1562"/>
      <c r="E229" s="1562"/>
      <c r="F229" s="1562"/>
      <c r="I229" s="490"/>
    </row>
    <row r="230" spans="1:9" ht="14.25" customHeight="1">
      <c r="A230" s="484"/>
      <c r="B230" s="484"/>
      <c r="D230" s="1562"/>
      <c r="E230" s="1562"/>
      <c r="F230" s="1562"/>
      <c r="I230" s="490"/>
    </row>
    <row r="231" spans="1:9" ht="14.4">
      <c r="A231" s="484"/>
      <c r="B231" s="484"/>
      <c r="D231" s="1562"/>
      <c r="E231" s="1562"/>
      <c r="F231" s="1562"/>
      <c r="I231" s="490"/>
    </row>
    <row r="232" spans="1:9" ht="14.4">
      <c r="A232" s="484"/>
      <c r="B232" s="484"/>
      <c r="D232" s="445"/>
      <c r="E232" s="445"/>
      <c r="F232" s="445"/>
      <c r="I232" s="490"/>
    </row>
    <row r="233" spans="1:9" ht="14.4">
      <c r="A233" s="484"/>
      <c r="B233" s="485" t="s">
        <v>2637</v>
      </c>
      <c r="D233" s="1562" t="s">
        <v>1741</v>
      </c>
      <c r="E233" s="1562"/>
      <c r="F233" s="1562"/>
      <c r="I233" s="490"/>
    </row>
    <row r="234" spans="1:9" ht="14.4">
      <c r="A234" s="484"/>
      <c r="B234" s="484"/>
      <c r="D234" s="1562"/>
      <c r="E234" s="1562"/>
      <c r="F234" s="1562"/>
      <c r="I234" s="490"/>
    </row>
    <row r="235" spans="1:9" ht="14.4">
      <c r="A235" s="484"/>
      <c r="B235" s="484"/>
      <c r="D235" s="1562"/>
      <c r="E235" s="1562"/>
      <c r="F235" s="1562"/>
      <c r="I235" s="490"/>
    </row>
    <row r="236" spans="1:9" ht="14.4">
      <c r="A236" s="484"/>
      <c r="B236" s="484"/>
      <c r="D236" s="1562"/>
      <c r="E236" s="1562"/>
      <c r="F236" s="1562"/>
      <c r="I236" s="490"/>
    </row>
    <row r="237" spans="1:9" ht="14.25" customHeight="1">
      <c r="A237" s="484"/>
      <c r="B237" s="484"/>
      <c r="D237" s="1562"/>
      <c r="E237" s="1562"/>
      <c r="F237" s="1562"/>
      <c r="I237" s="490"/>
    </row>
    <row r="238" spans="1:9" ht="14.25" customHeight="1">
      <c r="A238" s="484"/>
      <c r="B238" s="484"/>
      <c r="D238" s="445"/>
      <c r="E238" s="445"/>
      <c r="F238" s="445"/>
      <c r="I238" s="490"/>
    </row>
    <row r="239" spans="1:9" ht="14.4">
      <c r="A239" s="484"/>
      <c r="B239" s="484"/>
      <c r="D239" s="1562" t="s">
        <v>1117</v>
      </c>
      <c r="E239" s="1562"/>
      <c r="F239" s="1562"/>
      <c r="I239" s="490"/>
    </row>
    <row r="240" spans="1:9" ht="14.4">
      <c r="A240" s="484"/>
      <c r="B240" s="484"/>
      <c r="D240" s="1562"/>
      <c r="E240" s="1562"/>
      <c r="F240" s="1562"/>
      <c r="I240" s="490"/>
    </row>
    <row r="241" spans="1:9" ht="14.4">
      <c r="A241" s="484"/>
      <c r="B241" s="484"/>
      <c r="D241" s="1562"/>
      <c r="E241" s="1562"/>
      <c r="F241" s="1562"/>
      <c r="I241" s="490"/>
    </row>
    <row r="242" spans="1:9" ht="14.4">
      <c r="A242" s="484"/>
      <c r="B242" s="484"/>
      <c r="D242" s="1562"/>
      <c r="E242" s="1562"/>
      <c r="F242" s="1562"/>
      <c r="I242" s="490"/>
    </row>
    <row r="243" spans="1:9" ht="14.4">
      <c r="A243" s="484"/>
      <c r="B243" s="484"/>
      <c r="D243" s="1562"/>
      <c r="E243" s="1562"/>
      <c r="F243" s="1562"/>
      <c r="I243" s="490"/>
    </row>
    <row r="244" spans="1:9" ht="14.4">
      <c r="A244" s="484"/>
      <c r="B244" s="484"/>
      <c r="D244" s="446"/>
      <c r="E244" s="446"/>
      <c r="F244" s="446"/>
      <c r="I244" s="490"/>
    </row>
    <row r="245" spans="1:9" ht="14.4">
      <c r="A245" s="484"/>
      <c r="B245" s="485" t="s">
        <v>2637</v>
      </c>
      <c r="D245" s="1562" t="s">
        <v>2010</v>
      </c>
      <c r="E245" s="1562"/>
      <c r="F245" s="1562"/>
      <c r="I245" s="490"/>
    </row>
    <row r="246" spans="1:9" ht="14.4">
      <c r="A246" s="484"/>
      <c r="B246" s="484"/>
      <c r="D246" s="1562"/>
      <c r="E246" s="1562"/>
      <c r="F246" s="1562"/>
      <c r="I246" s="490"/>
    </row>
    <row r="247" spans="1:9" ht="14.4">
      <c r="A247" s="484"/>
      <c r="B247" s="484"/>
      <c r="D247" s="1562"/>
      <c r="E247" s="1562"/>
      <c r="F247" s="1562"/>
      <c r="I247" s="490"/>
    </row>
    <row r="248" spans="1:9" ht="14.4">
      <c r="A248" s="484"/>
      <c r="B248" s="484"/>
      <c r="E248" s="1031" t="s">
        <v>1867</v>
      </c>
      <c r="I248" s="490"/>
    </row>
    <row r="249" spans="1:9" ht="14.4">
      <c r="A249" s="484"/>
      <c r="B249" s="484"/>
      <c r="D249" s="446"/>
      <c r="E249" s="446"/>
      <c r="F249" s="446"/>
      <c r="I249" s="490"/>
    </row>
    <row r="250" spans="1:9" ht="14.55" customHeight="1">
      <c r="A250" s="484"/>
      <c r="B250" s="485" t="s">
        <v>2638</v>
      </c>
      <c r="D250" s="1562" t="s">
        <v>2011</v>
      </c>
      <c r="E250" s="1562"/>
      <c r="F250" s="1562"/>
      <c r="I250" s="490"/>
    </row>
    <row r="251" spans="1:9" ht="14.4">
      <c r="A251" s="484"/>
      <c r="B251" s="484"/>
      <c r="D251" s="1562"/>
      <c r="E251" s="1562"/>
      <c r="F251" s="1562"/>
      <c r="I251" s="490"/>
    </row>
    <row r="252" spans="1:9" ht="14.4">
      <c r="A252" s="484"/>
      <c r="B252" s="484"/>
      <c r="D252" s="1562"/>
      <c r="E252" s="1562"/>
      <c r="F252" s="1562"/>
      <c r="I252" s="490"/>
    </row>
    <row r="253" spans="1:9" ht="14.4">
      <c r="A253" s="484"/>
      <c r="B253" s="484"/>
      <c r="D253" s="1562"/>
      <c r="E253" s="1562"/>
      <c r="F253" s="1562"/>
      <c r="I253" s="490"/>
    </row>
    <row r="254" spans="1:9" ht="14.4">
      <c r="A254" s="484"/>
      <c r="B254" s="484"/>
      <c r="D254" s="1562"/>
      <c r="E254" s="1562"/>
      <c r="F254" s="1562"/>
      <c r="I254" s="490"/>
    </row>
    <row r="255" spans="1:9" ht="14.4">
      <c r="A255" s="484"/>
      <c r="B255" s="484"/>
      <c r="D255" s="445"/>
      <c r="E255" s="445"/>
      <c r="F255" s="445"/>
      <c r="I255" s="490"/>
    </row>
    <row r="256" spans="1:9" ht="14.4">
      <c r="A256" s="484"/>
      <c r="B256" s="485" t="s">
        <v>2637</v>
      </c>
      <c r="D256" s="392" t="s">
        <v>2012</v>
      </c>
      <c r="E256" s="445"/>
      <c r="F256" s="445"/>
      <c r="I256" s="490"/>
    </row>
    <row r="257" spans="1:9" ht="14.4">
      <c r="A257" s="484"/>
      <c r="B257" s="484"/>
      <c r="E257" s="1031" t="s">
        <v>1868</v>
      </c>
      <c r="I257" s="490"/>
    </row>
    <row r="258" spans="1:9">
      <c r="D258" s="446"/>
      <c r="E258" s="446"/>
      <c r="F258" s="446"/>
      <c r="I258" s="490"/>
    </row>
    <row r="259" spans="1:9" ht="14.4">
      <c r="A259" s="484"/>
      <c r="B259" s="485" t="s">
        <v>2637</v>
      </c>
      <c r="D259" s="1562" t="s">
        <v>1118</v>
      </c>
      <c r="E259" s="1562"/>
      <c r="F259" s="1562"/>
      <c r="I259" s="490"/>
    </row>
    <row r="260" spans="1:9" ht="14.4">
      <c r="A260" s="484"/>
      <c r="B260" s="484"/>
      <c r="D260" s="1562"/>
      <c r="E260" s="1562"/>
      <c r="F260" s="1562"/>
      <c r="I260" s="490"/>
    </row>
    <row r="261" spans="1:9">
      <c r="D261" s="491"/>
      <c r="I261" s="490"/>
    </row>
    <row r="262" spans="1:9">
      <c r="A262" s="1563" t="s">
        <v>1046</v>
      </c>
      <c r="B262" s="1563"/>
      <c r="C262" s="1563"/>
      <c r="D262" s="1563"/>
      <c r="E262" s="1563"/>
      <c r="F262" s="1563"/>
      <c r="G262" s="1563"/>
      <c r="H262" s="1023"/>
      <c r="I262" s="1147"/>
    </row>
    <row r="263" spans="1:9">
      <c r="D263" s="491"/>
      <c r="I263" s="490"/>
    </row>
    <row r="264" spans="1:9">
      <c r="C264" s="486"/>
      <c r="D264" s="1565" t="s">
        <v>1120</v>
      </c>
      <c r="E264" s="1565"/>
      <c r="F264" s="1565"/>
      <c r="I264" s="490"/>
    </row>
    <row r="265" spans="1:9">
      <c r="A265" s="482"/>
      <c r="B265" s="482"/>
      <c r="C265" s="482"/>
      <c r="D265" s="446"/>
      <c r="E265" s="446"/>
      <c r="F265" s="446"/>
      <c r="I265" s="490"/>
    </row>
    <row r="266" spans="1:9">
      <c r="A266" s="483"/>
      <c r="B266" s="483"/>
      <c r="C266" s="483"/>
      <c r="D266" s="1565" t="s">
        <v>269</v>
      </c>
      <c r="E266" s="1565"/>
      <c r="F266" s="1565"/>
      <c r="I266" s="490"/>
    </row>
    <row r="267" spans="1:9" ht="14.55" customHeight="1">
      <c r="A267" s="484"/>
      <c r="B267" s="485" t="s">
        <v>2637</v>
      </c>
      <c r="D267" s="1562" t="s">
        <v>1195</v>
      </c>
      <c r="E267" s="1562"/>
      <c r="F267" s="1562"/>
      <c r="I267" s="490"/>
    </row>
    <row r="268" spans="1:9">
      <c r="D268" s="1562"/>
      <c r="E268" s="1562"/>
      <c r="F268" s="1562"/>
      <c r="I268" s="490"/>
    </row>
    <row r="269" spans="1:9">
      <c r="E269" s="1031" t="s">
        <v>1869</v>
      </c>
      <c r="I269" s="490"/>
    </row>
    <row r="270" spans="1:9">
      <c r="D270" s="446"/>
      <c r="E270" s="446"/>
      <c r="F270" s="446"/>
      <c r="I270" s="490"/>
    </row>
    <row r="271" spans="1:9" ht="14.55" customHeight="1">
      <c r="A271" s="484"/>
      <c r="B271" s="485" t="s">
        <v>2638</v>
      </c>
      <c r="D271" s="1562" t="s">
        <v>2013</v>
      </c>
      <c r="E271" s="1562"/>
      <c r="F271" s="1562"/>
      <c r="I271" s="490"/>
    </row>
    <row r="272" spans="1:9">
      <c r="D272" s="1562"/>
      <c r="E272" s="1562"/>
      <c r="F272" s="1562"/>
      <c r="I272" s="490"/>
    </row>
    <row r="273" spans="1:9">
      <c r="D273" s="1562"/>
      <c r="E273" s="1562"/>
      <c r="F273" s="1562"/>
      <c r="I273" s="490"/>
    </row>
    <row r="274" spans="1:9">
      <c r="D274" s="1562"/>
      <c r="E274" s="1562"/>
      <c r="F274" s="1562"/>
      <c r="I274" s="490"/>
    </row>
    <row r="275" spans="1:9">
      <c r="D275" s="1562"/>
      <c r="E275" s="1562"/>
      <c r="F275" s="1562"/>
      <c r="I275" s="490"/>
    </row>
    <row r="276" spans="1:9">
      <c r="D276" s="1562"/>
      <c r="E276" s="1562"/>
      <c r="F276" s="1562"/>
      <c r="I276" s="490"/>
    </row>
    <row r="277" spans="1:9">
      <c r="D277" s="446"/>
      <c r="E277" s="446"/>
      <c r="F277" s="446"/>
      <c r="I277" s="490"/>
    </row>
    <row r="278" spans="1:9" ht="14.4">
      <c r="A278" s="484"/>
      <c r="B278" s="485" t="s">
        <v>2638</v>
      </c>
      <c r="D278" s="1562" t="s">
        <v>1121</v>
      </c>
      <c r="E278" s="1562"/>
      <c r="F278" s="1562"/>
      <c r="I278" s="490"/>
    </row>
    <row r="279" spans="1:9">
      <c r="D279" s="1562"/>
      <c r="E279" s="1562"/>
      <c r="F279" s="1562"/>
      <c r="I279" s="490"/>
    </row>
    <row r="280" spans="1:9">
      <c r="D280" s="1562"/>
      <c r="E280" s="1562"/>
      <c r="F280" s="1562"/>
      <c r="I280" s="490"/>
    </row>
    <row r="281" spans="1:9">
      <c r="D281" s="492"/>
      <c r="E281" s="446"/>
      <c r="F281" s="446"/>
      <c r="I281" s="490"/>
    </row>
    <row r="282" spans="1:9">
      <c r="A282" s="1563" t="s">
        <v>1047</v>
      </c>
      <c r="B282" s="1563"/>
      <c r="C282" s="1563"/>
      <c r="D282" s="1563"/>
      <c r="E282" s="1563"/>
      <c r="F282" s="1563"/>
      <c r="G282" s="1563"/>
      <c r="H282" s="1023"/>
      <c r="I282" s="1147"/>
    </row>
    <row r="283" spans="1:9">
      <c r="D283" s="492"/>
      <c r="E283" s="446"/>
      <c r="F283" s="446"/>
      <c r="I283" s="490"/>
    </row>
    <row r="284" spans="1:9">
      <c r="C284" s="482"/>
      <c r="D284" s="1582" t="s">
        <v>1122</v>
      </c>
      <c r="E284" s="1582"/>
      <c r="F284" s="1582"/>
      <c r="I284" s="490"/>
    </row>
    <row r="285" spans="1:9">
      <c r="C285" s="482"/>
      <c r="D285" s="1582"/>
      <c r="E285" s="1582"/>
      <c r="F285" s="1582"/>
      <c r="I285" s="490"/>
    </row>
    <row r="286" spans="1:9">
      <c r="A286" s="483"/>
      <c r="B286" s="483"/>
      <c r="C286" s="483"/>
      <c r="D286" s="404"/>
      <c r="I286" s="490"/>
    </row>
    <row r="287" spans="1:9">
      <c r="C287" s="483"/>
      <c r="D287" s="1565" t="s">
        <v>209</v>
      </c>
      <c r="E287" s="1565"/>
      <c r="F287" s="1565"/>
      <c r="I287" s="490"/>
    </row>
    <row r="288" spans="1:9" ht="15.75" customHeight="1">
      <c r="A288" s="484"/>
      <c r="B288" s="484"/>
      <c r="D288" s="1591" t="s">
        <v>1123</v>
      </c>
      <c r="E288" s="1591"/>
      <c r="F288" s="1591"/>
      <c r="I288" s="490"/>
    </row>
    <row r="289" spans="1:9">
      <c r="E289" s="446"/>
      <c r="F289" s="446"/>
      <c r="I289" s="490"/>
    </row>
    <row r="290" spans="1:9" ht="14.4">
      <c r="A290" s="484"/>
      <c r="B290" s="485" t="s">
        <v>2638</v>
      </c>
      <c r="D290" s="1562" t="s">
        <v>1124</v>
      </c>
      <c r="E290" s="1562"/>
      <c r="F290" s="1562"/>
      <c r="I290" s="490"/>
    </row>
    <row r="291" spans="1:9" ht="14.4">
      <c r="A291" s="484"/>
      <c r="B291" s="484"/>
      <c r="D291" s="1562"/>
      <c r="E291" s="1562"/>
      <c r="F291" s="1562"/>
      <c r="I291" s="490"/>
    </row>
    <row r="292" spans="1:9">
      <c r="D292" s="446"/>
      <c r="E292" s="446"/>
      <c r="F292" s="446"/>
      <c r="I292" s="490"/>
    </row>
    <row r="293" spans="1:9" ht="14.4">
      <c r="A293" s="484"/>
      <c r="B293" s="485" t="s">
        <v>2638</v>
      </c>
      <c r="D293" s="1562" t="s">
        <v>1125</v>
      </c>
      <c r="E293" s="1562"/>
      <c r="F293" s="1562"/>
      <c r="I293" s="490"/>
    </row>
    <row r="294" spans="1:9" ht="14.4">
      <c r="A294" s="484"/>
      <c r="B294" s="484"/>
      <c r="D294" s="1562"/>
      <c r="E294" s="1562"/>
      <c r="F294" s="1562"/>
      <c r="I294" s="490"/>
    </row>
    <row r="295" spans="1:9" ht="14.4">
      <c r="A295" s="484"/>
      <c r="B295" s="484"/>
      <c r="D295" s="1562"/>
      <c r="E295" s="1562"/>
      <c r="F295" s="1562"/>
      <c r="I295" s="490"/>
    </row>
    <row r="296" spans="1:9">
      <c r="D296" s="446"/>
      <c r="E296" s="446"/>
      <c r="F296" s="446"/>
      <c r="I296" s="490"/>
    </row>
    <row r="297" spans="1:9" ht="14.4">
      <c r="A297" s="484"/>
      <c r="B297" s="485" t="s">
        <v>2638</v>
      </c>
      <c r="D297" s="1562" t="s">
        <v>1126</v>
      </c>
      <c r="E297" s="1562"/>
      <c r="F297" s="1562"/>
      <c r="I297" s="490"/>
    </row>
    <row r="298" spans="1:9" ht="14.4">
      <c r="A298" s="484"/>
      <c r="B298" s="484"/>
      <c r="D298" s="1562"/>
      <c r="E298" s="1562"/>
      <c r="F298" s="1562"/>
      <c r="I298" s="490"/>
    </row>
    <row r="299" spans="1:9">
      <c r="A299" s="490"/>
      <c r="B299" s="490"/>
      <c r="E299" s="446"/>
      <c r="F299" s="446"/>
      <c r="I299" s="490"/>
    </row>
    <row r="300" spans="1:9">
      <c r="A300" s="1563" t="s">
        <v>1048</v>
      </c>
      <c r="B300" s="1563"/>
      <c r="C300" s="1563"/>
      <c r="D300" s="1563"/>
      <c r="E300" s="1563"/>
      <c r="F300" s="1563"/>
      <c r="G300" s="1563"/>
      <c r="H300" s="1023"/>
      <c r="I300" s="1147"/>
    </row>
    <row r="301" spans="1:9">
      <c r="A301" s="490"/>
      <c r="B301" s="490"/>
      <c r="D301" s="446"/>
      <c r="E301" s="446"/>
      <c r="F301" s="446"/>
      <c r="I301" s="490"/>
    </row>
    <row r="302" spans="1:9">
      <c r="C302" s="490"/>
      <c r="D302" s="1565" t="s">
        <v>682</v>
      </c>
      <c r="E302" s="1565"/>
      <c r="F302" s="1565"/>
      <c r="I302" s="490"/>
    </row>
    <row r="303" spans="1:9">
      <c r="C303" s="490"/>
      <c r="D303" s="1564" t="s">
        <v>1127</v>
      </c>
      <c r="E303" s="1564"/>
      <c r="F303" s="1564"/>
      <c r="I303" s="490"/>
    </row>
    <row r="304" spans="1:9">
      <c r="C304" s="490"/>
      <c r="D304" s="493"/>
      <c r="I304" s="490"/>
    </row>
    <row r="305" spans="1:9">
      <c r="B305" s="485" t="s">
        <v>2638</v>
      </c>
      <c r="D305" s="1564" t="s">
        <v>1128</v>
      </c>
      <c r="E305" s="1564"/>
      <c r="F305" s="1564"/>
      <c r="I305" s="490"/>
    </row>
    <row r="306" spans="1:9" ht="14.4">
      <c r="A306" s="484"/>
      <c r="B306" s="484"/>
      <c r="D306" s="494"/>
      <c r="E306" s="495"/>
      <c r="F306" s="495"/>
      <c r="I306" s="490"/>
    </row>
    <row r="307" spans="1:9" ht="13.8" customHeight="1">
      <c r="B307" s="485" t="s">
        <v>2638</v>
      </c>
      <c r="D307" s="1575" t="s">
        <v>1218</v>
      </c>
      <c r="E307" s="1575"/>
      <c r="F307" s="1575"/>
      <c r="I307" s="490"/>
    </row>
    <row r="308" spans="1:9" ht="14.4">
      <c r="A308" s="484"/>
      <c r="B308" s="484"/>
      <c r="D308" s="1575"/>
      <c r="E308" s="1575"/>
      <c r="F308" s="1575"/>
      <c r="I308" s="490"/>
    </row>
    <row r="309" spans="1:9" ht="14.4">
      <c r="A309" s="484"/>
      <c r="B309" s="484"/>
      <c r="D309" s="1575"/>
      <c r="E309" s="1575"/>
      <c r="F309" s="1575"/>
      <c r="I309" s="490"/>
    </row>
    <row r="310" spans="1:9" ht="14.4">
      <c r="A310" s="484"/>
      <c r="B310" s="484"/>
      <c r="D310" s="1575"/>
      <c r="E310" s="1575"/>
      <c r="F310" s="1575"/>
      <c r="I310" s="490"/>
    </row>
    <row r="311" spans="1:9" ht="14.4">
      <c r="A311" s="484"/>
      <c r="B311" s="484"/>
      <c r="D311" s="1575"/>
      <c r="E311" s="1575"/>
      <c r="F311" s="1575"/>
      <c r="I311" s="490"/>
    </row>
    <row r="312" spans="1:9" ht="14.4">
      <c r="A312" s="484"/>
      <c r="B312" s="484"/>
      <c r="D312" s="494"/>
      <c r="E312" s="495"/>
      <c r="F312" s="495"/>
      <c r="I312" s="490"/>
    </row>
    <row r="313" spans="1:9" ht="13.8" customHeight="1">
      <c r="B313" s="485" t="s">
        <v>2638</v>
      </c>
      <c r="D313" s="1575" t="s">
        <v>1129</v>
      </c>
      <c r="E313" s="1575"/>
      <c r="F313" s="1575"/>
      <c r="I313" s="490"/>
    </row>
    <row r="314" spans="1:9">
      <c r="D314" s="1575"/>
      <c r="E314" s="1575"/>
      <c r="F314" s="1575"/>
      <c r="I314" s="490"/>
    </row>
    <row r="315" spans="1:9" ht="14.4">
      <c r="A315" s="484"/>
      <c r="B315" s="484"/>
      <c r="D315" s="494"/>
      <c r="E315" s="495"/>
      <c r="F315" s="495"/>
      <c r="I315" s="490"/>
    </row>
    <row r="316" spans="1:9">
      <c r="B316" s="485" t="s">
        <v>2638</v>
      </c>
      <c r="D316" s="1564" t="s">
        <v>1130</v>
      </c>
      <c r="E316" s="1564"/>
      <c r="F316" s="1564"/>
      <c r="I316" s="490"/>
    </row>
    <row r="317" spans="1:9">
      <c r="E317" s="446"/>
      <c r="F317" s="446"/>
      <c r="I317" s="490"/>
    </row>
    <row r="318" spans="1:9" ht="14.4">
      <c r="A318" s="484"/>
      <c r="B318" s="485" t="s">
        <v>2638</v>
      </c>
      <c r="D318" s="1562" t="s">
        <v>2196</v>
      </c>
      <c r="E318" s="1562"/>
      <c r="F318" s="1562"/>
      <c r="I318" s="490"/>
    </row>
    <row r="319" spans="1:9" ht="14.4">
      <c r="A319" s="484"/>
      <c r="B319" s="484"/>
      <c r="D319" s="1562"/>
      <c r="E319" s="1562"/>
      <c r="F319" s="1562"/>
      <c r="I319" s="490"/>
    </row>
    <row r="320" spans="1:9" ht="14.4">
      <c r="A320" s="484"/>
      <c r="B320" s="484"/>
      <c r="D320" s="1562"/>
      <c r="E320" s="1562"/>
      <c r="F320" s="1562"/>
      <c r="I320" s="490"/>
    </row>
    <row r="321" spans="1:9" ht="14.4">
      <c r="A321" s="484"/>
      <c r="B321" s="484"/>
      <c r="D321" s="1562"/>
      <c r="E321" s="1562"/>
      <c r="F321" s="1562"/>
      <c r="I321" s="490"/>
    </row>
    <row r="322" spans="1:9" ht="14.4">
      <c r="A322" s="484"/>
      <c r="B322" s="484"/>
      <c r="D322" s="1562"/>
      <c r="E322" s="1562"/>
      <c r="F322" s="1562"/>
      <c r="I322" s="490"/>
    </row>
    <row r="323" spans="1:9" ht="14.4">
      <c r="A323" s="484"/>
      <c r="B323" s="484"/>
      <c r="D323" s="1562"/>
      <c r="E323" s="1562"/>
      <c r="F323" s="1562"/>
      <c r="I323" s="490"/>
    </row>
    <row r="324" spans="1:9" ht="14.4">
      <c r="A324" s="484"/>
      <c r="B324" s="484"/>
      <c r="D324" s="1562"/>
      <c r="E324" s="1562"/>
      <c r="F324" s="1562"/>
      <c r="I324" s="490"/>
    </row>
    <row r="325" spans="1:9" ht="14.4">
      <c r="A325" s="484"/>
      <c r="B325" s="484"/>
      <c r="D325" s="1562"/>
      <c r="E325" s="1562"/>
      <c r="F325" s="1562"/>
      <c r="I325" s="490"/>
    </row>
    <row r="326" spans="1:9" ht="14.4">
      <c r="A326" s="484"/>
      <c r="B326" s="484"/>
      <c r="D326" s="1562"/>
      <c r="E326" s="1562"/>
      <c r="F326" s="1562"/>
      <c r="I326" s="490"/>
    </row>
    <row r="327" spans="1:9" ht="14.4">
      <c r="A327" s="484"/>
      <c r="B327" s="484"/>
      <c r="D327" s="1562"/>
      <c r="E327" s="1562"/>
      <c r="F327" s="1562"/>
      <c r="I327" s="490"/>
    </row>
    <row r="328" spans="1:9" ht="14.4">
      <c r="A328" s="484"/>
      <c r="B328" s="484"/>
      <c r="D328" s="1562"/>
      <c r="E328" s="1562"/>
      <c r="F328" s="1562"/>
      <c r="I328" s="490"/>
    </row>
    <row r="329" spans="1:9" ht="14.4">
      <c r="A329" s="484"/>
      <c r="B329" s="484"/>
      <c r="D329" s="1562"/>
      <c r="E329" s="1562"/>
      <c r="F329" s="1562"/>
      <c r="I329" s="490"/>
    </row>
    <row r="330" spans="1:9" ht="14.4">
      <c r="A330" s="484"/>
      <c r="B330" s="484"/>
      <c r="D330" s="1562"/>
      <c r="E330" s="1562"/>
      <c r="F330" s="1562"/>
      <c r="I330" s="490"/>
    </row>
    <row r="331" spans="1:9" ht="14.4">
      <c r="A331" s="484"/>
      <c r="B331" s="484"/>
      <c r="D331" s="1562"/>
      <c r="E331" s="1562"/>
      <c r="F331" s="1562"/>
      <c r="I331" s="490"/>
    </row>
    <row r="332" spans="1:9" ht="14.4">
      <c r="A332" s="484"/>
      <c r="B332" s="484"/>
      <c r="D332" s="1562"/>
      <c r="E332" s="1562"/>
      <c r="F332" s="1562"/>
      <c r="I332" s="490"/>
    </row>
    <row r="333" spans="1:9">
      <c r="D333" s="446"/>
      <c r="E333" s="446"/>
      <c r="F333" s="446"/>
      <c r="I333" s="490"/>
    </row>
    <row r="334" spans="1:9" ht="14.4">
      <c r="A334" s="484"/>
      <c r="B334" s="485" t="s">
        <v>2638</v>
      </c>
      <c r="D334" s="1562" t="s">
        <v>1131</v>
      </c>
      <c r="E334" s="1562"/>
      <c r="F334" s="1562"/>
      <c r="I334" s="490"/>
    </row>
    <row r="335" spans="1:9">
      <c r="D335" s="1562"/>
      <c r="E335" s="1562"/>
      <c r="F335" s="1562"/>
      <c r="I335" s="490"/>
    </row>
    <row r="336" spans="1:9">
      <c r="D336" s="1562"/>
      <c r="E336" s="1562"/>
      <c r="F336" s="1562"/>
      <c r="I336" s="490"/>
    </row>
    <row r="337" spans="1:9">
      <c r="D337" s="1562"/>
      <c r="E337" s="1562"/>
      <c r="F337" s="1562"/>
      <c r="I337" s="490"/>
    </row>
    <row r="338" spans="1:9">
      <c r="D338" s="1562"/>
      <c r="E338" s="1562"/>
      <c r="F338" s="1562"/>
      <c r="I338" s="490"/>
    </row>
    <row r="339" spans="1:9">
      <c r="D339" s="1562"/>
      <c r="E339" s="1562"/>
      <c r="F339" s="1562"/>
      <c r="I339" s="490"/>
    </row>
    <row r="340" spans="1:9">
      <c r="D340" s="1562"/>
      <c r="E340" s="1562"/>
      <c r="F340" s="1562"/>
      <c r="I340" s="490"/>
    </row>
    <row r="341" spans="1:9">
      <c r="D341" s="1562"/>
      <c r="E341" s="1562"/>
      <c r="F341" s="1562"/>
      <c r="I341" s="490"/>
    </row>
    <row r="342" spans="1:9">
      <c r="D342" s="1562"/>
      <c r="E342" s="1562"/>
      <c r="F342" s="1562"/>
      <c r="I342" s="490"/>
    </row>
    <row r="343" spans="1:9">
      <c r="D343" s="446"/>
      <c r="E343" s="446"/>
      <c r="F343" s="446"/>
      <c r="I343" s="490"/>
    </row>
    <row r="344" spans="1:9" ht="14.25" customHeight="1">
      <c r="A344" s="484"/>
      <c r="B344" s="485" t="s">
        <v>2638</v>
      </c>
      <c r="D344" s="1562" t="s">
        <v>1874</v>
      </c>
      <c r="E344" s="1562"/>
      <c r="F344" s="1562"/>
      <c r="I344" s="490"/>
    </row>
    <row r="345" spans="1:9">
      <c r="D345" s="1562"/>
      <c r="E345" s="1562"/>
      <c r="F345" s="1562"/>
      <c r="I345" s="490"/>
    </row>
    <row r="346" spans="1:9">
      <c r="D346" s="1562"/>
      <c r="E346" s="1562"/>
      <c r="F346" s="1562"/>
      <c r="I346" s="490"/>
    </row>
    <row r="347" spans="1:9">
      <c r="D347" s="1562"/>
      <c r="E347" s="1562"/>
      <c r="F347" s="1562"/>
      <c r="I347" s="490"/>
    </row>
    <row r="348" spans="1:9">
      <c r="D348" s="386" t="s">
        <v>1873</v>
      </c>
      <c r="E348" s="385"/>
      <c r="F348" s="385"/>
      <c r="I348" s="490"/>
    </row>
    <row r="349" spans="1:9">
      <c r="D349" s="385"/>
      <c r="E349" s="96" t="s">
        <v>1870</v>
      </c>
      <c r="G349" s="96"/>
      <c r="I349" s="490"/>
    </row>
    <row r="350" spans="1:9">
      <c r="D350" s="445"/>
      <c r="E350" s="445"/>
      <c r="F350" s="445"/>
      <c r="I350" s="490"/>
    </row>
    <row r="351" spans="1:9" ht="13.8" thickBot="1">
      <c r="A351" s="1017"/>
      <c r="B351" s="1017"/>
      <c r="C351" s="1017"/>
      <c r="D351" s="1573" t="s">
        <v>978</v>
      </c>
      <c r="E351" s="1573"/>
      <c r="F351" s="1573"/>
      <c r="G351" s="1022"/>
      <c r="H351" s="1022"/>
      <c r="I351" s="1150"/>
    </row>
    <row r="352" spans="1:9" ht="13.8" thickTop="1">
      <c r="D352" s="1583" t="s">
        <v>2197</v>
      </c>
      <c r="E352" s="1583"/>
      <c r="F352" s="1583"/>
      <c r="I352" s="490"/>
    </row>
    <row r="353" spans="1:9">
      <c r="D353" s="446"/>
      <c r="E353" s="446"/>
      <c r="F353" s="446"/>
      <c r="I353" s="490"/>
    </row>
    <row r="354" spans="1:9">
      <c r="A354" s="476"/>
      <c r="B354" s="476"/>
      <c r="C354" s="476"/>
      <c r="D354" s="447"/>
      <c r="E354" s="447"/>
      <c r="F354" s="446"/>
      <c r="I354" s="490"/>
    </row>
    <row r="355" spans="1:9" ht="14.4">
      <c r="A355" s="484"/>
      <c r="B355" s="485" t="s">
        <v>2638</v>
      </c>
      <c r="C355" s="487"/>
      <c r="D355" s="1564" t="s">
        <v>1872</v>
      </c>
      <c r="E355" s="1564"/>
      <c r="F355" s="1564"/>
      <c r="I355" s="490"/>
    </row>
    <row r="356" spans="1:9" ht="12.75" customHeight="1">
      <c r="D356" s="1032"/>
      <c r="E356" s="96" t="s">
        <v>1871</v>
      </c>
      <c r="F356" s="1032"/>
      <c r="I356" s="490"/>
    </row>
    <row r="357" spans="1:9">
      <c r="D357" s="1562" t="s">
        <v>1238</v>
      </c>
      <c r="E357" s="1562"/>
      <c r="F357" s="1562"/>
      <c r="I357" s="490"/>
    </row>
    <row r="358" spans="1:9">
      <c r="D358" s="1562"/>
      <c r="E358" s="1562"/>
      <c r="F358" s="1562"/>
      <c r="I358" s="490"/>
    </row>
    <row r="359" spans="1:9">
      <c r="D359" s="1562"/>
      <c r="E359" s="1562"/>
      <c r="F359" s="1562"/>
      <c r="I359" s="490"/>
    </row>
    <row r="360" spans="1:9" ht="14.4">
      <c r="A360" s="484"/>
      <c r="B360" s="485" t="s">
        <v>2638</v>
      </c>
      <c r="C360" s="476"/>
      <c r="D360" s="1572" t="s">
        <v>2014</v>
      </c>
      <c r="E360" s="1572"/>
      <c r="F360" s="1572"/>
      <c r="I360" s="480"/>
    </row>
    <row r="361" spans="1:9">
      <c r="A361" s="476"/>
      <c r="B361" s="476"/>
      <c r="C361" s="476"/>
      <c r="D361" s="447"/>
      <c r="E361" s="447"/>
      <c r="F361" s="446"/>
      <c r="I361" s="490"/>
    </row>
    <row r="362" spans="1:9">
      <c r="A362" s="476"/>
      <c r="B362" s="485" t="s">
        <v>2638</v>
      </c>
      <c r="C362" s="476"/>
      <c r="D362" s="1534" t="s">
        <v>2015</v>
      </c>
      <c r="E362" s="1534"/>
      <c r="F362" s="1534"/>
      <c r="I362" s="490"/>
    </row>
    <row r="363" spans="1:9">
      <c r="A363" s="476"/>
      <c r="B363" s="476"/>
      <c r="C363" s="476"/>
      <c r="D363" s="1534"/>
      <c r="E363" s="1534"/>
      <c r="F363" s="1534"/>
      <c r="I363" s="490"/>
    </row>
    <row r="364" spans="1:9">
      <c r="A364" s="476"/>
      <c r="B364" s="476"/>
      <c r="C364" s="476"/>
      <c r="D364" s="1534"/>
      <c r="E364" s="1534"/>
      <c r="F364" s="1534"/>
      <c r="I364" s="490"/>
    </row>
    <row r="365" spans="1:9">
      <c r="A365" s="476"/>
      <c r="B365" s="476"/>
      <c r="C365" s="476"/>
      <c r="D365" s="1534"/>
      <c r="E365" s="1534"/>
      <c r="F365" s="1534"/>
      <c r="I365" s="490"/>
    </row>
    <row r="366" spans="1:9">
      <c r="A366" s="476"/>
      <c r="B366" s="476"/>
      <c r="C366" s="476"/>
      <c r="D366" s="1534"/>
      <c r="E366" s="1534"/>
      <c r="F366" s="1534"/>
      <c r="I366" s="490"/>
    </row>
    <row r="367" spans="1:9">
      <c r="A367" s="476"/>
      <c r="B367" s="476"/>
      <c r="C367" s="476"/>
      <c r="D367" s="1534"/>
      <c r="E367" s="1534"/>
      <c r="F367" s="1534"/>
      <c r="I367" s="490"/>
    </row>
    <row r="368" spans="1:9">
      <c r="A368" s="476"/>
      <c r="B368" s="476"/>
      <c r="C368" s="476"/>
      <c r="D368" s="1534"/>
      <c r="E368" s="1534"/>
      <c r="F368" s="1534"/>
      <c r="I368" s="490"/>
    </row>
    <row r="369" spans="1:9">
      <c r="A369" s="476"/>
      <c r="B369" s="476"/>
      <c r="C369" s="476"/>
      <c r="D369" s="1534"/>
      <c r="E369" s="1534"/>
      <c r="F369" s="1534"/>
      <c r="I369" s="490"/>
    </row>
    <row r="370" spans="1:9">
      <c r="A370" s="476"/>
      <c r="B370" s="476"/>
      <c r="C370" s="476"/>
      <c r="D370" s="1534"/>
      <c r="E370" s="1534"/>
      <c r="F370" s="1534"/>
      <c r="I370" s="490"/>
    </row>
    <row r="371" spans="1:9">
      <c r="A371" s="476"/>
      <c r="B371" s="476"/>
      <c r="C371" s="476"/>
      <c r="D371" s="1534"/>
      <c r="E371" s="1534"/>
      <c r="F371" s="1534"/>
      <c r="I371" s="490"/>
    </row>
    <row r="372" spans="1:9">
      <c r="A372" s="476"/>
      <c r="B372" s="476"/>
      <c r="C372" s="476"/>
      <c r="D372" s="1534"/>
      <c r="E372" s="1534"/>
      <c r="F372" s="1534"/>
      <c r="I372" s="490"/>
    </row>
    <row r="373" spans="1:9">
      <c r="A373" s="476"/>
      <c r="B373" s="476"/>
      <c r="C373" s="476"/>
      <c r="D373" s="1534"/>
      <c r="E373" s="1534"/>
      <c r="F373" s="1534"/>
      <c r="I373" s="490"/>
    </row>
    <row r="374" spans="1:9">
      <c r="A374" s="476"/>
      <c r="B374" s="476"/>
      <c r="C374" s="476"/>
      <c r="D374" s="451"/>
      <c r="E374" s="451"/>
      <c r="F374" s="451"/>
      <c r="I374" s="490"/>
    </row>
    <row r="375" spans="1:9" ht="12.45" customHeight="1">
      <c r="A375" s="476"/>
      <c r="B375" s="485" t="s">
        <v>2638</v>
      </c>
      <c r="C375" s="476"/>
      <c r="D375" s="1542" t="s">
        <v>1220</v>
      </c>
      <c r="E375" s="1542"/>
      <c r="F375" s="1542"/>
      <c r="I375" s="490"/>
    </row>
    <row r="376" spans="1:9">
      <c r="A376" s="476"/>
      <c r="B376" s="476"/>
      <c r="C376" s="476"/>
      <c r="D376" s="1542"/>
      <c r="E376" s="1542"/>
      <c r="F376" s="1542"/>
      <c r="I376" s="490"/>
    </row>
    <row r="377" spans="1:9">
      <c r="A377" s="476"/>
      <c r="B377" s="476"/>
      <c r="C377" s="476"/>
      <c r="D377" s="1542"/>
      <c r="E377" s="1542"/>
      <c r="F377" s="1542"/>
      <c r="I377" s="490"/>
    </row>
    <row r="378" spans="1:9">
      <c r="A378" s="476"/>
      <c r="B378" s="476"/>
      <c r="C378" s="476"/>
      <c r="D378" s="1542"/>
      <c r="E378" s="1542"/>
      <c r="F378" s="1542"/>
      <c r="I378" s="490"/>
    </row>
    <row r="379" spans="1:9">
      <c r="A379" s="476"/>
      <c r="B379" s="476"/>
      <c r="C379" s="476"/>
      <c r="D379" s="524"/>
      <c r="E379" s="524"/>
      <c r="F379" s="524"/>
      <c r="I379" s="490"/>
    </row>
    <row r="380" spans="1:9">
      <c r="A380" s="476"/>
      <c r="B380" s="485" t="s">
        <v>2638</v>
      </c>
      <c r="C380" s="476"/>
      <c r="D380" s="402" t="s">
        <v>1809</v>
      </c>
      <c r="E380" s="524"/>
      <c r="F380" s="524"/>
      <c r="I380" s="490"/>
    </row>
    <row r="381" spans="1:9">
      <c r="A381" s="476"/>
      <c r="B381" s="476"/>
      <c r="C381" s="476"/>
      <c r="D381" s="402" t="s">
        <v>1810</v>
      </c>
      <c r="E381" s="524"/>
      <c r="F381" s="524"/>
      <c r="I381" s="490"/>
    </row>
    <row r="382" spans="1:9">
      <c r="A382" s="476"/>
      <c r="B382" s="476"/>
      <c r="C382" s="476"/>
      <c r="D382" s="402" t="s">
        <v>1811</v>
      </c>
      <c r="E382" s="524"/>
      <c r="F382" s="524"/>
      <c r="I382" s="490"/>
    </row>
    <row r="383" spans="1:9">
      <c r="A383" s="476"/>
      <c r="B383" s="476"/>
      <c r="C383" s="476"/>
      <c r="D383" s="402" t="s">
        <v>1812</v>
      </c>
      <c r="E383" s="524"/>
      <c r="F383" s="524"/>
      <c r="I383" s="490"/>
    </row>
    <row r="384" spans="1:9">
      <c r="A384" s="476"/>
      <c r="B384" s="476"/>
      <c r="C384" s="476"/>
      <c r="D384" s="402" t="s">
        <v>1813</v>
      </c>
      <c r="E384" s="524"/>
      <c r="F384" s="524"/>
      <c r="I384" s="490"/>
    </row>
    <row r="385" spans="1:9">
      <c r="A385" s="476"/>
      <c r="B385" s="476"/>
      <c r="C385" s="476"/>
      <c r="D385" s="402" t="s">
        <v>1814</v>
      </c>
      <c r="E385" s="524"/>
      <c r="F385" s="524"/>
      <c r="I385" s="490"/>
    </row>
    <row r="386" spans="1:9">
      <c r="A386" s="476"/>
      <c r="B386" s="476"/>
      <c r="C386" s="476"/>
      <c r="E386" s="447"/>
      <c r="F386" s="446"/>
      <c r="I386" s="490"/>
    </row>
    <row r="387" spans="1:9" ht="14.4">
      <c r="A387" s="484"/>
      <c r="B387" s="485" t="s">
        <v>2638</v>
      </c>
      <c r="C387" s="476"/>
      <c r="D387" s="1534" t="s">
        <v>1132</v>
      </c>
      <c r="E387" s="1534"/>
      <c r="F387" s="1534"/>
      <c r="I387" s="490"/>
    </row>
    <row r="388" spans="1:9">
      <c r="A388" s="476"/>
      <c r="B388" s="476"/>
      <c r="C388" s="476"/>
      <c r="D388" s="1534"/>
      <c r="E388" s="1534"/>
      <c r="F388" s="1534"/>
      <c r="I388" s="490"/>
    </row>
    <row r="389" spans="1:9">
      <c r="A389" s="476"/>
      <c r="B389" s="476"/>
      <c r="C389" s="476"/>
      <c r="D389" s="1534"/>
      <c r="E389" s="1534"/>
      <c r="F389" s="1534"/>
      <c r="I389" s="490"/>
    </row>
    <row r="390" spans="1:9">
      <c r="A390" s="476"/>
      <c r="B390" s="476"/>
      <c r="C390" s="476"/>
      <c r="D390" s="1534"/>
      <c r="E390" s="1534"/>
      <c r="F390" s="1534"/>
      <c r="I390" s="490"/>
    </row>
    <row r="391" spans="1:9">
      <c r="A391" s="476"/>
      <c r="B391" s="476"/>
      <c r="C391" s="476"/>
      <c r="D391" s="447"/>
      <c r="E391" s="447"/>
      <c r="F391" s="446"/>
      <c r="I391" s="490"/>
    </row>
    <row r="392" spans="1:9">
      <c r="A392" s="476"/>
      <c r="B392" s="476"/>
      <c r="C392" s="476"/>
      <c r="D392" s="1534" t="s">
        <v>1133</v>
      </c>
      <c r="E392" s="1534"/>
      <c r="F392" s="1534"/>
      <c r="I392" s="490"/>
    </row>
    <row r="393" spans="1:9">
      <c r="A393" s="476"/>
      <c r="B393" s="476"/>
      <c r="C393" s="476"/>
      <c r="D393" s="1534"/>
      <c r="E393" s="1534"/>
      <c r="F393" s="1534"/>
      <c r="I393" s="490"/>
    </row>
    <row r="394" spans="1:9">
      <c r="A394" s="476"/>
      <c r="B394" s="476"/>
      <c r="C394" s="476"/>
      <c r="D394" s="1534"/>
      <c r="E394" s="1534"/>
      <c r="F394" s="1534"/>
      <c r="I394" s="490"/>
    </row>
    <row r="395" spans="1:9">
      <c r="A395" s="476"/>
      <c r="B395" s="476"/>
      <c r="C395" s="476"/>
      <c r="D395" s="1534"/>
      <c r="E395" s="1534"/>
      <c r="F395" s="1534"/>
      <c r="I395" s="490"/>
    </row>
    <row r="396" spans="1:9" ht="18" customHeight="1">
      <c r="A396" s="476"/>
      <c r="B396" s="476"/>
      <c r="C396" s="476"/>
      <c r="D396" s="1534"/>
      <c r="E396" s="1534"/>
      <c r="F396" s="1534"/>
      <c r="I396" s="490"/>
    </row>
    <row r="397" spans="1:9">
      <c r="A397" s="476"/>
      <c r="B397" s="476"/>
      <c r="C397" s="476"/>
      <c r="D397" s="1534"/>
      <c r="E397" s="1534"/>
      <c r="F397" s="1534"/>
      <c r="I397" s="490"/>
    </row>
    <row r="398" spans="1:9">
      <c r="A398" s="476"/>
      <c r="B398" s="476"/>
      <c r="C398" s="476"/>
      <c r="D398" s="1534"/>
      <c r="E398" s="1534"/>
      <c r="F398" s="1534"/>
      <c r="I398" s="490"/>
    </row>
    <row r="399" spans="1:9">
      <c r="A399" s="476"/>
      <c r="B399" s="476"/>
      <c r="C399" s="476"/>
      <c r="D399" s="1534"/>
      <c r="E399" s="1534"/>
      <c r="F399" s="1534"/>
      <c r="I399" s="490"/>
    </row>
    <row r="400" spans="1:9" ht="8.25" customHeight="1">
      <c r="A400" s="476"/>
      <c r="B400" s="476"/>
      <c r="C400" s="476"/>
      <c r="D400" s="1534"/>
      <c r="E400" s="1534"/>
      <c r="F400" s="1534"/>
      <c r="I400" s="490"/>
    </row>
    <row r="401" spans="1:9" ht="13.8" customHeight="1">
      <c r="A401" s="476"/>
      <c r="B401" s="476"/>
      <c r="C401" s="476"/>
      <c r="D401" s="1534" t="s">
        <v>1134</v>
      </c>
      <c r="E401" s="1534"/>
      <c r="F401" s="1534"/>
      <c r="I401" s="490"/>
    </row>
    <row r="402" spans="1:9">
      <c r="A402" s="476"/>
      <c r="B402" s="476"/>
      <c r="C402" s="476"/>
      <c r="D402" s="1534"/>
      <c r="E402" s="1534"/>
      <c r="F402" s="1534"/>
      <c r="I402" s="490"/>
    </row>
    <row r="403" spans="1:9">
      <c r="A403" s="476"/>
      <c r="B403" s="476"/>
      <c r="C403" s="476"/>
      <c r="D403" s="1534"/>
      <c r="E403" s="1534"/>
      <c r="F403" s="1534"/>
      <c r="I403" s="490"/>
    </row>
    <row r="404" spans="1:9">
      <c r="A404" s="476"/>
      <c r="B404" s="476"/>
      <c r="C404" s="476"/>
      <c r="D404" s="1534"/>
      <c r="E404" s="1534"/>
      <c r="F404" s="1534"/>
      <c r="I404" s="490"/>
    </row>
    <row r="405" spans="1:9">
      <c r="A405" s="476"/>
      <c r="B405" s="476"/>
      <c r="C405" s="476"/>
      <c r="D405" s="1534"/>
      <c r="E405" s="1534"/>
      <c r="F405" s="1534"/>
      <c r="I405" s="490"/>
    </row>
    <row r="406" spans="1:9">
      <c r="A406" s="476"/>
      <c r="B406" s="476"/>
      <c r="C406" s="476"/>
      <c r="D406" s="1534"/>
      <c r="E406" s="1534"/>
      <c r="F406" s="1534"/>
      <c r="I406" s="490"/>
    </row>
    <row r="407" spans="1:9">
      <c r="A407" s="476"/>
      <c r="B407" s="476"/>
      <c r="C407" s="476"/>
      <c r="D407" s="1534"/>
      <c r="E407" s="1534"/>
      <c r="F407" s="1534"/>
      <c r="I407" s="490"/>
    </row>
    <row r="408" spans="1:9">
      <c r="A408" s="476"/>
      <c r="B408" s="476"/>
      <c r="C408" s="476"/>
      <c r="D408" s="1534"/>
      <c r="E408" s="1534"/>
      <c r="F408" s="1534"/>
      <c r="I408" s="490"/>
    </row>
    <row r="409" spans="1:9">
      <c r="A409" s="476"/>
      <c r="B409" s="476"/>
      <c r="C409" s="476"/>
      <c r="D409" s="1534"/>
      <c r="E409" s="1534"/>
      <c r="F409" s="1534"/>
      <c r="I409" s="490"/>
    </row>
    <row r="410" spans="1:9">
      <c r="A410" s="476"/>
      <c r="B410" s="476"/>
      <c r="C410" s="476"/>
      <c r="D410" s="1534"/>
      <c r="E410" s="1534"/>
      <c r="F410" s="1534"/>
      <c r="I410" s="490"/>
    </row>
    <row r="411" spans="1:9">
      <c r="A411" s="476"/>
      <c r="B411" s="476"/>
      <c r="C411" s="476"/>
      <c r="D411" s="1534"/>
      <c r="E411" s="1534"/>
      <c r="F411" s="1534"/>
      <c r="I411" s="490"/>
    </row>
    <row r="412" spans="1:9">
      <c r="A412" s="476"/>
      <c r="B412" s="476"/>
      <c r="C412" s="476"/>
      <c r="D412" s="1534"/>
      <c r="E412" s="1534"/>
      <c r="F412" s="1534"/>
      <c r="I412" s="490"/>
    </row>
    <row r="413" spans="1:9">
      <c r="A413" s="476"/>
      <c r="B413" s="476"/>
      <c r="C413" s="496"/>
      <c r="D413" s="1534"/>
      <c r="E413" s="1534"/>
      <c r="F413" s="1534"/>
      <c r="I413" s="490"/>
    </row>
    <row r="414" spans="1:9">
      <c r="A414" s="476"/>
      <c r="B414" s="476"/>
      <c r="C414" s="496"/>
      <c r="D414" s="1534"/>
      <c r="E414" s="1534"/>
      <c r="F414" s="1534"/>
      <c r="I414" s="490"/>
    </row>
    <row r="415" spans="1:9">
      <c r="A415" s="476"/>
      <c r="B415" s="476"/>
      <c r="C415" s="476"/>
      <c r="D415" s="1534"/>
      <c r="E415" s="1534"/>
      <c r="F415" s="1534"/>
      <c r="I415" s="490"/>
    </row>
    <row r="416" spans="1:9">
      <c r="A416" s="476"/>
      <c r="B416" s="476"/>
      <c r="C416" s="496"/>
      <c r="D416" s="1534"/>
      <c r="E416" s="1534"/>
      <c r="F416" s="1534"/>
      <c r="I416" s="490"/>
    </row>
    <row r="417" spans="1:9">
      <c r="A417" s="476"/>
      <c r="B417" s="476"/>
      <c r="C417" s="496"/>
      <c r="D417" s="1534"/>
      <c r="E417" s="1534"/>
      <c r="F417" s="1534"/>
      <c r="I417" s="490"/>
    </row>
    <row r="418" spans="1:9">
      <c r="A418" s="476"/>
      <c r="B418" s="476"/>
      <c r="C418" s="496"/>
      <c r="D418" s="1534"/>
      <c r="E418" s="1534"/>
      <c r="F418" s="1534"/>
      <c r="I418" s="490"/>
    </row>
    <row r="419" spans="1:9">
      <c r="A419" s="476"/>
      <c r="B419" s="476"/>
      <c r="C419" s="476"/>
      <c r="D419" s="447"/>
      <c r="E419" s="447"/>
      <c r="F419" s="446"/>
      <c r="I419" s="490"/>
    </row>
    <row r="420" spans="1:9">
      <c r="A420" s="476"/>
      <c r="B420" s="485" t="s">
        <v>2638</v>
      </c>
      <c r="C420" s="476"/>
      <c r="D420" s="1534" t="s">
        <v>1135</v>
      </c>
      <c r="E420" s="1534"/>
      <c r="F420" s="1534"/>
      <c r="I420" s="490"/>
    </row>
    <row r="421" spans="1:9">
      <c r="A421" s="476"/>
      <c r="B421" s="476"/>
      <c r="C421" s="476"/>
      <c r="D421" s="1534"/>
      <c r="E421" s="1534"/>
      <c r="F421" s="1534"/>
      <c r="I421" s="490"/>
    </row>
    <row r="422" spans="1:9">
      <c r="A422" s="476"/>
      <c r="B422" s="476"/>
      <c r="C422" s="476"/>
      <c r="D422" s="451"/>
      <c r="E422" s="451"/>
      <c r="F422" s="451"/>
      <c r="I422" s="490"/>
    </row>
    <row r="423" spans="1:9" ht="14.55" customHeight="1">
      <c r="A423" s="484"/>
      <c r="B423" s="485" t="s">
        <v>2638</v>
      </c>
      <c r="D423" s="1534" t="s">
        <v>1854</v>
      </c>
      <c r="E423" s="1534"/>
      <c r="F423" s="1534"/>
      <c r="I423" s="490"/>
    </row>
    <row r="424" spans="1:9" ht="14.55" customHeight="1">
      <c r="A424" s="484"/>
      <c r="D424" s="1534"/>
      <c r="E424" s="1534"/>
      <c r="F424" s="1534"/>
      <c r="I424" s="490"/>
    </row>
    <row r="425" spans="1:9" ht="14.55" customHeight="1">
      <c r="A425" s="484"/>
      <c r="D425" s="1534"/>
      <c r="E425" s="1534"/>
      <c r="F425" s="1534"/>
      <c r="I425" s="490"/>
    </row>
    <row r="426" spans="1:9" ht="14.55" customHeight="1">
      <c r="A426" s="484"/>
      <c r="D426" s="1534"/>
      <c r="E426" s="1534"/>
      <c r="F426" s="1534"/>
      <c r="I426" s="490"/>
    </row>
    <row r="427" spans="1:9" ht="14.55" customHeight="1">
      <c r="A427" s="484"/>
      <c r="D427" s="1534"/>
      <c r="E427" s="1534"/>
      <c r="F427" s="1534"/>
      <c r="I427" s="490"/>
    </row>
    <row r="428" spans="1:9" ht="14.55" customHeight="1">
      <c r="A428" s="484"/>
      <c r="D428" s="385"/>
      <c r="E428" s="385"/>
      <c r="F428" s="385"/>
      <c r="I428" s="490"/>
    </row>
    <row r="429" spans="1:9" ht="13.8" customHeight="1">
      <c r="A429" s="484"/>
      <c r="B429" s="485" t="s">
        <v>2638</v>
      </c>
      <c r="C429" s="476"/>
      <c r="D429" s="1534" t="s">
        <v>1239</v>
      </c>
      <c r="E429" s="1534"/>
      <c r="F429" s="1534"/>
      <c r="I429" s="490"/>
    </row>
    <row r="430" spans="1:9" ht="14.4">
      <c r="A430" s="497"/>
      <c r="B430" s="497"/>
      <c r="C430" s="476"/>
      <c r="D430" s="1534"/>
      <c r="E430" s="1534"/>
      <c r="F430" s="1534"/>
      <c r="I430" s="490"/>
    </row>
    <row r="431" spans="1:9" ht="14.4">
      <c r="A431" s="497"/>
      <c r="B431" s="497"/>
      <c r="C431" s="476"/>
      <c r="D431" s="1534"/>
      <c r="E431" s="1534"/>
      <c r="F431" s="1534"/>
      <c r="I431" s="490"/>
    </row>
    <row r="432" spans="1:9" ht="14.4">
      <c r="A432" s="497"/>
      <c r="B432" s="497"/>
      <c r="C432" s="476"/>
      <c r="D432" s="1534"/>
      <c r="E432" s="1534"/>
      <c r="F432" s="1534"/>
      <c r="I432" s="490"/>
    </row>
    <row r="433" spans="1:9" ht="15.75" customHeight="1">
      <c r="A433" s="497"/>
      <c r="B433" s="497"/>
      <c r="C433" s="476"/>
      <c r="D433" s="1593" t="s">
        <v>2598</v>
      </c>
      <c r="E433" s="1534"/>
      <c r="F433" s="1534"/>
      <c r="I433" s="490"/>
    </row>
    <row r="434" spans="1:9">
      <c r="D434" s="446"/>
      <c r="E434" s="446"/>
      <c r="F434" s="446"/>
      <c r="I434" s="490"/>
    </row>
    <row r="435" spans="1:9" ht="14.4">
      <c r="A435" s="484"/>
      <c r="B435" s="485" t="s">
        <v>2638</v>
      </c>
      <c r="C435" s="487"/>
      <c r="D435" s="1562" t="s">
        <v>2016</v>
      </c>
      <c r="E435" s="1562"/>
      <c r="F435" s="1562"/>
      <c r="I435" s="490"/>
    </row>
    <row r="436" spans="1:9" ht="14.4">
      <c r="A436" s="484"/>
      <c r="B436" s="484"/>
      <c r="D436" s="1562"/>
      <c r="E436" s="1562"/>
      <c r="F436" s="1562"/>
      <c r="I436" s="490"/>
    </row>
    <row r="437" spans="1:9">
      <c r="D437" s="1562"/>
      <c r="E437" s="1562"/>
      <c r="F437" s="1562"/>
      <c r="I437" s="490"/>
    </row>
    <row r="438" spans="1:9">
      <c r="D438" s="1562"/>
      <c r="E438" s="1562"/>
      <c r="F438" s="1562"/>
      <c r="I438" s="490"/>
    </row>
    <row r="439" spans="1:9">
      <c r="D439" s="1562"/>
      <c r="E439" s="1562"/>
      <c r="F439" s="1562"/>
      <c r="I439" s="490"/>
    </row>
    <row r="440" spans="1:9">
      <c r="D440" s="1562"/>
      <c r="E440" s="1562"/>
      <c r="F440" s="1562"/>
      <c r="I440" s="490"/>
    </row>
    <row r="441" spans="1:9">
      <c r="D441" s="1562"/>
      <c r="E441" s="1562"/>
      <c r="F441" s="1562"/>
      <c r="I441" s="490"/>
    </row>
    <row r="442" spans="1:9">
      <c r="D442" s="1562"/>
      <c r="E442" s="1562"/>
      <c r="F442" s="1562"/>
      <c r="I442" s="490"/>
    </row>
    <row r="443" spans="1:9">
      <c r="D443" s="1562"/>
      <c r="E443" s="1562"/>
      <c r="F443" s="1562"/>
      <c r="I443" s="490"/>
    </row>
    <row r="444" spans="1:9">
      <c r="D444" s="1562"/>
      <c r="E444" s="1562"/>
      <c r="F444" s="1562"/>
      <c r="I444" s="490"/>
    </row>
    <row r="445" spans="1:9">
      <c r="D445" s="1562"/>
      <c r="E445" s="1562"/>
      <c r="F445" s="1562"/>
      <c r="I445" s="490"/>
    </row>
    <row r="446" spans="1:9">
      <c r="D446" s="1562"/>
      <c r="E446" s="1562"/>
      <c r="F446" s="1562"/>
      <c r="I446" s="490"/>
    </row>
    <row r="447" spans="1:9">
      <c r="D447" s="1562"/>
      <c r="E447" s="1562"/>
      <c r="F447" s="1562"/>
      <c r="I447" s="490"/>
    </row>
    <row r="448" spans="1:9">
      <c r="A448" s="402"/>
      <c r="B448" s="402"/>
      <c r="C448" s="402"/>
      <c r="D448" s="1562"/>
      <c r="E448" s="1562"/>
      <c r="F448" s="1562"/>
      <c r="I448" s="490"/>
    </row>
    <row r="449" spans="1:9">
      <c r="A449" s="402"/>
      <c r="B449" s="402"/>
      <c r="C449" s="402"/>
      <c r="D449" s="1562"/>
      <c r="E449" s="1562"/>
      <c r="F449" s="1562"/>
      <c r="I449" s="490"/>
    </row>
    <row r="450" spans="1:9">
      <c r="A450" s="402"/>
      <c r="B450" s="402"/>
      <c r="C450" s="402"/>
      <c r="D450" s="1562"/>
      <c r="E450" s="1562"/>
      <c r="F450" s="1562"/>
      <c r="I450" s="490"/>
    </row>
    <row r="451" spans="1:9">
      <c r="A451" s="402"/>
      <c r="B451" s="402"/>
      <c r="C451" s="402"/>
      <c r="D451" s="1562"/>
      <c r="E451" s="1562"/>
      <c r="F451" s="1562"/>
      <c r="I451" s="490"/>
    </row>
    <row r="452" spans="1:9">
      <c r="A452" s="402"/>
      <c r="B452" s="402"/>
      <c r="C452" s="402"/>
      <c r="D452" s="1562"/>
      <c r="E452" s="1562"/>
      <c r="F452" s="1562"/>
      <c r="I452" s="490"/>
    </row>
    <row r="453" spans="1:9">
      <c r="A453" s="402"/>
      <c r="B453" s="402"/>
      <c r="C453" s="402"/>
      <c r="D453" s="1562"/>
      <c r="E453" s="1562"/>
      <c r="F453" s="1562"/>
      <c r="I453" s="490"/>
    </row>
    <row r="454" spans="1:9">
      <c r="A454" s="402"/>
      <c r="B454" s="402"/>
      <c r="C454" s="402"/>
      <c r="D454" s="1562"/>
      <c r="E454" s="1562"/>
      <c r="F454" s="1562"/>
      <c r="I454" s="490"/>
    </row>
    <row r="455" spans="1:9">
      <c r="A455" s="402"/>
      <c r="B455" s="402"/>
      <c r="C455" s="402"/>
      <c r="D455" s="1562"/>
      <c r="E455" s="1562"/>
      <c r="F455" s="1562"/>
      <c r="I455" s="490"/>
    </row>
    <row r="456" spans="1:9">
      <c r="A456" s="402"/>
      <c r="B456" s="402"/>
      <c r="C456" s="402"/>
      <c r="D456" s="1562"/>
      <c r="E456" s="1562"/>
      <c r="F456" s="1562"/>
      <c r="I456" s="490"/>
    </row>
    <row r="457" spans="1:9">
      <c r="A457" s="402"/>
      <c r="B457" s="402"/>
      <c r="C457" s="402"/>
      <c r="D457" s="1562"/>
      <c r="E457" s="1562"/>
      <c r="F457" s="1562"/>
      <c r="I457" s="490"/>
    </row>
    <row r="458" spans="1:9">
      <c r="A458" s="402"/>
      <c r="B458" s="402"/>
      <c r="C458" s="402"/>
      <c r="D458" s="1562"/>
      <c r="E458" s="1562"/>
      <c r="F458" s="1562"/>
      <c r="I458" s="490"/>
    </row>
    <row r="459" spans="1:9">
      <c r="A459" s="402"/>
      <c r="B459" s="402"/>
      <c r="C459" s="402"/>
      <c r="D459" s="1562"/>
      <c r="E459" s="1562"/>
      <c r="F459" s="1562"/>
      <c r="I459" s="490"/>
    </row>
    <row r="460" spans="1:9">
      <c r="A460" s="402"/>
      <c r="B460" s="402"/>
      <c r="C460" s="402"/>
      <c r="D460" s="1562"/>
      <c r="E460" s="1562"/>
      <c r="F460" s="1562"/>
      <c r="I460" s="490"/>
    </row>
    <row r="461" spans="1:9">
      <c r="A461" s="402"/>
      <c r="B461" s="402"/>
      <c r="C461" s="402"/>
      <c r="D461" s="1562"/>
      <c r="E461" s="1562"/>
      <c r="F461" s="1562"/>
      <c r="I461" s="490"/>
    </row>
    <row r="462" spans="1:9">
      <c r="A462" s="402"/>
      <c r="B462" s="402"/>
      <c r="C462" s="402"/>
      <c r="D462" s="1562"/>
      <c r="E462" s="1562"/>
      <c r="F462" s="1562"/>
      <c r="I462" s="490"/>
    </row>
    <row r="463" spans="1:9">
      <c r="A463" s="402"/>
      <c r="B463" s="402"/>
      <c r="C463" s="402"/>
      <c r="D463" s="1562"/>
      <c r="E463" s="1562"/>
      <c r="F463" s="1562"/>
      <c r="I463" s="490"/>
    </row>
    <row r="464" spans="1:9">
      <c r="D464" s="1562"/>
      <c r="E464" s="1562"/>
      <c r="F464" s="1562"/>
      <c r="I464" s="490"/>
    </row>
    <row r="465" spans="1:9" ht="40.799999999999997" customHeight="1">
      <c r="D465" s="1562"/>
      <c r="E465" s="1562"/>
      <c r="F465" s="1562"/>
      <c r="I465" s="490"/>
    </row>
    <row r="466" spans="1:9">
      <c r="D466" s="446"/>
      <c r="E466" s="446"/>
      <c r="F466" s="446"/>
      <c r="I466" s="490"/>
    </row>
    <row r="467" spans="1:9" ht="14.4">
      <c r="A467" s="484"/>
      <c r="B467" s="485" t="s">
        <v>2638</v>
      </c>
      <c r="C467" s="487"/>
      <c r="D467" s="1562" t="s">
        <v>1136</v>
      </c>
      <c r="E467" s="1562"/>
      <c r="F467" s="1562"/>
      <c r="I467" s="490"/>
    </row>
    <row r="468" spans="1:9">
      <c r="D468" s="1562"/>
      <c r="E468" s="1562"/>
      <c r="F468" s="1562"/>
      <c r="I468" s="490"/>
    </row>
    <row r="469" spans="1:9">
      <c r="D469" s="1562"/>
      <c r="E469" s="1562"/>
      <c r="F469" s="1562"/>
      <c r="I469" s="490"/>
    </row>
    <row r="470" spans="1:9">
      <c r="D470" s="445"/>
      <c r="E470" s="445"/>
      <c r="F470" s="445"/>
      <c r="I470" s="490"/>
    </row>
    <row r="471" spans="1:9" ht="14.4">
      <c r="B471" s="485" t="s">
        <v>2638</v>
      </c>
      <c r="C471" s="484"/>
      <c r="D471" s="1562" t="s">
        <v>1196</v>
      </c>
      <c r="E471" s="1562"/>
      <c r="F471" s="1562"/>
      <c r="I471" s="490"/>
    </row>
    <row r="472" spans="1:9">
      <c r="D472" s="1562"/>
      <c r="E472" s="1562"/>
      <c r="F472" s="1562"/>
      <c r="I472" s="490"/>
    </row>
    <row r="473" spans="1:9">
      <c r="D473" s="446"/>
      <c r="E473" s="446"/>
      <c r="F473" s="446"/>
      <c r="I473" s="490"/>
    </row>
    <row r="474" spans="1:9" ht="14.4">
      <c r="B474" s="485" t="s">
        <v>2638</v>
      </c>
      <c r="C474" s="484"/>
      <c r="D474" s="1562" t="s">
        <v>1137</v>
      </c>
      <c r="E474" s="1562"/>
      <c r="F474" s="1562"/>
      <c r="I474" s="490"/>
    </row>
    <row r="475" spans="1:9">
      <c r="D475" s="1562"/>
      <c r="E475" s="1562"/>
      <c r="F475" s="1562"/>
      <c r="I475" s="490"/>
    </row>
    <row r="476" spans="1:9">
      <c r="D476" s="1562"/>
      <c r="E476" s="1562"/>
      <c r="F476" s="1562"/>
      <c r="I476" s="490"/>
    </row>
    <row r="477" spans="1:9">
      <c r="D477" s="1562"/>
      <c r="E477" s="1562"/>
      <c r="F477" s="1562"/>
      <c r="I477" s="490"/>
    </row>
    <row r="478" spans="1:9">
      <c r="B478" s="485" t="s">
        <v>2638</v>
      </c>
      <c r="D478" s="1562"/>
      <c r="E478" s="1562"/>
      <c r="F478" s="1562"/>
      <c r="I478" s="490"/>
    </row>
    <row r="479" spans="1:9">
      <c r="A479" s="402"/>
      <c r="B479" s="402"/>
      <c r="C479" s="402"/>
      <c r="D479" s="1562"/>
      <c r="E479" s="1562"/>
      <c r="F479" s="1562"/>
      <c r="I479" s="490"/>
    </row>
    <row r="480" spans="1:9">
      <c r="A480" s="402"/>
      <c r="C480" s="402"/>
      <c r="D480" s="1562"/>
      <c r="E480" s="1562"/>
      <c r="F480" s="1562"/>
      <c r="I480" s="490"/>
    </row>
    <row r="481" spans="1:9">
      <c r="A481" s="402"/>
      <c r="B481" s="485" t="s">
        <v>2638</v>
      </c>
      <c r="C481" s="402"/>
      <c r="D481" s="1562"/>
      <c r="E481" s="1562"/>
      <c r="F481" s="1562"/>
      <c r="I481" s="490"/>
    </row>
    <row r="482" spans="1:9">
      <c r="A482" s="402"/>
      <c r="B482" s="402"/>
      <c r="C482" s="402"/>
      <c r="D482" s="1562"/>
      <c r="E482" s="1562"/>
      <c r="F482" s="1562"/>
      <c r="I482" s="490"/>
    </row>
    <row r="483" spans="1:9">
      <c r="A483" s="402"/>
      <c r="C483" s="402"/>
      <c r="D483" s="1562"/>
      <c r="E483" s="1562"/>
      <c r="F483" s="1562"/>
      <c r="I483" s="490"/>
    </row>
    <row r="484" spans="1:9">
      <c r="A484" s="402"/>
      <c r="C484" s="402"/>
      <c r="D484" s="1562"/>
      <c r="E484" s="1562"/>
      <c r="F484" s="1562"/>
      <c r="I484" s="490"/>
    </row>
    <row r="485" spans="1:9">
      <c r="A485" s="402"/>
      <c r="C485" s="402"/>
      <c r="D485" s="1562"/>
      <c r="E485" s="1562"/>
      <c r="F485" s="1562"/>
      <c r="I485" s="490"/>
    </row>
    <row r="486" spans="1:9">
      <c r="A486" s="402"/>
      <c r="B486" s="485" t="s">
        <v>2638</v>
      </c>
      <c r="C486" s="402"/>
      <c r="D486" s="1562"/>
      <c r="E486" s="1562"/>
      <c r="F486" s="1562"/>
      <c r="I486" s="490"/>
    </row>
    <row r="487" spans="1:9">
      <c r="A487" s="402"/>
      <c r="C487" s="402"/>
      <c r="D487" s="1562"/>
      <c r="E487" s="1562"/>
      <c r="F487" s="1562"/>
      <c r="I487" s="490"/>
    </row>
    <row r="488" spans="1:9">
      <c r="A488" s="402"/>
      <c r="B488" s="485" t="s">
        <v>2638</v>
      </c>
      <c r="C488" s="402"/>
      <c r="D488" s="1562" t="s">
        <v>1138</v>
      </c>
      <c r="E488" s="1562"/>
      <c r="F488" s="1562"/>
      <c r="I488" s="490"/>
    </row>
    <row r="489" spans="1:9">
      <c r="A489" s="402"/>
      <c r="B489" s="402"/>
      <c r="C489" s="402"/>
      <c r="D489" s="1562"/>
      <c r="E489" s="1562"/>
      <c r="F489" s="1562"/>
      <c r="I489" s="490"/>
    </row>
    <row r="490" spans="1:9">
      <c r="A490" s="402"/>
      <c r="B490" s="402"/>
      <c r="C490" s="402"/>
      <c r="D490" s="1562"/>
      <c r="E490" s="1562"/>
      <c r="F490" s="1562"/>
      <c r="I490" s="490"/>
    </row>
    <row r="491" spans="1:9">
      <c r="A491" s="402"/>
      <c r="B491" s="402"/>
      <c r="C491" s="402"/>
      <c r="D491" s="1562"/>
      <c r="E491" s="1562"/>
      <c r="F491" s="1562"/>
      <c r="I491" s="490"/>
    </row>
    <row r="492" spans="1:9">
      <c r="D492" s="1562"/>
      <c r="E492" s="1562"/>
      <c r="F492" s="1562"/>
      <c r="I492" s="490"/>
    </row>
    <row r="493" spans="1:9">
      <c r="D493" s="446"/>
      <c r="E493" s="446"/>
      <c r="F493" s="446"/>
      <c r="I493" s="490"/>
    </row>
    <row r="494" spans="1:9">
      <c r="B494" s="485" t="s">
        <v>2638</v>
      </c>
      <c r="D494" s="1564" t="s">
        <v>1139</v>
      </c>
      <c r="E494" s="1564"/>
      <c r="F494" s="1564"/>
      <c r="I494" s="490"/>
    </row>
    <row r="495" spans="1:9">
      <c r="A495" s="446"/>
      <c r="B495" s="446"/>
      <c r="I495" s="490"/>
    </row>
    <row r="496" spans="1:9">
      <c r="A496" s="1563" t="s">
        <v>1049</v>
      </c>
      <c r="B496" s="1563"/>
      <c r="C496" s="1563"/>
      <c r="D496" s="1563"/>
      <c r="E496" s="1563"/>
      <c r="F496" s="1563"/>
      <c r="G496" s="1563"/>
      <c r="H496" s="1023"/>
      <c r="I496" s="1147"/>
    </row>
    <row r="497" spans="1:9">
      <c r="A497" s="446"/>
      <c r="B497" s="446"/>
      <c r="I497" s="490"/>
    </row>
    <row r="498" spans="1:9">
      <c r="D498" s="1592" t="s">
        <v>883</v>
      </c>
      <c r="E498" s="1592"/>
      <c r="F498" s="1592"/>
      <c r="I498" s="490"/>
    </row>
    <row r="499" spans="1:9" ht="14.4">
      <c r="A499" s="484"/>
      <c r="B499" s="484"/>
      <c r="D499" s="1572" t="s">
        <v>1140</v>
      </c>
      <c r="E499" s="1572"/>
      <c r="F499" s="1572"/>
      <c r="I499" s="490"/>
    </row>
    <row r="500" spans="1:9" ht="14.4">
      <c r="A500" s="484"/>
      <c r="B500" s="484"/>
      <c r="D500" s="447"/>
      <c r="I500" s="490"/>
    </row>
    <row r="501" spans="1:9" ht="14.4">
      <c r="A501" s="484"/>
      <c r="B501" s="485" t="s">
        <v>2638</v>
      </c>
      <c r="D501" s="1534" t="s">
        <v>1141</v>
      </c>
      <c r="E501" s="1534"/>
      <c r="F501" s="1534"/>
      <c r="I501" s="490"/>
    </row>
    <row r="502" spans="1:9" ht="14.4">
      <c r="A502" s="484"/>
      <c r="B502" s="484"/>
      <c r="D502" s="1534"/>
      <c r="E502" s="1534"/>
      <c r="F502" s="1534"/>
      <c r="I502" s="490"/>
    </row>
    <row r="503" spans="1:9" ht="14.4">
      <c r="A503" s="484"/>
      <c r="B503" s="484"/>
      <c r="D503" s="446"/>
      <c r="I503" s="490"/>
    </row>
    <row r="504" spans="1:9" ht="12.75" customHeight="1">
      <c r="B504" s="485" t="s">
        <v>2637</v>
      </c>
      <c r="D504" s="1578" t="s">
        <v>1272</v>
      </c>
      <c r="E504" s="1578"/>
      <c r="F504" s="1578"/>
      <c r="I504" s="490"/>
    </row>
    <row r="505" spans="1:9" ht="14.4">
      <c r="A505" s="484"/>
      <c r="D505" s="1578"/>
      <c r="E505" s="1578"/>
      <c r="F505" s="1578"/>
      <c r="I505" s="490"/>
    </row>
    <row r="506" spans="1:9" ht="14.4">
      <c r="A506" s="484"/>
      <c r="B506" s="484"/>
      <c r="D506" s="1578"/>
      <c r="E506" s="1578"/>
      <c r="F506" s="1578"/>
      <c r="I506" s="490"/>
    </row>
    <row r="507" spans="1:9" ht="14.4">
      <c r="A507" s="484"/>
      <c r="B507" s="484"/>
      <c r="D507" s="1578"/>
      <c r="E507" s="1578"/>
      <c r="F507" s="1578"/>
      <c r="I507" s="490"/>
    </row>
    <row r="508" spans="1:9" ht="14.4">
      <c r="A508" s="484"/>
      <c r="D508" s="520"/>
      <c r="E508" s="520"/>
      <c r="F508" s="520"/>
      <c r="I508" s="490"/>
    </row>
    <row r="509" spans="1:9" ht="14.4">
      <c r="A509" s="484"/>
      <c r="B509" s="485" t="s">
        <v>2637</v>
      </c>
      <c r="D509" s="1564" t="s">
        <v>1142</v>
      </c>
      <c r="E509" s="1564"/>
      <c r="F509" s="1564"/>
      <c r="I509" s="490"/>
    </row>
    <row r="510" spans="1:9" ht="14.4">
      <c r="A510" s="484"/>
      <c r="B510" s="484"/>
      <c r="D510" s="446"/>
      <c r="I510" s="490"/>
    </row>
    <row r="511" spans="1:9" ht="14.4">
      <c r="A511" s="484"/>
      <c r="B511" s="485" t="s">
        <v>2637</v>
      </c>
      <c r="D511" s="1562" t="s">
        <v>1143</v>
      </c>
      <c r="E511" s="1562"/>
      <c r="F511" s="1562"/>
      <c r="I511" s="490"/>
    </row>
    <row r="512" spans="1:9" ht="14.4">
      <c r="A512" s="484"/>
      <c r="D512" s="1562"/>
      <c r="E512" s="1562"/>
      <c r="F512" s="1562"/>
      <c r="I512" s="490"/>
    </row>
    <row r="513" spans="1:9">
      <c r="A513" s="490"/>
      <c r="B513" s="490"/>
      <c r="D513" s="447"/>
      <c r="I513" s="490"/>
    </row>
    <row r="514" spans="1:9">
      <c r="A514" s="490"/>
      <c r="B514" s="485" t="s">
        <v>2637</v>
      </c>
      <c r="D514" s="1564" t="s">
        <v>1144</v>
      </c>
      <c r="E514" s="1564"/>
      <c r="F514" s="1564"/>
      <c r="I514" s="490"/>
    </row>
    <row r="515" spans="1:9">
      <c r="D515" s="446"/>
      <c r="E515" s="446"/>
      <c r="F515" s="446"/>
      <c r="I515" s="490"/>
    </row>
    <row r="516" spans="1:9">
      <c r="B516" s="485" t="s">
        <v>2638</v>
      </c>
      <c r="D516" s="1562" t="s">
        <v>2219</v>
      </c>
      <c r="E516" s="1562"/>
      <c r="F516" s="1562"/>
      <c r="I516" s="490"/>
    </row>
    <row r="517" spans="1:9">
      <c r="D517" s="1562"/>
      <c r="E517" s="1562"/>
      <c r="F517" s="1562"/>
      <c r="I517" s="490"/>
    </row>
    <row r="518" spans="1:9">
      <c r="D518" s="1562"/>
      <c r="E518" s="1562"/>
      <c r="F518" s="1562"/>
      <c r="I518" s="490"/>
    </row>
    <row r="519" spans="1:9">
      <c r="D519" s="446"/>
      <c r="E519" s="446"/>
      <c r="F519" s="446"/>
      <c r="I519" s="490"/>
    </row>
    <row r="520" spans="1:9" ht="14.4">
      <c r="A520" s="484"/>
      <c r="B520" s="484"/>
      <c r="D520" s="446"/>
      <c r="I520" s="490"/>
    </row>
    <row r="521" spans="1:9">
      <c r="A521" s="1563" t="s">
        <v>1050</v>
      </c>
      <c r="B521" s="1563"/>
      <c r="C521" s="1563"/>
      <c r="D521" s="1563"/>
      <c r="E521" s="1563"/>
      <c r="F521" s="1563"/>
      <c r="G521" s="1563"/>
      <c r="H521" s="1023"/>
      <c r="I521" s="1147"/>
    </row>
    <row r="522" spans="1:9" ht="12" customHeight="1">
      <c r="A522" s="484"/>
      <c r="B522" s="484"/>
      <c r="D522" s="446"/>
      <c r="I522" s="490"/>
    </row>
    <row r="523" spans="1:9">
      <c r="C523" s="482"/>
      <c r="D523" s="1565" t="s">
        <v>793</v>
      </c>
      <c r="E523" s="1565"/>
      <c r="F523" s="1565"/>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8" customHeight="1">
      <c r="A527" s="483"/>
      <c r="B527" s="485" t="s">
        <v>2637</v>
      </c>
      <c r="C527" s="483"/>
      <c r="D527" s="1534" t="s">
        <v>2017</v>
      </c>
      <c r="E527" s="1534"/>
      <c r="F527" s="1534"/>
      <c r="I527" s="490"/>
    </row>
    <row r="528" spans="1:9">
      <c r="A528" s="483"/>
      <c r="B528" s="483"/>
      <c r="C528" s="483"/>
      <c r="D528" s="1534"/>
      <c r="E528" s="1534"/>
      <c r="F528" s="1534"/>
      <c r="I528" s="490"/>
    </row>
    <row r="529" spans="1:9">
      <c r="A529" s="483"/>
      <c r="B529" s="483"/>
      <c r="C529" s="483"/>
      <c r="D529" s="451"/>
      <c r="E529" s="451"/>
      <c r="F529" s="451"/>
      <c r="I529" s="480"/>
    </row>
    <row r="530" spans="1:9" ht="12.75" customHeight="1">
      <c r="A530" s="483"/>
      <c r="B530" s="485" t="s">
        <v>2637</v>
      </c>
      <c r="D530" s="386" t="s">
        <v>1875</v>
      </c>
      <c r="E530" s="385"/>
      <c r="F530" s="385"/>
      <c r="I530" s="490"/>
    </row>
    <row r="531" spans="1:9">
      <c r="A531" s="483"/>
      <c r="B531" s="483"/>
      <c r="C531" s="483"/>
      <c r="D531" s="385"/>
      <c r="E531" s="96" t="s">
        <v>1876</v>
      </c>
      <c r="I531" s="490"/>
    </row>
    <row r="532" spans="1:9">
      <c r="A532" s="483"/>
      <c r="B532" s="483"/>
      <c r="D532" s="1542" t="s">
        <v>2018</v>
      </c>
      <c r="E532" s="1542"/>
      <c r="F532" s="1542"/>
      <c r="I532" s="490"/>
    </row>
    <row r="533" spans="1:9">
      <c r="A533" s="483"/>
      <c r="B533" s="483"/>
      <c r="D533" s="1542"/>
      <c r="E533" s="1542"/>
      <c r="F533" s="1542"/>
      <c r="I533" s="490"/>
    </row>
    <row r="534" spans="1:9">
      <c r="A534" s="483"/>
      <c r="B534" s="483"/>
      <c r="C534" s="483"/>
      <c r="D534" s="1542"/>
      <c r="E534" s="1542"/>
      <c r="F534" s="1542"/>
      <c r="I534" s="490"/>
    </row>
    <row r="535" spans="1:9">
      <c r="A535" s="483"/>
      <c r="B535" s="483"/>
      <c r="C535" s="483"/>
      <c r="D535" s="498"/>
      <c r="F535" s="446"/>
      <c r="I535" s="490"/>
    </row>
    <row r="536" spans="1:9" ht="13.2" customHeight="1">
      <c r="A536" s="483"/>
      <c r="B536" s="485" t="s">
        <v>2638</v>
      </c>
      <c r="C536" s="483"/>
      <c r="D536" s="1562" t="s">
        <v>2622</v>
      </c>
      <c r="E536" s="1562"/>
      <c r="F536" s="1562"/>
      <c r="I536" s="490"/>
    </row>
    <row r="537" spans="1:9" ht="13.2" customHeight="1">
      <c r="A537" s="483"/>
      <c r="B537" s="483"/>
      <c r="C537" s="483"/>
      <c r="D537" s="1562"/>
      <c r="E537" s="1562"/>
      <c r="F537" s="1562"/>
      <c r="I537" s="490"/>
    </row>
    <row r="538" spans="1:9">
      <c r="A538" s="483"/>
      <c r="B538" s="483"/>
      <c r="C538" s="483"/>
      <c r="D538" s="1562"/>
      <c r="E538" s="1562"/>
      <c r="F538" s="1562"/>
      <c r="I538" s="490"/>
    </row>
    <row r="539" spans="1:9" ht="12" customHeight="1">
      <c r="A539" s="446"/>
      <c r="B539" s="446"/>
      <c r="C539" s="487"/>
      <c r="D539" s="446"/>
      <c r="F539" s="448"/>
      <c r="I539" s="490"/>
    </row>
    <row r="540" spans="1:9">
      <c r="A540" s="1563" t="s">
        <v>1051</v>
      </c>
      <c r="B540" s="1563"/>
      <c r="C540" s="1563"/>
      <c r="D540" s="1563"/>
      <c r="E540" s="1563"/>
      <c r="F540" s="1563"/>
      <c r="G540" s="1563"/>
      <c r="H540" s="1023"/>
      <c r="I540" s="1147"/>
    </row>
    <row r="541" spans="1:9">
      <c r="A541" s="446"/>
      <c r="B541" s="446"/>
      <c r="C541" s="487"/>
      <c r="F541" s="448"/>
      <c r="I541" s="490"/>
    </row>
    <row r="542" spans="1:9">
      <c r="B542" s="1568" t="s">
        <v>446</v>
      </c>
      <c r="C542" s="1568"/>
      <c r="D542" s="1568"/>
      <c r="E542" s="1568"/>
      <c r="F542" s="1568"/>
      <c r="I542" s="490"/>
    </row>
    <row r="543" spans="1:9">
      <c r="A543" s="446"/>
      <c r="B543" s="446"/>
      <c r="C543" s="487"/>
      <c r="D543" s="446"/>
      <c r="F543" s="446"/>
      <c r="I543" s="490"/>
    </row>
    <row r="544" spans="1:9">
      <c r="A544" s="1566" t="s">
        <v>1052</v>
      </c>
      <c r="B544" s="1566"/>
      <c r="C544" s="1566"/>
      <c r="D544" s="1566"/>
      <c r="E544" s="1566"/>
      <c r="F544" s="1566"/>
      <c r="G544" s="1566"/>
      <c r="H544" s="1023"/>
      <c r="I544" s="1147"/>
    </row>
    <row r="545" spans="1:9">
      <c r="A545" s="446"/>
      <c r="B545" s="446"/>
      <c r="C545" s="487"/>
      <c r="D545" s="446"/>
      <c r="F545" s="446"/>
      <c r="I545" s="490"/>
    </row>
    <row r="546" spans="1:9">
      <c r="C546" s="487"/>
      <c r="D546" s="1565" t="s">
        <v>683</v>
      </c>
      <c r="E546" s="1565"/>
      <c r="F546" s="1565"/>
      <c r="I546" s="490"/>
    </row>
    <row r="547" spans="1:9">
      <c r="C547" s="487"/>
      <c r="D547" s="1564" t="s">
        <v>1080</v>
      </c>
      <c r="E547" s="1564"/>
      <c r="F547" s="1564"/>
      <c r="I547" s="490"/>
    </row>
    <row r="548" spans="1:9">
      <c r="C548" s="487"/>
      <c r="D548" s="446"/>
      <c r="E548" s="446"/>
      <c r="F548" s="446"/>
      <c r="I548" s="490"/>
    </row>
    <row r="549" spans="1:9" ht="13.8" customHeight="1">
      <c r="A549" s="484"/>
      <c r="B549" s="485" t="s">
        <v>2637</v>
      </c>
      <c r="C549" s="487"/>
      <c r="D549" s="1564" t="s">
        <v>884</v>
      </c>
      <c r="E549" s="1564"/>
      <c r="F549" s="1564"/>
      <c r="I549" s="490"/>
    </row>
    <row r="550" spans="1:9" ht="13.8" customHeight="1">
      <c r="A550" s="487"/>
      <c r="B550" s="487"/>
      <c r="C550" s="487"/>
      <c r="D550" s="446"/>
      <c r="I550" s="490"/>
    </row>
    <row r="551" spans="1:9" ht="14.4">
      <c r="A551" s="484"/>
      <c r="B551" s="485" t="s">
        <v>2637</v>
      </c>
      <c r="C551" s="487"/>
      <c r="D551" s="1562" t="s">
        <v>1081</v>
      </c>
      <c r="E551" s="1562"/>
      <c r="F551" s="1562"/>
      <c r="I551" s="490"/>
    </row>
    <row r="552" spans="1:9">
      <c r="A552" s="487"/>
      <c r="B552" s="487"/>
      <c r="C552" s="487"/>
      <c r="D552" s="1562"/>
      <c r="E552" s="1562"/>
      <c r="F552" s="1562"/>
      <c r="I552" s="490"/>
    </row>
    <row r="553" spans="1:9">
      <c r="A553" s="487"/>
      <c r="B553" s="487"/>
      <c r="C553" s="487"/>
      <c r="D553" s="446"/>
      <c r="E553" s="446"/>
      <c r="F553" s="446"/>
      <c r="I553" s="490"/>
    </row>
    <row r="554" spans="1:9" ht="14.4">
      <c r="A554" s="484"/>
      <c r="B554" s="485" t="s">
        <v>2637</v>
      </c>
      <c r="C554" s="487"/>
      <c r="D554" s="1562" t="s">
        <v>1082</v>
      </c>
      <c r="E554" s="1562"/>
      <c r="F554" s="1562"/>
      <c r="I554" s="490"/>
    </row>
    <row r="555" spans="1:9">
      <c r="A555" s="487"/>
      <c r="B555" s="487"/>
      <c r="C555" s="487"/>
      <c r="D555" s="1562"/>
      <c r="E555" s="1562"/>
      <c r="F555" s="1562"/>
      <c r="I555" s="490"/>
    </row>
    <row r="556" spans="1:9">
      <c r="A556" s="487"/>
      <c r="B556" s="487"/>
      <c r="C556" s="487"/>
      <c r="D556" s="446"/>
      <c r="E556" s="446"/>
      <c r="F556" s="446"/>
      <c r="I556" s="490"/>
    </row>
    <row r="557" spans="1:9" ht="14.4">
      <c r="A557" s="484"/>
      <c r="B557" s="485" t="s">
        <v>2637</v>
      </c>
      <c r="C557" s="487"/>
      <c r="D557" s="1562" t="s">
        <v>1083</v>
      </c>
      <c r="E557" s="1562"/>
      <c r="F557" s="1562"/>
      <c r="I557" s="490"/>
    </row>
    <row r="558" spans="1:9">
      <c r="A558" s="487"/>
      <c r="B558" s="487"/>
      <c r="C558" s="487"/>
      <c r="D558" s="1562"/>
      <c r="E558" s="1562"/>
      <c r="F558" s="1562"/>
      <c r="I558" s="490"/>
    </row>
    <row r="559" spans="1:9">
      <c r="A559" s="487"/>
      <c r="B559" s="487"/>
      <c r="C559" s="487"/>
      <c r="D559" s="446"/>
      <c r="E559" s="446"/>
      <c r="F559" s="446"/>
      <c r="I559" s="490"/>
    </row>
    <row r="560" spans="1:9" ht="14.4">
      <c r="A560" s="484"/>
      <c r="B560" s="485" t="s">
        <v>2637</v>
      </c>
      <c r="C560" s="487"/>
      <c r="D560" s="1562" t="s">
        <v>1084</v>
      </c>
      <c r="E560" s="1562"/>
      <c r="F560" s="1562"/>
      <c r="I560" s="490"/>
    </row>
    <row r="561" spans="1:9">
      <c r="A561" s="487"/>
      <c r="B561" s="487"/>
      <c r="C561" s="487"/>
      <c r="D561" s="1562"/>
      <c r="E561" s="1562"/>
      <c r="F561" s="1562"/>
      <c r="I561" s="490"/>
    </row>
    <row r="562" spans="1:9">
      <c r="A562" s="487"/>
      <c r="B562" s="487"/>
      <c r="C562" s="487"/>
      <c r="D562" s="1562"/>
      <c r="E562" s="1562"/>
      <c r="F562" s="1562"/>
      <c r="I562" s="490"/>
    </row>
    <row r="563" spans="1:9">
      <c r="A563" s="487"/>
      <c r="B563" s="487"/>
      <c r="C563" s="487"/>
      <c r="D563" s="446"/>
      <c r="E563" s="446"/>
      <c r="F563" s="446"/>
      <c r="I563" s="490"/>
    </row>
    <row r="564" spans="1:9" ht="14.4">
      <c r="A564" s="484"/>
      <c r="B564" s="485" t="s">
        <v>2638</v>
      </c>
      <c r="C564" s="487"/>
      <c r="D564" s="1562" t="s">
        <v>2198</v>
      </c>
      <c r="E564" s="1562"/>
      <c r="F564" s="1562"/>
      <c r="I564" s="490"/>
    </row>
    <row r="565" spans="1:9">
      <c r="A565" s="487"/>
      <c r="B565" s="487"/>
      <c r="C565" s="487"/>
      <c r="D565" s="1562"/>
      <c r="E565" s="1562"/>
      <c r="F565" s="1562"/>
      <c r="I565" s="490"/>
    </row>
    <row r="566" spans="1:9">
      <c r="A566" s="487"/>
      <c r="B566" s="487"/>
      <c r="C566" s="487"/>
      <c r="D566" s="446"/>
      <c r="E566" s="446"/>
      <c r="F566" s="446"/>
      <c r="I566" s="490"/>
    </row>
    <row r="567" spans="1:9" ht="14.4">
      <c r="A567" s="484"/>
      <c r="B567" s="485" t="s">
        <v>2638</v>
      </c>
      <c r="C567" s="487"/>
      <c r="D567" s="1562" t="s">
        <v>1085</v>
      </c>
      <c r="E567" s="1562"/>
      <c r="F567" s="1562"/>
      <c r="I567" s="490"/>
    </row>
    <row r="568" spans="1:9">
      <c r="A568" s="487"/>
      <c r="B568" s="487"/>
      <c r="C568" s="487"/>
      <c r="D568" s="1562"/>
      <c r="E568" s="1562"/>
      <c r="F568" s="1562"/>
      <c r="I568" s="490"/>
    </row>
    <row r="569" spans="1:9">
      <c r="A569" s="487"/>
      <c r="B569" s="487"/>
      <c r="C569" s="487"/>
      <c r="D569" s="446"/>
      <c r="E569" s="446"/>
      <c r="F569" s="446"/>
      <c r="I569" s="490"/>
    </row>
    <row r="570" spans="1:9" ht="14.4">
      <c r="A570" s="484"/>
      <c r="B570" s="485" t="s">
        <v>2637</v>
      </c>
      <c r="C570" s="487"/>
      <c r="D570" s="1564" t="s">
        <v>1086</v>
      </c>
      <c r="E570" s="1564"/>
      <c r="F570" s="1564"/>
      <c r="I570" s="490"/>
    </row>
    <row r="571" spans="1:9">
      <c r="A571" s="490"/>
      <c r="B571" s="490"/>
      <c r="C571" s="487"/>
      <c r="D571" s="1564" t="s">
        <v>1878</v>
      </c>
      <c r="E571" s="1564"/>
      <c r="F571" s="1564"/>
      <c r="I571" s="490"/>
    </row>
    <row r="572" spans="1:9">
      <c r="A572" s="490"/>
      <c r="B572" s="490"/>
      <c r="C572" s="487"/>
      <c r="E572" s="96" t="s">
        <v>1877</v>
      </c>
      <c r="F572" s="404"/>
      <c r="I572" s="490"/>
    </row>
    <row r="573" spans="1:9" ht="14.4">
      <c r="A573" s="484"/>
      <c r="B573" s="484"/>
      <c r="C573" s="487"/>
      <c r="E573" s="446"/>
      <c r="F573" s="446"/>
      <c r="I573" s="490"/>
    </row>
    <row r="574" spans="1:9" ht="14.4">
      <c r="A574" s="484"/>
      <c r="B574" s="485" t="s">
        <v>2637</v>
      </c>
      <c r="C574" s="487"/>
      <c r="D574" s="1564" t="s">
        <v>1087</v>
      </c>
      <c r="E574" s="1564"/>
      <c r="F574" s="1564"/>
      <c r="I574" s="490"/>
    </row>
    <row r="575" spans="1:9">
      <c r="C575" s="487"/>
      <c r="D575" s="1562" t="s">
        <v>1088</v>
      </c>
      <c r="E575" s="1562"/>
      <c r="F575" s="1562"/>
      <c r="I575" s="490"/>
    </row>
    <row r="576" spans="1:9">
      <c r="A576" s="487"/>
      <c r="B576" s="487"/>
      <c r="C576" s="487"/>
      <c r="D576" s="1562"/>
      <c r="E576" s="1562"/>
      <c r="F576" s="1562"/>
      <c r="I576" s="490"/>
    </row>
    <row r="577" spans="1:9">
      <c r="A577" s="487"/>
      <c r="B577" s="487"/>
      <c r="C577" s="487"/>
      <c r="D577" s="1562"/>
      <c r="E577" s="1562"/>
      <c r="F577" s="1562"/>
      <c r="I577" s="490"/>
    </row>
    <row r="578" spans="1:9">
      <c r="A578" s="487"/>
      <c r="B578" s="487"/>
      <c r="C578" s="487"/>
      <c r="D578" s="446"/>
      <c r="E578" s="446"/>
      <c r="F578" s="446"/>
      <c r="I578" s="490"/>
    </row>
    <row r="579" spans="1:9" ht="14.4">
      <c r="A579" s="484"/>
      <c r="B579" s="485" t="s">
        <v>2637</v>
      </c>
      <c r="C579" s="487"/>
      <c r="D579" s="1562" t="s">
        <v>2019</v>
      </c>
      <c r="E579" s="1562"/>
      <c r="F579" s="1562"/>
      <c r="I579" s="490"/>
    </row>
    <row r="580" spans="1:9" ht="14.4">
      <c r="A580" s="484"/>
      <c r="B580" s="484"/>
      <c r="C580" s="487"/>
      <c r="D580" s="1562"/>
      <c r="E580" s="1562"/>
      <c r="F580" s="1562"/>
      <c r="I580" s="490"/>
    </row>
    <row r="581" spans="1:9" ht="14.4">
      <c r="A581" s="484"/>
      <c r="B581" s="484"/>
      <c r="C581" s="487"/>
      <c r="D581" s="1562"/>
      <c r="E581" s="1562"/>
      <c r="F581" s="1562"/>
      <c r="I581" s="490"/>
    </row>
    <row r="582" spans="1:9" ht="14.4">
      <c r="A582" s="484"/>
      <c r="B582" s="484"/>
      <c r="C582" s="487"/>
      <c r="D582" s="1562"/>
      <c r="E582" s="1562"/>
      <c r="F582" s="1562"/>
      <c r="I582" s="490"/>
    </row>
    <row r="583" spans="1:9" ht="14.4">
      <c r="A583" s="484"/>
      <c r="B583" s="484"/>
      <c r="C583" s="487"/>
      <c r="D583" s="446"/>
      <c r="E583" s="446"/>
      <c r="F583" s="446"/>
      <c r="I583" s="490"/>
    </row>
    <row r="584" spans="1:9">
      <c r="A584" s="1563" t="s">
        <v>1053</v>
      </c>
      <c r="B584" s="1563"/>
      <c r="C584" s="1563"/>
      <c r="D584" s="1563"/>
      <c r="E584" s="1563"/>
      <c r="F584" s="1563"/>
      <c r="G584" s="1563"/>
      <c r="H584" s="1023"/>
      <c r="I584" s="1147"/>
    </row>
    <row r="585" spans="1:9">
      <c r="A585" s="487"/>
      <c r="B585" s="487"/>
      <c r="C585" s="487"/>
      <c r="E585" s="446"/>
      <c r="F585" s="446"/>
      <c r="I585" s="490"/>
    </row>
    <row r="586" spans="1:9" ht="12.75" customHeight="1">
      <c r="C586" s="482"/>
      <c r="D586" s="1582" t="s">
        <v>210</v>
      </c>
      <c r="E586" s="1582"/>
      <c r="F586" s="1582"/>
      <c r="I586" s="490"/>
    </row>
    <row r="587" spans="1:9">
      <c r="A587" s="483"/>
      <c r="B587" s="483"/>
      <c r="C587" s="483"/>
      <c r="D587" s="1578" t="s">
        <v>1066</v>
      </c>
      <c r="E587" s="1578"/>
      <c r="F587" s="1578"/>
      <c r="I587" s="490"/>
    </row>
    <row r="588" spans="1:9">
      <c r="A588" s="402"/>
      <c r="B588" s="402"/>
      <c r="C588" s="483"/>
      <c r="D588" s="499"/>
      <c r="I588" s="490"/>
    </row>
    <row r="589" spans="1:9">
      <c r="A589" s="483"/>
      <c r="B589" s="485" t="s">
        <v>2637</v>
      </c>
      <c r="D589" s="1578" t="s">
        <v>888</v>
      </c>
      <c r="E589" s="1578"/>
      <c r="F589" s="1578"/>
      <c r="I589" s="490"/>
    </row>
    <row r="590" spans="1:9">
      <c r="A590" s="490"/>
      <c r="B590" s="490"/>
      <c r="D590" s="476"/>
      <c r="I590" s="490"/>
    </row>
    <row r="591" spans="1:9">
      <c r="A591" s="490"/>
      <c r="B591" s="485" t="s">
        <v>2637</v>
      </c>
      <c r="D591" s="1578" t="s">
        <v>2020</v>
      </c>
      <c r="E591" s="1578"/>
      <c r="F591" s="1578"/>
      <c r="I591" s="490"/>
    </row>
    <row r="592" spans="1:9">
      <c r="A592" s="490"/>
      <c r="B592" s="490"/>
      <c r="D592" s="1578"/>
      <c r="E592" s="1578"/>
      <c r="F592" s="1578"/>
      <c r="I592" s="490"/>
    </row>
    <row r="593" spans="1:9">
      <c r="A593" s="490"/>
      <c r="B593" s="490"/>
      <c r="D593" s="1578"/>
      <c r="E593" s="1578"/>
      <c r="F593" s="1578"/>
      <c r="I593" s="490"/>
    </row>
    <row r="594" spans="1:9">
      <c r="A594" s="490"/>
      <c r="B594" s="490"/>
      <c r="D594" s="1578"/>
      <c r="E594" s="1578"/>
      <c r="F594" s="1578"/>
      <c r="I594" s="490"/>
    </row>
    <row r="595" spans="1:9">
      <c r="A595" s="490"/>
      <c r="B595" s="485" t="s">
        <v>2638</v>
      </c>
      <c r="D595" s="1578" t="s">
        <v>1067</v>
      </c>
      <c r="E595" s="1578"/>
      <c r="F595" s="1578"/>
      <c r="I595" s="490"/>
    </row>
    <row r="596" spans="1:9">
      <c r="A596" s="490"/>
      <c r="B596" s="490"/>
      <c r="D596" s="1578"/>
      <c r="E596" s="1578"/>
      <c r="F596" s="1578"/>
      <c r="I596" s="490"/>
    </row>
    <row r="597" spans="1:9">
      <c r="A597" s="490"/>
      <c r="B597" s="490"/>
      <c r="D597" s="1578"/>
      <c r="E597" s="1578"/>
      <c r="F597" s="1578"/>
      <c r="I597" s="490"/>
    </row>
    <row r="598" spans="1:9">
      <c r="A598" s="490"/>
      <c r="B598" s="490"/>
      <c r="D598" s="1578"/>
      <c r="E598" s="1578"/>
      <c r="F598" s="1578"/>
      <c r="I598" s="490"/>
    </row>
    <row r="599" spans="1:9">
      <c r="A599" s="490"/>
      <c r="B599" s="490"/>
      <c r="D599" s="440"/>
      <c r="E599" s="440"/>
      <c r="F599" s="440"/>
      <c r="I599" s="490"/>
    </row>
    <row r="600" spans="1:9">
      <c r="A600" s="490"/>
      <c r="B600" s="485" t="s">
        <v>2637</v>
      </c>
      <c r="D600" s="1578" t="s">
        <v>2021</v>
      </c>
      <c r="E600" s="1578"/>
      <c r="F600" s="1578"/>
      <c r="I600" s="490"/>
    </row>
    <row r="601" spans="1:9">
      <c r="A601" s="490"/>
      <c r="B601" s="490"/>
      <c r="D601" s="1578"/>
      <c r="E601" s="1578"/>
      <c r="F601" s="1578"/>
      <c r="I601" s="490"/>
    </row>
    <row r="602" spans="1:9">
      <c r="A602" s="490"/>
      <c r="B602" s="490"/>
      <c r="D602" s="499"/>
      <c r="I602" s="490"/>
    </row>
    <row r="603" spans="1:9">
      <c r="A603" s="490"/>
      <c r="B603" s="485" t="s">
        <v>2638</v>
      </c>
      <c r="D603" s="1578" t="s">
        <v>1068</v>
      </c>
      <c r="E603" s="1578"/>
      <c r="F603" s="1578"/>
      <c r="I603" s="490"/>
    </row>
    <row r="604" spans="1:9">
      <c r="A604" s="490"/>
      <c r="B604" s="490"/>
      <c r="D604" s="1578"/>
      <c r="E604" s="1578"/>
      <c r="F604" s="1578"/>
      <c r="I604" s="490"/>
    </row>
    <row r="605" spans="1:9" ht="14.4">
      <c r="A605" s="484"/>
      <c r="B605" s="484"/>
      <c r="D605" s="499"/>
      <c r="I605" s="490"/>
    </row>
    <row r="606" spans="1:9">
      <c r="A606" s="1563" t="s">
        <v>1054</v>
      </c>
      <c r="B606" s="1563"/>
      <c r="C606" s="1563"/>
      <c r="D606" s="1563"/>
      <c r="E606" s="1563"/>
      <c r="F606" s="1563"/>
      <c r="G606" s="1563"/>
      <c r="H606" s="1023"/>
      <c r="I606" s="1147"/>
    </row>
    <row r="607" spans="1:9">
      <c r="I607" s="490"/>
    </row>
    <row r="608" spans="1:9">
      <c r="D608" s="1565" t="s">
        <v>1106</v>
      </c>
      <c r="E608" s="1565"/>
      <c r="F608" s="1565"/>
      <c r="I608" s="490"/>
    </row>
    <row r="609" spans="1:9">
      <c r="D609" s="1544" t="s">
        <v>1107</v>
      </c>
      <c r="E609" s="1544"/>
      <c r="F609" s="1544"/>
      <c r="I609" s="490"/>
    </row>
    <row r="610" spans="1:9">
      <c r="D610" s="444"/>
      <c r="I610" s="490"/>
    </row>
    <row r="611" spans="1:9" ht="14.25" customHeight="1">
      <c r="A611" s="484"/>
      <c r="B611" s="485" t="s">
        <v>2637</v>
      </c>
      <c r="D611" s="1579" t="s">
        <v>1879</v>
      </c>
      <c r="E611" s="1579"/>
      <c r="F611" s="1579"/>
      <c r="I611" s="490"/>
    </row>
    <row r="612" spans="1:9">
      <c r="D612" s="1579"/>
      <c r="E612" s="1579"/>
      <c r="F612" s="1579"/>
      <c r="I612" s="490"/>
    </row>
    <row r="613" spans="1:9">
      <c r="D613" s="385"/>
      <c r="E613" s="1031" t="s">
        <v>1880</v>
      </c>
      <c r="F613" s="385"/>
      <c r="I613" s="490"/>
    </row>
    <row r="614" spans="1:9">
      <c r="I614" s="490"/>
    </row>
    <row r="615" spans="1:9">
      <c r="A615" s="1563" t="s">
        <v>1055</v>
      </c>
      <c r="B615" s="1563"/>
      <c r="C615" s="1563"/>
      <c r="D615" s="1563"/>
      <c r="E615" s="1563"/>
      <c r="F615" s="1563"/>
      <c r="G615" s="1563"/>
      <c r="H615" s="1023"/>
      <c r="I615" s="1147"/>
    </row>
    <row r="616" spans="1:9">
      <c r="A616" s="446"/>
      <c r="B616" s="446"/>
      <c r="I616" s="490"/>
    </row>
    <row r="617" spans="1:9">
      <c r="A617" s="482"/>
      <c r="B617" s="482"/>
      <c r="C617" s="482"/>
      <c r="D617" s="1574" t="s">
        <v>1108</v>
      </c>
      <c r="E617" s="1574"/>
      <c r="F617" s="1574"/>
      <c r="I617" s="490"/>
    </row>
    <row r="618" spans="1:9">
      <c r="A618" s="482"/>
      <c r="B618" s="482"/>
      <c r="C618" s="482"/>
      <c r="D618" s="1574"/>
      <c r="E618" s="1574"/>
      <c r="F618" s="1574"/>
      <c r="I618" s="490"/>
    </row>
    <row r="619" spans="1:9">
      <c r="C619" s="483"/>
      <c r="D619" s="1544" t="s">
        <v>1109</v>
      </c>
      <c r="E619" s="1544"/>
      <c r="F619" s="1544"/>
      <c r="I619" s="490"/>
    </row>
    <row r="620" spans="1:9">
      <c r="C620" s="483"/>
      <c r="D620" s="444"/>
      <c r="E620" s="444"/>
      <c r="F620" s="444"/>
      <c r="I620" s="490"/>
    </row>
    <row r="621" spans="1:9">
      <c r="B621" s="485" t="s">
        <v>2637</v>
      </c>
      <c r="C621" s="483"/>
      <c r="D621" s="1543" t="s">
        <v>2589</v>
      </c>
      <c r="E621" s="1543"/>
      <c r="F621" s="1543"/>
      <c r="I621" s="490"/>
    </row>
    <row r="622" spans="1:9">
      <c r="C622" s="483"/>
      <c r="D622" s="444"/>
      <c r="E622" s="444"/>
      <c r="F622" s="444"/>
      <c r="I622" s="490"/>
    </row>
    <row r="623" spans="1:9" ht="12.75" customHeight="1">
      <c r="A623" s="490"/>
      <c r="B623" s="485" t="s">
        <v>2637</v>
      </c>
      <c r="D623" s="1561" t="s">
        <v>1110</v>
      </c>
      <c r="E623" s="1561"/>
      <c r="F623" s="1561"/>
      <c r="I623" s="490"/>
    </row>
    <row r="624" spans="1:9">
      <c r="D624" s="1561"/>
      <c r="E624" s="1561"/>
      <c r="F624" s="1561"/>
      <c r="I624" s="490"/>
    </row>
    <row r="625" spans="1:9">
      <c r="I625" s="490"/>
    </row>
    <row r="626" spans="1:9">
      <c r="B626" s="485" t="s">
        <v>2637</v>
      </c>
      <c r="D626" s="1561" t="s">
        <v>1111</v>
      </c>
      <c r="E626" s="1561"/>
      <c r="F626" s="1561"/>
      <c r="I626" s="490"/>
    </row>
    <row r="627" spans="1:9">
      <c r="C627" s="500"/>
      <c r="D627" s="1561"/>
      <c r="E627" s="1561"/>
      <c r="F627" s="1561"/>
      <c r="I627" s="490"/>
    </row>
    <row r="628" spans="1:9">
      <c r="C628" s="500"/>
      <c r="I628" s="490"/>
    </row>
    <row r="629" spans="1:9">
      <c r="B629" s="485" t="s">
        <v>2638</v>
      </c>
      <c r="C629" s="500"/>
      <c r="D629" s="1561" t="s">
        <v>1112</v>
      </c>
      <c r="E629" s="1561"/>
      <c r="F629" s="1561"/>
      <c r="I629" s="490"/>
    </row>
    <row r="630" spans="1:9">
      <c r="C630" s="500"/>
      <c r="D630" s="1561"/>
      <c r="E630" s="1561"/>
      <c r="F630" s="1561"/>
      <c r="I630" s="500"/>
    </row>
    <row r="631" spans="1:9">
      <c r="C631" s="500"/>
      <c r="I631" s="490"/>
    </row>
    <row r="632" spans="1:9">
      <c r="B632" s="485" t="s">
        <v>2637</v>
      </c>
      <c r="C632" s="500"/>
      <c r="D632" s="1543" t="s">
        <v>2538</v>
      </c>
      <c r="E632" s="1543"/>
      <c r="F632" s="1543"/>
      <c r="I632" s="490"/>
    </row>
    <row r="633" spans="1:9">
      <c r="C633" s="500"/>
      <c r="I633" s="490"/>
    </row>
    <row r="634" spans="1:9">
      <c r="A634" s="1563" t="s">
        <v>1056</v>
      </c>
      <c r="B634" s="1563"/>
      <c r="C634" s="1563"/>
      <c r="D634" s="1563"/>
      <c r="E634" s="1563"/>
      <c r="F634" s="1563"/>
      <c r="G634" s="1563"/>
      <c r="H634" s="1023"/>
      <c r="I634" s="1147"/>
    </row>
    <row r="635" spans="1:9">
      <c r="A635" s="482"/>
      <c r="B635" s="482"/>
      <c r="C635" s="482"/>
      <c r="I635" s="490"/>
    </row>
    <row r="636" spans="1:9">
      <c r="C636" s="490"/>
      <c r="D636" s="1565" t="s">
        <v>1113</v>
      </c>
      <c r="E636" s="1565"/>
      <c r="F636" s="1565"/>
      <c r="I636" s="490"/>
    </row>
    <row r="637" spans="1:9">
      <c r="A637" s="490"/>
      <c r="B637" s="490"/>
      <c r="D637" s="404"/>
      <c r="I637" s="490"/>
    </row>
    <row r="638" spans="1:9" ht="14.25" customHeight="1">
      <c r="A638" s="484"/>
      <c r="B638" s="485" t="s">
        <v>2637</v>
      </c>
      <c r="D638" s="1579" t="s">
        <v>2022</v>
      </c>
      <c r="E638" s="1579"/>
      <c r="F638" s="1579"/>
      <c r="I638" s="490"/>
    </row>
    <row r="639" spans="1:9">
      <c r="D639" s="1579"/>
      <c r="E639" s="1579"/>
      <c r="F639" s="1579"/>
      <c r="I639" s="490"/>
    </row>
    <row r="640" spans="1:9">
      <c r="D640" s="385"/>
      <c r="E640" s="1031" t="s">
        <v>1882</v>
      </c>
      <c r="F640" s="385"/>
      <c r="I640" s="490"/>
    </row>
    <row r="641" spans="1:9">
      <c r="D641" s="1562" t="s">
        <v>1881</v>
      </c>
      <c r="E641" s="1562"/>
      <c r="F641" s="1562"/>
      <c r="I641" s="490"/>
    </row>
    <row r="642" spans="1:9">
      <c r="D642" s="1562"/>
      <c r="E642" s="1562"/>
      <c r="F642" s="1562"/>
      <c r="I642" s="490"/>
    </row>
    <row r="643" spans="1:9">
      <c r="D643" s="1562"/>
      <c r="E643" s="1562"/>
      <c r="F643" s="1562"/>
      <c r="I643" s="490"/>
    </row>
    <row r="644" spans="1:9">
      <c r="D644" s="445"/>
      <c r="E644" s="445"/>
      <c r="F644" s="445"/>
      <c r="I644" s="490"/>
    </row>
    <row r="645" spans="1:9" ht="14.4">
      <c r="A645" s="484"/>
      <c r="B645" s="485" t="s">
        <v>2638</v>
      </c>
      <c r="D645" s="1562" t="s">
        <v>1114</v>
      </c>
      <c r="E645" s="1562"/>
      <c r="F645" s="1562"/>
      <c r="I645" s="490"/>
    </row>
    <row r="646" spans="1:9">
      <c r="A646" s="487"/>
      <c r="B646" s="487"/>
      <c r="C646" s="487"/>
      <c r="D646" s="1562"/>
      <c r="E646" s="1562"/>
      <c r="F646" s="1562"/>
      <c r="I646" s="490"/>
    </row>
    <row r="647" spans="1:9">
      <c r="A647" s="487"/>
      <c r="B647" s="487"/>
      <c r="C647" s="487"/>
      <c r="D647" s="446"/>
      <c r="E647" s="446"/>
      <c r="F647" s="446"/>
      <c r="I647" s="490"/>
    </row>
    <row r="648" spans="1:9" ht="14.4">
      <c r="A648" s="484"/>
      <c r="B648" s="485" t="s">
        <v>2638</v>
      </c>
      <c r="C648" s="487"/>
      <c r="D648" s="1562" t="s">
        <v>1224</v>
      </c>
      <c r="E648" s="1562"/>
      <c r="F648" s="1562"/>
      <c r="I648" s="490"/>
    </row>
    <row r="649" spans="1:9" ht="14.4">
      <c r="A649" s="484"/>
      <c r="B649" s="484"/>
      <c r="C649" s="487"/>
      <c r="D649" s="1562"/>
      <c r="E649" s="1562"/>
      <c r="F649" s="1562"/>
      <c r="I649" s="490"/>
    </row>
    <row r="650" spans="1:9" ht="14.4">
      <c r="A650" s="484"/>
      <c r="B650" s="484"/>
      <c r="C650" s="487"/>
      <c r="D650" s="1562"/>
      <c r="E650" s="1562"/>
      <c r="F650" s="1562"/>
      <c r="I650" s="490"/>
    </row>
    <row r="651" spans="1:9">
      <c r="A651" s="487"/>
      <c r="B651" s="485" t="s">
        <v>2638</v>
      </c>
      <c r="C651" s="487"/>
      <c r="D651" s="1564" t="s">
        <v>1115</v>
      </c>
      <c r="E651" s="1564"/>
      <c r="F651" s="1564"/>
      <c r="I651" s="490"/>
    </row>
    <row r="652" spans="1:9">
      <c r="A652" s="487"/>
      <c r="B652" s="487"/>
      <c r="C652" s="487"/>
      <c r="D652" s="446"/>
      <c r="E652" s="446"/>
      <c r="F652" s="446"/>
      <c r="I652" s="490"/>
    </row>
    <row r="653" spans="1:9">
      <c r="A653" s="1563" t="s">
        <v>1057</v>
      </c>
      <c r="B653" s="1563"/>
      <c r="C653" s="1563"/>
      <c r="D653" s="1563"/>
      <c r="E653" s="1563"/>
      <c r="F653" s="1563"/>
      <c r="G653" s="1563"/>
      <c r="H653" s="1023"/>
      <c r="I653" s="1147"/>
    </row>
    <row r="654" spans="1:9">
      <c r="A654" s="446"/>
      <c r="B654" s="446"/>
      <c r="C654" s="487"/>
      <c r="D654" s="446"/>
      <c r="E654" s="446"/>
      <c r="F654" s="446"/>
      <c r="I654" s="490"/>
    </row>
    <row r="655" spans="1:9">
      <c r="C655" s="482"/>
      <c r="D655" s="1565" t="s">
        <v>1145</v>
      </c>
      <c r="E655" s="1565"/>
      <c r="F655" s="1565"/>
      <c r="I655" s="490"/>
    </row>
    <row r="656" spans="1:9">
      <c r="A656" s="483"/>
      <c r="B656" s="483"/>
      <c r="C656" s="483"/>
      <c r="D656" s="1564" t="s">
        <v>1146</v>
      </c>
      <c r="E656" s="1564"/>
      <c r="F656" s="1564"/>
      <c r="I656" s="490"/>
    </row>
    <row r="657" spans="1:9">
      <c r="A657" s="483"/>
      <c r="B657" s="483"/>
      <c r="C657" s="483"/>
      <c r="D657" s="446"/>
      <c r="E657" s="446"/>
      <c r="F657" s="446"/>
      <c r="I657" s="490"/>
    </row>
    <row r="658" spans="1:9" ht="12.75" customHeight="1">
      <c r="B658" s="485" t="s">
        <v>2638</v>
      </c>
      <c r="C658" s="487"/>
      <c r="D658" s="1562" t="s">
        <v>1280</v>
      </c>
      <c r="E658" s="1562"/>
      <c r="F658" s="1562"/>
      <c r="I658" s="490"/>
    </row>
    <row r="659" spans="1:9">
      <c r="D659" s="1562"/>
      <c r="E659" s="1562"/>
      <c r="F659" s="1562"/>
      <c r="I659" s="490"/>
    </row>
    <row r="660" spans="1:9">
      <c r="D660" s="1562"/>
      <c r="E660" s="1562"/>
      <c r="F660" s="1562"/>
      <c r="I660" s="490"/>
    </row>
    <row r="661" spans="1:9">
      <c r="D661" s="1562"/>
      <c r="E661" s="1562"/>
      <c r="F661" s="1562"/>
      <c r="I661" s="490"/>
    </row>
    <row r="662" spans="1:9" ht="14.55" customHeight="1">
      <c r="A662" s="484"/>
      <c r="B662" s="484"/>
      <c r="C662" s="487"/>
      <c r="D662" s="385"/>
      <c r="E662" s="385"/>
      <c r="F662" s="385"/>
      <c r="I662" s="490"/>
    </row>
    <row r="663" spans="1:9" ht="12.75" customHeight="1">
      <c r="A663" s="483"/>
      <c r="B663" s="485" t="s">
        <v>2638</v>
      </c>
      <c r="C663" s="487"/>
      <c r="D663" s="1562" t="s">
        <v>1282</v>
      </c>
      <c r="E663" s="1562"/>
      <c r="F663" s="1562"/>
      <c r="I663" s="490"/>
    </row>
    <row r="664" spans="1:9" ht="14.4">
      <c r="A664" s="483"/>
      <c r="B664" s="484"/>
      <c r="C664" s="487"/>
      <c r="D664" s="1562"/>
      <c r="E664" s="1562"/>
      <c r="F664" s="1562"/>
      <c r="I664" s="490"/>
    </row>
    <row r="665" spans="1:9" ht="14.4">
      <c r="A665" s="483"/>
      <c r="B665" s="484"/>
      <c r="C665" s="487"/>
      <c r="D665" s="1562"/>
      <c r="E665" s="1562"/>
      <c r="F665" s="1562"/>
      <c r="I665" s="490"/>
    </row>
    <row r="666" spans="1:9" ht="14.4">
      <c r="A666" s="483"/>
      <c r="B666" s="484"/>
      <c r="C666" s="487"/>
      <c r="D666" s="1562"/>
      <c r="E666" s="1562"/>
      <c r="F666" s="1562"/>
      <c r="I666" s="490"/>
    </row>
    <row r="667" spans="1:9" ht="14.4">
      <c r="A667" s="483"/>
      <c r="B667" s="484"/>
      <c r="C667" s="487"/>
      <c r="D667" s="1562"/>
      <c r="E667" s="1562"/>
      <c r="F667" s="1562"/>
      <c r="I667" s="490"/>
    </row>
    <row r="668" spans="1:9" ht="14.25" customHeight="1">
      <c r="A668" s="483"/>
      <c r="B668" s="484"/>
      <c r="C668" s="487"/>
      <c r="F668" s="386"/>
      <c r="I668" s="490"/>
    </row>
    <row r="669" spans="1:9" ht="12.75" customHeight="1">
      <c r="A669" s="483"/>
      <c r="B669" s="485" t="s">
        <v>2638</v>
      </c>
      <c r="C669" s="487"/>
      <c r="D669" s="1562" t="s">
        <v>1281</v>
      </c>
      <c r="E669" s="1562"/>
      <c r="F669" s="1562"/>
      <c r="I669" s="490"/>
    </row>
    <row r="670" spans="1:9" ht="14.4">
      <c r="A670" s="483"/>
      <c r="B670" s="484"/>
      <c r="C670" s="487"/>
      <c r="D670" s="1562"/>
      <c r="E670" s="1562"/>
      <c r="F670" s="1562"/>
      <c r="I670" s="490"/>
    </row>
    <row r="671" spans="1:9" ht="14.4">
      <c r="A671" s="484"/>
      <c r="B671" s="484"/>
      <c r="C671" s="487"/>
      <c r="D671" s="1562"/>
      <c r="E671" s="1562"/>
      <c r="F671" s="1562"/>
      <c r="I671" s="490"/>
    </row>
    <row r="672" spans="1:9" ht="14.4">
      <c r="A672" s="484"/>
      <c r="B672" s="484"/>
      <c r="C672" s="487"/>
      <c r="D672" s="1562"/>
      <c r="E672" s="1562"/>
      <c r="F672" s="1562"/>
      <c r="I672" s="490"/>
    </row>
    <row r="673" spans="1:11" ht="14.4">
      <c r="A673" s="484"/>
      <c r="B673" s="484"/>
      <c r="C673" s="487"/>
      <c r="D673" s="445"/>
      <c r="E673" s="445"/>
      <c r="F673" s="445"/>
      <c r="I673" s="490"/>
    </row>
    <row r="674" spans="1:11" ht="12.75" customHeight="1">
      <c r="A674" s="483"/>
      <c r="B674" s="485" t="s">
        <v>2638</v>
      </c>
      <c r="C674" s="487"/>
      <c r="D674" s="1562" t="s">
        <v>2023</v>
      </c>
      <c r="E674" s="1562"/>
      <c r="F674" s="1562"/>
      <c r="I674" s="490"/>
    </row>
    <row r="675" spans="1:11" ht="12.75" customHeight="1">
      <c r="A675" s="483"/>
      <c r="B675" s="484"/>
      <c r="C675" s="487"/>
      <c r="D675" s="1562"/>
      <c r="E675" s="1562"/>
      <c r="F675" s="1562"/>
      <c r="I675" s="490"/>
    </row>
    <row r="676" spans="1:11" ht="12.75" customHeight="1">
      <c r="A676" s="483"/>
      <c r="B676" s="484"/>
      <c r="C676" s="487"/>
      <c r="D676" s="1562"/>
      <c r="E676" s="1562"/>
      <c r="F676" s="1562"/>
      <c r="I676" s="490"/>
    </row>
    <row r="677" spans="1:11" ht="12.75" customHeight="1">
      <c r="A677" s="483"/>
      <c r="B677" s="484"/>
      <c r="C677" s="487"/>
      <c r="D677" s="1562"/>
      <c r="E677" s="1562"/>
      <c r="F677" s="1562"/>
      <c r="I677" s="490"/>
    </row>
    <row r="678" spans="1:11" ht="12.75" customHeight="1">
      <c r="A678" s="483"/>
      <c r="B678" s="484"/>
      <c r="C678" s="487"/>
      <c r="D678" s="1562"/>
      <c r="E678" s="1562"/>
      <c r="F678" s="1562"/>
      <c r="I678" s="490"/>
    </row>
    <row r="679" spans="1:11" ht="12.75" customHeight="1">
      <c r="A679" s="483"/>
      <c r="B679" s="484"/>
      <c r="C679" s="487"/>
      <c r="D679" s="1562"/>
      <c r="E679" s="1562"/>
      <c r="F679" s="1562"/>
      <c r="I679" s="490"/>
    </row>
    <row r="680" spans="1:11" ht="12.75" customHeight="1">
      <c r="A680" s="483"/>
      <c r="B680" s="484"/>
      <c r="C680" s="487"/>
      <c r="D680" s="1562"/>
      <c r="E680" s="1562"/>
      <c r="F680" s="1562"/>
      <c r="I680" s="490"/>
    </row>
    <row r="681" spans="1:11" ht="12.75" customHeight="1">
      <c r="A681" s="483"/>
      <c r="B681" s="484"/>
      <c r="C681" s="487"/>
      <c r="D681" s="1562"/>
      <c r="E681" s="1562"/>
      <c r="F681" s="1562"/>
      <c r="I681" s="490"/>
    </row>
    <row r="682" spans="1:11" ht="12.75" customHeight="1">
      <c r="A682" s="483"/>
      <c r="B682" s="484"/>
      <c r="C682" s="487"/>
      <c r="D682" s="1562"/>
      <c r="E682" s="1562"/>
      <c r="F682" s="1562"/>
      <c r="I682" s="490"/>
    </row>
    <row r="683" spans="1:11">
      <c r="A683" s="487"/>
      <c r="B683" s="487"/>
      <c r="C683" s="487"/>
      <c r="D683" s="446"/>
      <c r="E683" s="446"/>
      <c r="F683" s="446"/>
      <c r="I683" s="490"/>
    </row>
    <row r="684" spans="1:11">
      <c r="A684" s="1563" t="s">
        <v>1058</v>
      </c>
      <c r="B684" s="1563"/>
      <c r="C684" s="1563"/>
      <c r="D684" s="1563"/>
      <c r="E684" s="1563"/>
      <c r="F684" s="1563"/>
      <c r="G684" s="1563"/>
      <c r="H684" s="1025"/>
      <c r="I684" s="1151"/>
      <c r="J684" s="501"/>
      <c r="K684" s="501"/>
    </row>
    <row r="685" spans="1:11">
      <c r="A685" s="448"/>
      <c r="B685" s="448"/>
      <c r="C685" s="448"/>
      <c r="D685" s="448"/>
      <c r="E685" s="448"/>
      <c r="F685" s="448"/>
      <c r="G685" s="448"/>
      <c r="H685" s="501"/>
      <c r="I685" s="483"/>
      <c r="J685" s="501"/>
      <c r="K685" s="501"/>
    </row>
    <row r="686" spans="1:11">
      <c r="C686" s="482"/>
      <c r="D686" s="1565" t="s">
        <v>99</v>
      </c>
      <c r="E686" s="1565"/>
      <c r="F686" s="1565"/>
      <c r="H686" s="501"/>
      <c r="I686" s="483"/>
      <c r="J686" s="501"/>
      <c r="K686" s="501"/>
    </row>
    <row r="687" spans="1:11">
      <c r="A687" s="482"/>
      <c r="B687" s="482"/>
      <c r="C687" s="482"/>
      <c r="D687" s="1565" t="s">
        <v>123</v>
      </c>
      <c r="E687" s="1565"/>
      <c r="F687" s="1565"/>
      <c r="H687" s="501"/>
      <c r="I687" s="483"/>
      <c r="J687" s="501"/>
      <c r="K687" s="501"/>
    </row>
    <row r="688" spans="1:11">
      <c r="A688" s="483"/>
      <c r="B688" s="483"/>
      <c r="C688" s="483"/>
      <c r="D688" s="1564" t="s">
        <v>1075</v>
      </c>
      <c r="E688" s="1564"/>
      <c r="F688" s="1564"/>
      <c r="H688" s="501"/>
      <c r="I688" s="483"/>
      <c r="J688" s="501"/>
      <c r="K688" s="501"/>
    </row>
    <row r="689" spans="1:11">
      <c r="A689" s="483"/>
      <c r="B689" s="483"/>
      <c r="C689" s="483"/>
      <c r="H689" s="501"/>
      <c r="I689" s="483"/>
      <c r="J689" s="501"/>
      <c r="K689" s="501"/>
    </row>
    <row r="690" spans="1:11" ht="14.4">
      <c r="A690" s="484"/>
      <c r="B690" s="485" t="s">
        <v>2638</v>
      </c>
      <c r="C690" s="483"/>
      <c r="D690" s="1564" t="s">
        <v>885</v>
      </c>
      <c r="E690" s="1564"/>
      <c r="F690" s="1564"/>
      <c r="H690" s="501"/>
      <c r="I690" s="483"/>
      <c r="J690" s="501"/>
      <c r="K690" s="501"/>
    </row>
    <row r="691" spans="1:11">
      <c r="A691" s="483"/>
      <c r="B691" s="483"/>
      <c r="C691" s="483"/>
      <c r="D691" s="1564" t="s">
        <v>894</v>
      </c>
      <c r="E691" s="1564"/>
      <c r="F691" s="1564"/>
      <c r="H691" s="501"/>
      <c r="I691" s="483"/>
      <c r="J691" s="501"/>
      <c r="K691" s="501"/>
    </row>
    <row r="692" spans="1:11" ht="12.75" customHeight="1">
      <c r="A692" s="483"/>
      <c r="B692" s="483"/>
      <c r="C692" s="483"/>
      <c r="E692" s="1031" t="s">
        <v>1884</v>
      </c>
      <c r="F692" s="420"/>
      <c r="H692" s="501"/>
      <c r="I692" s="483"/>
      <c r="J692" s="501"/>
      <c r="K692" s="501"/>
    </row>
    <row r="693" spans="1:11">
      <c r="A693" s="483"/>
      <c r="B693" s="483"/>
      <c r="C693" s="483"/>
      <c r="E693" s="501" t="s">
        <v>1883</v>
      </c>
      <c r="F693" s="420"/>
      <c r="I693" s="483"/>
      <c r="J693" s="501"/>
      <c r="K693" s="501"/>
    </row>
    <row r="694" spans="1:11">
      <c r="A694" s="483"/>
      <c r="B694" s="483"/>
      <c r="C694" s="483"/>
      <c r="D694" s="502"/>
      <c r="E694" s="446"/>
      <c r="H694" s="501"/>
      <c r="I694" s="483"/>
      <c r="J694" s="501"/>
      <c r="K694" s="501"/>
    </row>
    <row r="695" spans="1:11" ht="14.4">
      <c r="A695" s="484"/>
      <c r="B695" s="485" t="s">
        <v>2637</v>
      </c>
      <c r="C695" s="483"/>
      <c r="D695" s="1562" t="s">
        <v>2024</v>
      </c>
      <c r="E695" s="1562"/>
      <c r="F695" s="1562"/>
      <c r="H695" s="501"/>
      <c r="I695" s="483"/>
      <c r="J695" s="501"/>
      <c r="K695" s="501"/>
    </row>
    <row r="696" spans="1:11">
      <c r="A696" s="490"/>
      <c r="B696" s="490"/>
      <c r="C696" s="483"/>
      <c r="D696" s="1562"/>
      <c r="E696" s="1562"/>
      <c r="F696" s="1562"/>
      <c r="H696" s="501"/>
      <c r="I696" s="483"/>
      <c r="J696" s="501"/>
      <c r="K696" s="501"/>
    </row>
    <row r="697" spans="1:11">
      <c r="A697" s="483"/>
      <c r="B697" s="483"/>
      <c r="C697" s="483"/>
      <c r="D697" s="1562"/>
      <c r="E697" s="1562"/>
      <c r="F697" s="1562"/>
      <c r="H697" s="501"/>
      <c r="I697" s="483"/>
      <c r="J697" s="501"/>
      <c r="K697" s="501"/>
    </row>
    <row r="698" spans="1:11">
      <c r="A698" s="483"/>
      <c r="B698" s="483"/>
      <c r="C698" s="483"/>
      <c r="H698" s="501"/>
      <c r="J698" s="501"/>
      <c r="K698" s="501"/>
    </row>
    <row r="699" spans="1:11" ht="14.4">
      <c r="A699" s="484"/>
      <c r="B699" s="485" t="s">
        <v>2637</v>
      </c>
      <c r="C699" s="483"/>
      <c r="D699" s="1564" t="s">
        <v>917</v>
      </c>
      <c r="E699" s="1564"/>
      <c r="F699" s="1564"/>
      <c r="H699" s="501"/>
      <c r="I699" s="483"/>
      <c r="J699" s="501"/>
      <c r="K699" s="501"/>
    </row>
    <row r="700" spans="1:11" ht="14.4">
      <c r="A700" s="484"/>
      <c r="B700" s="484"/>
      <c r="C700" s="483"/>
      <c r="D700" s="1564" t="s">
        <v>894</v>
      </c>
      <c r="E700" s="1564"/>
      <c r="F700" s="1564"/>
      <c r="H700" s="501"/>
      <c r="I700" s="483"/>
      <c r="J700" s="501"/>
      <c r="K700" s="501"/>
    </row>
    <row r="701" spans="1:11">
      <c r="A701" s="483"/>
      <c r="B701" s="483"/>
      <c r="C701" s="483"/>
      <c r="E701" s="1031" t="s">
        <v>1885</v>
      </c>
      <c r="F701" s="404"/>
      <c r="H701" s="501"/>
      <c r="I701" s="483"/>
      <c r="J701" s="501"/>
      <c r="K701" s="501"/>
    </row>
    <row r="702" spans="1:11">
      <c r="A702" s="483"/>
      <c r="B702" s="483"/>
      <c r="C702" s="483"/>
      <c r="D702" s="404"/>
      <c r="H702" s="501"/>
      <c r="I702" s="483"/>
      <c r="J702" s="501"/>
      <c r="K702" s="501"/>
    </row>
    <row r="703" spans="1:11" ht="14.4">
      <c r="A703" s="484"/>
      <c r="B703" s="485" t="s">
        <v>2638</v>
      </c>
      <c r="C703" s="483"/>
      <c r="D703" s="1564" t="s">
        <v>2389</v>
      </c>
      <c r="E703" s="1564"/>
      <c r="F703" s="1564"/>
      <c r="H703" s="501"/>
      <c r="I703" s="483"/>
      <c r="J703" s="501"/>
      <c r="K703" s="501"/>
    </row>
    <row r="704" spans="1:11" ht="14.4">
      <c r="A704" s="484"/>
      <c r="B704" s="484"/>
      <c r="C704" s="483"/>
      <c r="D704" s="1564" t="s">
        <v>894</v>
      </c>
      <c r="E704" s="1564"/>
      <c r="F704" s="1564"/>
      <c r="H704" s="501"/>
      <c r="I704" s="483"/>
      <c r="J704" s="501"/>
      <c r="K704" s="501"/>
    </row>
    <row r="705" spans="1:11">
      <c r="A705" s="483"/>
      <c r="B705" s="483"/>
      <c r="C705" s="483"/>
      <c r="E705" s="1031" t="s">
        <v>2390</v>
      </c>
      <c r="F705" s="404"/>
      <c r="H705" s="501"/>
      <c r="I705" s="483"/>
      <c r="J705" s="501"/>
      <c r="K705" s="501"/>
    </row>
    <row r="706" spans="1:11">
      <c r="A706" s="483"/>
      <c r="B706" s="483"/>
      <c r="C706" s="483"/>
      <c r="D706" s="404"/>
      <c r="H706" s="501"/>
      <c r="I706" s="483"/>
      <c r="J706" s="501"/>
      <c r="K706" s="501"/>
    </row>
    <row r="707" spans="1:11" ht="14.4">
      <c r="A707" s="484"/>
      <c r="B707" s="485" t="s">
        <v>2638</v>
      </c>
      <c r="C707" s="483"/>
      <c r="D707" s="1562" t="s">
        <v>2195</v>
      </c>
      <c r="E707" s="1562"/>
      <c r="F707" s="1562"/>
      <c r="H707" s="501"/>
      <c r="I707" s="483"/>
      <c r="J707" s="501"/>
      <c r="K707" s="501"/>
    </row>
    <row r="708" spans="1:11">
      <c r="A708" s="483"/>
      <c r="B708" s="483"/>
      <c r="C708" s="483"/>
      <c r="D708" s="1562"/>
      <c r="E708" s="1562"/>
      <c r="F708" s="1562"/>
      <c r="H708" s="501"/>
      <c r="I708" s="483"/>
      <c r="J708" s="501"/>
      <c r="K708" s="501"/>
    </row>
    <row r="709" spans="1:11">
      <c r="A709" s="483"/>
      <c r="B709" s="483"/>
      <c r="C709" s="483"/>
      <c r="D709" s="1562"/>
      <c r="E709" s="1562"/>
      <c r="F709" s="1562"/>
      <c r="H709" s="501"/>
      <c r="I709" s="483"/>
      <c r="J709" s="501"/>
      <c r="K709" s="501"/>
    </row>
    <row r="710" spans="1:11">
      <c r="A710" s="483"/>
      <c r="B710" s="483"/>
      <c r="C710" s="483"/>
      <c r="D710" s="1562"/>
      <c r="E710" s="1562"/>
      <c r="F710" s="1562"/>
      <c r="H710" s="501"/>
      <c r="I710" s="483"/>
      <c r="J710" s="501"/>
      <c r="K710" s="501"/>
    </row>
    <row r="711" spans="1:11">
      <c r="A711" s="483"/>
      <c r="B711" s="483"/>
      <c r="C711" s="483"/>
      <c r="D711" s="1562"/>
      <c r="E711" s="1562"/>
      <c r="F711" s="1562"/>
      <c r="H711" s="501"/>
      <c r="I711" s="483"/>
      <c r="J711" s="501"/>
      <c r="K711" s="501"/>
    </row>
    <row r="712" spans="1:11">
      <c r="A712" s="483"/>
      <c r="B712" s="483"/>
      <c r="C712" s="483"/>
      <c r="D712" s="1562"/>
      <c r="E712" s="1562"/>
      <c r="F712" s="1562"/>
      <c r="H712" s="501"/>
      <c r="I712" s="483"/>
      <c r="J712" s="501"/>
      <c r="K712" s="501"/>
    </row>
    <row r="713" spans="1:11">
      <c r="A713" s="483"/>
      <c r="B713" s="483"/>
      <c r="C713" s="483"/>
      <c r="D713" s="445"/>
      <c r="E713" s="445"/>
      <c r="F713" s="445"/>
      <c r="H713" s="501"/>
      <c r="I713" s="483"/>
      <c r="J713" s="501"/>
      <c r="K713" s="501"/>
    </row>
    <row r="714" spans="1:11">
      <c r="A714" s="483"/>
      <c r="B714" s="485" t="s">
        <v>2638</v>
      </c>
      <c r="C714" s="483"/>
      <c r="D714" s="1562" t="s">
        <v>1200</v>
      </c>
      <c r="E714" s="1562"/>
      <c r="F714" s="1562"/>
      <c r="H714" s="501"/>
      <c r="I714" s="483"/>
      <c r="J714" s="501"/>
      <c r="K714" s="501"/>
    </row>
    <row r="715" spans="1:11">
      <c r="A715" s="483"/>
      <c r="B715" s="483"/>
      <c r="C715" s="483"/>
      <c r="D715" s="1562"/>
      <c r="E715" s="1562"/>
      <c r="F715" s="1562"/>
      <c r="H715" s="501"/>
      <c r="I715" s="483"/>
      <c r="J715" s="501"/>
      <c r="K715" s="501"/>
    </row>
    <row r="716" spans="1:11">
      <c r="A716" s="483"/>
      <c r="B716" s="483"/>
      <c r="C716" s="483"/>
      <c r="D716" s="445"/>
      <c r="E716" s="445"/>
      <c r="F716" s="445"/>
      <c r="H716" s="501"/>
      <c r="I716" s="483"/>
      <c r="J716" s="501"/>
      <c r="K716" s="501"/>
    </row>
    <row r="717" spans="1:11" ht="14.4">
      <c r="A717" s="484"/>
      <c r="B717" s="485" t="s">
        <v>2638</v>
      </c>
      <c r="C717" s="483"/>
      <c r="D717" s="1562" t="s">
        <v>1076</v>
      </c>
      <c r="E717" s="1562"/>
      <c r="F717" s="1562"/>
      <c r="H717" s="501"/>
      <c r="I717" s="483"/>
      <c r="J717" s="501"/>
      <c r="K717" s="501"/>
    </row>
    <row r="718" spans="1:11">
      <c r="A718" s="483"/>
      <c r="B718" s="483"/>
      <c r="C718" s="483"/>
      <c r="D718" s="1562"/>
      <c r="E718" s="1562"/>
      <c r="F718" s="1562"/>
      <c r="H718" s="501"/>
      <c r="I718" s="483"/>
      <c r="J718" s="501"/>
      <c r="K718" s="501"/>
    </row>
    <row r="719" spans="1:11">
      <c r="A719" s="483"/>
      <c r="B719" s="483"/>
      <c r="C719" s="483"/>
      <c r="D719" s="1562"/>
      <c r="E719" s="1562"/>
      <c r="F719" s="1562"/>
      <c r="H719" s="501"/>
      <c r="I719" s="483"/>
      <c r="J719" s="501"/>
      <c r="K719" s="501"/>
    </row>
    <row r="720" spans="1:11" ht="15" customHeight="1">
      <c r="A720" s="483"/>
      <c r="B720" s="483"/>
      <c r="C720" s="483"/>
      <c r="D720" s="1562"/>
      <c r="E720" s="1562"/>
      <c r="F720" s="1562"/>
      <c r="H720" s="501"/>
      <c r="I720" s="483"/>
      <c r="J720" s="501"/>
      <c r="K720" s="501"/>
    </row>
    <row r="721" spans="1:11" ht="15" customHeight="1">
      <c r="A721" s="483"/>
      <c r="B721" s="483"/>
      <c r="C721" s="483"/>
      <c r="D721" s="1562"/>
      <c r="E721" s="1562"/>
      <c r="F721" s="1562"/>
      <c r="H721" s="501"/>
      <c r="I721" s="483"/>
      <c r="J721" s="501"/>
      <c r="K721" s="501"/>
    </row>
    <row r="722" spans="1:11">
      <c r="A722" s="483"/>
      <c r="B722" s="483"/>
      <c r="C722" s="483"/>
      <c r="D722" s="1562"/>
      <c r="E722" s="1562"/>
      <c r="F722" s="1562"/>
      <c r="H722" s="501"/>
      <c r="I722" s="483"/>
      <c r="J722" s="501"/>
      <c r="K722" s="501"/>
    </row>
    <row r="723" spans="1:11">
      <c r="A723" s="483"/>
      <c r="B723" s="483"/>
      <c r="C723" s="483"/>
      <c r="D723" s="1562"/>
      <c r="E723" s="1562"/>
      <c r="F723" s="1562"/>
      <c r="H723" s="501"/>
      <c r="I723" s="483"/>
      <c r="J723" s="501"/>
      <c r="K723" s="501"/>
    </row>
    <row r="724" spans="1:11">
      <c r="A724" s="483"/>
      <c r="B724" s="483"/>
      <c r="C724" s="483"/>
      <c r="D724" s="1562"/>
      <c r="E724" s="1562"/>
      <c r="F724" s="1562"/>
      <c r="H724" s="501"/>
      <c r="I724" s="483"/>
      <c r="J724" s="501"/>
      <c r="K724" s="501"/>
    </row>
    <row r="725" spans="1:11" ht="15" customHeight="1">
      <c r="A725" s="483"/>
      <c r="B725" s="483"/>
      <c r="C725" s="483"/>
      <c r="D725" s="1562"/>
      <c r="E725" s="1562"/>
      <c r="F725" s="1562"/>
      <c r="H725" s="501"/>
      <c r="I725" s="483"/>
      <c r="J725" s="501"/>
      <c r="K725" s="501"/>
    </row>
    <row r="726" spans="1:11">
      <c r="A726" s="483"/>
      <c r="B726" s="483"/>
      <c r="C726" s="483"/>
      <c r="D726" s="1562"/>
      <c r="E726" s="1562"/>
      <c r="F726" s="1562"/>
      <c r="H726" s="501"/>
      <c r="I726" s="483"/>
      <c r="J726" s="501"/>
      <c r="K726" s="501"/>
    </row>
    <row r="727" spans="1:11">
      <c r="A727" s="483"/>
      <c r="B727" s="483"/>
      <c r="C727" s="483"/>
      <c r="D727" s="1562"/>
      <c r="E727" s="1562"/>
      <c r="F727" s="1562"/>
      <c r="H727" s="501"/>
      <c r="I727" s="483"/>
      <c r="J727" s="501"/>
      <c r="K727" s="501"/>
    </row>
    <row r="728" spans="1:11">
      <c r="A728" s="483"/>
      <c r="B728" s="483"/>
      <c r="C728" s="483"/>
      <c r="D728" s="1562"/>
      <c r="E728" s="1562"/>
      <c r="F728" s="1562"/>
      <c r="H728" s="501"/>
      <c r="I728" s="483"/>
      <c r="J728" s="501"/>
      <c r="K728" s="501"/>
    </row>
    <row r="729" spans="1:11">
      <c r="A729" s="483"/>
      <c r="B729" s="483"/>
      <c r="C729" s="483"/>
      <c r="D729" s="1562"/>
      <c r="E729" s="1562"/>
      <c r="F729" s="1562"/>
      <c r="H729" s="501"/>
      <c r="I729" s="483"/>
      <c r="J729" s="501"/>
      <c r="K729" s="501"/>
    </row>
    <row r="730" spans="1:11">
      <c r="A730" s="483"/>
      <c r="B730" s="485" t="s">
        <v>2638</v>
      </c>
      <c r="C730" s="483"/>
      <c r="D730" s="1562" t="s">
        <v>2382</v>
      </c>
      <c r="E730" s="1562"/>
      <c r="F730" s="1562"/>
      <c r="H730" s="501"/>
      <c r="I730" s="483"/>
      <c r="J730" s="501"/>
      <c r="K730" s="501"/>
    </row>
    <row r="731" spans="1:11">
      <c r="A731" s="483"/>
      <c r="B731" s="483"/>
      <c r="C731" s="483"/>
      <c r="D731" s="1562"/>
      <c r="E731" s="1562"/>
      <c r="F731" s="1562"/>
      <c r="H731" s="501"/>
      <c r="I731" s="483"/>
      <c r="J731" s="501"/>
      <c r="K731" s="501"/>
    </row>
    <row r="732" spans="1:11">
      <c r="A732" s="483"/>
      <c r="B732" s="483"/>
      <c r="C732" s="483"/>
      <c r="D732" s="1562"/>
      <c r="E732" s="1562"/>
      <c r="F732" s="1562"/>
      <c r="H732" s="501"/>
      <c r="I732" s="483"/>
      <c r="J732" s="501"/>
      <c r="K732" s="501"/>
    </row>
    <row r="733" spans="1:11">
      <c r="A733" s="483"/>
      <c r="B733" s="483"/>
      <c r="C733" s="483"/>
      <c r="D733" s="445"/>
      <c r="E733" s="445"/>
      <c r="F733" s="445"/>
      <c r="H733" s="501"/>
      <c r="I733" s="483"/>
      <c r="J733" s="501"/>
      <c r="K733" s="501"/>
    </row>
    <row r="734" spans="1:11">
      <c r="A734" s="483"/>
      <c r="B734" s="485" t="s">
        <v>2638</v>
      </c>
      <c r="C734" s="483"/>
      <c r="D734" s="1562" t="s">
        <v>2381</v>
      </c>
      <c r="E734" s="1562"/>
      <c r="F734" s="1562"/>
      <c r="H734" s="501"/>
      <c r="I734" s="483"/>
      <c r="J734" s="501"/>
      <c r="K734" s="501"/>
    </row>
    <row r="735" spans="1:11">
      <c r="A735" s="483"/>
      <c r="B735" s="483"/>
      <c r="C735" s="483"/>
      <c r="D735" s="1562"/>
      <c r="E735" s="1562"/>
      <c r="F735" s="1562"/>
      <c r="H735" s="501"/>
      <c r="I735" s="483"/>
      <c r="J735" s="501"/>
      <c r="K735" s="501"/>
    </row>
    <row r="736" spans="1:11">
      <c r="A736" s="483"/>
      <c r="B736" s="483"/>
      <c r="C736" s="483"/>
      <c r="D736" s="1562"/>
      <c r="E736" s="1562"/>
      <c r="F736" s="1562"/>
      <c r="H736" s="501"/>
      <c r="I736" s="483"/>
      <c r="J736" s="501"/>
      <c r="K736" s="501"/>
    </row>
    <row r="737" spans="1:11">
      <c r="A737" s="483"/>
      <c r="B737" s="483"/>
      <c r="C737" s="483"/>
      <c r="H737" s="501"/>
      <c r="I737" s="483"/>
      <c r="J737" s="501"/>
      <c r="K737" s="501"/>
    </row>
    <row r="738" spans="1:11">
      <c r="A738" s="483"/>
      <c r="B738" s="485" t="s">
        <v>2638</v>
      </c>
      <c r="C738" s="483"/>
      <c r="D738" s="1562" t="s">
        <v>2380</v>
      </c>
      <c r="E738" s="1562"/>
      <c r="F738" s="1562"/>
      <c r="H738" s="501"/>
      <c r="I738" s="483"/>
      <c r="J738" s="501"/>
      <c r="K738" s="501"/>
    </row>
    <row r="739" spans="1:11">
      <c r="A739" s="483"/>
      <c r="B739" s="483"/>
      <c r="C739" s="483"/>
      <c r="D739" s="1562"/>
      <c r="E739" s="1562"/>
      <c r="F739" s="1562"/>
      <c r="H739" s="501"/>
      <c r="I739" s="483"/>
      <c r="J739" s="501"/>
      <c r="K739" s="501"/>
    </row>
    <row r="740" spans="1:11">
      <c r="A740" s="483"/>
      <c r="B740" s="483"/>
      <c r="C740" s="483"/>
      <c r="D740" s="1562"/>
      <c r="E740" s="1562"/>
      <c r="F740" s="1562"/>
      <c r="H740" s="501"/>
      <c r="I740" s="483"/>
      <c r="J740" s="501"/>
      <c r="K740" s="501"/>
    </row>
    <row r="741" spans="1:11">
      <c r="A741" s="483"/>
      <c r="B741" s="483"/>
      <c r="C741" s="483"/>
      <c r="D741" s="1562"/>
      <c r="E741" s="1562"/>
      <c r="F741" s="1562"/>
      <c r="H741" s="501"/>
      <c r="I741" s="483"/>
      <c r="J741" s="501"/>
      <c r="K741" s="501"/>
    </row>
    <row r="742" spans="1:11">
      <c r="A742" s="483"/>
      <c r="B742" s="483"/>
      <c r="C742" s="483"/>
      <c r="H742" s="501"/>
      <c r="I742" s="483"/>
      <c r="J742" s="501"/>
      <c r="K742" s="501"/>
    </row>
    <row r="743" spans="1:11" ht="14.4">
      <c r="A743" s="484"/>
      <c r="B743" s="485" t="s">
        <v>2638</v>
      </c>
      <c r="C743" s="483"/>
      <c r="D743" s="1562" t="s">
        <v>1077</v>
      </c>
      <c r="E743" s="1562"/>
      <c r="F743" s="1562"/>
      <c r="H743" s="501"/>
      <c r="I743" s="483"/>
      <c r="J743" s="501"/>
      <c r="K743" s="501"/>
    </row>
    <row r="744" spans="1:11">
      <c r="A744" s="483"/>
      <c r="B744" s="483"/>
      <c r="C744" s="483"/>
      <c r="D744" s="1562"/>
      <c r="E744" s="1562"/>
      <c r="F744" s="1562"/>
      <c r="H744" s="501"/>
      <c r="I744" s="483"/>
      <c r="J744" s="501"/>
      <c r="K744" s="501"/>
    </row>
    <row r="745" spans="1:11">
      <c r="A745" s="483"/>
      <c r="B745" s="483"/>
      <c r="C745" s="483"/>
      <c r="D745" s="1562"/>
      <c r="E745" s="1562"/>
      <c r="F745" s="1562"/>
      <c r="H745" s="501"/>
      <c r="I745" s="483"/>
      <c r="J745" s="501"/>
      <c r="K745" s="501"/>
    </row>
    <row r="746" spans="1:11">
      <c r="A746" s="483"/>
      <c r="B746" s="483"/>
      <c r="C746" s="483"/>
      <c r="D746" s="1562"/>
      <c r="E746" s="1562"/>
      <c r="F746" s="1562"/>
      <c r="H746" s="501"/>
      <c r="I746" s="483"/>
      <c r="J746" s="501"/>
      <c r="K746" s="501"/>
    </row>
    <row r="747" spans="1:11">
      <c r="A747" s="483"/>
      <c r="B747" s="483"/>
      <c r="C747" s="483"/>
      <c r="D747" s="1562"/>
      <c r="E747" s="1562"/>
      <c r="F747" s="1562"/>
      <c r="H747" s="501"/>
      <c r="I747" s="483"/>
      <c r="J747" s="501"/>
      <c r="K747" s="501"/>
    </row>
    <row r="748" spans="1:11">
      <c r="A748" s="483"/>
      <c r="B748" s="483"/>
      <c r="C748" s="483"/>
      <c r="D748" s="492"/>
      <c r="H748" s="501"/>
      <c r="I748" s="483"/>
      <c r="J748" s="501"/>
      <c r="K748" s="501"/>
    </row>
    <row r="749" spans="1:11" ht="14.4">
      <c r="A749" s="484"/>
      <c r="B749" s="485" t="s">
        <v>2638</v>
      </c>
      <c r="C749" s="483"/>
      <c r="D749" s="1562" t="s">
        <v>2098</v>
      </c>
      <c r="E749" s="1562"/>
      <c r="F749" s="1562"/>
      <c r="H749" s="501"/>
      <c r="I749" s="483"/>
      <c r="J749" s="501"/>
      <c r="K749" s="501"/>
    </row>
    <row r="750" spans="1:11">
      <c r="A750" s="483"/>
      <c r="B750" s="483"/>
      <c r="C750" s="483"/>
      <c r="D750" s="1562"/>
      <c r="E750" s="1562"/>
      <c r="F750" s="1562"/>
      <c r="H750" s="501"/>
      <c r="I750" s="483"/>
      <c r="J750" s="501"/>
      <c r="K750" s="501"/>
    </row>
    <row r="751" spans="1:11">
      <c r="A751" s="483"/>
      <c r="B751" s="483"/>
      <c r="C751" s="483"/>
      <c r="D751" s="1562"/>
      <c r="E751" s="1562"/>
      <c r="F751" s="1562"/>
      <c r="H751" s="501"/>
      <c r="I751" s="483"/>
      <c r="J751" s="501"/>
      <c r="K751" s="501"/>
    </row>
    <row r="752" spans="1:11">
      <c r="A752" s="483"/>
      <c r="B752" s="483"/>
      <c r="C752" s="483"/>
      <c r="D752" s="1562"/>
      <c r="E752" s="1562"/>
      <c r="F752" s="1562"/>
      <c r="H752" s="501"/>
      <c r="I752" s="483"/>
      <c r="J752" s="501"/>
      <c r="K752" s="501"/>
    </row>
    <row r="753" spans="1:11">
      <c r="A753" s="483"/>
      <c r="B753" s="483"/>
      <c r="C753" s="483"/>
      <c r="D753" s="1562"/>
      <c r="E753" s="1562"/>
      <c r="F753" s="1562"/>
      <c r="H753" s="501"/>
      <c r="I753" s="483"/>
      <c r="J753" s="501"/>
      <c r="K753" s="501"/>
    </row>
    <row r="754" spans="1:11">
      <c r="A754" s="483"/>
      <c r="B754" s="483"/>
      <c r="C754" s="483"/>
      <c r="D754" s="1562"/>
      <c r="E754" s="1562"/>
      <c r="F754" s="1562"/>
      <c r="H754" s="501"/>
      <c r="I754" s="483"/>
      <c r="J754" s="501"/>
      <c r="K754" s="501"/>
    </row>
    <row r="755" spans="1:11">
      <c r="A755" s="483"/>
      <c r="B755" s="483"/>
      <c r="C755" s="483"/>
      <c r="D755" s="1562"/>
      <c r="E755" s="1562"/>
      <c r="F755" s="1562"/>
      <c r="H755" s="501"/>
      <c r="I755" s="483"/>
      <c r="J755" s="501"/>
      <c r="K755" s="501"/>
    </row>
    <row r="756" spans="1:11">
      <c r="A756" s="483"/>
      <c r="B756" s="483"/>
      <c r="C756" s="483"/>
      <c r="D756" s="1567" t="s">
        <v>2599</v>
      </c>
      <c r="E756" s="1567"/>
      <c r="F756" s="1567"/>
      <c r="H756" s="501"/>
      <c r="I756" s="483"/>
      <c r="J756" s="501"/>
      <c r="K756" s="501"/>
    </row>
    <row r="757" spans="1:11">
      <c r="A757" s="483"/>
      <c r="B757" s="483"/>
      <c r="C757" s="483"/>
      <c r="D757" s="341"/>
      <c r="H757" s="501"/>
      <c r="I757" s="483"/>
      <c r="J757" s="501"/>
      <c r="K757" s="501"/>
    </row>
    <row r="758" spans="1:11">
      <c r="A758" s="1566" t="s">
        <v>1059</v>
      </c>
      <c r="B758" s="1566"/>
      <c r="C758" s="1566"/>
      <c r="D758" s="1566"/>
      <c r="E758" s="1566"/>
      <c r="F758" s="1566"/>
      <c r="G758" s="1566"/>
      <c r="H758" s="1025"/>
      <c r="I758" s="1151"/>
      <c r="J758" s="501"/>
      <c r="K758" s="501"/>
    </row>
    <row r="759" spans="1:11">
      <c r="A759" s="483"/>
      <c r="B759" s="483"/>
      <c r="C759" s="483"/>
      <c r="D759" s="492"/>
      <c r="G759" s="501"/>
      <c r="H759" s="501"/>
      <c r="I759" s="483"/>
      <c r="J759" s="501"/>
      <c r="K759" s="501"/>
    </row>
    <row r="760" spans="1:11" ht="13.8" customHeight="1">
      <c r="C760" s="483"/>
      <c r="D760" s="1582" t="s">
        <v>1069</v>
      </c>
      <c r="E760" s="1582"/>
      <c r="F760" s="1582"/>
      <c r="G760" s="501"/>
      <c r="H760" s="501"/>
      <c r="I760" s="483"/>
      <c r="J760" s="501"/>
      <c r="K760" s="501"/>
    </row>
    <row r="761" spans="1:11">
      <c r="A761" s="483"/>
      <c r="B761" s="483"/>
      <c r="C761" s="483"/>
      <c r="D761" s="1568" t="s">
        <v>1070</v>
      </c>
      <c r="E761" s="1568"/>
      <c r="F761" s="1568"/>
      <c r="G761" s="501"/>
      <c r="H761" s="501"/>
      <c r="I761" s="483"/>
      <c r="J761" s="501"/>
      <c r="K761" s="501"/>
    </row>
    <row r="762" spans="1:11">
      <c r="A762" s="483"/>
      <c r="B762" s="483"/>
      <c r="C762" s="483"/>
      <c r="G762" s="501"/>
      <c r="H762" s="501"/>
      <c r="I762" s="483"/>
      <c r="J762" s="501"/>
      <c r="K762" s="501"/>
    </row>
    <row r="763" spans="1:11" ht="14.4">
      <c r="A763" s="484"/>
      <c r="B763" s="485" t="s">
        <v>2637</v>
      </c>
      <c r="D763" s="1562" t="s">
        <v>1071</v>
      </c>
      <c r="E763" s="1562"/>
      <c r="F763" s="1562"/>
      <c r="G763" s="501"/>
      <c r="H763" s="501"/>
      <c r="I763" s="483"/>
      <c r="J763" s="501"/>
      <c r="K763" s="501"/>
    </row>
    <row r="764" spans="1:11" ht="10.5" customHeight="1">
      <c r="D764" s="1562"/>
      <c r="E764" s="1562"/>
      <c r="F764" s="1562"/>
      <c r="G764" s="501"/>
      <c r="H764" s="501"/>
      <c r="I764" s="483"/>
      <c r="J764" s="501"/>
      <c r="K764" s="501"/>
    </row>
    <row r="765" spans="1:11">
      <c r="D765" s="1562"/>
      <c r="E765" s="1562"/>
      <c r="F765" s="1562"/>
      <c r="G765" s="501"/>
      <c r="H765" s="501"/>
      <c r="I765" s="483"/>
      <c r="J765" s="501"/>
      <c r="K765" s="501"/>
    </row>
    <row r="766" spans="1:11">
      <c r="D766" s="1562"/>
      <c r="E766" s="1562"/>
      <c r="F766" s="1562"/>
      <c r="G766" s="501"/>
      <c r="H766" s="501"/>
      <c r="I766" s="483"/>
      <c r="J766" s="501"/>
      <c r="K766" s="501"/>
    </row>
    <row r="767" spans="1:11">
      <c r="D767" s="1562"/>
      <c r="E767" s="1562"/>
      <c r="F767" s="1562"/>
      <c r="G767" s="501"/>
      <c r="H767" s="501"/>
      <c r="I767" s="483"/>
      <c r="J767" s="501"/>
      <c r="K767" s="501"/>
    </row>
    <row r="768" spans="1:11" ht="15.75" customHeight="1">
      <c r="D768" s="1562"/>
      <c r="E768" s="1562"/>
      <c r="F768" s="1562"/>
      <c r="G768" s="501"/>
      <c r="H768" s="501"/>
      <c r="I768" s="483"/>
      <c r="J768" s="501"/>
      <c r="K768" s="501"/>
    </row>
    <row r="769" spans="1:11">
      <c r="D769" s="499"/>
      <c r="E769" s="446"/>
      <c r="F769" s="446"/>
      <c r="G769" s="501"/>
      <c r="H769" s="501"/>
      <c r="I769" s="483"/>
      <c r="J769" s="501"/>
      <c r="K769" s="501"/>
    </row>
    <row r="770" spans="1:11" s="505" customFormat="1" ht="14.4">
      <c r="A770" s="503"/>
      <c r="B770" s="485" t="s">
        <v>2638</v>
      </c>
      <c r="C770" s="504"/>
      <c r="D770" s="1562" t="s">
        <v>1240</v>
      </c>
      <c r="E770" s="1562"/>
      <c r="F770" s="1562"/>
      <c r="I770" s="1152"/>
    </row>
    <row r="771" spans="1:11" s="505" customFormat="1">
      <c r="A771" s="504"/>
      <c r="B771" s="504"/>
      <c r="C771" s="504"/>
      <c r="D771" s="1562"/>
      <c r="E771" s="1562"/>
      <c r="F771" s="1562"/>
      <c r="I771" s="1152"/>
    </row>
    <row r="772" spans="1:11" s="505" customFormat="1">
      <c r="A772" s="504"/>
      <c r="B772" s="504"/>
      <c r="C772" s="504"/>
      <c r="D772" s="1562"/>
      <c r="E772" s="1562"/>
      <c r="F772" s="1562"/>
      <c r="I772" s="1152"/>
    </row>
    <row r="773" spans="1:11" s="505" customFormat="1">
      <c r="A773" s="504"/>
      <c r="B773" s="504"/>
      <c r="C773" s="504"/>
      <c r="D773" s="1562"/>
      <c r="E773" s="1562"/>
      <c r="F773" s="1562"/>
      <c r="I773" s="1152"/>
    </row>
    <row r="774" spans="1:11" s="505" customFormat="1">
      <c r="A774" s="504"/>
      <c r="B774" s="504"/>
      <c r="C774" s="504"/>
      <c r="D774" s="499"/>
      <c r="I774" s="1152"/>
    </row>
    <row r="775" spans="1:11" s="505" customFormat="1" ht="14.4">
      <c r="A775" s="484"/>
      <c r="B775" s="485" t="s">
        <v>2637</v>
      </c>
      <c r="C775" s="504"/>
      <c r="D775" s="1561" t="s">
        <v>1241</v>
      </c>
      <c r="E775" s="1561"/>
      <c r="F775" s="1561"/>
      <c r="I775" s="1152"/>
    </row>
    <row r="776" spans="1:11" s="505" customFormat="1">
      <c r="A776" s="504"/>
      <c r="B776" s="504"/>
      <c r="C776" s="504"/>
      <c r="D776" s="1561"/>
      <c r="E776" s="1561"/>
      <c r="F776" s="1561"/>
      <c r="I776" s="1152"/>
    </row>
    <row r="777" spans="1:11" s="505" customFormat="1">
      <c r="A777" s="504"/>
      <c r="B777" s="504"/>
      <c r="C777" s="504"/>
      <c r="D777" s="1561"/>
      <c r="E777" s="1561"/>
      <c r="F777" s="1561"/>
      <c r="I777" s="1152"/>
    </row>
    <row r="778" spans="1:11">
      <c r="D778" s="499"/>
      <c r="E778" s="446"/>
      <c r="F778" s="446"/>
      <c r="G778" s="501"/>
      <c r="H778" s="501"/>
      <c r="I778" s="483"/>
      <c r="J778" s="501"/>
      <c r="K778" s="501"/>
    </row>
    <row r="779" spans="1:11" ht="14.4">
      <c r="A779" s="484"/>
      <c r="B779" s="485" t="s">
        <v>2638</v>
      </c>
      <c r="D779" s="1562" t="s">
        <v>1197</v>
      </c>
      <c r="E779" s="1562"/>
      <c r="F779" s="1562"/>
      <c r="G779" s="501"/>
      <c r="H779" s="501"/>
      <c r="I779" s="483"/>
      <c r="J779" s="501"/>
      <c r="K779" s="501"/>
    </row>
    <row r="780" spans="1:11">
      <c r="D780" s="1562"/>
      <c r="E780" s="1562"/>
      <c r="F780" s="1562"/>
      <c r="G780" s="501"/>
      <c r="H780" s="501"/>
      <c r="I780" s="483"/>
      <c r="J780" s="501"/>
      <c r="K780" s="501"/>
    </row>
    <row r="781" spans="1:11">
      <c r="D781" s="445"/>
      <c r="E781" s="445"/>
      <c r="F781" s="445"/>
      <c r="G781" s="501"/>
      <c r="H781" s="501"/>
      <c r="I781" s="483"/>
      <c r="J781" s="501"/>
      <c r="K781" s="501"/>
    </row>
    <row r="782" spans="1:11">
      <c r="B782" s="485" t="s">
        <v>2638</v>
      </c>
      <c r="D782" s="1562" t="s">
        <v>1214</v>
      </c>
      <c r="E782" s="1562"/>
      <c r="F782" s="1562"/>
      <c r="G782" s="501"/>
      <c r="H782" s="501"/>
      <c r="I782" s="483"/>
      <c r="J782" s="501"/>
      <c r="K782" s="501"/>
    </row>
    <row r="783" spans="1:11">
      <c r="D783" s="1562"/>
      <c r="E783" s="1562"/>
      <c r="F783" s="1562"/>
      <c r="G783" s="501"/>
      <c r="H783" s="501"/>
      <c r="I783" s="483"/>
      <c r="J783" s="501"/>
      <c r="K783" s="501"/>
    </row>
    <row r="784" spans="1:11">
      <c r="D784" s="1562"/>
      <c r="E784" s="1562"/>
      <c r="F784" s="1562"/>
      <c r="G784" s="501"/>
      <c r="H784" s="501"/>
      <c r="I784" s="483"/>
      <c r="J784" s="501"/>
      <c r="K784" s="501"/>
    </row>
    <row r="785" spans="1:11">
      <c r="D785" s="445"/>
      <c r="E785" s="445"/>
      <c r="F785" s="445"/>
      <c r="G785" s="501"/>
      <c r="H785" s="501"/>
      <c r="I785" s="483"/>
      <c r="J785" s="501"/>
      <c r="K785" s="501"/>
    </row>
    <row r="786" spans="1:11" hidden="1">
      <c r="A786" s="1581" t="s">
        <v>1788</v>
      </c>
      <c r="B786" s="1581"/>
      <c r="C786" s="1581"/>
      <c r="D786" s="1581"/>
      <c r="E786" s="1581"/>
      <c r="F786" s="1581"/>
      <c r="G786" s="1581"/>
      <c r="H786" s="1023"/>
      <c r="I786" s="1147"/>
    </row>
    <row r="787" spans="1:11" hidden="1">
      <c r="A787" s="57"/>
      <c r="B787" s="57"/>
      <c r="C787" s="354"/>
      <c r="D787" s="3"/>
      <c r="E787" s="3"/>
      <c r="F787" s="3"/>
      <c r="G787" s="3"/>
      <c r="I787" s="490"/>
    </row>
    <row r="788" spans="1:11" hidden="1">
      <c r="A788" s="57"/>
      <c r="B788" s="57"/>
      <c r="C788" s="354"/>
      <c r="D788" s="1580" t="s">
        <v>1828</v>
      </c>
      <c r="E788" s="1580"/>
      <c r="F788" s="1580"/>
      <c r="G788" s="3"/>
      <c r="I788" s="490"/>
    </row>
    <row r="789" spans="1:11" hidden="1">
      <c r="A789" s="57"/>
      <c r="B789" s="57"/>
      <c r="C789" s="354"/>
      <c r="D789" s="1572" t="s">
        <v>1742</v>
      </c>
      <c r="E789" s="1572"/>
      <c r="F789" s="1572"/>
      <c r="G789" s="3"/>
      <c r="I789" s="490"/>
    </row>
    <row r="790" spans="1:11" hidden="1">
      <c r="A790" s="57"/>
      <c r="B790" s="57"/>
      <c r="C790" s="354"/>
      <c r="D790" s="447"/>
      <c r="E790" s="447"/>
      <c r="F790" s="447"/>
      <c r="G790" s="3"/>
      <c r="I790" s="490"/>
    </row>
    <row r="791" spans="1:11" hidden="1">
      <c r="A791" s="57"/>
      <c r="B791" s="485" t="s">
        <v>307</v>
      </c>
      <c r="C791" s="354"/>
      <c r="D791" s="1554" t="s">
        <v>1743</v>
      </c>
      <c r="E791" s="1554"/>
      <c r="F791" s="1554"/>
      <c r="G791" s="3"/>
      <c r="I791" s="483"/>
    </row>
    <row r="792" spans="1:11" hidden="1">
      <c r="A792" s="57"/>
      <c r="B792" s="57"/>
      <c r="C792" s="354"/>
      <c r="D792" s="1554"/>
      <c r="E792" s="1554"/>
      <c r="F792" s="1554"/>
      <c r="G792" s="3"/>
      <c r="I792" s="490"/>
    </row>
    <row r="793" spans="1:11" hidden="1">
      <c r="A793" s="174"/>
      <c r="B793" s="174"/>
      <c r="C793" s="174"/>
      <c r="D793" s="1554"/>
      <c r="E793" s="1554"/>
      <c r="F793" s="1554"/>
      <c r="G793" s="118"/>
      <c r="I793" s="490"/>
    </row>
    <row r="794" spans="1:11" hidden="1">
      <c r="A794" s="354"/>
      <c r="B794" s="354"/>
      <c r="C794" s="354"/>
      <c r="D794" s="173"/>
      <c r="E794" s="3"/>
      <c r="F794" s="3"/>
      <c r="G794" s="3"/>
      <c r="I794" s="490"/>
    </row>
    <row r="795" spans="1:11" hidden="1">
      <c r="A795" s="172"/>
      <c r="B795" s="485" t="s">
        <v>307</v>
      </c>
      <c r="C795" s="172"/>
      <c r="D795" s="1554" t="s">
        <v>1744</v>
      </c>
      <c r="E795" s="1554"/>
      <c r="F795" s="1554"/>
      <c r="G795" s="3"/>
      <c r="I795" s="483"/>
    </row>
    <row r="796" spans="1:11" hidden="1">
      <c r="A796" s="172"/>
      <c r="B796" s="172"/>
      <c r="C796" s="172"/>
      <c r="D796" s="1554"/>
      <c r="E796" s="1554"/>
      <c r="F796" s="1554"/>
      <c r="G796" s="3"/>
      <c r="I796" s="490"/>
    </row>
    <row r="797" spans="1:11" hidden="1">
      <c r="A797" s="172"/>
      <c r="B797" s="172"/>
      <c r="C797" s="172"/>
      <c r="D797" s="1554"/>
      <c r="E797" s="1554"/>
      <c r="F797" s="1554"/>
      <c r="G797" s="3"/>
      <c r="I797" s="490"/>
    </row>
    <row r="798" spans="1:11" hidden="1">
      <c r="A798" s="174"/>
      <c r="B798" s="174"/>
      <c r="C798" s="174"/>
      <c r="D798" s="3"/>
      <c r="E798" s="983"/>
      <c r="F798" s="983"/>
      <c r="G798" s="983"/>
      <c r="I798" s="490"/>
    </row>
    <row r="799" spans="1:11" ht="14.4" hidden="1">
      <c r="A799" s="175"/>
      <c r="B799" s="485" t="s">
        <v>307</v>
      </c>
      <c r="C799" s="984"/>
      <c r="D799" s="1554" t="s">
        <v>1745</v>
      </c>
      <c r="E799" s="1554"/>
      <c r="F799" s="1554"/>
      <c r="G799" s="983"/>
      <c r="I799" s="483"/>
    </row>
    <row r="800" spans="1:11" ht="14.4" hidden="1">
      <c r="A800" s="175"/>
      <c r="B800" s="175"/>
      <c r="C800" s="984"/>
      <c r="D800" s="1554"/>
      <c r="E800" s="1554"/>
      <c r="F800" s="1554"/>
      <c r="G800" s="983"/>
      <c r="I800" s="490"/>
    </row>
    <row r="801" spans="1:9" ht="14.4" hidden="1">
      <c r="A801" s="175"/>
      <c r="B801" s="175"/>
      <c r="C801" s="984"/>
      <c r="D801" s="1554"/>
      <c r="E801" s="1554"/>
      <c r="F801" s="1554"/>
      <c r="G801" s="983"/>
      <c r="I801" s="490"/>
    </row>
    <row r="802" spans="1:9" ht="14.4" hidden="1">
      <c r="A802" s="175"/>
      <c r="B802" s="175"/>
      <c r="C802" s="984"/>
      <c r="D802" s="118"/>
      <c r="E802" s="3"/>
      <c r="F802" s="3"/>
      <c r="G802" s="983"/>
      <c r="I802" s="490"/>
    </row>
    <row r="803" spans="1:9" ht="14.4" hidden="1">
      <c r="A803" s="175"/>
      <c r="B803" s="485" t="s">
        <v>307</v>
      </c>
      <c r="C803" s="984"/>
      <c r="D803" s="1554" t="s">
        <v>1746</v>
      </c>
      <c r="E803" s="1554"/>
      <c r="F803" s="1554"/>
      <c r="G803" s="983"/>
      <c r="I803" s="483"/>
    </row>
    <row r="804" spans="1:9" ht="14.4" hidden="1">
      <c r="A804" s="175"/>
      <c r="B804" s="175"/>
      <c r="C804" s="984"/>
      <c r="D804" s="1554"/>
      <c r="E804" s="1554"/>
      <c r="F804" s="1554"/>
      <c r="G804" s="983"/>
      <c r="I804" s="490"/>
    </row>
    <row r="805" spans="1:9" ht="14.4" hidden="1">
      <c r="A805" s="175"/>
      <c r="B805" s="175"/>
      <c r="C805" s="984"/>
      <c r="D805" s="1554"/>
      <c r="E805" s="1554"/>
      <c r="F805" s="1554"/>
      <c r="G805" s="983"/>
      <c r="I805" s="490"/>
    </row>
    <row r="806" spans="1:9" ht="14.4" hidden="1">
      <c r="A806" s="175"/>
      <c r="B806" s="175"/>
      <c r="C806" s="984"/>
      <c r="D806" s="1554"/>
      <c r="E806" s="1554"/>
      <c r="F806" s="1554"/>
      <c r="G806" s="983"/>
      <c r="I806" s="490"/>
    </row>
    <row r="807" spans="1:9" ht="14.4" hidden="1">
      <c r="A807" s="175"/>
      <c r="B807" s="175"/>
      <c r="C807" s="984"/>
      <c r="D807" s="1554"/>
      <c r="E807" s="1554"/>
      <c r="F807" s="1554"/>
      <c r="G807" s="983"/>
      <c r="I807" s="490"/>
    </row>
    <row r="808" spans="1:9" ht="14.4" hidden="1">
      <c r="A808" s="175"/>
      <c r="B808" s="175"/>
      <c r="C808" s="984"/>
      <c r="D808" s="1554"/>
      <c r="E808" s="1554"/>
      <c r="F808" s="1554"/>
      <c r="G808" s="983"/>
      <c r="I808" s="490"/>
    </row>
    <row r="809" spans="1:9" ht="14.4" hidden="1">
      <c r="A809" s="175"/>
      <c r="B809" s="175"/>
      <c r="C809" s="984"/>
      <c r="D809" s="1554" t="s">
        <v>1789</v>
      </c>
      <c r="E809" s="1554"/>
      <c r="F809" s="1554"/>
      <c r="G809" s="983"/>
      <c r="I809" s="490"/>
    </row>
    <row r="810" spans="1:9" ht="14.4" hidden="1">
      <c r="A810" s="175"/>
      <c r="B810" s="175"/>
      <c r="C810" s="984"/>
      <c r="D810" s="1554"/>
      <c r="E810" s="1554"/>
      <c r="F810" s="1554"/>
      <c r="G810" s="983"/>
      <c r="I810" s="490"/>
    </row>
    <row r="811" spans="1:9" ht="14.4" hidden="1">
      <c r="A811" s="175"/>
      <c r="B811" s="175"/>
      <c r="C811" s="984"/>
      <c r="D811" s="1554"/>
      <c r="E811" s="1554"/>
      <c r="F811" s="1554"/>
      <c r="G811" s="983"/>
      <c r="I811" s="490"/>
    </row>
    <row r="812" spans="1:9" ht="14.4" hidden="1">
      <c r="A812" s="175"/>
      <c r="B812" s="354"/>
      <c r="C812" s="984"/>
      <c r="D812" s="985"/>
      <c r="E812" s="985"/>
      <c r="F812" s="985"/>
      <c r="G812" s="983"/>
      <c r="I812" s="490"/>
    </row>
    <row r="813" spans="1:9" ht="14.4" hidden="1">
      <c r="A813" s="175"/>
      <c r="B813" s="485" t="s">
        <v>307</v>
      </c>
      <c r="C813" s="984"/>
      <c r="D813" s="1554" t="s">
        <v>1747</v>
      </c>
      <c r="E813" s="1554"/>
      <c r="F813" s="1554"/>
      <c r="G813" s="983"/>
      <c r="I813" s="483"/>
    </row>
    <row r="814" spans="1:9" ht="14.4" hidden="1">
      <c r="A814" s="175"/>
      <c r="B814" s="175"/>
      <c r="C814" s="984"/>
      <c r="D814" s="1554"/>
      <c r="E814" s="1554"/>
      <c r="F814" s="1554"/>
      <c r="G814" s="983"/>
      <c r="I814" s="490"/>
    </row>
    <row r="815" spans="1:9" ht="14.4" hidden="1">
      <c r="A815" s="175"/>
      <c r="B815" s="175"/>
      <c r="C815" s="984"/>
      <c r="D815" s="1554"/>
      <c r="E815" s="1554"/>
      <c r="F815" s="1554"/>
      <c r="G815" s="983"/>
      <c r="I815" s="490"/>
    </row>
    <row r="816" spans="1:9" ht="14.4" hidden="1">
      <c r="A816" s="175"/>
      <c r="B816" s="175"/>
      <c r="C816" s="984"/>
      <c r="D816" s="1554"/>
      <c r="E816" s="1554"/>
      <c r="F816" s="1554"/>
      <c r="G816" s="983"/>
      <c r="I816" s="490"/>
    </row>
    <row r="817" spans="1:9" ht="14.4" hidden="1">
      <c r="A817" s="175"/>
      <c r="B817" s="175"/>
      <c r="C817" s="984"/>
      <c r="D817" s="1554"/>
      <c r="E817" s="1554"/>
      <c r="F817" s="1554"/>
      <c r="G817" s="983"/>
      <c r="I817" s="490"/>
    </row>
    <row r="818" spans="1:9" ht="14.4" hidden="1">
      <c r="A818" s="175"/>
      <c r="B818" s="175"/>
      <c r="C818" s="984"/>
      <c r="D818" s="1554"/>
      <c r="E818" s="1554"/>
      <c r="F818" s="1554"/>
      <c r="G818" s="983"/>
      <c r="I818" s="490"/>
    </row>
    <row r="819" spans="1:9" ht="14.4" hidden="1">
      <c r="A819" s="175"/>
      <c r="B819" s="175"/>
      <c r="C819" s="984"/>
      <c r="D819" s="977"/>
      <c r="E819" s="977"/>
      <c r="F819" s="977"/>
      <c r="G819" s="983"/>
      <c r="I819" s="490"/>
    </row>
    <row r="820" spans="1:9" ht="14.4" hidden="1">
      <c r="A820" s="175"/>
      <c r="B820" s="485" t="s">
        <v>307</v>
      </c>
      <c r="C820" s="984"/>
      <c r="D820" s="1554" t="s">
        <v>1748</v>
      </c>
      <c r="E820" s="1554"/>
      <c r="F820" s="1554"/>
      <c r="G820" s="983"/>
      <c r="I820" s="483"/>
    </row>
    <row r="821" spans="1:9" ht="14.4" hidden="1">
      <c r="A821" s="175"/>
      <c r="B821" s="175"/>
      <c r="C821" s="984"/>
      <c r="D821" s="1554"/>
      <c r="E821" s="1554"/>
      <c r="F821" s="1554"/>
      <c r="G821" s="983"/>
      <c r="I821" s="490"/>
    </row>
    <row r="822" spans="1:9" ht="14.4" hidden="1">
      <c r="A822" s="175"/>
      <c r="B822" s="175"/>
      <c r="C822" s="984"/>
      <c r="D822" s="1554"/>
      <c r="E822" s="1554"/>
      <c r="F822" s="1554"/>
      <c r="G822" s="983"/>
      <c r="I822" s="490"/>
    </row>
    <row r="823" spans="1:9" ht="14.4" hidden="1">
      <c r="A823" s="175"/>
      <c r="B823" s="175"/>
      <c r="C823" s="984"/>
      <c r="D823" s="1554"/>
      <c r="E823" s="1554"/>
      <c r="F823" s="1554"/>
      <c r="G823" s="983"/>
      <c r="I823" s="490"/>
    </row>
    <row r="824" spans="1:9" ht="14.4" hidden="1">
      <c r="A824" s="175"/>
      <c r="B824" s="175"/>
      <c r="C824" s="984"/>
      <c r="D824" s="1554"/>
      <c r="E824" s="1554"/>
      <c r="F824" s="1554"/>
      <c r="G824" s="983"/>
      <c r="I824" s="490"/>
    </row>
    <row r="825" spans="1:9" ht="14.4" hidden="1">
      <c r="A825" s="175"/>
      <c r="B825" s="175"/>
      <c r="C825" s="984"/>
      <c r="D825" s="1554"/>
      <c r="E825" s="1554"/>
      <c r="F825" s="1554"/>
      <c r="G825" s="983"/>
      <c r="I825" s="490"/>
    </row>
    <row r="826" spans="1:9" ht="14.4" hidden="1">
      <c r="A826" s="175"/>
      <c r="B826" s="175"/>
      <c r="C826" s="984"/>
      <c r="D826" s="977"/>
      <c r="E826" s="977"/>
      <c r="F826" s="977"/>
      <c r="G826" s="983"/>
      <c r="I826" s="490"/>
    </row>
    <row r="827" spans="1:9" ht="14.4" hidden="1">
      <c r="A827" s="175"/>
      <c r="B827" s="485" t="s">
        <v>307</v>
      </c>
      <c r="C827" s="984"/>
      <c r="D827" s="1550" t="s">
        <v>1749</v>
      </c>
      <c r="E827" s="1550"/>
      <c r="F827" s="1550"/>
      <c r="G827" s="983"/>
      <c r="I827" s="483"/>
    </row>
    <row r="828" spans="1:9" ht="14.4" hidden="1">
      <c r="A828" s="175"/>
      <c r="B828" s="175"/>
      <c r="C828" s="984"/>
      <c r="D828" s="1550"/>
      <c r="E828" s="1550"/>
      <c r="F828" s="1550"/>
      <c r="G828" s="983"/>
      <c r="I828" s="490"/>
    </row>
    <row r="829" spans="1:9" hidden="1">
      <c r="A829" s="13"/>
      <c r="B829" s="13"/>
      <c r="C829" s="984"/>
      <c r="D829" s="1550"/>
      <c r="E829" s="1550"/>
      <c r="F829" s="1550"/>
      <c r="G829" s="983"/>
      <c r="I829" s="490"/>
    </row>
    <row r="830" spans="1:9" ht="14.4" hidden="1">
      <c r="A830" s="175"/>
      <c r="B830" s="13"/>
      <c r="C830" s="984"/>
      <c r="D830" s="1550"/>
      <c r="E830" s="1550"/>
      <c r="F830" s="1550"/>
      <c r="G830" s="983"/>
      <c r="I830" s="490"/>
    </row>
    <row r="831" spans="1:9" ht="12.75" hidden="1" customHeight="1">
      <c r="A831" s="175"/>
      <c r="B831" s="13"/>
      <c r="C831" s="984"/>
      <c r="D831" s="1550"/>
      <c r="E831" s="1550"/>
      <c r="F831" s="1550"/>
      <c r="G831" s="983"/>
      <c r="I831" s="490"/>
    </row>
    <row r="832" spans="1:9" ht="12.75" hidden="1" customHeight="1">
      <c r="A832" s="175"/>
      <c r="B832" s="13"/>
      <c r="C832" s="984"/>
      <c r="D832" s="1550"/>
      <c r="E832" s="1550"/>
      <c r="F832" s="1550"/>
      <c r="G832" s="983"/>
      <c r="I832" s="490"/>
    </row>
    <row r="833" spans="1:9" ht="12.75" hidden="1" customHeight="1">
      <c r="A833" s="13"/>
      <c r="B833" s="13"/>
      <c r="C833" s="984"/>
      <c r="D833" s="983"/>
      <c r="E833" s="3"/>
      <c r="F833" s="3"/>
      <c r="G833" s="983"/>
      <c r="I833" s="490"/>
    </row>
    <row r="834" spans="1:9" ht="12.75" customHeight="1">
      <c r="A834" s="1548" t="s">
        <v>1750</v>
      </c>
      <c r="B834" s="1548"/>
      <c r="C834" s="1548"/>
      <c r="D834" s="1548"/>
      <c r="E834" s="1548"/>
      <c r="F834" s="1548"/>
      <c r="G834" s="1548"/>
      <c r="H834" s="1023"/>
      <c r="I834" s="1147"/>
    </row>
    <row r="835" spans="1:9" ht="12.75" customHeight="1">
      <c r="A835" s="172"/>
      <c r="B835" s="172"/>
      <c r="C835" s="984"/>
      <c r="D835" s="983"/>
      <c r="E835" s="983"/>
      <c r="F835" s="983"/>
      <c r="G835" s="983"/>
      <c r="I835" s="490"/>
    </row>
    <row r="836" spans="1:9" ht="12.75" customHeight="1">
      <c r="A836" s="175"/>
      <c r="B836" s="175"/>
      <c r="C836" s="354"/>
      <c r="D836" s="1570" t="s">
        <v>1790</v>
      </c>
      <c r="E836" s="1570"/>
      <c r="F836" s="1570"/>
      <c r="G836" s="3"/>
      <c r="I836" s="490"/>
    </row>
    <row r="837" spans="1:9" ht="14.25" customHeight="1">
      <c r="A837" s="175"/>
      <c r="B837" s="175"/>
      <c r="C837" s="354"/>
      <c r="D837" s="1524" t="s">
        <v>1751</v>
      </c>
      <c r="E837" s="1524"/>
      <c r="F837" s="1524"/>
      <c r="G837" s="3"/>
      <c r="I837" s="490"/>
    </row>
    <row r="838" spans="1:9" ht="12.75" customHeight="1">
      <c r="A838" s="175"/>
      <c r="B838" s="175"/>
      <c r="C838" s="354"/>
      <c r="D838" s="441"/>
      <c r="E838" s="441"/>
      <c r="F838" s="441"/>
      <c r="G838" s="3"/>
      <c r="I838" s="490"/>
    </row>
    <row r="839" spans="1:9" ht="12.75" customHeight="1">
      <c r="A839" s="354"/>
      <c r="B839" s="485" t="s">
        <v>2637</v>
      </c>
      <c r="C839" s="984"/>
      <c r="D839" s="1524" t="s">
        <v>1752</v>
      </c>
      <c r="E839" s="1524"/>
      <c r="F839" s="1524"/>
      <c r="G839" s="3"/>
      <c r="I839" s="490" t="s">
        <v>1852</v>
      </c>
    </row>
    <row r="840" spans="1:9" ht="14.25" customHeight="1">
      <c r="A840" s="13"/>
      <c r="B840" s="13"/>
      <c r="C840" s="984"/>
      <c r="E840" s="1031" t="s">
        <v>1867</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571" t="s">
        <v>2030</v>
      </c>
      <c r="E842" s="1571"/>
      <c r="F842" s="1571"/>
      <c r="G842" s="3"/>
      <c r="I842" s="490"/>
    </row>
    <row r="843" spans="1:9" ht="12.75" hidden="1" customHeight="1">
      <c r="A843" s="13"/>
      <c r="B843" s="13"/>
      <c r="C843" s="984"/>
      <c r="D843" s="1571"/>
      <c r="E843" s="1571"/>
      <c r="F843" s="1571"/>
      <c r="G843" s="3"/>
      <c r="I843" s="490"/>
    </row>
    <row r="844" spans="1:9" ht="12.75" hidden="1" customHeight="1">
      <c r="A844" s="13"/>
      <c r="B844" s="13"/>
      <c r="C844" s="984"/>
      <c r="D844" s="1571"/>
      <c r="E844" s="1571"/>
      <c r="F844" s="1571"/>
      <c r="G844" s="3"/>
      <c r="I844" s="490"/>
    </row>
    <row r="845" spans="1:9" ht="12.75" hidden="1" customHeight="1">
      <c r="A845" s="13"/>
      <c r="B845" s="13"/>
      <c r="C845" s="984"/>
      <c r="D845" s="1571"/>
      <c r="E845" s="1571"/>
      <c r="F845" s="1571"/>
      <c r="G845" s="3"/>
      <c r="I845" s="490"/>
    </row>
    <row r="846" spans="1:9" ht="12.75" hidden="1" customHeight="1">
      <c r="A846" s="13"/>
      <c r="B846" s="13"/>
      <c r="C846" s="984"/>
      <c r="D846" s="1571"/>
      <c r="E846" s="1571"/>
      <c r="F846" s="1571"/>
      <c r="G846" s="3"/>
      <c r="I846" s="490"/>
    </row>
    <row r="847" spans="1:9" ht="12.75" hidden="1" customHeight="1">
      <c r="A847" s="13"/>
      <c r="B847" s="13"/>
      <c r="C847" s="984"/>
      <c r="D847" s="1571"/>
      <c r="E847" s="1571"/>
      <c r="F847" s="1571"/>
      <c r="G847" s="3"/>
      <c r="I847" s="490"/>
    </row>
    <row r="848" spans="1:9" ht="12.75" hidden="1" customHeight="1">
      <c r="A848" s="13"/>
      <c r="B848" s="13"/>
      <c r="C848" s="984"/>
      <c r="D848" s="1571"/>
      <c r="E848" s="1571"/>
      <c r="F848" s="1571"/>
      <c r="G848" s="3"/>
      <c r="I848" s="490"/>
    </row>
    <row r="849" spans="1:9" ht="12.75" hidden="1" customHeight="1">
      <c r="A849" s="13"/>
      <c r="B849" s="13"/>
      <c r="C849" s="984"/>
      <c r="D849" s="1571"/>
      <c r="E849" s="1571"/>
      <c r="F849" s="1571"/>
      <c r="G849" s="3"/>
      <c r="I849" s="490"/>
    </row>
    <row r="850" spans="1:9" ht="12.75" hidden="1" customHeight="1">
      <c r="A850" s="13"/>
      <c r="B850" s="13"/>
      <c r="C850" s="984"/>
      <c r="D850" s="1571"/>
      <c r="E850" s="1571"/>
      <c r="F850" s="1571"/>
      <c r="G850" s="3"/>
      <c r="I850" s="490"/>
    </row>
    <row r="851" spans="1:9" ht="12.75" hidden="1" customHeight="1">
      <c r="A851" s="13"/>
      <c r="B851" s="13"/>
      <c r="C851" s="984"/>
      <c r="D851" s="1571"/>
      <c r="E851" s="1571"/>
      <c r="F851" s="1571"/>
      <c r="G851" s="3"/>
      <c r="I851" s="490"/>
    </row>
    <row r="852" spans="1:9" ht="12.75" hidden="1" customHeight="1">
      <c r="A852" s="13"/>
      <c r="B852" s="13"/>
      <c r="C852" s="984"/>
      <c r="D852" s="986"/>
      <c r="E852" s="3"/>
      <c r="F852" s="3"/>
      <c r="G852" s="3"/>
      <c r="I852" s="490"/>
    </row>
    <row r="853" spans="1:9" ht="12.75" customHeight="1">
      <c r="A853" s="175"/>
      <c r="B853" s="485" t="s">
        <v>2637</v>
      </c>
      <c r="C853" s="984"/>
      <c r="D853" s="1524" t="s">
        <v>1753</v>
      </c>
      <c r="E853" s="1524"/>
      <c r="F853" s="1524"/>
      <c r="G853" s="3"/>
      <c r="I853" s="490" t="s">
        <v>1855</v>
      </c>
    </row>
    <row r="854" spans="1:9" ht="12.75" customHeight="1">
      <c r="A854" s="175"/>
      <c r="B854" s="175"/>
      <c r="C854" s="984"/>
      <c r="D854" s="1524"/>
      <c r="E854" s="1524"/>
      <c r="F854" s="1524"/>
      <c r="G854" s="3"/>
      <c r="I854" s="490"/>
    </row>
    <row r="855" spans="1:9" ht="12.75" customHeight="1">
      <c r="A855" s="175"/>
      <c r="B855" s="175"/>
      <c r="C855" s="984"/>
      <c r="D855" s="1524"/>
      <c r="E855" s="1524"/>
      <c r="F855" s="1524"/>
      <c r="G855" s="3"/>
      <c r="I855" s="490"/>
    </row>
    <row r="856" spans="1:9" ht="12.75" customHeight="1">
      <c r="A856" s="175"/>
      <c r="B856" s="175"/>
      <c r="C856" s="984"/>
      <c r="D856" s="118"/>
      <c r="E856" s="3"/>
      <c r="F856" s="3"/>
      <c r="G856" s="3"/>
      <c r="I856" s="490"/>
    </row>
    <row r="857" spans="1:9" ht="12.75" customHeight="1">
      <c r="A857" s="987"/>
      <c r="B857" s="485" t="s">
        <v>2638</v>
      </c>
      <c r="C857" s="984"/>
      <c r="D857" s="1570" t="s">
        <v>1754</v>
      </c>
      <c r="E857" s="1570"/>
      <c r="F857" s="1570"/>
      <c r="G857" s="3"/>
      <c r="I857" s="490"/>
    </row>
    <row r="858" spans="1:9" ht="12.75" customHeight="1">
      <c r="A858" s="354"/>
      <c r="B858" s="987"/>
      <c r="C858" s="984"/>
      <c r="D858" s="1570"/>
      <c r="E858" s="1570"/>
      <c r="F858" s="1570"/>
      <c r="G858" s="3"/>
      <c r="I858" s="490"/>
    </row>
    <row r="859" spans="1:9" ht="12.75" customHeight="1">
      <c r="A859" s="175"/>
      <c r="B859" s="354"/>
      <c r="C859" s="984"/>
      <c r="D859" s="1524" t="s">
        <v>2025</v>
      </c>
      <c r="E859" s="1524"/>
      <c r="F859" s="1524"/>
      <c r="G859" s="3"/>
      <c r="I859" s="490"/>
    </row>
    <row r="860" spans="1:9" ht="12.75" customHeight="1">
      <c r="A860" s="175"/>
      <c r="B860" s="175"/>
      <c r="C860" s="984"/>
      <c r="D860" s="1524"/>
      <c r="E860" s="1524"/>
      <c r="F860" s="1524"/>
      <c r="G860" s="3"/>
      <c r="I860" s="490"/>
    </row>
    <row r="861" spans="1:9" ht="12.75" customHeight="1">
      <c r="A861" s="175"/>
      <c r="B861" s="175"/>
      <c r="C861" s="984"/>
      <c r="D861" s="1524"/>
      <c r="E861" s="1524"/>
      <c r="F861" s="1524"/>
      <c r="G861" s="3"/>
      <c r="I861" s="490"/>
    </row>
    <row r="862" spans="1:9" ht="12.75" customHeight="1">
      <c r="A862" s="175"/>
      <c r="B862" s="175"/>
      <c r="C862" s="984"/>
      <c r="D862" s="1524"/>
      <c r="E862" s="1524"/>
      <c r="F862" s="1524"/>
      <c r="G862" s="3"/>
      <c r="I862" s="490"/>
    </row>
    <row r="863" spans="1:9" ht="12.75" customHeight="1">
      <c r="A863" s="175"/>
      <c r="B863" s="175"/>
      <c r="C863" s="984"/>
      <c r="D863" s="1524"/>
      <c r="E863" s="1524"/>
      <c r="F863" s="1524"/>
      <c r="G863" s="3"/>
      <c r="I863" s="490"/>
    </row>
    <row r="864" spans="1:9" ht="12.75" customHeight="1">
      <c r="A864" s="175"/>
      <c r="B864" s="175"/>
      <c r="C864" s="984"/>
      <c r="D864" s="1524"/>
      <c r="E864" s="1524"/>
      <c r="F864" s="1524"/>
      <c r="G864" s="3"/>
      <c r="I864" s="490"/>
    </row>
    <row r="865" spans="1:9" ht="12.75" customHeight="1">
      <c r="A865" s="175"/>
      <c r="B865" s="175"/>
      <c r="C865" s="984"/>
      <c r="D865" s="118"/>
      <c r="E865" s="3"/>
      <c r="F865" s="3"/>
      <c r="G865" s="3"/>
      <c r="I865" s="490"/>
    </row>
    <row r="866" spans="1:9" ht="12.75" customHeight="1">
      <c r="A866" s="175"/>
      <c r="B866" s="485" t="s">
        <v>2638</v>
      </c>
      <c r="C866" s="984"/>
      <c r="D866" s="1524" t="s">
        <v>1755</v>
      </c>
      <c r="E866" s="1524"/>
      <c r="F866" s="1524"/>
      <c r="G866" s="3"/>
      <c r="I866" s="490" t="s">
        <v>1853</v>
      </c>
    </row>
    <row r="867" spans="1:9" ht="12.75" customHeight="1">
      <c r="A867" s="175"/>
      <c r="B867" s="175"/>
      <c r="C867" s="984"/>
      <c r="D867" s="1524" t="s">
        <v>1756</v>
      </c>
      <c r="E867" s="1524"/>
      <c r="F867" s="1524"/>
      <c r="G867" s="3"/>
      <c r="I867" s="490"/>
    </row>
    <row r="868" spans="1:9" ht="12.75" customHeight="1">
      <c r="A868" s="175"/>
      <c r="B868" s="175"/>
      <c r="C868" s="984"/>
      <c r="E868" s="1031" t="s">
        <v>1869</v>
      </c>
      <c r="F868" s="1033"/>
      <c r="G868" s="3"/>
      <c r="I868" s="490"/>
    </row>
    <row r="869" spans="1:9" ht="12.75" customHeight="1">
      <c r="A869" s="175"/>
      <c r="B869" s="175"/>
      <c r="C869" s="984"/>
      <c r="D869" s="118"/>
      <c r="E869" s="3"/>
      <c r="F869" s="3"/>
      <c r="G869" s="3"/>
      <c r="I869" s="490"/>
    </row>
    <row r="870" spans="1:9" ht="12.75" customHeight="1">
      <c r="A870" s="175"/>
      <c r="B870" s="485" t="s">
        <v>2638</v>
      </c>
      <c r="C870" s="984"/>
      <c r="D870" s="1524" t="s">
        <v>1757</v>
      </c>
      <c r="E870" s="1524"/>
      <c r="F870" s="1524"/>
      <c r="G870" s="3"/>
      <c r="I870" s="490" t="s">
        <v>1856</v>
      </c>
    </row>
    <row r="871" spans="1:9" ht="12.75" customHeight="1">
      <c r="A871" s="175"/>
      <c r="B871" s="175"/>
      <c r="C871" s="984"/>
      <c r="D871" s="1524"/>
      <c r="E871" s="1524"/>
      <c r="F871" s="1524"/>
      <c r="G871" s="3"/>
      <c r="I871" s="490"/>
    </row>
    <row r="872" spans="1:9" ht="12.75" customHeight="1">
      <c r="A872" s="175"/>
      <c r="B872" s="175"/>
      <c r="C872" s="984"/>
      <c r="D872" s="1524"/>
      <c r="E872" s="1524"/>
      <c r="F872" s="1524"/>
      <c r="G872" s="3"/>
      <c r="I872" s="490"/>
    </row>
    <row r="873" spans="1:9" ht="12.75" customHeight="1">
      <c r="A873" s="175"/>
      <c r="B873" s="175"/>
      <c r="C873" s="984"/>
      <c r="D873" s="1524"/>
      <c r="E873" s="1524"/>
      <c r="F873" s="1524"/>
      <c r="G873" s="3"/>
      <c r="I873" s="490"/>
    </row>
    <row r="874" spans="1:9" ht="12.75" customHeight="1">
      <c r="A874" s="172"/>
      <c r="B874" s="172"/>
      <c r="C874" s="172"/>
      <c r="D874" s="118"/>
      <c r="E874" s="3"/>
      <c r="F874" s="3"/>
      <c r="G874" s="3"/>
      <c r="I874" s="490"/>
    </row>
    <row r="875" spans="1:9" ht="12.75" customHeight="1">
      <c r="A875" s="978" t="s">
        <v>1758</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551" t="s">
        <v>1791</v>
      </c>
      <c r="E877" s="1551"/>
      <c r="F877" s="1551"/>
      <c r="G877" s="983"/>
      <c r="I877" s="490"/>
    </row>
    <row r="878" spans="1:9" ht="12.75" customHeight="1">
      <c r="A878" s="354"/>
      <c r="B878" s="354"/>
      <c r="C878" s="174"/>
      <c r="D878" s="1569" t="s">
        <v>1759</v>
      </c>
      <c r="E878" s="1569"/>
      <c r="F878" s="1569"/>
      <c r="G878" s="983"/>
      <c r="I878" s="490"/>
    </row>
    <row r="879" spans="1:9" ht="12.75" customHeight="1">
      <c r="A879" s="354"/>
      <c r="B879" s="354"/>
      <c r="C879" s="174"/>
      <c r="D879" s="990"/>
      <c r="E879" s="990"/>
      <c r="F879" s="990"/>
      <c r="G879" s="983"/>
      <c r="I879" s="490"/>
    </row>
    <row r="880" spans="1:9" ht="12.75" customHeight="1">
      <c r="A880" s="175"/>
      <c r="B880" s="485" t="s">
        <v>2637</v>
      </c>
      <c r="C880" s="354"/>
      <c r="D880" s="1552" t="s">
        <v>1760</v>
      </c>
      <c r="E880" s="1552"/>
      <c r="F880" s="1552"/>
      <c r="G880" s="983"/>
      <c r="I880" s="490" t="s">
        <v>1853</v>
      </c>
    </row>
    <row r="881" spans="1:9" ht="12.75" customHeight="1">
      <c r="A881" s="354"/>
      <c r="B881" s="354"/>
      <c r="C881" s="354"/>
      <c r="D881" s="2" t="s">
        <v>1735</v>
      </c>
      <c r="E881" s="1031" t="s">
        <v>1869</v>
      </c>
      <c r="F881" s="1034"/>
      <c r="G881" s="983"/>
      <c r="I881" s="490"/>
    </row>
    <row r="882" spans="1:9" ht="12.75" customHeight="1">
      <c r="A882" s="354"/>
      <c r="B882" s="354"/>
      <c r="C882" s="354"/>
      <c r="D882" s="118"/>
      <c r="E882" s="983"/>
      <c r="F882" s="983"/>
      <c r="G882" s="983"/>
      <c r="I882" s="490"/>
    </row>
    <row r="883" spans="1:9" ht="12.75" customHeight="1">
      <c r="A883" s="175"/>
      <c r="B883" s="485" t="s">
        <v>2637</v>
      </c>
      <c r="C883" s="354"/>
      <c r="D883" s="1524" t="s">
        <v>1761</v>
      </c>
      <c r="E883" s="1576"/>
      <c r="F883" s="1576"/>
      <c r="G883" s="3"/>
      <c r="I883" s="490" t="s">
        <v>1856</v>
      </c>
    </row>
    <row r="884" spans="1:9" ht="12.75" customHeight="1">
      <c r="A884" s="354"/>
      <c r="B884" s="354"/>
      <c r="C884" s="354"/>
      <c r="D884" s="1576"/>
      <c r="E884" s="1576"/>
      <c r="F884" s="1576"/>
      <c r="G884" s="3"/>
      <c r="I884" s="490"/>
    </row>
    <row r="885" spans="1:9" ht="12.75" customHeight="1">
      <c r="A885" s="354"/>
      <c r="B885" s="354"/>
      <c r="C885" s="354"/>
      <c r="D885" s="118"/>
      <c r="E885" s="3"/>
      <c r="F885" s="3"/>
      <c r="G885" s="3"/>
      <c r="I885" s="490"/>
    </row>
    <row r="886" spans="1:9" ht="12.75" customHeight="1">
      <c r="A886" s="354"/>
      <c r="B886" s="485" t="s">
        <v>2638</v>
      </c>
      <c r="C886" s="354"/>
      <c r="D886" s="1577" t="s">
        <v>1762</v>
      </c>
      <c r="E886" s="1577"/>
      <c r="F886" s="1577"/>
      <c r="G886" s="983"/>
      <c r="I886" s="490"/>
    </row>
    <row r="887" spans="1:9" ht="12.75" customHeight="1">
      <c r="A887" s="354"/>
      <c r="B887" s="991"/>
      <c r="C887" s="354"/>
      <c r="D887" s="1577"/>
      <c r="E887" s="1577"/>
      <c r="F887" s="1577"/>
      <c r="G887" s="983"/>
      <c r="I887" s="490"/>
    </row>
    <row r="888" spans="1:9" ht="12.75" customHeight="1">
      <c r="A888" s="175"/>
      <c r="B888"/>
      <c r="C888" s="354"/>
      <c r="D888" s="1524" t="s">
        <v>2025</v>
      </c>
      <c r="E888" s="1524"/>
      <c r="F888" s="1524"/>
      <c r="G888" s="983"/>
      <c r="I888" s="490"/>
    </row>
    <row r="889" spans="1:9" ht="12.75" customHeight="1">
      <c r="A889" s="175"/>
      <c r="B889" s="175"/>
      <c r="C889" s="354"/>
      <c r="D889" s="1524"/>
      <c r="E889" s="1524"/>
      <c r="F889" s="1524"/>
      <c r="G889" s="983"/>
      <c r="I889" s="490"/>
    </row>
    <row r="890" spans="1:9" ht="12.75" customHeight="1">
      <c r="A890" s="175"/>
      <c r="B890" s="175"/>
      <c r="C890" s="354"/>
      <c r="D890" s="1524"/>
      <c r="E890" s="1524"/>
      <c r="F890" s="1524"/>
      <c r="G890" s="983"/>
      <c r="I890" s="490"/>
    </row>
    <row r="891" spans="1:9" ht="12.75" customHeight="1">
      <c r="A891" s="175"/>
      <c r="B891" s="175"/>
      <c r="C891" s="354"/>
      <c r="D891" s="1524"/>
      <c r="E891" s="1524"/>
      <c r="F891" s="1524"/>
      <c r="G891" s="983"/>
      <c r="I891" s="490"/>
    </row>
    <row r="892" spans="1:9" ht="12.75" customHeight="1">
      <c r="A892" s="175"/>
      <c r="B892" s="175"/>
      <c r="C892" s="354"/>
      <c r="D892" s="1524"/>
      <c r="E892" s="1524"/>
      <c r="F892" s="1524"/>
      <c r="G892" s="983"/>
      <c r="I892" s="490"/>
    </row>
    <row r="893" spans="1:9" ht="12.75" customHeight="1">
      <c r="A893" s="175"/>
      <c r="B893" s="175"/>
      <c r="C893" s="354"/>
      <c r="D893" s="1524"/>
      <c r="E893" s="1524"/>
      <c r="F893" s="1524"/>
      <c r="G893" s="983"/>
      <c r="I893" s="490"/>
    </row>
    <row r="894" spans="1:9" ht="12.75" customHeight="1">
      <c r="A894" s="175"/>
      <c r="B894" s="175"/>
      <c r="C894" s="354"/>
      <c r="D894" s="118"/>
      <c r="E894" s="983"/>
      <c r="F894" s="983"/>
      <c r="G894" s="983"/>
      <c r="I894" s="490"/>
    </row>
    <row r="895" spans="1:9" ht="12.75" customHeight="1">
      <c r="A895" s="175"/>
      <c r="B895" s="485" t="s">
        <v>2638</v>
      </c>
      <c r="C895" s="354"/>
      <c r="D895" s="1543" t="s">
        <v>1755</v>
      </c>
      <c r="E895" s="1543"/>
      <c r="F895" s="1543"/>
      <c r="G895" s="983"/>
      <c r="I895" s="490"/>
    </row>
    <row r="896" spans="1:9" ht="12.75" customHeight="1">
      <c r="A896" s="175"/>
      <c r="B896" s="175"/>
      <c r="C896" s="354"/>
      <c r="D896" s="1543" t="s">
        <v>1756</v>
      </c>
      <c r="E896" s="1543"/>
      <c r="F896" s="1543"/>
      <c r="G896" s="983"/>
      <c r="I896" s="490"/>
    </row>
    <row r="897" spans="1:9" ht="12.75" customHeight="1">
      <c r="A897" s="175"/>
      <c r="B897" s="175"/>
      <c r="C897" s="354"/>
      <c r="D897" s="2" t="s">
        <v>1269</v>
      </c>
      <c r="E897" s="1031" t="s">
        <v>1869</v>
      </c>
      <c r="F897" s="1035"/>
      <c r="G897" s="983"/>
      <c r="I897" s="490"/>
    </row>
    <row r="898" spans="1:9" ht="12.75" customHeight="1">
      <c r="A898" s="175"/>
      <c r="B898" s="175"/>
      <c r="C898" s="354"/>
      <c r="D898" s="118"/>
      <c r="E898" s="983"/>
      <c r="F898" s="983"/>
      <c r="G898" s="983"/>
      <c r="I898" s="490"/>
    </row>
    <row r="899" spans="1:9" ht="12.75" customHeight="1">
      <c r="A899" s="175"/>
      <c r="B899" s="485" t="s">
        <v>2638</v>
      </c>
      <c r="C899" s="354"/>
      <c r="D899" s="1524" t="s">
        <v>1757</v>
      </c>
      <c r="E899" s="1524"/>
      <c r="F899" s="1524"/>
      <c r="G899" s="983"/>
      <c r="I899" s="490"/>
    </row>
    <row r="900" spans="1:9" ht="12.75" customHeight="1">
      <c r="A900" s="175"/>
      <c r="B900" s="175"/>
      <c r="C900" s="354"/>
      <c r="D900" s="1524"/>
      <c r="E900" s="1524"/>
      <c r="F900" s="1524"/>
      <c r="G900" s="983"/>
      <c r="I900" s="490"/>
    </row>
    <row r="901" spans="1:9" ht="12.75" customHeight="1">
      <c r="A901" s="175"/>
      <c r="B901" s="175"/>
      <c r="C901" s="354"/>
      <c r="D901" s="1524"/>
      <c r="E901" s="1524"/>
      <c r="F901" s="1524"/>
      <c r="G901" s="983"/>
      <c r="I901" s="490"/>
    </row>
    <row r="902" spans="1:9" ht="12.75" customHeight="1">
      <c r="A902" s="175"/>
      <c r="B902" s="175"/>
      <c r="C902" s="354"/>
      <c r="D902" s="1524"/>
      <c r="E902" s="1524"/>
      <c r="F902" s="1524"/>
      <c r="G902" s="983"/>
      <c r="I902" s="490"/>
    </row>
    <row r="903" spans="1:9" ht="12.75" customHeight="1">
      <c r="A903" s="118"/>
      <c r="B903" s="118"/>
      <c r="C903" s="984"/>
      <c r="D903" s="983"/>
      <c r="E903" s="983"/>
      <c r="F903" s="983"/>
      <c r="G903" s="983"/>
      <c r="I903" s="490"/>
    </row>
    <row r="904" spans="1:9" ht="12.75" customHeight="1">
      <c r="A904" s="1548" t="s">
        <v>1792</v>
      </c>
      <c r="B904" s="1548"/>
      <c r="C904" s="1548"/>
      <c r="D904" s="1548"/>
      <c r="E904" s="1548"/>
      <c r="F904" s="1548"/>
      <c r="G904" s="1548"/>
      <c r="H904" s="1023"/>
      <c r="I904" s="1147"/>
    </row>
    <row r="905" spans="1:9" ht="12.75" customHeight="1">
      <c r="A905" s="57"/>
      <c r="B905" s="57"/>
      <c r="C905" s="57"/>
      <c r="D905" s="57"/>
      <c r="E905" s="57"/>
      <c r="F905" s="57"/>
      <c r="G905" s="57"/>
      <c r="I905" s="490"/>
    </row>
    <row r="906" spans="1:9" ht="12.75" customHeight="1">
      <c r="A906" s="57"/>
      <c r="B906" s="57"/>
      <c r="C906" s="57"/>
      <c r="D906" s="1546" t="s">
        <v>1798</v>
      </c>
      <c r="E906" s="1546"/>
      <c r="F906" s="1546"/>
      <c r="G906" s="57"/>
      <c r="I906" s="490"/>
    </row>
    <row r="907" spans="1:9" ht="12.75" customHeight="1">
      <c r="A907" s="57"/>
      <c r="B907" s="57"/>
      <c r="C907" s="57"/>
      <c r="D907" s="976"/>
      <c r="E907" s="976"/>
      <c r="F907" s="976"/>
      <c r="G907" s="57"/>
      <c r="I907" s="490"/>
    </row>
    <row r="908" spans="1:9" ht="12.75" customHeight="1">
      <c r="A908" s="57"/>
      <c r="B908" s="485" t="s">
        <v>2637</v>
      </c>
      <c r="C908" s="57"/>
      <c r="D908" s="979" t="s">
        <v>1799</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546" t="s">
        <v>1793</v>
      </c>
      <c r="E910" s="1546"/>
      <c r="F910" s="1546"/>
      <c r="G910" s="983"/>
      <c r="I910" s="490"/>
    </row>
    <row r="911" spans="1:9" ht="12.75" customHeight="1">
      <c r="A911" s="172"/>
      <c r="B911" s="172"/>
      <c r="C911" s="172"/>
      <c r="D911" s="1552" t="s">
        <v>1763</v>
      </c>
      <c r="E911" s="1552"/>
      <c r="F911" s="1552"/>
      <c r="G911" s="983"/>
      <c r="I911" s="490"/>
    </row>
    <row r="912" spans="1:9" ht="12.75" customHeight="1">
      <c r="A912" s="984"/>
      <c r="B912" s="984"/>
      <c r="C912" s="984"/>
      <c r="D912" s="2"/>
      <c r="E912" s="983"/>
      <c r="F912" s="983"/>
      <c r="G912" s="983"/>
      <c r="I912" s="490"/>
    </row>
    <row r="913" spans="1:9" ht="12.75" customHeight="1">
      <c r="A913" s="175"/>
      <c r="B913" s="485" t="s">
        <v>2637</v>
      </c>
      <c r="C913" s="354"/>
      <c r="D913" s="1524" t="s">
        <v>1767</v>
      </c>
      <c r="E913" s="1524"/>
      <c r="F913" s="1524"/>
      <c r="G913" s="3"/>
      <c r="I913" s="490"/>
    </row>
    <row r="914" spans="1:9" ht="12.75" customHeight="1">
      <c r="A914" s="354"/>
      <c r="B914" s="354"/>
      <c r="C914" s="354"/>
      <c r="D914" s="1524"/>
      <c r="E914" s="1524"/>
      <c r="F914" s="1524"/>
      <c r="G914" s="3"/>
      <c r="I914" s="490"/>
    </row>
    <row r="915" spans="1:9" ht="12.75" customHeight="1">
      <c r="A915" s="172"/>
      <c r="B915" s="172"/>
      <c r="C915" s="172"/>
      <c r="D915" s="1524" t="s">
        <v>1766</v>
      </c>
      <c r="E915" s="1524"/>
      <c r="F915" s="1524"/>
      <c r="G915" s="983"/>
      <c r="I915" s="490"/>
    </row>
    <row r="916" spans="1:9" ht="12.75" customHeight="1">
      <c r="A916" s="172"/>
      <c r="B916" s="172"/>
      <c r="C916" s="172"/>
      <c r="D916" s="1524"/>
      <c r="E916" s="1524"/>
      <c r="F916" s="1524"/>
      <c r="G916" s="983"/>
      <c r="I916" s="490"/>
    </row>
    <row r="917" spans="1:9" ht="12.75" customHeight="1">
      <c r="A917" s="172"/>
      <c r="B917" s="172"/>
      <c r="C917" s="172"/>
      <c r="D917" s="3"/>
      <c r="E917" s="3"/>
      <c r="F917" s="983"/>
      <c r="G917" s="983"/>
      <c r="I917" s="490"/>
    </row>
    <row r="918" spans="1:9" ht="12.75" customHeight="1">
      <c r="A918" s="175"/>
      <c r="B918" s="485" t="s">
        <v>2637</v>
      </c>
      <c r="C918" s="174"/>
      <c r="D918" s="1535" t="s">
        <v>1764</v>
      </c>
      <c r="E918" s="1535"/>
      <c r="F918" s="1535"/>
      <c r="G918" s="983"/>
      <c r="I918" s="490"/>
    </row>
    <row r="919" spans="1:9" ht="12.75" customHeight="1">
      <c r="A919" s="175"/>
      <c r="B919" s="175"/>
      <c r="C919" s="174"/>
      <c r="D919" s="1535"/>
      <c r="E919" s="1535"/>
      <c r="F919" s="1535"/>
      <c r="G919" s="983"/>
      <c r="I919" s="490"/>
    </row>
    <row r="920" spans="1:9" ht="12.75" customHeight="1">
      <c r="A920" s="175"/>
      <c r="B920" s="175"/>
      <c r="C920" s="174"/>
      <c r="D920" s="1535"/>
      <c r="E920" s="1535"/>
      <c r="F920" s="1535"/>
      <c r="G920" s="983"/>
      <c r="I920" s="490"/>
    </row>
    <row r="921" spans="1:9" ht="12.75" customHeight="1">
      <c r="A921" s="175"/>
      <c r="B921" s="175"/>
      <c r="C921" s="174"/>
      <c r="D921" s="1535"/>
      <c r="E921" s="1535"/>
      <c r="F921" s="1535"/>
      <c r="G921" s="983"/>
      <c r="I921" s="490"/>
    </row>
    <row r="922" spans="1:9" ht="12.75" customHeight="1">
      <c r="A922" s="175"/>
      <c r="B922" s="175"/>
      <c r="C922" s="174"/>
      <c r="D922" s="1535"/>
      <c r="E922" s="1535"/>
      <c r="F922" s="1535"/>
      <c r="G922" s="983"/>
      <c r="I922" s="490"/>
    </row>
    <row r="923" spans="1:9" ht="12.75" customHeight="1">
      <c r="A923" s="174"/>
      <c r="B923" s="174"/>
      <c r="C923" s="174"/>
      <c r="D923" s="1535"/>
      <c r="E923" s="1535"/>
      <c r="F923" s="1535"/>
      <c r="G923" s="983"/>
      <c r="I923" s="490"/>
    </row>
    <row r="924" spans="1:9" ht="12.75" customHeight="1">
      <c r="A924" s="174"/>
      <c r="B924" s="174"/>
      <c r="C924" s="174"/>
      <c r="D924" s="1535"/>
      <c r="E924" s="1535"/>
      <c r="F924" s="1535"/>
      <c r="G924" s="983"/>
      <c r="I924" s="490"/>
    </row>
    <row r="925" spans="1:9" ht="12.75" customHeight="1">
      <c r="A925" s="174"/>
      <c r="B925" s="174"/>
      <c r="C925" s="174"/>
      <c r="D925" s="1535"/>
      <c r="E925" s="1535"/>
      <c r="F925" s="1535"/>
      <c r="G925" s="983"/>
      <c r="I925" s="490"/>
    </row>
    <row r="926" spans="1:9" ht="12.75" customHeight="1">
      <c r="A926" s="174"/>
      <c r="B926" s="174"/>
      <c r="C926" s="174"/>
      <c r="D926" s="335"/>
      <c r="E926" s="335"/>
      <c r="F926" s="335"/>
      <c r="G926" s="983"/>
      <c r="I926" s="490"/>
    </row>
    <row r="927" spans="1:9" ht="12.75" customHeight="1">
      <c r="A927" s="984"/>
      <c r="B927" s="485" t="s">
        <v>2638</v>
      </c>
      <c r="C927" s="984"/>
      <c r="D927" s="1524" t="s">
        <v>1768</v>
      </c>
      <c r="E927" s="1524"/>
      <c r="F927" s="1524"/>
      <c r="G927" s="983"/>
      <c r="I927" s="490"/>
    </row>
    <row r="928" spans="1:9" ht="12.75" customHeight="1">
      <c r="A928" s="984"/>
      <c r="B928" s="984"/>
      <c r="C928" s="984"/>
      <c r="D928" s="1524"/>
      <c r="E928" s="1524"/>
      <c r="F928" s="1524"/>
      <c r="G928" s="983"/>
      <c r="I928" s="490"/>
    </row>
    <row r="929" spans="1:9" ht="12.75" customHeight="1">
      <c r="A929" s="984"/>
      <c r="B929" s="984"/>
      <c r="C929" s="984"/>
      <c r="D929" s="983"/>
      <c r="E929" s="983"/>
      <c r="F929" s="983"/>
      <c r="G929" s="983"/>
      <c r="I929" s="490"/>
    </row>
    <row r="930" spans="1:9" ht="12.75" customHeight="1">
      <c r="A930" s="984"/>
      <c r="B930" s="485" t="s">
        <v>2638</v>
      </c>
      <c r="C930" s="984"/>
      <c r="D930" s="1550" t="s">
        <v>1769</v>
      </c>
      <c r="E930" s="1550"/>
      <c r="F930" s="1550"/>
      <c r="G930" s="983"/>
      <c r="I930" s="490"/>
    </row>
    <row r="931" spans="1:9" ht="12.75" customHeight="1">
      <c r="A931" s="984"/>
      <c r="B931" s="984"/>
      <c r="C931" s="984"/>
      <c r="D931" s="1550"/>
      <c r="E931" s="1550"/>
      <c r="F931" s="1550"/>
      <c r="G931" s="983"/>
      <c r="I931" s="490"/>
    </row>
    <row r="932" spans="1:9" ht="12.75" customHeight="1">
      <c r="A932" s="984"/>
      <c r="B932" s="984"/>
      <c r="C932" s="984"/>
      <c r="D932" s="1550"/>
      <c r="E932" s="1550"/>
      <c r="F932" s="1550"/>
      <c r="G932" s="983"/>
      <c r="I932" s="490"/>
    </row>
    <row r="933" spans="1:9" ht="12.75" customHeight="1">
      <c r="A933" s="984"/>
      <c r="B933" s="984"/>
      <c r="C933" s="984"/>
      <c r="D933" s="1550"/>
      <c r="E933" s="1550"/>
      <c r="F933" s="1550"/>
      <c r="G933" s="983"/>
      <c r="I933" s="490"/>
    </row>
    <row r="934" spans="1:9" ht="12.75" customHeight="1">
      <c r="A934" s="984"/>
      <c r="B934" s="984"/>
      <c r="C934" s="984"/>
      <c r="D934" s="118"/>
      <c r="E934" s="983"/>
      <c r="F934" s="983"/>
      <c r="G934" s="983"/>
      <c r="I934" s="490"/>
    </row>
    <row r="935" spans="1:9" ht="12.75" customHeight="1">
      <c r="A935" s="984"/>
      <c r="B935" s="485" t="s">
        <v>2638</v>
      </c>
      <c r="C935" s="984"/>
      <c r="D935" s="1552" t="s">
        <v>2026</v>
      </c>
      <c r="E935" s="1552"/>
      <c r="F935" s="1552"/>
      <c r="G935" s="983"/>
      <c r="I935" s="490"/>
    </row>
    <row r="936" spans="1:9" ht="12.75" customHeight="1">
      <c r="A936" s="984"/>
      <c r="B936" s="984"/>
      <c r="C936" s="984"/>
      <c r="D936" s="118"/>
      <c r="E936" s="983"/>
      <c r="F936" s="983"/>
      <c r="G936" s="983"/>
      <c r="I936" s="490"/>
    </row>
    <row r="937" spans="1:9" ht="12.75" customHeight="1">
      <c r="A937" s="984"/>
      <c r="B937" s="485" t="s">
        <v>2638</v>
      </c>
      <c r="C937" s="984"/>
      <c r="D937" s="1552" t="s">
        <v>2027</v>
      </c>
      <c r="E937" s="1552"/>
      <c r="F937" s="1552"/>
      <c r="G937" s="983"/>
      <c r="I937" s="490"/>
    </row>
    <row r="938" spans="1:9" ht="12.75" customHeight="1">
      <c r="A938" s="174"/>
      <c r="B938" s="174"/>
      <c r="C938" s="174"/>
      <c r="D938" s="2"/>
      <c r="E938" s="3"/>
      <c r="F938" s="983"/>
      <c r="G938" s="983"/>
      <c r="I938" s="490"/>
    </row>
    <row r="939" spans="1:9" ht="12.75" customHeight="1">
      <c r="A939" s="992"/>
      <c r="B939" s="485" t="s">
        <v>2637</v>
      </c>
      <c r="C939" s="993"/>
      <c r="D939" s="1535" t="s">
        <v>1765</v>
      </c>
      <c r="E939" s="1535"/>
      <c r="F939" s="1535"/>
      <c r="G939" s="994"/>
      <c r="I939" s="490"/>
    </row>
    <row r="940" spans="1:9" ht="12.75" customHeight="1">
      <c r="A940" s="992"/>
      <c r="B940" s="992"/>
      <c r="C940" s="993"/>
      <c r="D940" s="1535"/>
      <c r="E940" s="1535"/>
      <c r="F940" s="1535"/>
      <c r="G940" s="994"/>
      <c r="I940" s="490"/>
    </row>
    <row r="941" spans="1:9" ht="12.75" customHeight="1">
      <c r="A941" s="992"/>
      <c r="B941" s="992"/>
      <c r="C941" s="993"/>
      <c r="D941" s="1535"/>
      <c r="E941" s="1535"/>
      <c r="F941" s="1535"/>
      <c r="G941" s="994"/>
      <c r="I941" s="490"/>
    </row>
    <row r="942" spans="1:9" ht="12.75" customHeight="1">
      <c r="A942" s="992"/>
      <c r="B942" s="992"/>
      <c r="C942" s="993"/>
      <c r="D942" s="1535"/>
      <c r="E942" s="1535"/>
      <c r="F942" s="1535"/>
      <c r="G942" s="994"/>
      <c r="I942" s="490"/>
    </row>
    <row r="943" spans="1:9" ht="12.75" customHeight="1">
      <c r="A943" s="992"/>
      <c r="B943" s="992"/>
      <c r="C943" s="993"/>
      <c r="D943" s="1535"/>
      <c r="E943" s="1535"/>
      <c r="F943" s="1535"/>
      <c r="G943" s="994"/>
      <c r="I943" s="490"/>
    </row>
    <row r="944" spans="1:9" ht="12.75" customHeight="1">
      <c r="A944" s="992"/>
      <c r="B944" s="992"/>
      <c r="C944" s="993"/>
      <c r="D944" s="1535"/>
      <c r="E944" s="1535"/>
      <c r="F944" s="1535"/>
      <c r="G944" s="994"/>
      <c r="I944" s="490"/>
    </row>
    <row r="945" spans="1:9" ht="12.75" customHeight="1">
      <c r="A945" s="992"/>
      <c r="B945" s="992"/>
      <c r="C945" s="993"/>
      <c r="D945" s="1535"/>
      <c r="E945" s="1535"/>
      <c r="F945" s="1535"/>
      <c r="G945" s="994"/>
      <c r="I945" s="490"/>
    </row>
    <row r="946" spans="1:9" ht="12.75" customHeight="1">
      <c r="A946" s="992"/>
      <c r="B946" s="992"/>
      <c r="C946" s="993"/>
      <c r="D946" s="1535"/>
      <c r="E946" s="1535"/>
      <c r="F946" s="1535"/>
      <c r="G946" s="994"/>
      <c r="I946" s="490"/>
    </row>
    <row r="947" spans="1:9" ht="12.75" customHeight="1">
      <c r="A947" s="992"/>
      <c r="B947" s="992"/>
      <c r="C947" s="993"/>
      <c r="D947" s="1535"/>
      <c r="E947" s="1535"/>
      <c r="F947" s="1535"/>
      <c r="G947" s="994"/>
      <c r="I947" s="490"/>
    </row>
    <row r="948" spans="1:9" ht="12.75" customHeight="1">
      <c r="A948" s="174"/>
      <c r="B948" s="174"/>
      <c r="C948" s="174"/>
      <c r="D948" s="2"/>
      <c r="E948" s="3"/>
      <c r="F948" s="983"/>
      <c r="G948" s="983"/>
      <c r="I948" s="490"/>
    </row>
    <row r="949" spans="1:9" ht="12.75" customHeight="1">
      <c r="A949" s="175"/>
      <c r="B949" s="485" t="s">
        <v>2637</v>
      </c>
      <c r="C949" s="174"/>
      <c r="D949" s="1560" t="s">
        <v>1859</v>
      </c>
      <c r="E949" s="1560"/>
      <c r="F949" s="1560"/>
      <c r="G949" s="983"/>
      <c r="I949" s="490"/>
    </row>
    <row r="950" spans="1:9" ht="12.75" customHeight="1">
      <c r="A950" s="175"/>
      <c r="B950" s="175"/>
      <c r="C950" s="174"/>
      <c r="D950" s="1560"/>
      <c r="E950" s="1560"/>
      <c r="F950" s="1560"/>
      <c r="G950" s="983"/>
      <c r="I950" s="490"/>
    </row>
    <row r="951" spans="1:9" ht="12.75" customHeight="1">
      <c r="A951" s="175"/>
      <c r="B951" s="175"/>
      <c r="C951" s="174"/>
      <c r="D951" s="1560"/>
      <c r="E951" s="1560"/>
      <c r="F951" s="1560"/>
      <c r="G951" s="983"/>
      <c r="I951" s="490"/>
    </row>
    <row r="952" spans="1:9" ht="12.75" customHeight="1">
      <c r="A952" s="175"/>
      <c r="B952" s="175"/>
      <c r="C952" s="174"/>
      <c r="D952" s="1560"/>
      <c r="E952" s="1560"/>
      <c r="F952" s="1560"/>
      <c r="G952" s="983"/>
      <c r="I952" s="490"/>
    </row>
    <row r="953" spans="1:9" ht="12.75" customHeight="1">
      <c r="A953" s="175"/>
      <c r="B953" s="175"/>
      <c r="C953" s="174"/>
      <c r="D953" s="1560"/>
      <c r="E953" s="1560"/>
      <c r="F953" s="1560"/>
      <c r="G953" s="983"/>
      <c r="I953" s="490"/>
    </row>
    <row r="954" spans="1:9" ht="12.75" customHeight="1">
      <c r="A954" s="175"/>
      <c r="B954" s="175"/>
      <c r="C954" s="174"/>
      <c r="D954" s="1560"/>
      <c r="E954" s="1560"/>
      <c r="F954" s="1560"/>
      <c r="G954" s="983"/>
      <c r="I954" s="490"/>
    </row>
    <row r="955" spans="1:9" ht="12.75" customHeight="1">
      <c r="A955" s="175"/>
      <c r="B955" s="175"/>
      <c r="C955" s="174"/>
      <c r="D955" s="1560"/>
      <c r="E955" s="1560"/>
      <c r="F955" s="1560"/>
      <c r="G955" s="983"/>
      <c r="I955" s="490"/>
    </row>
    <row r="956" spans="1:9" ht="12.75" customHeight="1">
      <c r="A956" s="175"/>
      <c r="B956" s="175"/>
      <c r="C956" s="174"/>
      <c r="D956" s="1021"/>
      <c r="E956" s="1021"/>
      <c r="F956" s="1021"/>
      <c r="G956" s="983"/>
      <c r="I956" s="490"/>
    </row>
    <row r="957" spans="1:9" ht="12.75" customHeight="1">
      <c r="A957" s="175"/>
      <c r="B957" s="485" t="s">
        <v>2637</v>
      </c>
      <c r="C957" s="174"/>
      <c r="D957" s="1534" t="s">
        <v>2091</v>
      </c>
      <c r="E957" s="1534"/>
      <c r="F957" s="1534"/>
      <c r="G957" s="983"/>
      <c r="I957" s="490"/>
    </row>
    <row r="958" spans="1:9" ht="12.75" customHeight="1">
      <c r="A958" s="175"/>
      <c r="B958" s="175"/>
      <c r="C958" s="174"/>
      <c r="D958" s="1534"/>
      <c r="E958" s="1534"/>
      <c r="F958" s="1534"/>
      <c r="G958" s="983"/>
      <c r="I958" s="490"/>
    </row>
    <row r="959" spans="1:9" ht="12.75" customHeight="1">
      <c r="A959" s="175"/>
      <c r="B959" s="175"/>
      <c r="C959" s="174"/>
      <c r="D959" s="1534"/>
      <c r="E959" s="1534"/>
      <c r="F959" s="1534"/>
      <c r="G959" s="983"/>
      <c r="I959" s="490"/>
    </row>
    <row r="960" spans="1:9" ht="12.75" customHeight="1">
      <c r="A960" s="175"/>
      <c r="B960" s="175"/>
      <c r="C960" s="174"/>
      <c r="D960" s="1534"/>
      <c r="E960" s="1534"/>
      <c r="F960" s="1534"/>
      <c r="G960" s="983"/>
      <c r="I960" s="490"/>
    </row>
    <row r="961" spans="1:9" ht="12.75" customHeight="1">
      <c r="A961" s="175"/>
      <c r="B961" s="175"/>
      <c r="C961" s="174"/>
      <c r="D961" s="1534"/>
      <c r="E961" s="1534"/>
      <c r="F961" s="1534"/>
      <c r="G961" s="983"/>
      <c r="I961" s="490"/>
    </row>
    <row r="962" spans="1:9" ht="12.75" customHeight="1">
      <c r="A962" s="175"/>
      <c r="B962" s="175"/>
      <c r="C962" s="174"/>
      <c r="D962" s="1534"/>
      <c r="E962" s="1534"/>
      <c r="F962" s="1534"/>
      <c r="G962" s="983"/>
      <c r="I962" s="490"/>
    </row>
    <row r="963" spans="1:9" ht="12.75" customHeight="1">
      <c r="A963" s="175"/>
      <c r="B963" s="175"/>
      <c r="C963" s="174"/>
      <c r="D963" s="1021"/>
      <c r="E963" s="1021"/>
      <c r="F963" s="1021"/>
      <c r="G963" s="983"/>
      <c r="I963" s="490"/>
    </row>
    <row r="964" spans="1:9" ht="12.75" customHeight="1">
      <c r="A964" s="984"/>
      <c r="B964" s="485" t="s">
        <v>2638</v>
      </c>
      <c r="C964" s="984"/>
      <c r="D964" s="1550" t="s">
        <v>1770</v>
      </c>
      <c r="E964" s="1550"/>
      <c r="F964" s="1550"/>
      <c r="G964" s="983"/>
      <c r="I964" s="490"/>
    </row>
    <row r="965" spans="1:9" ht="12.75" customHeight="1">
      <c r="A965" s="984"/>
      <c r="B965" s="984"/>
      <c r="C965" s="984"/>
      <c r="D965" s="1550"/>
      <c r="E965" s="1550"/>
      <c r="F965" s="1550"/>
      <c r="G965" s="983"/>
      <c r="I965" s="490"/>
    </row>
    <row r="966" spans="1:9" ht="12.75" customHeight="1">
      <c r="A966" s="984"/>
      <c r="B966" s="984"/>
      <c r="C966" s="984"/>
      <c r="D966" s="1550"/>
      <c r="E966" s="1550"/>
      <c r="F966" s="1550"/>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2638</v>
      </c>
      <c r="C969" s="174"/>
      <c r="D969" s="1535" t="s">
        <v>1858</v>
      </c>
      <c r="E969" s="1535"/>
      <c r="F969" s="1535"/>
      <c r="G969" s="983"/>
      <c r="I969" s="490"/>
    </row>
    <row r="970" spans="1:9" ht="12.75" customHeight="1">
      <c r="A970" s="175"/>
      <c r="B970" s="175"/>
      <c r="C970" s="174"/>
      <c r="D970" s="1535"/>
      <c r="E970" s="1535"/>
      <c r="F970" s="1535"/>
      <c r="G970" s="983"/>
      <c r="I970" s="490"/>
    </row>
    <row r="971" spans="1:9" ht="12.75" customHeight="1">
      <c r="A971" s="175"/>
      <c r="B971" s="175"/>
      <c r="C971" s="174"/>
      <c r="D971" s="1535"/>
      <c r="E971" s="1535"/>
      <c r="F971" s="1535"/>
      <c r="G971" s="983"/>
      <c r="I971" s="490"/>
    </row>
    <row r="972" spans="1:9" ht="12.75" customHeight="1">
      <c r="A972" s="175"/>
      <c r="B972" s="175"/>
      <c r="C972" s="174"/>
      <c r="D972" s="1535"/>
      <c r="E972" s="1535"/>
      <c r="F972" s="1535"/>
      <c r="G972" s="983"/>
      <c r="I972" s="490"/>
    </row>
    <row r="973" spans="1:9" ht="12.75" customHeight="1">
      <c r="A973" s="984"/>
      <c r="B973" s="984"/>
      <c r="C973" s="984"/>
      <c r="D973" s="975"/>
      <c r="E973" s="975"/>
      <c r="F973" s="975"/>
      <c r="G973" s="975"/>
      <c r="I973" s="490"/>
    </row>
    <row r="974" spans="1:9" ht="12.75" customHeight="1">
      <c r="A974" s="354"/>
      <c r="B974" s="354"/>
      <c r="C974" s="354"/>
      <c r="D974" s="1551" t="s">
        <v>1771</v>
      </c>
      <c r="E974" s="1551"/>
      <c r="F974" s="1551"/>
      <c r="G974" s="3"/>
      <c r="I974" s="490"/>
    </row>
    <row r="975" spans="1:9" ht="12.75" customHeight="1">
      <c r="A975" s="175"/>
      <c r="B975" s="485" t="s">
        <v>2638</v>
      </c>
      <c r="C975" s="354"/>
      <c r="D975" s="1552" t="s">
        <v>1794</v>
      </c>
      <c r="E975" s="1552"/>
      <c r="F975" s="1552"/>
      <c r="G975" s="3"/>
      <c r="I975" s="490"/>
    </row>
    <row r="976" spans="1:9" ht="12.75" customHeight="1">
      <c r="A976" s="354"/>
      <c r="B976" s="354"/>
      <c r="C976" s="354"/>
      <c r="D976" s="3"/>
      <c r="E976" s="3"/>
      <c r="F976" s="3"/>
      <c r="G976" s="3"/>
      <c r="I976" s="490"/>
    </row>
    <row r="977" spans="1:9" ht="12.75" customHeight="1">
      <c r="A977" s="354"/>
      <c r="B977" s="354"/>
      <c r="C977" s="354"/>
      <c r="D977" s="1551" t="s">
        <v>1772</v>
      </c>
      <c r="E977" s="1551"/>
      <c r="F977" s="1551"/>
      <c r="G977"/>
      <c r="I977" s="490"/>
    </row>
    <row r="978" spans="1:9" ht="12.75" customHeight="1">
      <c r="A978" s="175"/>
      <c r="B978" s="485" t="s">
        <v>2637</v>
      </c>
      <c r="C978" s="354"/>
      <c r="D978" s="1524" t="s">
        <v>2028</v>
      </c>
      <c r="E978" s="1524"/>
      <c r="F978" s="1524"/>
      <c r="G978"/>
      <c r="I978" s="490"/>
    </row>
    <row r="979" spans="1:9" ht="12.75" customHeight="1">
      <c r="A979" s="175"/>
      <c r="B979" s="175"/>
      <c r="C979" s="354"/>
      <c r="D979" s="1524"/>
      <c r="E979" s="1524"/>
      <c r="F979" s="1524"/>
      <c r="G979"/>
      <c r="I979" s="490"/>
    </row>
    <row r="980" spans="1:9" ht="12.75" customHeight="1">
      <c r="A980" s="175"/>
      <c r="B980" s="175"/>
      <c r="C980" s="354"/>
      <c r="D980" s="1524"/>
      <c r="E980" s="1524"/>
      <c r="F980" s="1524"/>
      <c r="G980"/>
      <c r="I980" s="490"/>
    </row>
    <row r="981" spans="1:9" ht="12.75" customHeight="1">
      <c r="A981" s="175"/>
      <c r="B981" s="175"/>
      <c r="C981" s="354"/>
      <c r="D981" s="1524"/>
      <c r="E981" s="1524"/>
      <c r="F981" s="1524"/>
      <c r="G981"/>
      <c r="I981" s="490"/>
    </row>
    <row r="982" spans="1:9" ht="12.75" customHeight="1">
      <c r="A982" s="175"/>
      <c r="B982" s="175"/>
      <c r="C982" s="354"/>
      <c r="D982" s="1524"/>
      <c r="E982" s="1524"/>
      <c r="F982" s="1524"/>
      <c r="G982"/>
      <c r="I982" s="490"/>
    </row>
    <row r="983" spans="1:9" ht="12.75" customHeight="1">
      <c r="A983" s="175"/>
      <c r="B983" s="175"/>
      <c r="C983" s="354"/>
      <c r="D983" s="1524"/>
      <c r="E983" s="1524"/>
      <c r="F983" s="1524"/>
      <c r="G983"/>
      <c r="I983" s="490"/>
    </row>
    <row r="984" spans="1:9" ht="12.75" customHeight="1">
      <c r="A984" s="175"/>
      <c r="B984" s="175"/>
      <c r="C984" s="354"/>
      <c r="D984" s="1524"/>
      <c r="E984" s="1524"/>
      <c r="F984" s="1524"/>
      <c r="G984"/>
      <c r="I984" s="490"/>
    </row>
    <row r="985" spans="1:9" ht="12.75" customHeight="1">
      <c r="A985" s="175"/>
      <c r="B985" s="175"/>
      <c r="C985" s="354"/>
      <c r="D985" s="1524"/>
      <c r="E985" s="1524"/>
      <c r="F985" s="1524"/>
      <c r="G985"/>
      <c r="I985" s="490"/>
    </row>
    <row r="986" spans="1:9" ht="12.75" customHeight="1">
      <c r="A986" s="175"/>
      <c r="B986" s="175"/>
      <c r="C986" s="354"/>
      <c r="D986" s="1524"/>
      <c r="E986" s="1524"/>
      <c r="F986" s="1524"/>
      <c r="G986"/>
      <c r="I986" s="490"/>
    </row>
    <row r="987" spans="1:9" ht="12.75" customHeight="1">
      <c r="A987" s="175"/>
      <c r="B987" s="175"/>
      <c r="C987" s="354"/>
      <c r="D987" s="1524"/>
      <c r="E987" s="1524"/>
      <c r="F987" s="1524"/>
      <c r="G987"/>
      <c r="I987" s="490"/>
    </row>
    <row r="988" spans="1:9" ht="12.75" customHeight="1">
      <c r="A988" s="175"/>
      <c r="B988" s="175"/>
      <c r="C988" s="354"/>
      <c r="D988" s="1524"/>
      <c r="E988" s="1524"/>
      <c r="F988" s="1524"/>
      <c r="G988"/>
      <c r="I988" s="490"/>
    </row>
    <row r="989" spans="1:9" ht="12.75" customHeight="1">
      <c r="A989" s="175"/>
      <c r="B989" s="175"/>
      <c r="C989" s="354"/>
      <c r="D989" s="1524"/>
      <c r="E989" s="1524"/>
      <c r="F989" s="1524"/>
      <c r="G989"/>
      <c r="I989" s="490"/>
    </row>
    <row r="990" spans="1:9" ht="12.75" customHeight="1">
      <c r="A990" s="175"/>
      <c r="B990" s="175"/>
      <c r="C990" s="354"/>
      <c r="D990" s="1524"/>
      <c r="E990" s="1524"/>
      <c r="F990" s="1524"/>
      <c r="G990"/>
      <c r="I990" s="490"/>
    </row>
    <row r="991" spans="1:9" ht="12.75" customHeight="1">
      <c r="A991" s="175"/>
      <c r="B991" s="175"/>
      <c r="C991" s="354"/>
      <c r="D991" s="1524"/>
      <c r="E991" s="1524"/>
      <c r="F991" s="1524"/>
      <c r="G991"/>
      <c r="I991" s="490"/>
    </row>
    <row r="992" spans="1:9" ht="12.75" customHeight="1">
      <c r="A992" s="175"/>
      <c r="B992" s="175"/>
      <c r="C992" s="354"/>
      <c r="D992" s="1524"/>
      <c r="E992" s="1524"/>
      <c r="F992" s="1524"/>
      <c r="G992" s="3"/>
      <c r="I992" s="490"/>
    </row>
    <row r="993" spans="1:9" ht="12.75" customHeight="1">
      <c r="A993" s="354"/>
      <c r="B993" s="354"/>
      <c r="C993" s="354"/>
      <c r="D993" s="3"/>
      <c r="E993" s="3"/>
      <c r="F993" s="3"/>
      <c r="G993" s="3"/>
      <c r="I993" s="490"/>
    </row>
    <row r="994" spans="1:9" ht="12.75" customHeight="1">
      <c r="A994" s="1548" t="s">
        <v>1773</v>
      </c>
      <c r="B994" s="1548"/>
      <c r="C994" s="1548"/>
      <c r="D994" s="1548"/>
      <c r="E994" s="1548"/>
      <c r="F994" s="1548"/>
      <c r="G994" s="1548"/>
      <c r="H994" s="1023"/>
      <c r="I994" s="1147"/>
    </row>
    <row r="995" spans="1:9" ht="12.75" customHeight="1">
      <c r="A995" s="118"/>
      <c r="B995" s="118"/>
      <c r="C995" s="354"/>
      <c r="D995" s="3"/>
      <c r="E995" s="3"/>
      <c r="F995" s="3"/>
      <c r="G995" s="3"/>
      <c r="I995" s="490"/>
    </row>
    <row r="996" spans="1:9" ht="12.75" customHeight="1">
      <c r="A996" s="354"/>
      <c r="B996" s="354"/>
      <c r="C996" s="984"/>
      <c r="D996" s="1551" t="s">
        <v>1795</v>
      </c>
      <c r="E996" s="1551"/>
      <c r="F996" s="1551"/>
      <c r="G996" s="3"/>
      <c r="I996" s="490"/>
    </row>
    <row r="997" spans="1:9" ht="12.75" customHeight="1">
      <c r="A997" s="172"/>
      <c r="B997" s="172"/>
      <c r="C997" s="172"/>
      <c r="D997" s="1552" t="s">
        <v>1774</v>
      </c>
      <c r="E997" s="1552"/>
      <c r="F997" s="1552"/>
      <c r="G997" s="3"/>
      <c r="I997" s="490"/>
    </row>
    <row r="998" spans="1:9" ht="12.75" customHeight="1">
      <c r="A998" s="172"/>
      <c r="B998" s="172"/>
      <c r="C998" s="172"/>
      <c r="D998" s="3"/>
      <c r="E998" s="3"/>
      <c r="F998" s="983"/>
      <c r="G998"/>
      <c r="I998" s="490"/>
    </row>
    <row r="999" spans="1:9" ht="12.75" customHeight="1">
      <c r="A999" s="354"/>
      <c r="B999" s="485" t="s">
        <v>2637</v>
      </c>
      <c r="C999" s="354"/>
      <c r="D999" s="1553" t="s">
        <v>1887</v>
      </c>
      <c r="E999" s="1553"/>
      <c r="F999" s="1553"/>
      <c r="G999"/>
      <c r="I999" s="490"/>
    </row>
    <row r="1000" spans="1:9" ht="12.75" customHeight="1">
      <c r="A1000" s="354"/>
      <c r="B1000" s="354"/>
      <c r="C1000" s="354"/>
      <c r="D1000" s="1553"/>
      <c r="E1000" s="1553"/>
      <c r="F1000" s="1553"/>
      <c r="G1000"/>
      <c r="I1000" s="490"/>
    </row>
    <row r="1001" spans="1:9" ht="12.75" customHeight="1">
      <c r="A1001" s="354"/>
      <c r="B1001" s="354"/>
      <c r="C1001" s="354"/>
      <c r="D1001" s="1033"/>
      <c r="E1001" s="1031" t="s">
        <v>1888</v>
      </c>
      <c r="F1001" s="1033"/>
      <c r="G1001"/>
      <c r="I1001" s="490"/>
    </row>
    <row r="1002" spans="1:9" ht="12.75" customHeight="1">
      <c r="A1002" s="354"/>
      <c r="B1002" s="354"/>
      <c r="C1002" s="354"/>
      <c r="D1002" s="1529" t="s">
        <v>1886</v>
      </c>
      <c r="E1002" s="1529"/>
      <c r="F1002" s="1529"/>
      <c r="G1002"/>
      <c r="I1002" s="490"/>
    </row>
    <row r="1003" spans="1:9" ht="12.75" customHeight="1">
      <c r="A1003" s="354"/>
      <c r="B1003" s="354"/>
      <c r="C1003" s="354"/>
      <c r="D1003" s="1529"/>
      <c r="E1003" s="1529"/>
      <c r="F1003" s="1529"/>
      <c r="G1003"/>
      <c r="I1003" s="490"/>
    </row>
    <row r="1004" spans="1:9" ht="12.75" customHeight="1">
      <c r="A1004" s="174"/>
      <c r="B1004" s="174"/>
      <c r="C1004" s="174"/>
      <c r="D1004" s="1529"/>
      <c r="E1004" s="1529"/>
      <c r="F1004" s="1529"/>
      <c r="G1004"/>
      <c r="I1004" s="490"/>
    </row>
    <row r="1005" spans="1:9" ht="12.75" customHeight="1">
      <c r="A1005" s="174"/>
      <c r="B1005" s="174"/>
      <c r="C1005" s="174"/>
      <c r="D1005" s="1529"/>
      <c r="E1005" s="1529"/>
      <c r="F1005" s="1529"/>
      <c r="G1005"/>
      <c r="I1005" s="490"/>
    </row>
    <row r="1006" spans="1:9" ht="12.75" customHeight="1">
      <c r="A1006" s="174"/>
      <c r="B1006" s="174"/>
      <c r="C1006" s="174"/>
      <c r="D1006" s="335"/>
      <c r="E1006" s="335"/>
      <c r="F1006" s="335"/>
      <c r="G1006"/>
      <c r="I1006" s="490"/>
    </row>
    <row r="1007" spans="1:9" ht="12.75" customHeight="1">
      <c r="A1007" s="174"/>
      <c r="B1007" s="485" t="s">
        <v>2638</v>
      </c>
      <c r="C1007" s="174"/>
      <c r="D1007" s="1524" t="s">
        <v>1775</v>
      </c>
      <c r="E1007" s="1524"/>
      <c r="F1007" s="1524"/>
      <c r="G1007"/>
      <c r="I1007" s="490"/>
    </row>
    <row r="1008" spans="1:9" ht="12.75" customHeight="1">
      <c r="A1008" s="174"/>
      <c r="B1008" s="174"/>
      <c r="C1008" s="174"/>
      <c r="D1008" s="1524"/>
      <c r="E1008" s="1524"/>
      <c r="F1008" s="1524"/>
      <c r="G1008"/>
      <c r="I1008" s="490"/>
    </row>
    <row r="1009" spans="1:9" ht="12.75" customHeight="1">
      <c r="A1009" s="174"/>
      <c r="B1009" s="174"/>
      <c r="C1009" s="174"/>
      <c r="D1009" s="1524"/>
      <c r="E1009" s="1524"/>
      <c r="F1009" s="1524"/>
      <c r="G1009"/>
      <c r="I1009" s="490"/>
    </row>
    <row r="1010" spans="1:9" ht="12.75" customHeight="1">
      <c r="A1010" s="174"/>
      <c r="B1010" s="174"/>
      <c r="C1010" s="174"/>
      <c r="D1010" s="1524"/>
      <c r="E1010" s="1524"/>
      <c r="F1010" s="1524"/>
      <c r="G1010"/>
      <c r="I1010" s="490"/>
    </row>
    <row r="1011" spans="1:9" ht="12.75" customHeight="1">
      <c r="A1011" s="174"/>
      <c r="B1011" s="174"/>
      <c r="C1011" s="174"/>
      <c r="D1011" s="441"/>
      <c r="E1011" s="441"/>
      <c r="F1011" s="441"/>
      <c r="G1011"/>
      <c r="I1011" s="490"/>
    </row>
    <row r="1012" spans="1:9" ht="12.75" customHeight="1">
      <c r="A1012" s="174"/>
      <c r="B1012" s="485" t="s">
        <v>2638</v>
      </c>
      <c r="C1012" s="174"/>
      <c r="D1012" s="1524" t="s">
        <v>2182</v>
      </c>
      <c r="E1012" s="1524"/>
      <c r="F1012" s="1524"/>
      <c r="G1012"/>
      <c r="I1012" s="490"/>
    </row>
    <row r="1013" spans="1:9" ht="12.75" customHeight="1">
      <c r="A1013" s="174"/>
      <c r="B1013" s="174"/>
      <c r="C1013" s="174"/>
      <c r="D1013" s="1524"/>
      <c r="E1013" s="1524"/>
      <c r="F1013" s="1524"/>
      <c r="G1013"/>
      <c r="I1013" s="490"/>
    </row>
    <row r="1014" spans="1:9" ht="12.75" customHeight="1">
      <c r="A1014" s="174"/>
      <c r="B1014" s="174"/>
      <c r="C1014" s="174"/>
      <c r="D1014" s="441"/>
      <c r="E1014" s="441"/>
      <c r="F1014" s="441"/>
      <c r="G1014"/>
      <c r="I1014" s="490"/>
    </row>
    <row r="1015" spans="1:9" ht="12.75" customHeight="1">
      <c r="A1015" s="175"/>
      <c r="B1015" s="485" t="s">
        <v>2638</v>
      </c>
      <c r="C1015" s="354"/>
      <c r="D1015" s="1552" t="s">
        <v>1776</v>
      </c>
      <c r="E1015" s="1552"/>
      <c r="F1015" s="1552"/>
      <c r="G1015"/>
      <c r="I1015" s="490"/>
    </row>
    <row r="1016" spans="1:9" ht="12.75" customHeight="1">
      <c r="A1016" s="354"/>
      <c r="B1016" s="354"/>
      <c r="C1016" s="354"/>
      <c r="D1016" s="3"/>
      <c r="E1016" s="3"/>
      <c r="F1016" s="3"/>
      <c r="G1016"/>
      <c r="I1016" s="490"/>
    </row>
    <row r="1017" spans="1:9" ht="12.75" customHeight="1">
      <c r="A1017" s="175"/>
      <c r="B1017" s="485" t="s">
        <v>2638</v>
      </c>
      <c r="C1017" s="354"/>
      <c r="D1017" s="1552" t="s">
        <v>1777</v>
      </c>
      <c r="E1017" s="1552"/>
      <c r="F1017" s="1552"/>
      <c r="G1017"/>
      <c r="I1017" s="490"/>
    </row>
    <row r="1018" spans="1:9" ht="12.75" customHeight="1">
      <c r="A1018" s="354"/>
      <c r="B1018" s="354"/>
      <c r="C1018" s="354"/>
      <c r="D1018" s="118"/>
      <c r="E1018" s="3"/>
      <c r="F1018" s="3"/>
      <c r="G1018"/>
      <c r="I1018" s="490"/>
    </row>
    <row r="1019" spans="1:9" ht="12.75" customHeight="1">
      <c r="A1019" s="175"/>
      <c r="B1019" s="485" t="s">
        <v>2637</v>
      </c>
      <c r="C1019" s="354"/>
      <c r="D1019" s="1552" t="s">
        <v>1778</v>
      </c>
      <c r="E1019" s="1552"/>
      <c r="F1019" s="1552"/>
      <c r="G1019"/>
      <c r="I1019" s="490"/>
    </row>
    <row r="1020" spans="1:9" ht="12.75" customHeight="1">
      <c r="A1020" s="354"/>
      <c r="B1020" s="354"/>
      <c r="C1020" s="354"/>
      <c r="D1020" s="118"/>
      <c r="E1020" s="3"/>
      <c r="F1020" s="3"/>
      <c r="G1020"/>
      <c r="I1020" s="490"/>
    </row>
    <row r="1021" spans="1:9" ht="12.75" customHeight="1">
      <c r="A1021" s="175"/>
      <c r="B1021" s="485" t="s">
        <v>2637</v>
      </c>
      <c r="C1021" s="354"/>
      <c r="D1021" s="1524" t="s">
        <v>1779</v>
      </c>
      <c r="E1021" s="1524"/>
      <c r="F1021" s="1524"/>
      <c r="G1021"/>
      <c r="I1021" s="490"/>
    </row>
    <row r="1022" spans="1:9" ht="12.75" customHeight="1">
      <c r="A1022" s="175"/>
      <c r="B1022" s="175"/>
      <c r="C1022" s="354"/>
      <c r="D1022" s="1524"/>
      <c r="E1022" s="1524"/>
      <c r="F1022" s="1524"/>
      <c r="G1022"/>
      <c r="I1022" s="490"/>
    </row>
    <row r="1023" spans="1:9" ht="12.75" customHeight="1">
      <c r="A1023" s="175"/>
      <c r="B1023" s="175"/>
      <c r="C1023" s="354"/>
      <c r="D1023" s="118"/>
      <c r="E1023" s="3"/>
      <c r="F1023" s="3"/>
      <c r="G1023" s="3"/>
      <c r="I1023" s="490"/>
    </row>
    <row r="1024" spans="1:9" ht="12.75" customHeight="1">
      <c r="A1024" s="254"/>
      <c r="B1024" s="485" t="s">
        <v>2638</v>
      </c>
      <c r="C1024" s="995"/>
      <c r="D1024" s="1554" t="s">
        <v>1780</v>
      </c>
      <c r="E1024" s="1554"/>
      <c r="F1024" s="1554"/>
      <c r="G1024" s="996"/>
      <c r="I1024" s="490"/>
    </row>
    <row r="1025" spans="1:9" ht="12.75" customHeight="1">
      <c r="A1025" s="995"/>
      <c r="B1025" s="995"/>
      <c r="C1025" s="995"/>
      <c r="D1025" s="1554"/>
      <c r="E1025" s="1554"/>
      <c r="F1025" s="1554"/>
      <c r="G1025" s="996"/>
      <c r="I1025" s="490"/>
    </row>
    <row r="1026" spans="1:9" ht="12.75" customHeight="1">
      <c r="A1026" s="995"/>
      <c r="B1026" s="995"/>
      <c r="C1026" s="995"/>
      <c r="D1026" s="979"/>
      <c r="E1026" s="996"/>
      <c r="F1026" s="996"/>
      <c r="G1026" s="996"/>
      <c r="I1026" s="490"/>
    </row>
    <row r="1027" spans="1:9" ht="12.75" customHeight="1">
      <c r="A1027" s="254"/>
      <c r="B1027" s="485" t="s">
        <v>2638</v>
      </c>
      <c r="C1027" s="995"/>
      <c r="D1027" s="1547" t="s">
        <v>1781</v>
      </c>
      <c r="E1027" s="1547"/>
      <c r="F1027" s="1547"/>
      <c r="G1027" s="996"/>
      <c r="I1027" s="490"/>
    </row>
    <row r="1028" spans="1:9" ht="12.75" customHeight="1">
      <c r="A1028" s="995"/>
      <c r="B1028" s="995"/>
      <c r="C1028" s="995"/>
      <c r="D1028" s="979"/>
      <c r="E1028" s="996"/>
      <c r="F1028" s="996"/>
      <c r="G1028" s="996"/>
      <c r="I1028" s="490"/>
    </row>
    <row r="1029" spans="1:9" ht="12.75" customHeight="1">
      <c r="A1029" s="175"/>
      <c r="B1029" s="485" t="s">
        <v>2638</v>
      </c>
      <c r="C1029" s="354"/>
      <c r="D1029" s="1552" t="s">
        <v>1782</v>
      </c>
      <c r="E1029" s="1552"/>
      <c r="F1029" s="1552"/>
      <c r="G1029" s="3"/>
      <c r="I1029" s="490"/>
    </row>
    <row r="1030" spans="1:9" ht="12.75" customHeight="1">
      <c r="A1030" s="175"/>
      <c r="B1030" s="175"/>
      <c r="C1030" s="354"/>
      <c r="D1030" s="118"/>
      <c r="E1030" s="3"/>
      <c r="F1030" s="3"/>
      <c r="G1030" s="3"/>
      <c r="I1030" s="490"/>
    </row>
    <row r="1031" spans="1:9" ht="12.75" customHeight="1">
      <c r="A1031" s="175"/>
      <c r="B1031" s="485" t="s">
        <v>2638</v>
      </c>
      <c r="C1031" s="354"/>
      <c r="D1031" s="1524" t="s">
        <v>1783</v>
      </c>
      <c r="E1031" s="1524"/>
      <c r="F1031" s="1524"/>
      <c r="G1031" s="3"/>
      <c r="I1031" s="490"/>
    </row>
    <row r="1032" spans="1:9" ht="12.75" customHeight="1">
      <c r="A1032" s="175"/>
      <c r="B1032" s="175"/>
      <c r="C1032" s="354"/>
      <c r="D1032" s="1524"/>
      <c r="E1032" s="1524"/>
      <c r="F1032" s="1524"/>
      <c r="G1032" s="3"/>
      <c r="I1032" s="490"/>
    </row>
    <row r="1033" spans="1:9" ht="12.75" customHeight="1">
      <c r="A1033" s="354"/>
      <c r="B1033" s="354"/>
      <c r="C1033" s="354"/>
      <c r="D1033" s="3"/>
      <c r="E1033" s="3"/>
      <c r="F1033" s="3"/>
      <c r="G1033" s="3"/>
      <c r="I1033" s="490"/>
    </row>
    <row r="1034" spans="1:9" ht="12.75" customHeight="1">
      <c r="A1034" s="1548" t="s">
        <v>1784</v>
      </c>
      <c r="B1034" s="1548"/>
      <c r="C1034" s="1548"/>
      <c r="D1034" s="1548"/>
      <c r="E1034" s="1548"/>
      <c r="F1034" s="1548"/>
      <c r="G1034" s="1548"/>
      <c r="H1034" s="1023"/>
      <c r="I1034" s="1147"/>
    </row>
    <row r="1035" spans="1:9" ht="12.75" customHeight="1">
      <c r="A1035" s="354"/>
      <c r="B1035" s="354"/>
      <c r="C1035" s="354"/>
      <c r="D1035" s="3"/>
      <c r="E1035" s="3"/>
      <c r="F1035" s="3"/>
      <c r="G1035" s="3"/>
      <c r="I1035" s="490"/>
    </row>
    <row r="1036" spans="1:9" ht="12.75" customHeight="1">
      <c r="A1036" s="354"/>
      <c r="B1036" s="354"/>
      <c r="C1036" s="354"/>
      <c r="D1036" s="1546" t="s">
        <v>1785</v>
      </c>
      <c r="E1036" s="1546"/>
      <c r="F1036" s="1546"/>
      <c r="G1036" s="3"/>
      <c r="I1036" s="490"/>
    </row>
    <row r="1037" spans="1:9" ht="12.75" customHeight="1">
      <c r="A1037" s="354"/>
      <c r="B1037" s="354"/>
      <c r="C1037" s="354"/>
      <c r="D1037" s="1547" t="s">
        <v>1786</v>
      </c>
      <c r="E1037" s="1547"/>
      <c r="F1037" s="1547"/>
      <c r="G1037" s="3"/>
      <c r="I1037" s="490"/>
    </row>
    <row r="1038" spans="1:9" ht="12.75" customHeight="1">
      <c r="A1038" s="172"/>
      <c r="B1038" s="172"/>
      <c r="C1038" s="172"/>
      <c r="D1038" s="3"/>
      <c r="E1038" s="3"/>
      <c r="F1038" s="3"/>
      <c r="G1038" s="3"/>
      <c r="I1038" s="490"/>
    </row>
    <row r="1039" spans="1:9" ht="12.75" customHeight="1">
      <c r="A1039" s="175"/>
      <c r="B1039" s="175"/>
      <c r="C1039" s="174"/>
      <c r="D1039" s="1546" t="s">
        <v>1800</v>
      </c>
      <c r="E1039" s="1546"/>
      <c r="F1039" s="1546"/>
      <c r="G1039" s="3"/>
      <c r="I1039" s="490"/>
    </row>
    <row r="1040" spans="1:9" ht="12.75" customHeight="1">
      <c r="A1040" s="354"/>
      <c r="B1040" s="485" t="s">
        <v>2637</v>
      </c>
      <c r="C1040" s="354"/>
      <c r="D1040" s="1547" t="s">
        <v>1270</v>
      </c>
      <c r="E1040" s="1547"/>
      <c r="F1040" s="1547"/>
      <c r="G1040" s="3"/>
      <c r="I1040" s="490"/>
    </row>
    <row r="1041" spans="1:9" ht="12.75" customHeight="1">
      <c r="A1041" s="354"/>
      <c r="B1041" s="175"/>
      <c r="C1041" s="354"/>
      <c r="D1041" s="1547" t="s">
        <v>1787</v>
      </c>
      <c r="E1041" s="1547"/>
      <c r="F1041" s="1547"/>
      <c r="G1041" s="3"/>
      <c r="I1041" s="490"/>
    </row>
    <row r="1042" spans="1:9" ht="12.75" customHeight="1">
      <c r="A1042" s="354"/>
      <c r="B1042" s="354"/>
      <c r="C1042" s="354"/>
      <c r="D1042" s="1547"/>
      <c r="E1042" s="1547"/>
      <c r="F1042" s="1547"/>
      <c r="G1042" s="3"/>
      <c r="I1042" s="490"/>
    </row>
    <row r="1043" spans="1:9" ht="12.75" customHeight="1">
      <c r="A1043" s="1548" t="s">
        <v>1796</v>
      </c>
      <c r="B1043" s="1548"/>
      <c r="C1043" s="1548"/>
      <c r="D1043" s="1548"/>
      <c r="E1043" s="1548"/>
      <c r="F1043" s="1548"/>
      <c r="G1043" s="1548"/>
      <c r="H1043" s="1023"/>
      <c r="I1043" s="1147"/>
    </row>
    <row r="1044" spans="1:9" ht="12.75" customHeight="1">
      <c r="A1044" s="118"/>
      <c r="B1044" s="118"/>
      <c r="C1044" s="354"/>
      <c r="D1044" s="3"/>
      <c r="E1044" s="3"/>
      <c r="F1044" s="3"/>
      <c r="G1044" s="3"/>
      <c r="I1044" s="490"/>
    </row>
    <row r="1045" spans="1:9" ht="12.75" hidden="1" customHeight="1">
      <c r="A1045" s="118"/>
      <c r="B1045" s="402"/>
      <c r="D1045" s="1545" t="s">
        <v>1271</v>
      </c>
      <c r="E1045" s="1545"/>
      <c r="F1045" s="1545"/>
      <c r="G1045" s="3"/>
      <c r="I1045" s="490"/>
    </row>
    <row r="1046" spans="1:9" ht="12.75" hidden="1" customHeight="1">
      <c r="A1046" s="118"/>
      <c r="B1046" s="485" t="s">
        <v>307</v>
      </c>
      <c r="D1046" s="1544" t="s">
        <v>1270</v>
      </c>
      <c r="E1046" s="1544"/>
      <c r="F1046" s="1544"/>
      <c r="G1046" s="3"/>
      <c r="I1046" s="490"/>
    </row>
    <row r="1047" spans="1:9" ht="12.75" hidden="1" customHeight="1">
      <c r="A1047" s="118"/>
      <c r="B1047" s="402"/>
      <c r="D1047" s="1544" t="s">
        <v>1797</v>
      </c>
      <c r="E1047" s="1544"/>
      <c r="F1047" s="1544"/>
      <c r="G1047" s="3"/>
      <c r="I1047" s="490"/>
    </row>
    <row r="1048" spans="1:9" ht="12.75" hidden="1" customHeight="1">
      <c r="A1048" s="118"/>
      <c r="B1048" s="402"/>
      <c r="D1048" s="444"/>
      <c r="E1048" s="444"/>
      <c r="F1048" s="444"/>
      <c r="G1048" s="3"/>
      <c r="I1048" s="490"/>
    </row>
    <row r="1049" spans="1:9" ht="12.75" customHeight="1">
      <c r="A1049" s="118"/>
      <c r="B1049" s="118"/>
      <c r="C1049" s="354"/>
      <c r="D1049" s="1549" t="s">
        <v>1065</v>
      </c>
      <c r="E1049" s="1549"/>
      <c r="F1049" s="1549"/>
      <c r="G1049" s="3"/>
      <c r="I1049" s="490"/>
    </row>
    <row r="1050" spans="1:9" ht="12.75" customHeight="1">
      <c r="A1050" s="319"/>
      <c r="B1050" s="319"/>
      <c r="C1050" s="319"/>
      <c r="D1050" s="1543" t="s">
        <v>2199</v>
      </c>
      <c r="E1050" s="1543"/>
      <c r="F1050" s="1543"/>
      <c r="G1050" s="98"/>
      <c r="I1050" s="490"/>
    </row>
    <row r="1051" spans="1:9" ht="12.75" customHeight="1">
      <c r="A1051" s="175"/>
      <c r="B1051" s="485" t="s">
        <v>2638</v>
      </c>
      <c r="C1051" s="354"/>
      <c r="D1051" s="1543" t="s">
        <v>984</v>
      </c>
      <c r="E1051" s="1543"/>
      <c r="F1051" s="1543"/>
      <c r="G1051" s="3"/>
      <c r="I1051" s="490"/>
    </row>
    <row r="1052" spans="1:9" ht="12.75" customHeight="1">
      <c r="A1052" s="354"/>
      <c r="B1052" s="354"/>
      <c r="C1052" s="354"/>
      <c r="D1052" s="1031" t="s">
        <v>1889</v>
      </c>
      <c r="E1052" s="96"/>
      <c r="F1052" s="96"/>
      <c r="G1052" s="3"/>
      <c r="I1052" s="490"/>
    </row>
    <row r="1053" spans="1:9">
      <c r="A1053" s="402"/>
      <c r="B1053" s="402"/>
      <c r="C1053" s="402"/>
      <c r="I1053" s="490"/>
    </row>
    <row r="1054" spans="1:9">
      <c r="A1054" s="1548" t="s">
        <v>2602</v>
      </c>
      <c r="B1054" s="1548"/>
      <c r="C1054" s="1548"/>
      <c r="D1054" s="1548"/>
      <c r="E1054" s="1548"/>
      <c r="F1054" s="1548"/>
      <c r="G1054" s="1548"/>
      <c r="H1054" s="1023"/>
      <c r="I1054" s="1147"/>
    </row>
    <row r="1055" spans="1:9">
      <c r="A1055" s="402"/>
      <c r="B1055" s="402"/>
      <c r="C1055" s="402"/>
      <c r="I1055" s="490"/>
    </row>
    <row r="1056" spans="1:9">
      <c r="A1056" s="402"/>
      <c r="B1056" s="402"/>
      <c r="C1056" s="402"/>
      <c r="D1056" s="404" t="s">
        <v>2601</v>
      </c>
      <c r="I1056" s="490"/>
    </row>
    <row r="1057" spans="1:9">
      <c r="A1057" s="402"/>
      <c r="B1057" s="402"/>
      <c r="C1057" s="402"/>
      <c r="D1057" s="402" t="s">
        <v>2605</v>
      </c>
      <c r="I1057" s="490"/>
    </row>
    <row r="1058" spans="1:9">
      <c r="A1058" s="402"/>
      <c r="B1058" s="402"/>
      <c r="C1058" s="402"/>
      <c r="D1058" s="404"/>
      <c r="I1058" s="490"/>
    </row>
    <row r="1059" spans="1:9">
      <c r="A1059" s="402"/>
      <c r="B1059" s="485" t="s">
        <v>2638</v>
      </c>
      <c r="C1059" s="402"/>
      <c r="D1059" s="1556" t="s">
        <v>1801</v>
      </c>
      <c r="E1059" s="1556"/>
      <c r="F1059" s="1556"/>
      <c r="I1059" s="490"/>
    </row>
    <row r="1060" spans="1:9">
      <c r="A1060" s="402"/>
      <c r="B1060" s="402"/>
      <c r="C1060" s="402"/>
      <c r="D1060" s="1556"/>
      <c r="E1060" s="1556"/>
      <c r="F1060" s="1556"/>
      <c r="I1060" s="490"/>
    </row>
    <row r="1061" spans="1:9">
      <c r="A1061" s="402"/>
      <c r="B1061" s="402"/>
      <c r="C1061" s="402"/>
      <c r="D1061" s="1556"/>
      <c r="E1061" s="1556"/>
      <c r="F1061" s="1556"/>
      <c r="I1061" s="490"/>
    </row>
    <row r="1062" spans="1:9">
      <c r="A1062" s="402"/>
      <c r="B1062" s="402"/>
      <c r="C1062" s="402"/>
      <c r="D1062" s="1556"/>
      <c r="E1062" s="1556"/>
      <c r="F1062" s="1556"/>
      <c r="I1062" s="490"/>
    </row>
    <row r="1063" spans="1:9">
      <c r="A1063" s="402"/>
      <c r="B1063" s="402"/>
      <c r="C1063" s="402"/>
      <c r="I1063" s="490"/>
    </row>
    <row r="1064" spans="1:9">
      <c r="A1064" s="402"/>
      <c r="B1064" s="402"/>
      <c r="C1064" s="402"/>
      <c r="D1064" s="404" t="s">
        <v>1306</v>
      </c>
      <c r="I1064" s="490"/>
    </row>
    <row r="1065" spans="1:9">
      <c r="A1065" s="402"/>
      <c r="B1065" s="402"/>
      <c r="C1065" s="402"/>
      <c r="D1065" s="402" t="s">
        <v>2606</v>
      </c>
      <c r="I1065" s="490"/>
    </row>
    <row r="1066" spans="1:9">
      <c r="A1066" s="402"/>
      <c r="B1066" s="402"/>
      <c r="C1066" s="402"/>
      <c r="I1066" s="490"/>
    </row>
    <row r="1067" spans="1:9">
      <c r="A1067" s="402"/>
      <c r="B1067" s="485" t="s">
        <v>2638</v>
      </c>
      <c r="C1067" s="402"/>
      <c r="D1067" s="402" t="s">
        <v>1799</v>
      </c>
      <c r="I1067" s="490"/>
    </row>
    <row r="1068" spans="1:9">
      <c r="A1068" s="402"/>
      <c r="B1068" s="402"/>
      <c r="C1068" s="402"/>
      <c r="I1068" s="490"/>
    </row>
    <row r="1069" spans="1:9">
      <c r="A1069" s="402"/>
      <c r="B1069" s="485" t="s">
        <v>2637</v>
      </c>
      <c r="C1069" s="402"/>
      <c r="D1069" s="1556" t="s">
        <v>1802</v>
      </c>
      <c r="E1069" s="1556"/>
      <c r="F1069" s="1556"/>
      <c r="I1069" s="490"/>
    </row>
    <row r="1070" spans="1:9">
      <c r="A1070" s="402"/>
      <c r="B1070" s="402"/>
      <c r="C1070" s="402"/>
      <c r="D1070" s="1556"/>
      <c r="E1070" s="1556"/>
      <c r="F1070" s="1556"/>
      <c r="I1070" s="490"/>
    </row>
    <row r="1071" spans="1:9">
      <c r="A1071" s="402"/>
      <c r="B1071" s="402"/>
      <c r="C1071" s="402"/>
      <c r="D1071" s="1556"/>
      <c r="E1071" s="1556"/>
      <c r="F1071" s="1556"/>
      <c r="I1071" s="490"/>
    </row>
    <row r="1072" spans="1:9">
      <c r="A1072" s="402"/>
      <c r="B1072" s="402"/>
      <c r="C1072" s="402"/>
      <c r="D1072" s="1556"/>
      <c r="E1072" s="1556"/>
      <c r="F1072" s="1556"/>
      <c r="I1072" s="490"/>
    </row>
    <row r="1073" spans="1:9">
      <c r="A1073" s="402"/>
      <c r="B1073" s="402"/>
      <c r="C1073" s="402"/>
      <c r="D1073" s="1556"/>
      <c r="E1073" s="1556"/>
      <c r="F1073" s="1556"/>
      <c r="I1073" s="490"/>
    </row>
    <row r="1074" spans="1:9">
      <c r="A1074" s="402"/>
      <c r="B1074" s="402"/>
      <c r="C1074" s="402"/>
      <c r="I1074" s="490"/>
    </row>
    <row r="1075" spans="1:9">
      <c r="A1075" s="1548" t="s">
        <v>1803</v>
      </c>
      <c r="B1075" s="1548"/>
      <c r="C1075" s="1548"/>
      <c r="D1075" s="1548"/>
      <c r="E1075" s="1548"/>
      <c r="F1075" s="1548"/>
      <c r="G1075" s="1548"/>
      <c r="H1075" s="1023"/>
      <c r="I1075" s="1147"/>
    </row>
    <row r="1076" spans="1:9">
      <c r="A1076" s="402"/>
      <c r="B1076" s="402"/>
      <c r="C1076" s="402"/>
      <c r="I1076" s="490"/>
    </row>
    <row r="1077" spans="1:9">
      <c r="A1077" s="402"/>
      <c r="B1077" s="402"/>
      <c r="C1077" s="402"/>
      <c r="I1077" s="490"/>
    </row>
    <row r="1078" spans="1:9">
      <c r="A1078" s="402"/>
      <c r="B1078" s="485" t="s">
        <v>2637</v>
      </c>
      <c r="C1078" s="402"/>
      <c r="D1078" s="527" t="s">
        <v>1806</v>
      </c>
      <c r="I1078" s="490"/>
    </row>
    <row r="1079" spans="1:9">
      <c r="A1079" s="402"/>
      <c r="B1079" s="402"/>
      <c r="C1079" s="402"/>
      <c r="D1079" s="527" t="s">
        <v>2615</v>
      </c>
      <c r="I1079" s="490"/>
    </row>
    <row r="1080" spans="1:9">
      <c r="A1080" s="402"/>
      <c r="B1080" s="402"/>
      <c r="C1080" s="402"/>
      <c r="D1080" s="527"/>
      <c r="I1080" s="490"/>
    </row>
    <row r="1081" spans="1:9">
      <c r="A1081" s="402"/>
      <c r="B1081" s="485" t="s">
        <v>2638</v>
      </c>
      <c r="C1081" s="402"/>
      <c r="D1081" s="1559" t="s">
        <v>2608</v>
      </c>
      <c r="E1081" s="1559"/>
      <c r="F1081" s="1559"/>
      <c r="I1081" s="490"/>
    </row>
    <row r="1082" spans="1:9">
      <c r="A1082" s="402"/>
      <c r="B1082" s="402"/>
      <c r="C1082" s="402"/>
      <c r="D1082" s="1559"/>
      <c r="E1082" s="1559"/>
      <c r="F1082" s="1559"/>
      <c r="I1082" s="490"/>
    </row>
    <row r="1083" spans="1:9">
      <c r="A1083" s="402"/>
      <c r="B1083" s="402"/>
      <c r="C1083" s="402"/>
      <c r="D1083" s="527" t="s">
        <v>2607</v>
      </c>
      <c r="I1083" s="490"/>
    </row>
    <row r="1084" spans="1:9">
      <c r="A1084" s="402"/>
      <c r="B1084" s="402"/>
      <c r="C1084" s="402"/>
      <c r="D1084" s="527"/>
      <c r="I1084" s="490"/>
    </row>
    <row r="1085" spans="1:9">
      <c r="A1085" s="402"/>
      <c r="B1085" s="485" t="s">
        <v>2638</v>
      </c>
      <c r="C1085" s="402"/>
      <c r="D1085" s="119" t="s">
        <v>2616</v>
      </c>
      <c r="I1085" s="490"/>
    </row>
    <row r="1086" spans="1:9">
      <c r="A1086" s="402"/>
      <c r="B1086" s="402"/>
      <c r="C1086" s="402"/>
      <c r="D1086" s="1524" t="s">
        <v>2618</v>
      </c>
      <c r="E1086" s="1524"/>
      <c r="F1086" s="1524"/>
      <c r="I1086" s="490"/>
    </row>
    <row r="1087" spans="1:9">
      <c r="A1087" s="402"/>
      <c r="B1087" s="402"/>
      <c r="C1087" s="402"/>
      <c r="D1087" s="1524"/>
      <c r="E1087" s="1524"/>
      <c r="F1087" s="1524"/>
      <c r="I1087" s="490"/>
    </row>
    <row r="1088" spans="1:9">
      <c r="A1088" s="402"/>
      <c r="B1088" s="402"/>
      <c r="C1088" s="402"/>
      <c r="D1088" s="1524"/>
      <c r="E1088" s="1524"/>
      <c r="F1088" s="1524"/>
      <c r="I1088" s="490"/>
    </row>
    <row r="1089" spans="1:9">
      <c r="A1089" s="402"/>
      <c r="B1089" s="402"/>
      <c r="C1089" s="402"/>
      <c r="D1089" s="1524"/>
      <c r="E1089" s="1524"/>
      <c r="F1089" s="1524"/>
      <c r="I1089" s="490"/>
    </row>
    <row r="1090" spans="1:9">
      <c r="A1090" s="402"/>
      <c r="B1090" s="402"/>
      <c r="C1090" s="402"/>
      <c r="D1090" s="119" t="s">
        <v>2617</v>
      </c>
      <c r="I1090" s="490"/>
    </row>
    <row r="1091" spans="1:9">
      <c r="A1091" s="402"/>
      <c r="B1091" s="402"/>
      <c r="C1091" s="402"/>
      <c r="D1091" s="119"/>
      <c r="I1091" s="490"/>
    </row>
    <row r="1092" spans="1:9">
      <c r="A1092" s="402"/>
      <c r="B1092" s="402"/>
      <c r="C1092" s="402"/>
      <c r="D1092" s="527" t="s">
        <v>1804</v>
      </c>
      <c r="I1092" s="490"/>
    </row>
    <row r="1093" spans="1:9">
      <c r="A1093" s="402"/>
      <c r="B1093" s="485" t="s">
        <v>2638</v>
      </c>
      <c r="C1093" s="402"/>
      <c r="D1093" s="1555" t="s">
        <v>1805</v>
      </c>
      <c r="E1093" s="1555"/>
      <c r="F1093" s="1555"/>
      <c r="I1093" s="490"/>
    </row>
    <row r="1094" spans="1:9">
      <c r="A1094" s="402"/>
      <c r="B1094" s="402"/>
      <c r="C1094" s="402"/>
      <c r="D1094" s="1555"/>
      <c r="E1094" s="1555"/>
      <c r="F1094" s="1555"/>
      <c r="I1094" s="490"/>
    </row>
    <row r="1095" spans="1:9">
      <c r="A1095" s="402"/>
      <c r="B1095" s="402"/>
      <c r="C1095" s="402"/>
      <c r="D1095" s="1555"/>
      <c r="E1095" s="1555"/>
      <c r="F1095" s="1555"/>
      <c r="I1095" s="490"/>
    </row>
    <row r="1096" spans="1:9">
      <c r="A1096" s="402"/>
      <c r="B1096" s="402"/>
      <c r="C1096" s="402"/>
      <c r="D1096" s="1555"/>
      <c r="E1096" s="1555"/>
      <c r="F1096" s="1555"/>
      <c r="I1096" s="490"/>
    </row>
    <row r="1097" spans="1:9">
      <c r="A1097" s="402"/>
      <c r="B1097" s="402"/>
      <c r="C1097" s="402"/>
      <c r="D1097" s="1555"/>
      <c r="E1097" s="1555"/>
      <c r="F1097" s="1555"/>
      <c r="I1097" s="490"/>
    </row>
    <row r="1098" spans="1:9">
      <c r="A1098" s="402"/>
      <c r="B1098" s="402"/>
      <c r="C1098" s="402"/>
      <c r="D1098" s="527" t="s">
        <v>2619</v>
      </c>
      <c r="I1098" s="490"/>
    </row>
    <row r="1099" spans="1:9">
      <c r="A1099" s="402"/>
      <c r="B1099" s="402"/>
      <c r="C1099" s="402"/>
      <c r="I1099" s="490"/>
    </row>
    <row r="1100" spans="1:9">
      <c r="A1100" s="402"/>
      <c r="B1100" s="485" t="s">
        <v>2638</v>
      </c>
      <c r="C1100" s="402"/>
      <c r="D1100" s="1538" t="s">
        <v>2220</v>
      </c>
      <c r="E1100" s="1538"/>
      <c r="F1100" s="1538"/>
      <c r="I1100" s="490"/>
    </row>
    <row r="1101" spans="1:9">
      <c r="A1101" s="402"/>
      <c r="B1101" s="402"/>
      <c r="C1101" s="402"/>
      <c r="D1101" s="1538"/>
      <c r="E1101" s="1538"/>
      <c r="F1101" s="1538"/>
      <c r="I1101" s="490"/>
    </row>
    <row r="1102" spans="1:9">
      <c r="A1102" s="402"/>
      <c r="B1102" s="402"/>
      <c r="C1102" s="402"/>
      <c r="D1102" s="1538"/>
      <c r="E1102" s="1538"/>
      <c r="F1102" s="1538"/>
      <c r="I1102" s="490"/>
    </row>
    <row r="1103" spans="1:9">
      <c r="A1103" s="402"/>
      <c r="B1103" s="402"/>
      <c r="C1103" s="402"/>
      <c r="I1103" s="490"/>
    </row>
    <row r="1104" spans="1:9">
      <c r="A1104" s="1548" t="s">
        <v>1807</v>
      </c>
      <c r="B1104" s="1548"/>
      <c r="C1104" s="1548"/>
      <c r="D1104" s="1548"/>
      <c r="E1104" s="1548"/>
      <c r="F1104" s="1548"/>
      <c r="G1104" s="1548"/>
      <c r="H1104" s="1023"/>
      <c r="I1104" s="1147"/>
    </row>
    <row r="1105" spans="1:9">
      <c r="A1105" s="402"/>
      <c r="B1105" s="402"/>
      <c r="C1105" s="402"/>
      <c r="I1105" s="490"/>
    </row>
    <row r="1106" spans="1:9">
      <c r="A1106" s="402"/>
      <c r="B1106" s="402"/>
      <c r="C1106" s="402"/>
      <c r="I1106" s="490"/>
    </row>
    <row r="1107" spans="1:9" ht="12.75" customHeight="1">
      <c r="A1107" s="402"/>
      <c r="B1107" s="485" t="s">
        <v>2638</v>
      </c>
      <c r="C1107" s="402"/>
      <c r="D1107" s="1557" t="s">
        <v>1901</v>
      </c>
      <c r="E1107" s="1557"/>
      <c r="F1107" s="1557"/>
      <c r="I1107" s="490"/>
    </row>
    <row r="1108" spans="1:9">
      <c r="A1108" s="402"/>
      <c r="B1108" s="402"/>
      <c r="C1108" s="402"/>
      <c r="D1108" s="1557"/>
      <c r="E1108" s="1557"/>
      <c r="F1108" s="1557"/>
      <c r="I1108" s="490"/>
    </row>
    <row r="1109" spans="1:9">
      <c r="A1109" s="402"/>
      <c r="B1109" s="402"/>
      <c r="C1109" s="402"/>
      <c r="D1109" s="1558" t="s">
        <v>2623</v>
      </c>
      <c r="E1109" s="1524"/>
      <c r="F1109" s="1524"/>
      <c r="I1109" s="490"/>
    </row>
    <row r="1110" spans="1:9">
      <c r="A1110" s="402"/>
      <c r="B1110" s="402"/>
      <c r="C1110" s="402"/>
      <c r="D1110" s="527"/>
      <c r="I1110" s="490"/>
    </row>
    <row r="1111" spans="1:9">
      <c r="A1111" s="402"/>
      <c r="B1111" s="485" t="s">
        <v>2638</v>
      </c>
      <c r="C1111" s="402"/>
      <c r="D1111" s="1555" t="s">
        <v>2571</v>
      </c>
      <c r="E1111" s="1555"/>
      <c r="F1111" s="1555"/>
      <c r="I1111" s="490"/>
    </row>
    <row r="1112" spans="1:9">
      <c r="A1112" s="402"/>
      <c r="B1112" s="402"/>
      <c r="C1112" s="402"/>
      <c r="D1112" s="1555"/>
      <c r="E1112" s="1555"/>
      <c r="F1112" s="1555"/>
      <c r="I1112" s="490"/>
    </row>
    <row r="1113" spans="1:9">
      <c r="A1113" s="402"/>
      <c r="B1113" s="402"/>
      <c r="C1113" s="402"/>
      <c r="D1113" s="1555"/>
      <c r="E1113" s="1555"/>
      <c r="F1113" s="1555"/>
      <c r="I1113" s="490"/>
    </row>
    <row r="1114" spans="1:9">
      <c r="A1114" s="402"/>
      <c r="B1114" s="402"/>
      <c r="C1114" s="402"/>
      <c r="D1114" s="527"/>
      <c r="I1114" s="490"/>
    </row>
    <row r="1115" spans="1:9">
      <c r="A1115" s="402"/>
      <c r="B1115" s="485" t="s">
        <v>2638</v>
      </c>
      <c r="C1115" s="402"/>
      <c r="D1115" s="1555" t="s">
        <v>2590</v>
      </c>
      <c r="E1115" s="1555"/>
      <c r="F1115" s="1555"/>
      <c r="I1115" s="490"/>
    </row>
    <row r="1116" spans="1:9">
      <c r="A1116" s="402"/>
      <c r="B1116" s="402"/>
      <c r="C1116" s="402"/>
      <c r="D1116" s="1555"/>
      <c r="E1116" s="1555"/>
      <c r="F1116" s="1555"/>
      <c r="I1116" s="490"/>
    </row>
    <row r="1117" spans="1:9">
      <c r="A1117" s="402"/>
      <c r="B1117" s="402"/>
      <c r="C1117" s="402"/>
      <c r="D1117" s="1555"/>
      <c r="E1117" s="1555"/>
      <c r="F1117" s="1555"/>
      <c r="I1117" s="490"/>
    </row>
    <row r="1118" spans="1:9">
      <c r="A1118" s="402"/>
      <c r="B1118" s="402"/>
      <c r="C1118" s="402"/>
      <c r="D1118" s="1555"/>
      <c r="E1118" s="1555"/>
      <c r="F1118" s="1555"/>
      <c r="I1118" s="490"/>
    </row>
    <row r="1119" spans="1:9">
      <c r="A1119" s="402"/>
      <c r="B1119" s="402"/>
      <c r="C1119" s="402"/>
      <c r="D1119" s="1555"/>
      <c r="E1119" s="1555"/>
      <c r="F1119" s="1555"/>
      <c r="I1119" s="490"/>
    </row>
    <row r="1120" spans="1:9">
      <c r="A1120" s="402"/>
      <c r="B1120" s="402"/>
      <c r="C1120" s="402"/>
      <c r="D1120" s="527"/>
      <c r="I1120" s="480"/>
    </row>
    <row r="1121" spans="1:9">
      <c r="A1121" s="402"/>
      <c r="B1121" s="485" t="s">
        <v>2638</v>
      </c>
      <c r="C1121" s="402"/>
      <c r="D1121" s="1555" t="s">
        <v>1808</v>
      </c>
      <c r="E1121" s="1555"/>
      <c r="F1121" s="1555"/>
      <c r="I1121" s="490"/>
    </row>
    <row r="1122" spans="1:9">
      <c r="A1122" s="402"/>
      <c r="B1122" s="402"/>
      <c r="C1122" s="402"/>
      <c r="D1122" s="1555"/>
      <c r="E1122" s="1555"/>
      <c r="F1122" s="1555"/>
      <c r="I1122" s="490"/>
    </row>
    <row r="1123" spans="1:9">
      <c r="A1123" s="402"/>
      <c r="B1123" s="402"/>
      <c r="C1123" s="402"/>
      <c r="D1123" s="1555"/>
      <c r="E1123" s="1555"/>
      <c r="F1123" s="1555"/>
      <c r="I1123" s="490"/>
    </row>
    <row r="1124" spans="1:9">
      <c r="A1124" s="402"/>
      <c r="B1124" s="402"/>
      <c r="C1124" s="402"/>
      <c r="D1124" s="527"/>
      <c r="I1124" s="490"/>
    </row>
    <row r="1125" spans="1:9">
      <c r="A1125" s="402"/>
      <c r="B1125" s="485" t="s">
        <v>2638</v>
      </c>
      <c r="C1125" s="402"/>
      <c r="D1125" s="1529" t="s">
        <v>1860</v>
      </c>
      <c r="E1125" s="1529"/>
      <c r="F1125" s="1529"/>
      <c r="I1125" s="490"/>
    </row>
    <row r="1126" spans="1:9">
      <c r="A1126" s="402"/>
      <c r="B1126" s="402"/>
      <c r="C1126" s="402"/>
      <c r="D1126" s="1529"/>
      <c r="E1126" s="1529"/>
      <c r="F1126" s="1529"/>
      <c r="I1126" s="490"/>
    </row>
    <row r="1127" spans="1:9">
      <c r="A1127" s="402"/>
      <c r="B1127" s="402"/>
      <c r="C1127" s="402"/>
      <c r="D1127" s="1529"/>
      <c r="E1127" s="1529"/>
      <c r="F1127" s="1529"/>
      <c r="I1127" s="490"/>
    </row>
    <row r="1128" spans="1:9">
      <c r="A1128" s="402"/>
      <c r="B1128" s="402"/>
      <c r="C1128" s="402"/>
      <c r="D1128" s="975"/>
      <c r="E1128" s="975"/>
      <c r="F1128" s="975"/>
      <c r="I1128" s="490"/>
    </row>
    <row r="1129" spans="1:9" ht="15.75" customHeight="1">
      <c r="A1129" s="402"/>
      <c r="B1129" s="485" t="s">
        <v>2638</v>
      </c>
      <c r="C1129" s="402"/>
      <c r="D1129" s="1524" t="s">
        <v>1861</v>
      </c>
      <c r="E1129" s="1524"/>
      <c r="F1129" s="1524"/>
      <c r="I1129" s="490"/>
    </row>
    <row r="1130" spans="1:9">
      <c r="A1130" s="402"/>
      <c r="B1130" s="402"/>
      <c r="C1130" s="402"/>
      <c r="D1130" s="1524"/>
      <c r="E1130" s="1524"/>
      <c r="F1130" s="1524"/>
      <c r="I1130" s="490"/>
    </row>
    <row r="1131" spans="1:9">
      <c r="A1131" s="402"/>
      <c r="B1131" s="402"/>
      <c r="C1131" s="402"/>
      <c r="D1131" s="1524"/>
      <c r="E1131" s="1524"/>
      <c r="F1131" s="1524"/>
      <c r="I1131" s="490"/>
    </row>
    <row r="1132" spans="1:9">
      <c r="A1132" s="402"/>
      <c r="B1132" s="402"/>
      <c r="C1132" s="402"/>
      <c r="D1132" s="1524"/>
      <c r="E1132" s="1524"/>
      <c r="F1132" s="1524"/>
      <c r="I1132" s="490"/>
    </row>
    <row r="1133" spans="1:9">
      <c r="A1133" s="402"/>
      <c r="B1133" s="402"/>
      <c r="C1133" s="402"/>
      <c r="D1133" s="975"/>
      <c r="E1133" s="975"/>
      <c r="F1133" s="975"/>
      <c r="I1133" s="490"/>
    </row>
    <row r="1134" spans="1:9">
      <c r="A1134" s="402"/>
      <c r="B1134" s="485" t="s">
        <v>2638</v>
      </c>
      <c r="C1134" s="402"/>
      <c r="D1134" s="1529" t="s">
        <v>2600</v>
      </c>
      <c r="E1134" s="1529"/>
      <c r="F1134" s="1529"/>
      <c r="I1134" s="490"/>
    </row>
    <row r="1135" spans="1:9">
      <c r="A1135" s="402"/>
      <c r="B1135" s="402"/>
      <c r="C1135" s="402"/>
      <c r="D1135" s="1529"/>
      <c r="E1135" s="1529"/>
      <c r="F1135" s="1529"/>
      <c r="I1135" s="490"/>
    </row>
    <row r="1136" spans="1:9">
      <c r="A1136" s="402"/>
      <c r="B1136" s="402"/>
      <c r="C1136" s="402"/>
      <c r="D1136" s="1529"/>
      <c r="E1136" s="1529"/>
      <c r="F1136" s="1529"/>
      <c r="I1136" s="490"/>
    </row>
    <row r="1137" spans="1:9">
      <c r="A1137" s="402"/>
      <c r="B1137" s="402"/>
      <c r="C1137" s="402"/>
      <c r="D1137" s="1529"/>
      <c r="E1137" s="1529"/>
      <c r="F1137" s="1529"/>
      <c r="I1137" s="490"/>
    </row>
    <row r="1138" spans="1:9">
      <c r="A1138" s="402"/>
      <c r="B1138" s="402"/>
      <c r="C1138" s="402"/>
      <c r="D1138" s="1529"/>
      <c r="E1138" s="1529"/>
      <c r="F1138" s="1529"/>
      <c r="I1138" s="490"/>
    </row>
    <row r="1139" spans="1:9">
      <c r="A1139" s="402"/>
      <c r="B1139" s="402"/>
      <c r="C1139" s="402"/>
      <c r="D1139" s="1529"/>
      <c r="E1139" s="1529"/>
      <c r="F1139" s="1529"/>
      <c r="I1139" s="490"/>
    </row>
    <row r="1140" spans="1:9">
      <c r="A1140" s="402"/>
      <c r="B1140" s="402"/>
      <c r="C1140" s="402"/>
      <c r="D1140" s="975"/>
      <c r="E1140" s="975"/>
      <c r="F1140" s="975"/>
      <c r="I1140" s="490"/>
    </row>
    <row r="1141" spans="1:9">
      <c r="A1141" s="402"/>
      <c r="B1141" s="485" t="s">
        <v>2638</v>
      </c>
      <c r="C1141" s="402"/>
      <c r="D1141" s="1556" t="s">
        <v>2572</v>
      </c>
      <c r="E1141" s="1556"/>
      <c r="F1141" s="1556"/>
      <c r="I1141" s="1153"/>
    </row>
    <row r="1142" spans="1:9">
      <c r="A1142" s="402"/>
      <c r="B1142" s="402"/>
      <c r="C1142" s="402"/>
      <c r="D1142" s="1556"/>
      <c r="E1142" s="1556"/>
      <c r="F1142" s="1556"/>
      <c r="I1142" s="490"/>
    </row>
    <row r="1143" spans="1:9">
      <c r="A1143" s="402"/>
      <c r="B1143" s="402"/>
      <c r="C1143" s="402"/>
      <c r="D1143" s="1556"/>
      <c r="E1143" s="1556"/>
      <c r="F1143" s="1556"/>
    </row>
    <row r="1144" spans="1:9">
      <c r="A1144" s="402"/>
      <c r="B1144" s="402"/>
      <c r="C1144" s="402"/>
      <c r="D1144" s="1556"/>
      <c r="E1144" s="1556"/>
      <c r="F1144" s="1556"/>
    </row>
    <row r="1145" spans="1:9">
      <c r="A1145" s="402"/>
      <c r="B1145" s="402"/>
      <c r="C1145" s="402"/>
      <c r="D1145" s="1556"/>
      <c r="E1145" s="1556"/>
      <c r="F1145" s="1556"/>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565"/>
      <c r="H1553" s="1565"/>
      <c r="I1553" s="1565"/>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GC2026"/>
  <sheetViews>
    <sheetView showGridLines="0" tabSelected="1" topLeftCell="A22" zoomScale="93" zoomScaleNormal="60" workbookViewId="0">
      <selection activeCell="AO648" sqref="AO648:AS648"/>
    </sheetView>
  </sheetViews>
  <sheetFormatPr defaultColWidth="0" defaultRowHeight="0" customHeight="1" zeroHeight="1"/>
  <cols>
    <col min="1" max="45" width="2.6640625" customWidth="1"/>
    <col min="46" max="46" width="12.44140625" customWidth="1"/>
    <col min="47" max="16384" width="12.44140625" hidden="1"/>
  </cols>
  <sheetData>
    <row r="1" spans="1:58" ht="13.05" customHeight="1">
      <c r="J1" s="100"/>
      <c r="AS1" s="1026">
        <v>4</v>
      </c>
      <c r="BD1" s="3" t="s">
        <v>2417</v>
      </c>
      <c r="BE1" s="3"/>
      <c r="BF1" s="3"/>
    </row>
    <row r="2" spans="1:58" ht="13.05" customHeight="1">
      <c r="BD2" s="3" t="s">
        <v>2418</v>
      </c>
      <c r="BE2" s="3" t="s">
        <v>2419</v>
      </c>
      <c r="BF2" s="3" t="s">
        <v>2420</v>
      </c>
    </row>
    <row r="3" spans="1:58" ht="13.05" customHeight="1">
      <c r="BD3" s="3" t="s">
        <v>2512</v>
      </c>
      <c r="BE3" t="str">
        <f>AC220</f>
        <v>Bay Area ((Alameda, Contra Costa, Marin, San Francisco, San Mateo, Santa Clara, and Santa Cruz Counties)</v>
      </c>
    </row>
    <row r="4" spans="1:58" ht="13.05" customHeight="1">
      <c r="BD4" s="3" t="s">
        <v>2427</v>
      </c>
      <c r="BE4" s="1180"/>
    </row>
    <row r="5" spans="1:58" ht="13.05" customHeight="1">
      <c r="BD5" s="3" t="s">
        <v>2428</v>
      </c>
      <c r="BE5">
        <f>SUMIF($AC$726:$AC$760,"&lt;=20%",$G$726:G$760)</f>
        <v>0</v>
      </c>
      <c r="BF5" s="3" t="s">
        <v>2433</v>
      </c>
    </row>
    <row r="6" spans="1:58" ht="13.05" customHeight="1">
      <c r="BD6" s="3" t="s">
        <v>2429</v>
      </c>
      <c r="BE6" s="1183">
        <f>SUMIF($AC$726:$AC$760,"&lt;=25%",$G$726:G$760)-SUM($BE$5:BE5)</f>
        <v>0</v>
      </c>
    </row>
    <row r="7" spans="1:58" ht="13.05" customHeight="1">
      <c r="BD7" s="1181" t="s">
        <v>2421</v>
      </c>
      <c r="BE7" s="1183">
        <f>SUMIF($AC$726:$AC$760,"&lt;=30%",$G$726:G$760)-SUM($BE$5:BE6)</f>
        <v>11</v>
      </c>
    </row>
    <row r="8" spans="1:58" ht="26.25" customHeight="1">
      <c r="A8" s="1730" t="s">
        <v>100</v>
      </c>
      <c r="B8" s="1730"/>
      <c r="C8" s="1730"/>
      <c r="D8" s="1730"/>
      <c r="E8" s="1730"/>
      <c r="F8" s="1730"/>
      <c r="G8" s="1730"/>
      <c r="H8" s="1730"/>
      <c r="I8" s="1730"/>
      <c r="J8" s="1730"/>
      <c r="K8" s="1730"/>
      <c r="L8" s="1730"/>
      <c r="M8" s="1730"/>
      <c r="N8" s="1730"/>
      <c r="O8" s="1730"/>
      <c r="P8" s="1730"/>
      <c r="Q8" s="1730"/>
      <c r="R8" s="1730"/>
      <c r="S8" s="1730"/>
      <c r="T8" s="1730"/>
      <c r="U8" s="1730"/>
      <c r="V8" s="1730"/>
      <c r="W8" s="1730"/>
      <c r="X8" s="1730"/>
      <c r="Y8" s="1730"/>
      <c r="Z8" s="1730"/>
      <c r="AA8" s="1730"/>
      <c r="AB8" s="1730"/>
      <c r="AC8" s="1730"/>
      <c r="AD8" s="1730"/>
      <c r="AE8" s="1730"/>
      <c r="AF8" s="1730"/>
      <c r="AG8" s="1730"/>
      <c r="AH8" s="1730"/>
      <c r="AI8" s="1730"/>
      <c r="AJ8" s="1730"/>
      <c r="AK8" s="1730"/>
      <c r="AL8" s="1730"/>
      <c r="AM8" s="1730"/>
      <c r="AN8" s="1730"/>
      <c r="AO8" s="1730"/>
      <c r="AP8" s="1730"/>
      <c r="AQ8" s="1730"/>
      <c r="AR8" s="1730"/>
      <c r="AS8" s="1730"/>
      <c r="AT8" s="1730"/>
      <c r="AU8" s="894"/>
      <c r="AV8" s="894"/>
      <c r="AW8" s="894"/>
      <c r="AX8" s="894"/>
      <c r="AY8" s="894"/>
      <c r="BD8" s="3" t="s">
        <v>2430</v>
      </c>
      <c r="BE8" s="1183">
        <f>SUMIF($AC$726:$AC$760,"&lt;=35%",$G$726:G$760)-SUM($BE$5:BE7)</f>
        <v>0</v>
      </c>
    </row>
    <row r="9" spans="1:58" ht="13.05" customHeight="1">
      <c r="A9" s="1603" t="s">
        <v>2031</v>
      </c>
      <c r="B9" s="1603"/>
      <c r="C9" s="1603"/>
      <c r="D9" s="1603"/>
      <c r="E9" s="1603"/>
      <c r="F9" s="1603"/>
      <c r="G9" s="1603"/>
      <c r="H9" s="1603"/>
      <c r="I9" s="1603"/>
      <c r="J9" s="1603"/>
      <c r="K9" s="1603"/>
      <c r="L9" s="1603"/>
      <c r="M9" s="1603"/>
      <c r="N9" s="1603"/>
      <c r="O9" s="1603"/>
      <c r="P9" s="1603"/>
      <c r="Q9" s="1603"/>
      <c r="R9" s="1603"/>
      <c r="S9" s="1603"/>
      <c r="T9" s="1603"/>
      <c r="U9" s="1603"/>
      <c r="V9" s="1603"/>
      <c r="W9" s="1603"/>
      <c r="X9" s="1603"/>
      <c r="Y9" s="1603"/>
      <c r="Z9" s="1603"/>
      <c r="AA9" s="1603"/>
      <c r="AB9" s="1603"/>
      <c r="AC9" s="1603"/>
      <c r="AD9" s="1603"/>
      <c r="AE9" s="1603"/>
      <c r="AF9" s="1603"/>
      <c r="AG9" s="1603"/>
      <c r="AH9" s="1603"/>
      <c r="AI9" s="1603"/>
      <c r="AJ9" s="1603"/>
      <c r="AK9" s="1603"/>
      <c r="AL9" s="1603"/>
      <c r="AM9" s="1603"/>
      <c r="AN9" s="1603"/>
      <c r="AO9" s="1603"/>
      <c r="AP9" s="1603"/>
      <c r="AQ9" s="1603"/>
      <c r="AR9" s="1603"/>
      <c r="AS9" s="1603"/>
      <c r="AT9" s="1603"/>
      <c r="AU9" s="13"/>
      <c r="AV9" s="13"/>
      <c r="AW9" s="13"/>
      <c r="AX9" s="13"/>
      <c r="AY9" s="13"/>
      <c r="BD9" s="1182" t="s">
        <v>2422</v>
      </c>
      <c r="BE9" s="1183">
        <f>SUMIF($AC$726:$AC$760,"&lt;=40%",$G$726:G$760)-SUM($BE$5:BE8)</f>
        <v>0</v>
      </c>
    </row>
    <row r="10" spans="1:58" ht="13.05" customHeight="1">
      <c r="A10" s="1603" t="s">
        <v>2592</v>
      </c>
      <c r="B10" s="1603"/>
      <c r="C10" s="1603"/>
      <c r="D10" s="1603"/>
      <c r="E10" s="1603"/>
      <c r="F10" s="1603"/>
      <c r="G10" s="1603"/>
      <c r="H10" s="1603"/>
      <c r="I10" s="1603"/>
      <c r="J10" s="1603"/>
      <c r="K10" s="1603"/>
      <c r="L10" s="1603"/>
      <c r="M10" s="1603"/>
      <c r="N10" s="1603"/>
      <c r="O10" s="1603"/>
      <c r="P10" s="1603"/>
      <c r="Q10" s="1603"/>
      <c r="R10" s="1603"/>
      <c r="S10" s="1603"/>
      <c r="T10" s="1603"/>
      <c r="U10" s="1603"/>
      <c r="V10" s="1603"/>
      <c r="W10" s="1603"/>
      <c r="X10" s="1603"/>
      <c r="Y10" s="1603"/>
      <c r="Z10" s="1603"/>
      <c r="AA10" s="1603"/>
      <c r="AB10" s="1603"/>
      <c r="AC10" s="1603"/>
      <c r="AD10" s="1603"/>
      <c r="AE10" s="1603"/>
      <c r="AF10" s="1603"/>
      <c r="AG10" s="1603"/>
      <c r="AH10" s="1603"/>
      <c r="AI10" s="1603"/>
      <c r="AJ10" s="1603"/>
      <c r="AK10" s="1603"/>
      <c r="AL10" s="1603"/>
      <c r="AM10" s="1603"/>
      <c r="AN10" s="1603"/>
      <c r="AO10" s="1603"/>
      <c r="AP10" s="1603"/>
      <c r="AQ10" s="1603"/>
      <c r="AR10" s="1603"/>
      <c r="AS10" s="1603"/>
      <c r="AT10" s="1603"/>
      <c r="AU10" s="13"/>
      <c r="AV10" s="13"/>
      <c r="AW10" s="13"/>
      <c r="AX10" s="13"/>
      <c r="AY10" s="13"/>
      <c r="BD10" s="3" t="s">
        <v>2431</v>
      </c>
      <c r="BE10" s="1183">
        <f>SUMIF($AC$726:$AC$760,"&lt;=45%",$G$726:G$760)-SUM($BE$5:BE9)</f>
        <v>0</v>
      </c>
    </row>
    <row r="11" spans="1:58" ht="13.05" customHeight="1">
      <c r="A11" s="1603" t="s">
        <v>2520</v>
      </c>
      <c r="B11" s="1603"/>
      <c r="C11" s="1603"/>
      <c r="D11" s="1603"/>
      <c r="E11" s="1603"/>
      <c r="F11" s="1603"/>
      <c r="G11" s="1603"/>
      <c r="H11" s="1603"/>
      <c r="I11" s="1603"/>
      <c r="J11" s="1603"/>
      <c r="K11" s="1603"/>
      <c r="L11" s="1603"/>
      <c r="M11" s="1603"/>
      <c r="N11" s="1603"/>
      <c r="O11" s="1603"/>
      <c r="P11" s="1603"/>
      <c r="Q11" s="1603"/>
      <c r="R11" s="1603"/>
      <c r="S11" s="1603"/>
      <c r="T11" s="1603"/>
      <c r="U11" s="1603"/>
      <c r="V11" s="1603"/>
      <c r="W11" s="1603"/>
      <c r="X11" s="1603"/>
      <c r="Y11" s="1603"/>
      <c r="Z11" s="1603"/>
      <c r="AA11" s="1603"/>
      <c r="AB11" s="1603"/>
      <c r="AC11" s="1603"/>
      <c r="AD11" s="1603"/>
      <c r="AE11" s="1603"/>
      <c r="AF11" s="1603"/>
      <c r="AG11" s="1603"/>
      <c r="AH11" s="1603"/>
      <c r="AI11" s="1603"/>
      <c r="AJ11" s="1603"/>
      <c r="AK11" s="1603"/>
      <c r="AL11" s="1603"/>
      <c r="AM11" s="1603"/>
      <c r="AN11" s="1603"/>
      <c r="AO11" s="1603"/>
      <c r="AP11" s="1603"/>
      <c r="AQ11" s="1603"/>
      <c r="AR11" s="1603"/>
      <c r="AS11" s="1603"/>
      <c r="AT11" s="1603"/>
      <c r="AU11" s="13"/>
      <c r="AV11" s="13"/>
      <c r="AW11" s="13"/>
      <c r="AX11" s="13"/>
      <c r="AY11" s="13"/>
      <c r="BD11" s="1181" t="s">
        <v>2423</v>
      </c>
      <c r="BE11" s="1183">
        <f>SUMIF($AC$726:$AC$760,"&lt;=50%",$G$726:G$760)-SUM($BE$5:BE10)</f>
        <v>22</v>
      </c>
    </row>
    <row r="12" spans="1:58" ht="13.05" customHeight="1">
      <c r="A12" s="1731" t="s">
        <v>2627</v>
      </c>
      <c r="B12" s="1731"/>
      <c r="C12" s="1731"/>
      <c r="D12" s="1731"/>
      <c r="E12" s="1731"/>
      <c r="F12" s="1731"/>
      <c r="G12" s="1731"/>
      <c r="H12" s="1731"/>
      <c r="I12" s="1731"/>
      <c r="J12" s="1731"/>
      <c r="K12" s="1731"/>
      <c r="L12" s="1731"/>
      <c r="M12" s="1731"/>
      <c r="N12" s="1731"/>
      <c r="O12" s="1731"/>
      <c r="P12" s="1731"/>
      <c r="Q12" s="1731"/>
      <c r="R12" s="1731"/>
      <c r="S12" s="1731"/>
      <c r="T12" s="1731"/>
      <c r="U12" s="1731"/>
      <c r="V12" s="1731"/>
      <c r="W12" s="1731"/>
      <c r="X12" s="1731"/>
      <c r="Y12" s="1731"/>
      <c r="Z12" s="1731"/>
      <c r="AA12" s="1731"/>
      <c r="AB12" s="1731"/>
      <c r="AC12" s="1731"/>
      <c r="AD12" s="1731"/>
      <c r="AE12" s="1731"/>
      <c r="AF12" s="1731"/>
      <c r="AG12" s="1731"/>
      <c r="AH12" s="1731"/>
      <c r="AI12" s="1731"/>
      <c r="AJ12" s="1731"/>
      <c r="AK12" s="1731"/>
      <c r="AL12" s="1731"/>
      <c r="AM12" s="1731"/>
      <c r="AN12" s="1731"/>
      <c r="AO12" s="1731"/>
      <c r="AP12" s="1731"/>
      <c r="AQ12" s="1731"/>
      <c r="AR12" s="1731"/>
      <c r="AS12" s="1731"/>
      <c r="AT12" s="1731"/>
      <c r="AU12" s="6"/>
      <c r="AV12" s="6"/>
      <c r="AW12" s="6"/>
      <c r="AX12" s="6"/>
      <c r="AY12" s="6"/>
      <c r="BD12" s="3" t="s">
        <v>2432</v>
      </c>
      <c r="BE12" s="1183">
        <f>SUMIF($AC$726:$AC$760,"&lt;=55%",$G$726:G$760)-SUM($BE$5:BE11)</f>
        <v>0</v>
      </c>
    </row>
    <row r="13" spans="1:58" ht="13.05" customHeight="1">
      <c r="A13" s="1522" t="s">
        <v>2032</v>
      </c>
      <c r="B13" s="1522"/>
      <c r="C13" s="1522"/>
      <c r="D13" s="1522"/>
      <c r="E13" s="1522"/>
      <c r="F13" s="1522"/>
      <c r="G13" s="1522"/>
      <c r="H13" s="1522"/>
      <c r="I13" s="1522"/>
      <c r="J13" s="1522"/>
      <c r="K13" s="1522"/>
      <c r="L13" s="1522"/>
      <c r="M13" s="1522"/>
      <c r="N13" s="1522"/>
      <c r="O13" s="1522"/>
      <c r="P13" s="1522"/>
      <c r="Q13" s="1522"/>
      <c r="R13" s="1522"/>
      <c r="S13" s="1522"/>
      <c r="T13" s="1522"/>
      <c r="U13" s="1522"/>
      <c r="V13" s="1522"/>
      <c r="W13" s="1522"/>
      <c r="X13" s="1522"/>
      <c r="Y13" s="1522"/>
      <c r="Z13" s="1522"/>
      <c r="AA13" s="1522"/>
      <c r="AB13" s="1522"/>
      <c r="AC13" s="1522"/>
      <c r="AD13" s="1522"/>
      <c r="AE13" s="1522"/>
      <c r="AF13" s="1522"/>
      <c r="AG13" s="1522"/>
      <c r="AH13" s="1522"/>
      <c r="AI13" s="1522"/>
      <c r="AJ13" s="1522"/>
      <c r="AK13" s="1522"/>
      <c r="AL13" s="1522"/>
      <c r="AM13" s="1522"/>
      <c r="AN13" s="1522"/>
      <c r="AO13" s="1522"/>
      <c r="AP13" s="1522"/>
      <c r="AQ13" s="1522"/>
      <c r="AR13" s="1522"/>
      <c r="AS13" s="1522"/>
      <c r="AT13" s="1522"/>
      <c r="AU13" s="895"/>
      <c r="AV13" s="895"/>
      <c r="AW13" s="895"/>
      <c r="AX13" s="895"/>
      <c r="AY13" s="895"/>
      <c r="BD13" s="1182" t="s">
        <v>2424</v>
      </c>
      <c r="BE13" s="1183">
        <f>SUMIF($AC$726:$AC$760,"&lt;=60%",$G$726:G$760)-SUM($BE$5:BE12)</f>
        <v>13</v>
      </c>
    </row>
    <row r="14" spans="1:58" ht="13.05" customHeight="1">
      <c r="A14" s="1522"/>
      <c r="B14" s="1522"/>
      <c r="C14" s="1522"/>
      <c r="D14" s="1522"/>
      <c r="E14" s="1522"/>
      <c r="F14" s="1522"/>
      <c r="G14" s="1522"/>
      <c r="H14" s="1522"/>
      <c r="I14" s="1522"/>
      <c r="J14" s="1522"/>
      <c r="K14" s="1522"/>
      <c r="L14" s="1522"/>
      <c r="M14" s="1522"/>
      <c r="N14" s="1522"/>
      <c r="O14" s="1522"/>
      <c r="P14" s="1522"/>
      <c r="Q14" s="1522"/>
      <c r="R14" s="1522"/>
      <c r="S14" s="1522"/>
      <c r="T14" s="1522"/>
      <c r="U14" s="1522"/>
      <c r="V14" s="1522"/>
      <c r="W14" s="1522"/>
      <c r="X14" s="1522"/>
      <c r="Y14" s="1522"/>
      <c r="Z14" s="1522"/>
      <c r="AA14" s="1522"/>
      <c r="AB14" s="1522"/>
      <c r="AC14" s="1522"/>
      <c r="AD14" s="1522"/>
      <c r="AE14" s="1522"/>
      <c r="AF14" s="1522"/>
      <c r="AG14" s="1522"/>
      <c r="AH14" s="1522"/>
      <c r="AI14" s="1522"/>
      <c r="AJ14" s="1522"/>
      <c r="AK14" s="1522"/>
      <c r="AL14" s="1522"/>
      <c r="AM14" s="1522"/>
      <c r="AN14" s="1522"/>
      <c r="AO14" s="1522"/>
      <c r="AP14" s="1522"/>
      <c r="AQ14" s="1522"/>
      <c r="AR14" s="1522"/>
      <c r="AS14" s="1522"/>
      <c r="AT14" s="1522"/>
      <c r="AU14" s="895"/>
      <c r="AV14" s="895"/>
      <c r="AW14" s="895"/>
      <c r="AX14" s="895"/>
      <c r="AY14" s="895"/>
      <c r="BD14" s="1181" t="s">
        <v>2425</v>
      </c>
      <c r="BE14" s="1183">
        <f>SUMIF($AC$726:$AC$760,"&lt;=70%",$G$726:G$760)-SUM($BE$5:BE13)</f>
        <v>55</v>
      </c>
    </row>
    <row r="15" spans="1:58" ht="13.0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2426</v>
      </c>
      <c r="BE15" s="1183">
        <f>SUMIF($AC$726:$AC$760,"&lt;=80%",$G$726:G$760)-SUM($BE$5:BE14)</f>
        <v>0</v>
      </c>
    </row>
    <row r="16" spans="1:58" ht="13.05" customHeight="1">
      <c r="A16" s="57" t="s">
        <v>2033</v>
      </c>
      <c r="C16" s="4"/>
      <c r="D16" s="4"/>
      <c r="E16" s="4"/>
      <c r="F16" s="4"/>
      <c r="G16" s="4"/>
      <c r="H16" s="1739" t="s">
        <v>2639</v>
      </c>
      <c r="I16" s="1740"/>
      <c r="J16" s="1740"/>
      <c r="K16" s="1740"/>
      <c r="L16" s="1740"/>
      <c r="M16" s="1740"/>
      <c r="N16" s="1740"/>
      <c r="O16" s="1740"/>
      <c r="P16" s="1740"/>
      <c r="Q16" s="1740"/>
      <c r="R16" s="1740"/>
      <c r="S16" s="1740"/>
      <c r="T16" s="1740"/>
      <c r="U16" s="1740"/>
      <c r="V16" s="1740"/>
      <c r="W16" s="1740"/>
      <c r="X16" s="1740"/>
      <c r="Y16" s="1740"/>
      <c r="Z16" s="1740"/>
      <c r="AA16" s="1740"/>
      <c r="AB16" s="1740"/>
      <c r="AC16" s="1740"/>
      <c r="AD16" s="1740"/>
      <c r="AE16" s="1740"/>
      <c r="AF16" s="1740"/>
      <c r="AG16" s="1740"/>
      <c r="AH16" s="1740"/>
      <c r="AI16" s="1740"/>
      <c r="AJ16" s="1740"/>
      <c r="BD16" s="1182" t="s">
        <v>656</v>
      </c>
      <c r="BE16" s="1183" t="str">
        <f>Application!H18</f>
        <v>Driftwood Flats</v>
      </c>
    </row>
    <row r="17" spans="1:58" ht="13.05" customHeight="1">
      <c r="BD17" s="1181" t="s">
        <v>2438</v>
      </c>
      <c r="BE17" s="1183">
        <f>Application!AA943</f>
        <v>6000000</v>
      </c>
    </row>
    <row r="18" spans="1:58" ht="13.05" customHeight="1">
      <c r="A18" s="57" t="s">
        <v>101</v>
      </c>
      <c r="C18" s="4"/>
      <c r="D18" s="4"/>
      <c r="E18" s="4"/>
      <c r="F18" s="4"/>
      <c r="G18" s="4"/>
      <c r="H18" s="1736" t="s">
        <v>2640</v>
      </c>
      <c r="I18" s="1737"/>
      <c r="J18" s="1737"/>
      <c r="K18" s="1737"/>
      <c r="L18" s="1737"/>
      <c r="M18" s="1737"/>
      <c r="N18" s="1737"/>
      <c r="O18" s="1737"/>
      <c r="P18" s="1737"/>
      <c r="Q18" s="1737"/>
      <c r="R18" s="1737"/>
      <c r="S18" s="1737"/>
      <c r="T18" s="1737"/>
      <c r="U18" s="1737"/>
      <c r="V18" s="1737"/>
      <c r="W18" s="1737"/>
      <c r="X18" s="1737"/>
      <c r="Y18" s="1737"/>
      <c r="Z18" s="1737"/>
      <c r="AA18" s="1737"/>
      <c r="AB18" s="1737"/>
      <c r="AC18" s="1737"/>
      <c r="AD18" s="1737"/>
      <c r="AE18" s="1737"/>
      <c r="AF18" s="1737"/>
      <c r="AG18" s="1737"/>
      <c r="AH18" s="1737"/>
      <c r="AI18" s="1737"/>
      <c r="AJ18" s="1737"/>
      <c r="BD18" s="1182" t="s">
        <v>2439</v>
      </c>
      <c r="BE18" s="1183">
        <f>AA943</f>
        <v>6000000</v>
      </c>
    </row>
    <row r="19" spans="1:58" ht="13.05" customHeight="1">
      <c r="BD19" s="1181" t="s">
        <v>2440</v>
      </c>
      <c r="BE19" s="1183">
        <f>Application!M26</f>
        <v>3659678</v>
      </c>
    </row>
    <row r="20" spans="1:58" ht="13.05" customHeight="1">
      <c r="A20" s="1732" t="s">
        <v>873</v>
      </c>
      <c r="B20" s="1732"/>
      <c r="C20" s="1732"/>
      <c r="D20" s="1732"/>
      <c r="E20" s="1732"/>
      <c r="F20" s="1732"/>
      <c r="G20" s="1732"/>
      <c r="H20" s="1732"/>
      <c r="I20" s="1732"/>
      <c r="J20" s="1732"/>
      <c r="K20" s="1732"/>
      <c r="L20" s="1732"/>
      <c r="M20" s="1732"/>
      <c r="N20" s="1732"/>
      <c r="O20" s="1732"/>
      <c r="P20" s="1732"/>
      <c r="Q20" s="1732"/>
      <c r="R20" s="1732"/>
      <c r="S20" s="1732"/>
      <c r="T20" s="1732"/>
      <c r="U20" s="1732"/>
      <c r="V20" s="1732"/>
      <c r="W20" s="1732"/>
      <c r="X20" s="1732"/>
      <c r="Y20" s="1732"/>
      <c r="Z20" s="1732"/>
      <c r="AA20" s="1732"/>
      <c r="AB20" s="1732"/>
      <c r="AC20" s="1732"/>
      <c r="AD20" s="1732"/>
      <c r="AE20" s="1732"/>
      <c r="AF20" s="1732"/>
      <c r="AG20" s="1732"/>
      <c r="AH20" s="1732"/>
      <c r="AI20" s="1732"/>
      <c r="AJ20" s="1732"/>
      <c r="AK20" s="1732"/>
      <c r="AL20" s="1732"/>
      <c r="AM20" s="1732"/>
      <c r="AN20" s="1732"/>
      <c r="AO20" s="1732"/>
      <c r="AP20" s="1732"/>
      <c r="AQ20" s="1732"/>
      <c r="AR20" s="1732"/>
      <c r="AS20" s="1732"/>
      <c r="AT20" s="1732"/>
      <c r="AU20" s="896"/>
      <c r="AV20" s="896"/>
      <c r="AW20" s="896"/>
      <c r="AX20" s="896"/>
      <c r="AY20" s="896"/>
      <c r="BD20" s="1182" t="s">
        <v>2441</v>
      </c>
      <c r="BE20" s="1183">
        <f>Application!M27</f>
        <v>5000000</v>
      </c>
    </row>
    <row r="21" spans="1:58" ht="13.05" customHeight="1">
      <c r="A21" s="1660" t="s">
        <v>1008</v>
      </c>
      <c r="B21" s="1660"/>
      <c r="C21" s="1660"/>
      <c r="D21" s="1660"/>
      <c r="E21" s="1660"/>
      <c r="F21" s="1660"/>
      <c r="G21" s="1660"/>
      <c r="H21" s="1660"/>
      <c r="I21" s="1660"/>
      <c r="J21" s="1660"/>
      <c r="K21" s="1660"/>
      <c r="L21" s="1660"/>
      <c r="M21" s="1660"/>
      <c r="N21" s="1660"/>
      <c r="O21" s="1660"/>
      <c r="P21" s="1660"/>
      <c r="Q21" s="1660"/>
      <c r="R21" s="1660"/>
      <c r="S21" s="1660"/>
      <c r="T21" s="1660"/>
      <c r="U21" s="1660"/>
      <c r="V21" s="1660"/>
      <c r="W21" s="1660"/>
      <c r="X21" s="1660"/>
      <c r="Y21" s="1660"/>
      <c r="Z21" s="1660"/>
      <c r="AA21" s="1660"/>
      <c r="AB21" s="1660"/>
      <c r="AC21" s="1660"/>
      <c r="AD21" s="1660"/>
      <c r="AE21" s="1660"/>
      <c r="AF21" s="1660"/>
      <c r="AG21" s="1660"/>
      <c r="AH21" s="1660"/>
      <c r="AI21" s="1660"/>
      <c r="AJ21" s="1660"/>
      <c r="AK21" s="1660"/>
      <c r="AL21" s="1660"/>
      <c r="AM21" s="897"/>
      <c r="AN21" s="897"/>
      <c r="AO21" s="897"/>
      <c r="AP21" s="897"/>
      <c r="AQ21" s="897"/>
      <c r="AR21" s="897"/>
      <c r="AS21" s="897"/>
      <c r="AT21" s="897"/>
      <c r="AU21" s="897"/>
      <c r="AV21" s="897"/>
      <c r="AW21" s="897"/>
      <c r="AX21" s="897"/>
      <c r="AY21" s="897"/>
      <c r="BD21" s="1181" t="s">
        <v>2442</v>
      </c>
      <c r="BE21" s="1183">
        <f>Application!AM562</f>
        <v>21000000</v>
      </c>
    </row>
    <row r="22" spans="1:58" ht="13.0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79606911</v>
      </c>
      <c r="BF22" s="3" t="s">
        <v>2513</v>
      </c>
    </row>
    <row r="23" spans="1:58" ht="13.05" customHeight="1">
      <c r="A23" s="1557" t="s">
        <v>2099</v>
      </c>
      <c r="B23" s="1557"/>
      <c r="C23" s="1557"/>
      <c r="D23" s="1557"/>
      <c r="E23" s="1557"/>
      <c r="F23" s="1557"/>
      <c r="G23" s="1557"/>
      <c r="H23" s="1557"/>
      <c r="I23" s="1557"/>
      <c r="J23" s="1557"/>
      <c r="K23" s="1557"/>
      <c r="L23" s="1557"/>
      <c r="M23" s="1557"/>
      <c r="N23" s="1557"/>
      <c r="O23" s="1557"/>
      <c r="P23" s="1557"/>
      <c r="Q23" s="1557"/>
      <c r="R23" s="1557"/>
      <c r="S23" s="1557"/>
      <c r="T23" s="1557"/>
      <c r="U23" s="1557"/>
      <c r="V23" s="1557"/>
      <c r="W23" s="1557"/>
      <c r="X23" s="1557"/>
      <c r="Y23" s="1557"/>
      <c r="Z23" s="1557"/>
      <c r="AA23" s="1557"/>
      <c r="AB23" s="1557"/>
      <c r="AC23" s="1557"/>
      <c r="AD23" s="1557"/>
      <c r="AE23" s="1557"/>
      <c r="AF23" s="1557"/>
      <c r="AG23" s="1557"/>
      <c r="AH23" s="1557"/>
      <c r="AI23" s="1557"/>
      <c r="AJ23" s="1557"/>
      <c r="AK23" s="1557"/>
      <c r="AL23" s="1557"/>
      <c r="AM23" s="1557"/>
      <c r="AN23" s="1557"/>
      <c r="AO23" s="1557"/>
      <c r="AP23" s="1557"/>
      <c r="AQ23" s="1557"/>
      <c r="AR23" s="1557"/>
      <c r="AS23" s="1557"/>
      <c r="AT23" s="1557"/>
      <c r="AU23" s="18"/>
      <c r="AV23" s="18"/>
      <c r="AW23" s="18"/>
      <c r="AX23" s="18"/>
      <c r="AY23" s="18"/>
      <c r="AZ23" s="18"/>
      <c r="BD23" s="1181" t="s">
        <v>2443</v>
      </c>
      <c r="BE23" s="1183">
        <f>'Sources and Uses Budget'!B4</f>
        <v>4250000</v>
      </c>
    </row>
    <row r="24" spans="1:58" ht="13.05" customHeight="1">
      <c r="A24" s="1557"/>
      <c r="B24" s="1557"/>
      <c r="C24" s="1557"/>
      <c r="D24" s="1557"/>
      <c r="E24" s="1557"/>
      <c r="F24" s="1557"/>
      <c r="G24" s="1557"/>
      <c r="H24" s="1557"/>
      <c r="I24" s="1557"/>
      <c r="J24" s="1557"/>
      <c r="K24" s="1557"/>
      <c r="L24" s="1557"/>
      <c r="M24" s="1557"/>
      <c r="N24" s="1557"/>
      <c r="O24" s="1557"/>
      <c r="P24" s="1557"/>
      <c r="Q24" s="1557"/>
      <c r="R24" s="1557"/>
      <c r="S24" s="1557"/>
      <c r="T24" s="1557"/>
      <c r="U24" s="1557"/>
      <c r="V24" s="1557"/>
      <c r="W24" s="1557"/>
      <c r="X24" s="1557"/>
      <c r="Y24" s="1557"/>
      <c r="Z24" s="1557"/>
      <c r="AA24" s="1557"/>
      <c r="AB24" s="1557"/>
      <c r="AC24" s="1557"/>
      <c r="AD24" s="1557"/>
      <c r="AE24" s="1557"/>
      <c r="AF24" s="1557"/>
      <c r="AG24" s="1557"/>
      <c r="AH24" s="1557"/>
      <c r="AI24" s="1557"/>
      <c r="AJ24" s="1557"/>
      <c r="AK24" s="1557"/>
      <c r="AL24" s="1557"/>
      <c r="AM24" s="1557"/>
      <c r="AN24" s="1557"/>
      <c r="AO24" s="1557"/>
      <c r="AP24" s="1557"/>
      <c r="AQ24" s="1557"/>
      <c r="AR24" s="1557"/>
      <c r="AS24" s="1557"/>
      <c r="AT24" s="1557"/>
      <c r="AU24" s="18"/>
      <c r="AV24" s="18"/>
      <c r="AW24" s="18"/>
      <c r="AX24" s="18"/>
      <c r="AY24" s="18"/>
      <c r="AZ24" s="18"/>
      <c r="BD24" s="1182" t="s">
        <v>2444</v>
      </c>
      <c r="BE24" s="1183">
        <f>Application!AG459</f>
        <v>142939</v>
      </c>
    </row>
    <row r="25" spans="1:58" ht="13.0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2445</v>
      </c>
      <c r="BE25" s="1183" t="str">
        <f>Application!D208</f>
        <v>40%/60% Average Income</v>
      </c>
    </row>
    <row r="26" spans="1:58" ht="13.05" customHeight="1">
      <c r="A26" s="4"/>
      <c r="C26" s="4"/>
      <c r="D26" s="4"/>
      <c r="E26" s="4"/>
      <c r="F26" s="4"/>
      <c r="G26" s="4"/>
      <c r="H26" s="4"/>
      <c r="I26" s="4"/>
      <c r="J26" s="4"/>
      <c r="K26" s="4"/>
      <c r="L26" s="4"/>
      <c r="M26" s="1738">
        <f>'Basis &amp; Credits'!AB56</f>
        <v>3659678</v>
      </c>
      <c r="N26" s="1738"/>
      <c r="O26" s="1738"/>
      <c r="P26" s="1738"/>
      <c r="Q26" s="1738"/>
      <c r="R26" s="4" t="s">
        <v>759</v>
      </c>
      <c r="S26" s="4"/>
      <c r="T26" s="4"/>
      <c r="U26" s="4"/>
      <c r="V26" s="4"/>
      <c r="W26" s="4"/>
      <c r="X26" s="4"/>
      <c r="Y26" s="4"/>
      <c r="Z26" s="4"/>
      <c r="AF26" s="4"/>
      <c r="AG26" s="4"/>
      <c r="AH26" s="4"/>
      <c r="AI26" s="4"/>
      <c r="AJ26" s="4"/>
      <c r="AK26" s="4"/>
      <c r="BD26" s="1182" t="s">
        <v>1627</v>
      </c>
      <c r="BE26" s="1183" t="b">
        <f>Application!M365="Yes"</f>
        <v>0</v>
      </c>
    </row>
    <row r="27" spans="1:58" ht="13.05" customHeight="1">
      <c r="A27" s="4"/>
      <c r="C27" s="4"/>
      <c r="D27" s="4"/>
      <c r="E27" s="4"/>
      <c r="F27" s="4"/>
      <c r="G27" s="4"/>
      <c r="H27" s="4"/>
      <c r="I27" s="4"/>
      <c r="J27" s="4"/>
      <c r="K27" s="4"/>
      <c r="L27" s="4"/>
      <c r="M27" s="1661">
        <f>'Basis &amp; Credits'!AB78</f>
        <v>5000000</v>
      </c>
      <c r="N27" s="1661"/>
      <c r="O27" s="1661"/>
      <c r="P27" s="1661"/>
      <c r="Q27" s="1661"/>
      <c r="R27" s="3" t="s">
        <v>1266</v>
      </c>
      <c r="S27" s="4"/>
      <c r="T27" s="4"/>
      <c r="U27" s="4"/>
      <c r="V27" s="4"/>
      <c r="W27" s="4"/>
      <c r="X27" s="4"/>
      <c r="Y27" s="4"/>
      <c r="Z27" s="4"/>
      <c r="AF27" s="4"/>
      <c r="AG27" s="4"/>
      <c r="AH27" s="4"/>
      <c r="AI27" s="4"/>
      <c r="AJ27" s="4"/>
      <c r="AK27" s="4"/>
      <c r="BD27" s="1181" t="s">
        <v>2052</v>
      </c>
      <c r="BE27" s="1183" t="b">
        <f>Application!M364="Yes"</f>
        <v>1</v>
      </c>
    </row>
    <row r="28" spans="1:58" ht="13.0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2446</v>
      </c>
      <c r="BE28" s="1183" t="b">
        <f>Application!M366="Yes"</f>
        <v>0</v>
      </c>
    </row>
    <row r="29" spans="1:58" ht="13.05" customHeight="1">
      <c r="A29" s="1733" t="s">
        <v>2100</v>
      </c>
      <c r="B29" s="1733"/>
      <c r="C29" s="1733"/>
      <c r="D29" s="1733"/>
      <c r="E29" s="1733"/>
      <c r="F29" s="1733"/>
      <c r="G29" s="1733"/>
      <c r="H29" s="1733"/>
      <c r="I29" s="1733"/>
      <c r="J29" s="1733"/>
      <c r="K29" s="1733"/>
      <c r="L29" s="1733"/>
      <c r="M29" s="1733"/>
      <c r="N29" s="1733"/>
      <c r="O29" s="1733"/>
      <c r="P29" s="1733"/>
      <c r="Q29" s="1733"/>
      <c r="R29" s="1733"/>
      <c r="S29" s="1733"/>
      <c r="T29" s="1733"/>
      <c r="U29" s="1733"/>
      <c r="V29" s="1733"/>
      <c r="W29" s="1733"/>
      <c r="X29" s="1733"/>
      <c r="Y29" s="1733"/>
      <c r="Z29" s="1733"/>
      <c r="AA29" s="1733"/>
      <c r="AB29" s="1733"/>
      <c r="AC29" s="1733"/>
      <c r="AD29" s="1733"/>
      <c r="AE29" s="1733"/>
      <c r="AF29" s="1733"/>
      <c r="AG29" s="1733"/>
      <c r="AH29" s="1733"/>
      <c r="AI29" s="1733"/>
      <c r="AJ29" s="1733"/>
      <c r="AK29" s="1733"/>
      <c r="AL29" s="1733"/>
      <c r="AM29" s="1733"/>
      <c r="AN29" s="1733"/>
      <c r="AO29" s="1733"/>
      <c r="AP29" s="1733"/>
      <c r="AQ29" s="1733"/>
      <c r="AR29" s="1733"/>
      <c r="AS29" s="1733"/>
      <c r="AT29" s="1733"/>
      <c r="BD29" s="1181" t="s">
        <v>2447</v>
      </c>
      <c r="BE29" s="1183" t="b">
        <f>Application!M367="Yes"</f>
        <v>0</v>
      </c>
    </row>
    <row r="30" spans="1:58" ht="13.05" customHeight="1">
      <c r="A30" s="1733"/>
      <c r="B30" s="1733"/>
      <c r="C30" s="1733"/>
      <c r="D30" s="1733"/>
      <c r="E30" s="1733"/>
      <c r="F30" s="1733"/>
      <c r="G30" s="1733"/>
      <c r="H30" s="1733"/>
      <c r="I30" s="1733"/>
      <c r="J30" s="1733"/>
      <c r="K30" s="1733"/>
      <c r="L30" s="1733"/>
      <c r="M30" s="1733"/>
      <c r="N30" s="1733"/>
      <c r="O30" s="1733"/>
      <c r="P30" s="1733"/>
      <c r="Q30" s="1733"/>
      <c r="R30" s="1733"/>
      <c r="S30" s="1733"/>
      <c r="T30" s="1733"/>
      <c r="U30" s="1733"/>
      <c r="V30" s="1733"/>
      <c r="W30" s="1733"/>
      <c r="X30" s="1733"/>
      <c r="Y30" s="1733"/>
      <c r="Z30" s="1733"/>
      <c r="AA30" s="1733"/>
      <c r="AB30" s="1733"/>
      <c r="AC30" s="1733"/>
      <c r="AD30" s="1733"/>
      <c r="AE30" s="1733"/>
      <c r="AF30" s="1733"/>
      <c r="AG30" s="1733"/>
      <c r="AH30" s="1733"/>
      <c r="AI30" s="1733"/>
      <c r="AJ30" s="1733"/>
      <c r="AK30" s="1733"/>
      <c r="AL30" s="1733"/>
      <c r="AM30" s="1733"/>
      <c r="AN30" s="1733"/>
      <c r="AO30" s="1733"/>
      <c r="AP30" s="1733"/>
      <c r="AQ30" s="1733"/>
      <c r="AR30" s="1733"/>
      <c r="AS30" s="1733"/>
      <c r="AT30" s="1733"/>
      <c r="AZ30" s="20"/>
      <c r="BD30" s="1182" t="s">
        <v>28</v>
      </c>
      <c r="BE30" s="1183" t="b">
        <f>Application!AJ364="Yes"</f>
        <v>1</v>
      </c>
    </row>
    <row r="31" spans="1:58" ht="13.05" customHeight="1">
      <c r="A31" s="1733"/>
      <c r="B31" s="1733"/>
      <c r="C31" s="1733"/>
      <c r="D31" s="1733"/>
      <c r="E31" s="1733"/>
      <c r="F31" s="1733"/>
      <c r="G31" s="1733"/>
      <c r="H31" s="1733"/>
      <c r="I31" s="1733"/>
      <c r="J31" s="1733"/>
      <c r="K31" s="1733"/>
      <c r="L31" s="1733"/>
      <c r="M31" s="1733"/>
      <c r="N31" s="1733"/>
      <c r="O31" s="1733"/>
      <c r="P31" s="1733"/>
      <c r="Q31" s="1733"/>
      <c r="R31" s="1733"/>
      <c r="S31" s="1733"/>
      <c r="T31" s="1733"/>
      <c r="U31" s="1733"/>
      <c r="V31" s="1733"/>
      <c r="W31" s="1733"/>
      <c r="X31" s="1733"/>
      <c r="Y31" s="1733"/>
      <c r="Z31" s="1733"/>
      <c r="AA31" s="1733"/>
      <c r="AB31" s="1733"/>
      <c r="AC31" s="1733"/>
      <c r="AD31" s="1733"/>
      <c r="AE31" s="1733"/>
      <c r="AF31" s="1733"/>
      <c r="AG31" s="1733"/>
      <c r="AH31" s="1733"/>
      <c r="AI31" s="1733"/>
      <c r="AJ31" s="1733"/>
      <c r="AK31" s="1733"/>
      <c r="AL31" s="1733"/>
      <c r="AM31" s="1733"/>
      <c r="AN31" s="1733"/>
      <c r="AO31" s="1733"/>
      <c r="AP31" s="1733"/>
      <c r="AQ31" s="1733"/>
      <c r="AR31" s="1733"/>
      <c r="AS31" s="1733"/>
      <c r="AT31" s="1733"/>
      <c r="AU31" s="20"/>
      <c r="AV31" s="20"/>
      <c r="AW31" s="20"/>
      <c r="AX31" s="20"/>
      <c r="AY31" s="20"/>
      <c r="AZ31" s="20"/>
      <c r="BD31" s="1181" t="s">
        <v>2448</v>
      </c>
      <c r="BE31" s="1183" t="str">
        <f>Application!D211</f>
        <v>Large Family</v>
      </c>
    </row>
    <row r="32" spans="1:58" ht="13.0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2449</v>
      </c>
      <c r="BE32" s="1183">
        <f>IF(ISNUMBER(Application!W473),W473,0)</f>
        <v>0</v>
      </c>
    </row>
    <row r="33" spans="1:57" ht="13.05" hidden="1" customHeight="1">
      <c r="A33" s="519" t="s">
        <v>1277</v>
      </c>
      <c r="C33" s="519"/>
      <c r="D33" s="519"/>
      <c r="E33" s="519"/>
      <c r="F33" s="519"/>
      <c r="G33" s="519"/>
      <c r="H33" s="519"/>
      <c r="I33" s="519"/>
      <c r="J33" s="519"/>
      <c r="K33" s="519"/>
      <c r="L33" s="519"/>
      <c r="M33" s="519"/>
      <c r="N33" s="519"/>
      <c r="O33" s="1599" t="s">
        <v>669</v>
      </c>
      <c r="P33" s="1599"/>
      <c r="Q33" s="1734" t="s">
        <v>2101</v>
      </c>
      <c r="R33" s="1734"/>
      <c r="S33" s="1734"/>
      <c r="T33" s="1734"/>
      <c r="U33" s="1734"/>
      <c r="V33" s="1734"/>
      <c r="W33" s="1734"/>
      <c r="X33" s="1734"/>
      <c r="Y33" s="1734"/>
      <c r="Z33" s="1734"/>
      <c r="AA33" s="1734"/>
      <c r="AB33" s="1734"/>
      <c r="AC33" s="1734"/>
      <c r="AD33" s="1734"/>
      <c r="AE33" s="1734"/>
      <c r="AF33" s="1734"/>
      <c r="AG33" s="1734"/>
      <c r="AH33" s="1734"/>
      <c r="AI33" s="1734"/>
      <c r="AJ33" s="1734"/>
      <c r="AK33" s="1734"/>
      <c r="AL33" s="1734"/>
      <c r="AM33" s="1734"/>
      <c r="AN33" s="1734"/>
      <c r="AO33" s="1734"/>
      <c r="AP33" s="1734"/>
      <c r="AQ33" s="1734"/>
      <c r="AR33" s="1734"/>
      <c r="AS33" s="1734"/>
      <c r="AT33" s="1734"/>
      <c r="AU33" s="20"/>
      <c r="AV33" s="20"/>
      <c r="AW33" s="20"/>
      <c r="AX33" s="20"/>
      <c r="AY33" s="20"/>
      <c r="BD33" s="1181" t="s">
        <v>2514</v>
      </c>
      <c r="BE33" s="1183" t="str">
        <f>Application!D220</f>
        <v>Central Coast Region: Monterey, San Luis Obispo, Santa Barbara, Santa Cruz, and Ventura Counties</v>
      </c>
    </row>
    <row r="34" spans="1:57" ht="13.05" hidden="1" customHeight="1">
      <c r="A34" s="1733" t="s">
        <v>2102</v>
      </c>
      <c r="B34" s="1733"/>
      <c r="C34" s="1733"/>
      <c r="D34" s="1733"/>
      <c r="E34" s="1733"/>
      <c r="F34" s="1733"/>
      <c r="G34" s="1733"/>
      <c r="H34" s="1733"/>
      <c r="I34" s="1733"/>
      <c r="J34" s="1733"/>
      <c r="K34" s="1733"/>
      <c r="L34" s="1733"/>
      <c r="M34" s="1733"/>
      <c r="N34" s="1733"/>
      <c r="O34" s="1733"/>
      <c r="P34" s="1733"/>
      <c r="Q34" s="1733"/>
      <c r="R34" s="1733"/>
      <c r="S34" s="1733"/>
      <c r="T34" s="1733"/>
      <c r="U34" s="1733"/>
      <c r="V34" s="1733"/>
      <c r="W34" s="1733"/>
      <c r="X34" s="1733"/>
      <c r="Y34" s="1733"/>
      <c r="Z34" s="1733"/>
      <c r="AA34" s="1733"/>
      <c r="AB34" s="1733"/>
      <c r="AC34" s="1733"/>
      <c r="AD34" s="1733"/>
      <c r="AE34" s="1733"/>
      <c r="AF34" s="1733"/>
      <c r="AG34" s="1733"/>
      <c r="AH34" s="1733"/>
      <c r="AI34" s="1733"/>
      <c r="AJ34" s="1733"/>
      <c r="AK34" s="1733"/>
      <c r="AL34" s="1733"/>
      <c r="AM34" s="1733"/>
      <c r="AN34" s="1733"/>
      <c r="AO34" s="1733"/>
      <c r="AP34" s="1733"/>
      <c r="AQ34" s="1733"/>
      <c r="AR34" s="1733"/>
      <c r="AS34" s="1733"/>
      <c r="AT34" s="1733"/>
      <c r="AU34" s="20"/>
      <c r="AV34" s="20"/>
      <c r="AW34" s="20"/>
      <c r="AX34" s="20"/>
      <c r="AY34" s="20"/>
      <c r="AZ34" s="20"/>
      <c r="BD34" s="1182" t="s">
        <v>2450</v>
      </c>
      <c r="BE34" s="1183" t="str">
        <f>Application!I185</f>
        <v>407, 409 and 413 Pacific Avenue</v>
      </c>
    </row>
    <row r="35" spans="1:57" ht="13.05" hidden="1" customHeight="1">
      <c r="A35" s="1733"/>
      <c r="B35" s="1733"/>
      <c r="C35" s="1733"/>
      <c r="D35" s="1733"/>
      <c r="E35" s="1733"/>
      <c r="F35" s="1733"/>
      <c r="G35" s="1733"/>
      <c r="H35" s="1733"/>
      <c r="I35" s="1733"/>
      <c r="J35" s="1733"/>
      <c r="K35" s="1733"/>
      <c r="L35" s="1733"/>
      <c r="M35" s="1733"/>
      <c r="N35" s="1733"/>
      <c r="O35" s="1733"/>
      <c r="P35" s="1733"/>
      <c r="Q35" s="1733"/>
      <c r="R35" s="1733"/>
      <c r="S35" s="1733"/>
      <c r="T35" s="1733"/>
      <c r="U35" s="1733"/>
      <c r="V35" s="1733"/>
      <c r="W35" s="1733"/>
      <c r="X35" s="1733"/>
      <c r="Y35" s="1733"/>
      <c r="Z35" s="1733"/>
      <c r="AA35" s="1733"/>
      <c r="AB35" s="1733"/>
      <c r="AC35" s="1733"/>
      <c r="AD35" s="1733"/>
      <c r="AE35" s="1733"/>
      <c r="AF35" s="1733"/>
      <c r="AG35" s="1733"/>
      <c r="AH35" s="1733"/>
      <c r="AI35" s="1733"/>
      <c r="AJ35" s="1733"/>
      <c r="AK35" s="1733"/>
      <c r="AL35" s="1733"/>
      <c r="AM35" s="1733"/>
      <c r="AN35" s="1733"/>
      <c r="AO35" s="1733"/>
      <c r="AP35" s="1733"/>
      <c r="AQ35" s="1733"/>
      <c r="AR35" s="1733"/>
      <c r="AS35" s="1733"/>
      <c r="AT35" s="1733"/>
      <c r="AU35" s="20"/>
      <c r="AV35" s="20"/>
      <c r="AW35" s="20"/>
      <c r="AX35" s="20"/>
      <c r="AY35" s="20"/>
      <c r="AZ35" s="20"/>
      <c r="BD35" s="1181" t="s">
        <v>2451</v>
      </c>
      <c r="BE35" s="1183" t="str">
        <f>IF(Application!E187="","",Application!E187)</f>
        <v/>
      </c>
    </row>
    <row r="36" spans="1:57" ht="13.05" hidden="1" customHeight="1">
      <c r="A36" s="1733"/>
      <c r="B36" s="1733"/>
      <c r="C36" s="1733"/>
      <c r="D36" s="1733"/>
      <c r="E36" s="1733"/>
      <c r="F36" s="1733"/>
      <c r="G36" s="1733"/>
      <c r="H36" s="1733"/>
      <c r="I36" s="1733"/>
      <c r="J36" s="1733"/>
      <c r="K36" s="1733"/>
      <c r="L36" s="1733"/>
      <c r="M36" s="1733"/>
      <c r="N36" s="1733"/>
      <c r="O36" s="1733"/>
      <c r="P36" s="1733"/>
      <c r="Q36" s="1733"/>
      <c r="R36" s="1733"/>
      <c r="S36" s="1733"/>
      <c r="T36" s="1733"/>
      <c r="U36" s="1733"/>
      <c r="V36" s="1733"/>
      <c r="W36" s="1733"/>
      <c r="X36" s="1733"/>
      <c r="Y36" s="1733"/>
      <c r="Z36" s="1733"/>
      <c r="AA36" s="1733"/>
      <c r="AB36" s="1733"/>
      <c r="AC36" s="1733"/>
      <c r="AD36" s="1733"/>
      <c r="AE36" s="1733"/>
      <c r="AF36" s="1733"/>
      <c r="AG36" s="1733"/>
      <c r="AH36" s="1733"/>
      <c r="AI36" s="1733"/>
      <c r="AJ36" s="1733"/>
      <c r="AK36" s="1733"/>
      <c r="AL36" s="1733"/>
      <c r="AM36" s="1733"/>
      <c r="AN36" s="1733"/>
      <c r="AO36" s="1733"/>
      <c r="AP36" s="1733"/>
      <c r="AQ36" s="1733"/>
      <c r="AR36" s="1733"/>
      <c r="AS36" s="1733"/>
      <c r="AT36" s="1733"/>
      <c r="AU36" s="20"/>
      <c r="AV36" s="20"/>
      <c r="AW36" s="20"/>
      <c r="AX36" s="20"/>
      <c r="AY36" s="20"/>
      <c r="AZ36" s="20"/>
      <c r="BD36" s="1182" t="s">
        <v>2452</v>
      </c>
      <c r="BE36" s="1183" t="str">
        <f>Application!I189</f>
        <v>Santa Cruz</v>
      </c>
    </row>
    <row r="37" spans="1:57" ht="13.05" hidden="1" customHeight="1">
      <c r="A37" s="1733"/>
      <c r="B37" s="1733"/>
      <c r="C37" s="1733"/>
      <c r="D37" s="1733"/>
      <c r="E37" s="1733"/>
      <c r="F37" s="1733"/>
      <c r="G37" s="1733"/>
      <c r="H37" s="1733"/>
      <c r="I37" s="1733"/>
      <c r="J37" s="1733"/>
      <c r="K37" s="1733"/>
      <c r="L37" s="1733"/>
      <c r="M37" s="1733"/>
      <c r="N37" s="1733"/>
      <c r="O37" s="1733"/>
      <c r="P37" s="1733"/>
      <c r="Q37" s="1733"/>
      <c r="R37" s="1733"/>
      <c r="S37" s="1733"/>
      <c r="T37" s="1733"/>
      <c r="U37" s="1733"/>
      <c r="V37" s="1733"/>
      <c r="W37" s="1733"/>
      <c r="X37" s="1733"/>
      <c r="Y37" s="1733"/>
      <c r="Z37" s="1733"/>
      <c r="AA37" s="1733"/>
      <c r="AB37" s="1733"/>
      <c r="AC37" s="1733"/>
      <c r="AD37" s="1733"/>
      <c r="AE37" s="1733"/>
      <c r="AF37" s="1733"/>
      <c r="AG37" s="1733"/>
      <c r="AH37" s="1733"/>
      <c r="AI37" s="1733"/>
      <c r="AJ37" s="1733"/>
      <c r="AK37" s="1733"/>
      <c r="AL37" s="1733"/>
      <c r="AM37" s="1733"/>
      <c r="AN37" s="1733"/>
      <c r="AO37" s="1733"/>
      <c r="AP37" s="1733"/>
      <c r="AQ37" s="1733"/>
      <c r="AR37" s="1733"/>
      <c r="AS37" s="1733"/>
      <c r="AT37" s="1733"/>
      <c r="AZ37" s="20"/>
      <c r="BD37" s="1181" t="s">
        <v>2453</v>
      </c>
      <c r="BE37" s="1183" t="str">
        <f>Application!T189</f>
        <v>Santa Cruz</v>
      </c>
    </row>
    <row r="38" spans="1:57" ht="13.05" hidden="1" customHeight="1">
      <c r="A38" s="3"/>
      <c r="AZ38" s="20"/>
      <c r="BD38" s="1182" t="s">
        <v>2454</v>
      </c>
      <c r="BE38" s="1183">
        <f>Application!I190</f>
        <v>95060</v>
      </c>
    </row>
    <row r="39" spans="1:57" ht="13.05" customHeight="1">
      <c r="A39" s="1524" t="s">
        <v>2103</v>
      </c>
      <c r="B39" s="1524"/>
      <c r="C39" s="1524"/>
      <c r="D39" s="1524"/>
      <c r="E39" s="1524"/>
      <c r="F39" s="1524"/>
      <c r="G39" s="1524"/>
      <c r="H39" s="1524"/>
      <c r="I39" s="1524"/>
      <c r="J39" s="1524"/>
      <c r="K39" s="1524"/>
      <c r="L39" s="1524"/>
      <c r="M39" s="1524"/>
      <c r="N39" s="1524"/>
      <c r="O39" s="1524"/>
      <c r="P39" s="1524"/>
      <c r="Q39" s="1524"/>
      <c r="R39" s="1524"/>
      <c r="S39" s="1524"/>
      <c r="T39" s="1524"/>
      <c r="U39" s="1524"/>
      <c r="V39" s="1524"/>
      <c r="W39" s="1524"/>
      <c r="X39" s="1524"/>
      <c r="Y39" s="1524"/>
      <c r="Z39" s="1524"/>
      <c r="AA39" s="1524"/>
      <c r="AB39" s="1524"/>
      <c r="AC39" s="1524"/>
      <c r="AD39" s="1524"/>
      <c r="AE39" s="1524"/>
      <c r="AF39" s="1524"/>
      <c r="AG39" s="1524"/>
      <c r="AH39" s="1524"/>
      <c r="AI39" s="1524"/>
      <c r="AJ39" s="1524"/>
      <c r="AK39" s="1524"/>
      <c r="AL39" s="1524"/>
      <c r="AM39" s="1524"/>
      <c r="AN39" s="1524"/>
      <c r="AO39" s="1524"/>
      <c r="AP39" s="1524"/>
      <c r="AQ39" s="1524"/>
      <c r="AR39" s="1524"/>
      <c r="AS39" s="1524"/>
      <c r="AT39" s="1524"/>
      <c r="AZ39" s="20"/>
      <c r="BD39" s="1181" t="s">
        <v>2455</v>
      </c>
      <c r="BE39" s="1183">
        <f>Application!AG446</f>
        <v>102</v>
      </c>
    </row>
    <row r="40" spans="1:57" ht="13.05" customHeight="1">
      <c r="A40" s="1524"/>
      <c r="B40" s="1524"/>
      <c r="C40" s="1524"/>
      <c r="D40" s="1524"/>
      <c r="E40" s="1524"/>
      <c r="F40" s="1524"/>
      <c r="G40" s="1524"/>
      <c r="H40" s="1524"/>
      <c r="I40" s="1524"/>
      <c r="J40" s="1524"/>
      <c r="K40" s="1524"/>
      <c r="L40" s="1524"/>
      <c r="M40" s="1524"/>
      <c r="N40" s="1524"/>
      <c r="O40" s="1524"/>
      <c r="P40" s="1524"/>
      <c r="Q40" s="1524"/>
      <c r="R40" s="1524"/>
      <c r="S40" s="1524"/>
      <c r="T40" s="1524"/>
      <c r="U40" s="1524"/>
      <c r="V40" s="1524"/>
      <c r="W40" s="1524"/>
      <c r="X40" s="1524"/>
      <c r="Y40" s="1524"/>
      <c r="Z40" s="1524"/>
      <c r="AA40" s="1524"/>
      <c r="AB40" s="1524"/>
      <c r="AC40" s="1524"/>
      <c r="AD40" s="1524"/>
      <c r="AE40" s="1524"/>
      <c r="AF40" s="1524"/>
      <c r="AG40" s="1524"/>
      <c r="AH40" s="1524"/>
      <c r="AI40" s="1524"/>
      <c r="AJ40" s="1524"/>
      <c r="AK40" s="1524"/>
      <c r="AL40" s="1524"/>
      <c r="AM40" s="1524"/>
      <c r="AN40" s="1524"/>
      <c r="AO40" s="1524"/>
      <c r="AP40" s="1524"/>
      <c r="AQ40" s="1524"/>
      <c r="AR40" s="1524"/>
      <c r="AS40" s="1524"/>
      <c r="AT40" s="1524"/>
      <c r="AU40" s="20"/>
      <c r="AV40" s="20"/>
      <c r="AW40" s="20"/>
      <c r="AX40" s="20"/>
      <c r="AY40" s="20"/>
      <c r="AZ40" s="20"/>
      <c r="BD40" s="1182" t="s">
        <v>384</v>
      </c>
      <c r="BE40" s="1183">
        <f>Application!AG449</f>
        <v>101</v>
      </c>
    </row>
    <row r="41" spans="1:57" ht="13.05" customHeight="1">
      <c r="A41" s="1524"/>
      <c r="B41" s="1524"/>
      <c r="C41" s="1524"/>
      <c r="D41" s="1524"/>
      <c r="E41" s="1524"/>
      <c r="F41" s="1524"/>
      <c r="G41" s="1524"/>
      <c r="H41" s="1524"/>
      <c r="I41" s="1524"/>
      <c r="J41" s="1524"/>
      <c r="K41" s="1524"/>
      <c r="L41" s="1524"/>
      <c r="M41" s="1524"/>
      <c r="N41" s="1524"/>
      <c r="O41" s="1524"/>
      <c r="P41" s="1524"/>
      <c r="Q41" s="1524"/>
      <c r="R41" s="1524"/>
      <c r="S41" s="1524"/>
      <c r="T41" s="1524"/>
      <c r="U41" s="1524"/>
      <c r="V41" s="1524"/>
      <c r="W41" s="1524"/>
      <c r="X41" s="1524"/>
      <c r="Y41" s="1524"/>
      <c r="Z41" s="1524"/>
      <c r="AA41" s="1524"/>
      <c r="AB41" s="1524"/>
      <c r="AC41" s="1524"/>
      <c r="AD41" s="1524"/>
      <c r="AE41" s="1524"/>
      <c r="AF41" s="1524"/>
      <c r="AG41" s="1524"/>
      <c r="AH41" s="1524"/>
      <c r="AI41" s="1524"/>
      <c r="AJ41" s="1524"/>
      <c r="AK41" s="1524"/>
      <c r="AL41" s="1524"/>
      <c r="AM41" s="1524"/>
      <c r="AN41" s="1524"/>
      <c r="AO41" s="1524"/>
      <c r="AP41" s="1524"/>
      <c r="AQ41" s="1524"/>
      <c r="AR41" s="1524"/>
      <c r="AS41" s="1524"/>
      <c r="AT41" s="1524"/>
      <c r="AU41" s="20"/>
      <c r="AV41" s="20"/>
      <c r="AW41" s="20"/>
      <c r="AX41" s="20"/>
      <c r="AY41" s="20"/>
      <c r="AZ41" s="20"/>
      <c r="BD41" s="1181" t="s">
        <v>287</v>
      </c>
      <c r="BE41" s="1183">
        <f>Application!AG447</f>
        <v>0</v>
      </c>
    </row>
    <row r="42" spans="1:57" ht="13.05" customHeight="1">
      <c r="A42" s="1524"/>
      <c r="B42" s="1524"/>
      <c r="C42" s="1524"/>
      <c r="D42" s="1524"/>
      <c r="E42" s="1524"/>
      <c r="F42" s="1524"/>
      <c r="G42" s="1524"/>
      <c r="H42" s="1524"/>
      <c r="I42" s="1524"/>
      <c r="J42" s="1524"/>
      <c r="K42" s="1524"/>
      <c r="L42" s="1524"/>
      <c r="M42" s="1524"/>
      <c r="N42" s="1524"/>
      <c r="O42" s="1524"/>
      <c r="P42" s="1524"/>
      <c r="Q42" s="1524"/>
      <c r="R42" s="1524"/>
      <c r="S42" s="1524"/>
      <c r="T42" s="1524"/>
      <c r="U42" s="1524"/>
      <c r="V42" s="1524"/>
      <c r="W42" s="1524"/>
      <c r="X42" s="1524"/>
      <c r="Y42" s="1524"/>
      <c r="Z42" s="1524"/>
      <c r="AA42" s="1524"/>
      <c r="AB42" s="1524"/>
      <c r="AC42" s="1524"/>
      <c r="AD42" s="1524"/>
      <c r="AE42" s="1524"/>
      <c r="AF42" s="1524"/>
      <c r="AG42" s="1524"/>
      <c r="AH42" s="1524"/>
      <c r="AI42" s="1524"/>
      <c r="AJ42" s="1524"/>
      <c r="AK42" s="1524"/>
      <c r="AL42" s="1524"/>
      <c r="AM42" s="1524"/>
      <c r="AN42" s="1524"/>
      <c r="AO42" s="1524"/>
      <c r="AP42" s="1524"/>
      <c r="AQ42" s="1524"/>
      <c r="AR42" s="1524"/>
      <c r="AS42" s="1524"/>
      <c r="AT42" s="1524"/>
      <c r="AZ42" s="20"/>
      <c r="BD42" s="1182" t="s">
        <v>2456</v>
      </c>
      <c r="BE42" s="1185">
        <f>Application!AC761</f>
        <v>0.60000000000000009</v>
      </c>
    </row>
    <row r="43" spans="1:57" ht="13.05" customHeight="1">
      <c r="A43" s="1524"/>
      <c r="B43" s="1524"/>
      <c r="C43" s="1524"/>
      <c r="D43" s="1524"/>
      <c r="E43" s="1524"/>
      <c r="F43" s="1524"/>
      <c r="G43" s="1524"/>
      <c r="H43" s="1524"/>
      <c r="I43" s="1524"/>
      <c r="J43" s="1524"/>
      <c r="K43" s="1524"/>
      <c r="L43" s="1524"/>
      <c r="M43" s="1524"/>
      <c r="N43" s="1524"/>
      <c r="O43" s="1524"/>
      <c r="P43" s="1524"/>
      <c r="Q43" s="1524"/>
      <c r="R43" s="1524"/>
      <c r="S43" s="1524"/>
      <c r="T43" s="1524"/>
      <c r="U43" s="1524"/>
      <c r="V43" s="1524"/>
      <c r="W43" s="1524"/>
      <c r="X43" s="1524"/>
      <c r="Y43" s="1524"/>
      <c r="Z43" s="1524"/>
      <c r="AA43" s="1524"/>
      <c r="AB43" s="1524"/>
      <c r="AC43" s="1524"/>
      <c r="AD43" s="1524"/>
      <c r="AE43" s="1524"/>
      <c r="AF43" s="1524"/>
      <c r="AG43" s="1524"/>
      <c r="AH43" s="1524"/>
      <c r="AI43" s="1524"/>
      <c r="AJ43" s="1524"/>
      <c r="AK43" s="1524"/>
      <c r="AL43" s="1524"/>
      <c r="AM43" s="1524"/>
      <c r="AN43" s="1524"/>
      <c r="AO43" s="1524"/>
      <c r="AP43" s="1524"/>
      <c r="AQ43" s="1524"/>
      <c r="AR43" s="1524"/>
      <c r="AS43" s="1524"/>
      <c r="AT43" s="1524"/>
      <c r="AU43" s="20"/>
      <c r="AV43" s="20"/>
      <c r="AW43" s="20"/>
      <c r="AX43" s="20"/>
      <c r="AY43" s="20"/>
      <c r="AZ43" s="20"/>
      <c r="BD43" s="1181" t="s">
        <v>2457</v>
      </c>
      <c r="BE43" s="1185">
        <f>Application!AH761</f>
        <v>0.59996071952586161</v>
      </c>
    </row>
    <row r="44" spans="1:57" ht="13.05" customHeight="1">
      <c r="A44" s="1524"/>
      <c r="B44" s="1524"/>
      <c r="C44" s="1524"/>
      <c r="D44" s="1524"/>
      <c r="E44" s="1524"/>
      <c r="F44" s="1524"/>
      <c r="G44" s="1524"/>
      <c r="H44" s="1524"/>
      <c r="I44" s="1524"/>
      <c r="J44" s="1524"/>
      <c r="K44" s="1524"/>
      <c r="L44" s="1524"/>
      <c r="M44" s="1524"/>
      <c r="N44" s="1524"/>
      <c r="O44" s="1524"/>
      <c r="P44" s="1524"/>
      <c r="Q44" s="1524"/>
      <c r="R44" s="1524"/>
      <c r="S44" s="1524"/>
      <c r="T44" s="1524"/>
      <c r="U44" s="1524"/>
      <c r="V44" s="1524"/>
      <c r="W44" s="1524"/>
      <c r="X44" s="1524"/>
      <c r="Y44" s="1524"/>
      <c r="Z44" s="1524"/>
      <c r="AA44" s="1524"/>
      <c r="AB44" s="1524"/>
      <c r="AC44" s="1524"/>
      <c r="AD44" s="1524"/>
      <c r="AE44" s="1524"/>
      <c r="AF44" s="1524"/>
      <c r="AG44" s="1524"/>
      <c r="AH44" s="1524"/>
      <c r="AI44" s="1524"/>
      <c r="AJ44" s="1524"/>
      <c r="AK44" s="1524"/>
      <c r="AL44" s="1524"/>
      <c r="AM44" s="1524"/>
      <c r="AN44" s="1524"/>
      <c r="AO44" s="1524"/>
      <c r="AP44" s="1524"/>
      <c r="AQ44" s="1524"/>
      <c r="AR44" s="1524"/>
      <c r="AS44" s="1524"/>
      <c r="AT44" s="1524"/>
      <c r="AU44" s="20"/>
      <c r="AV44" s="20"/>
      <c r="AW44" s="20"/>
      <c r="AX44" s="20"/>
      <c r="AY44" s="20"/>
      <c r="AZ44" s="20"/>
      <c r="BD44" s="1182" t="s">
        <v>2458</v>
      </c>
      <c r="BE44" s="1183">
        <f>Application!AC463</f>
        <v>780459.9117647059</v>
      </c>
    </row>
    <row r="45" spans="1:57" ht="13.0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2459</v>
      </c>
      <c r="BE45" s="1183">
        <f>Application!AE433</f>
        <v>1</v>
      </c>
    </row>
    <row r="46" spans="1:57" ht="13.05" customHeight="1">
      <c r="A46" s="1557" t="s">
        <v>2104</v>
      </c>
      <c r="B46" s="1557"/>
      <c r="C46" s="1557"/>
      <c r="D46" s="1557"/>
      <c r="E46" s="1557"/>
      <c r="F46" s="1557"/>
      <c r="G46" s="1557"/>
      <c r="H46" s="1557"/>
      <c r="I46" s="1557"/>
      <c r="J46" s="1557"/>
      <c r="K46" s="1557"/>
      <c r="L46" s="1557"/>
      <c r="M46" s="1557"/>
      <c r="N46" s="1557"/>
      <c r="O46" s="1557"/>
      <c r="P46" s="1557"/>
      <c r="Q46" s="1557"/>
      <c r="R46" s="1557"/>
      <c r="S46" s="1557"/>
      <c r="T46" s="1557"/>
      <c r="U46" s="1557"/>
      <c r="V46" s="1557"/>
      <c r="W46" s="1557"/>
      <c r="X46" s="1557"/>
      <c r="Y46" s="1557"/>
      <c r="Z46" s="1557"/>
      <c r="AA46" s="1557"/>
      <c r="AB46" s="1557"/>
      <c r="AC46" s="1557"/>
      <c r="AD46" s="1557"/>
      <c r="AE46" s="1557"/>
      <c r="AF46" s="1557"/>
      <c r="AG46" s="1557"/>
      <c r="AH46" s="1557"/>
      <c r="AI46" s="1557"/>
      <c r="AJ46" s="1557"/>
      <c r="AK46" s="1557"/>
      <c r="AL46" s="1557"/>
      <c r="AM46" s="1557"/>
      <c r="AN46" s="1557"/>
      <c r="AO46" s="1557"/>
      <c r="AP46" s="1557"/>
      <c r="AQ46" s="1557"/>
      <c r="AR46" s="1557"/>
      <c r="AS46" s="1557"/>
      <c r="AT46" s="1557"/>
      <c r="AU46" s="20"/>
      <c r="AV46" s="20"/>
      <c r="AW46" s="20"/>
      <c r="AX46" s="20"/>
      <c r="AY46" s="20"/>
      <c r="AZ46" s="20"/>
      <c r="BD46" s="1182" t="s">
        <v>2460</v>
      </c>
      <c r="BE46" s="1183" t="b">
        <f>Application!T195="Yes"</f>
        <v>1</v>
      </c>
    </row>
    <row r="47" spans="1:57" ht="13.05" customHeight="1">
      <c r="A47" s="1557"/>
      <c r="B47" s="1557"/>
      <c r="C47" s="1557"/>
      <c r="D47" s="1557"/>
      <c r="E47" s="1557"/>
      <c r="F47" s="1557"/>
      <c r="G47" s="1557"/>
      <c r="H47" s="1557"/>
      <c r="I47" s="1557"/>
      <c r="J47" s="1557"/>
      <c r="K47" s="1557"/>
      <c r="L47" s="1557"/>
      <c r="M47" s="1557"/>
      <c r="N47" s="1557"/>
      <c r="O47" s="1557"/>
      <c r="P47" s="1557"/>
      <c r="Q47" s="1557"/>
      <c r="R47" s="1557"/>
      <c r="S47" s="1557"/>
      <c r="T47" s="1557"/>
      <c r="U47" s="1557"/>
      <c r="V47" s="1557"/>
      <c r="W47" s="1557"/>
      <c r="X47" s="1557"/>
      <c r="Y47" s="1557"/>
      <c r="Z47" s="1557"/>
      <c r="AA47" s="1557"/>
      <c r="AB47" s="1557"/>
      <c r="AC47" s="1557"/>
      <c r="AD47" s="1557"/>
      <c r="AE47" s="1557"/>
      <c r="AF47" s="1557"/>
      <c r="AG47" s="1557"/>
      <c r="AH47" s="1557"/>
      <c r="AI47" s="1557"/>
      <c r="AJ47" s="1557"/>
      <c r="AK47" s="1557"/>
      <c r="AL47" s="1557"/>
      <c r="AM47" s="1557"/>
      <c r="AN47" s="1557"/>
      <c r="AO47" s="1557"/>
      <c r="AP47" s="1557"/>
      <c r="AQ47" s="1557"/>
      <c r="AR47" s="1557"/>
      <c r="AS47" s="1557"/>
      <c r="AT47" s="1557"/>
      <c r="AU47" s="20"/>
      <c r="AV47" s="20"/>
      <c r="AW47" s="20"/>
      <c r="AX47" s="20"/>
      <c r="AY47" s="20"/>
      <c r="AZ47" s="20"/>
      <c r="BD47" s="1181" t="s">
        <v>2461</v>
      </c>
      <c r="BE47" s="1183" t="b">
        <f>Application!T196="Yes"</f>
        <v>0</v>
      </c>
    </row>
    <row r="48" spans="1:57" ht="13.05" customHeight="1">
      <c r="A48" s="1557"/>
      <c r="B48" s="1557"/>
      <c r="C48" s="1557"/>
      <c r="D48" s="1557"/>
      <c r="E48" s="1557"/>
      <c r="F48" s="1557"/>
      <c r="G48" s="1557"/>
      <c r="H48" s="1557"/>
      <c r="I48" s="1557"/>
      <c r="J48" s="1557"/>
      <c r="K48" s="1557"/>
      <c r="L48" s="1557"/>
      <c r="M48" s="1557"/>
      <c r="N48" s="1557"/>
      <c r="O48" s="1557"/>
      <c r="P48" s="1557"/>
      <c r="Q48" s="1557"/>
      <c r="R48" s="1557"/>
      <c r="S48" s="1557"/>
      <c r="T48" s="1557"/>
      <c r="U48" s="1557"/>
      <c r="V48" s="1557"/>
      <c r="W48" s="1557"/>
      <c r="X48" s="1557"/>
      <c r="Y48" s="1557"/>
      <c r="Z48" s="1557"/>
      <c r="AA48" s="1557"/>
      <c r="AB48" s="1557"/>
      <c r="AC48" s="1557"/>
      <c r="AD48" s="1557"/>
      <c r="AE48" s="1557"/>
      <c r="AF48" s="1557"/>
      <c r="AG48" s="1557"/>
      <c r="AH48" s="1557"/>
      <c r="AI48" s="1557"/>
      <c r="AJ48" s="1557"/>
      <c r="AK48" s="1557"/>
      <c r="AL48" s="1557"/>
      <c r="AM48" s="1557"/>
      <c r="AN48" s="1557"/>
      <c r="AO48" s="1557"/>
      <c r="AP48" s="1557"/>
      <c r="AQ48" s="1557"/>
      <c r="AR48" s="1557"/>
      <c r="AS48" s="1557"/>
      <c r="AT48" s="1557"/>
      <c r="AU48" s="20"/>
      <c r="AV48" s="20"/>
      <c r="AW48" s="20"/>
      <c r="AX48" s="20"/>
      <c r="AY48" s="20"/>
      <c r="AZ48" s="20"/>
      <c r="BD48" s="1182" t="s">
        <v>2462</v>
      </c>
      <c r="BE48" s="1183" t="str">
        <f>Application!M252</f>
        <v>Community Revitalization and Development Corporation</v>
      </c>
    </row>
    <row r="49" spans="1:57" ht="13.05" customHeight="1">
      <c r="A49" s="1557"/>
      <c r="B49" s="1557"/>
      <c r="C49" s="1557"/>
      <c r="D49" s="1557"/>
      <c r="E49" s="1557"/>
      <c r="F49" s="1557"/>
      <c r="G49" s="1557"/>
      <c r="H49" s="1557"/>
      <c r="I49" s="1557"/>
      <c r="J49" s="1557"/>
      <c r="K49" s="1557"/>
      <c r="L49" s="1557"/>
      <c r="M49" s="1557"/>
      <c r="N49" s="1557"/>
      <c r="O49" s="1557"/>
      <c r="P49" s="1557"/>
      <c r="Q49" s="1557"/>
      <c r="R49" s="1557"/>
      <c r="S49" s="1557"/>
      <c r="T49" s="1557"/>
      <c r="U49" s="1557"/>
      <c r="V49" s="1557"/>
      <c r="W49" s="1557"/>
      <c r="X49" s="1557"/>
      <c r="Y49" s="1557"/>
      <c r="Z49" s="1557"/>
      <c r="AA49" s="1557"/>
      <c r="AB49" s="1557"/>
      <c r="AC49" s="1557"/>
      <c r="AD49" s="1557"/>
      <c r="AE49" s="1557"/>
      <c r="AF49" s="1557"/>
      <c r="AG49" s="1557"/>
      <c r="AH49" s="1557"/>
      <c r="AI49" s="1557"/>
      <c r="AJ49" s="1557"/>
      <c r="AK49" s="1557"/>
      <c r="AL49" s="1557"/>
      <c r="AM49" s="1557"/>
      <c r="AN49" s="1557"/>
      <c r="AO49" s="1557"/>
      <c r="AP49" s="1557"/>
      <c r="AQ49" s="1557"/>
      <c r="AR49" s="1557"/>
      <c r="AS49" s="1557"/>
      <c r="AT49" s="1557"/>
      <c r="AU49" s="20"/>
      <c r="AV49" s="20"/>
      <c r="AW49" s="20"/>
      <c r="AX49" s="20"/>
      <c r="AY49" s="20"/>
      <c r="AZ49" s="20"/>
      <c r="BD49" s="1181" t="s">
        <v>2463</v>
      </c>
      <c r="BE49" s="1183" t="str">
        <f>Application!M255</f>
        <v>David Rutledge</v>
      </c>
    </row>
    <row r="50" spans="1:57" ht="13.0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2464</v>
      </c>
      <c r="BE50" s="1183">
        <f>Application!AA258</f>
        <v>0</v>
      </c>
    </row>
    <row r="51" spans="1:57" ht="13.05" customHeight="1">
      <c r="A51" s="1524" t="s">
        <v>2105</v>
      </c>
      <c r="B51" s="1524"/>
      <c r="C51" s="1524"/>
      <c r="D51" s="1524"/>
      <c r="E51" s="1524"/>
      <c r="F51" s="1524"/>
      <c r="G51" s="1524"/>
      <c r="H51" s="1524"/>
      <c r="I51" s="1524"/>
      <c r="J51" s="1524"/>
      <c r="K51" s="1524"/>
      <c r="L51" s="1524"/>
      <c r="M51" s="1524"/>
      <c r="N51" s="1524"/>
      <c r="O51" s="1524"/>
      <c r="P51" s="1524"/>
      <c r="Q51" s="1524"/>
      <c r="R51" s="1524"/>
      <c r="S51" s="1524"/>
      <c r="T51" s="1524"/>
      <c r="U51" s="1524"/>
      <c r="V51" s="1524"/>
      <c r="W51" s="1524"/>
      <c r="X51" s="1524"/>
      <c r="Y51" s="1524"/>
      <c r="Z51" s="1524"/>
      <c r="AA51" s="1524"/>
      <c r="AB51" s="1524"/>
      <c r="AC51" s="1524"/>
      <c r="AD51" s="1524"/>
      <c r="AE51" s="1524"/>
      <c r="AF51" s="1524"/>
      <c r="AG51" s="1524"/>
      <c r="AH51" s="1524"/>
      <c r="AI51" s="1524"/>
      <c r="AJ51" s="1524"/>
      <c r="AK51" s="1524"/>
      <c r="AL51" s="1524"/>
      <c r="AM51" s="1524"/>
      <c r="AN51" s="1524"/>
      <c r="AO51" s="1524"/>
      <c r="AP51" s="1524"/>
      <c r="AQ51" s="1524"/>
      <c r="AR51" s="1524"/>
      <c r="AS51" s="1524"/>
      <c r="AT51" s="1524"/>
      <c r="AU51" s="20"/>
      <c r="AV51" s="20"/>
      <c r="AW51" s="20"/>
      <c r="AX51" s="20"/>
      <c r="AY51" s="20"/>
      <c r="AZ51" s="20"/>
      <c r="BD51" s="1181" t="s">
        <v>2465</v>
      </c>
      <c r="BE51" s="1183" t="str">
        <f>Application!M260</f>
        <v>CRP Driftwood Flats AGP LLC</v>
      </c>
    </row>
    <row r="52" spans="1:57" ht="13.05" customHeight="1">
      <c r="A52" s="1524"/>
      <c r="B52" s="1524"/>
      <c r="C52" s="1524"/>
      <c r="D52" s="1524"/>
      <c r="E52" s="1524"/>
      <c r="F52" s="1524"/>
      <c r="G52" s="1524"/>
      <c r="H52" s="1524"/>
      <c r="I52" s="1524"/>
      <c r="J52" s="1524"/>
      <c r="K52" s="1524"/>
      <c r="L52" s="1524"/>
      <c r="M52" s="1524"/>
      <c r="N52" s="1524"/>
      <c r="O52" s="1524"/>
      <c r="P52" s="1524"/>
      <c r="Q52" s="1524"/>
      <c r="R52" s="1524"/>
      <c r="S52" s="1524"/>
      <c r="T52" s="1524"/>
      <c r="U52" s="1524"/>
      <c r="V52" s="1524"/>
      <c r="W52" s="1524"/>
      <c r="X52" s="1524"/>
      <c r="Y52" s="1524"/>
      <c r="Z52" s="1524"/>
      <c r="AA52" s="1524"/>
      <c r="AB52" s="1524"/>
      <c r="AC52" s="1524"/>
      <c r="AD52" s="1524"/>
      <c r="AE52" s="1524"/>
      <c r="AF52" s="1524"/>
      <c r="AG52" s="1524"/>
      <c r="AH52" s="1524"/>
      <c r="AI52" s="1524"/>
      <c r="AJ52" s="1524"/>
      <c r="AK52" s="1524"/>
      <c r="AL52" s="1524"/>
      <c r="AM52" s="1524"/>
      <c r="AN52" s="1524"/>
      <c r="AO52" s="1524"/>
      <c r="AP52" s="1524"/>
      <c r="AQ52" s="1524"/>
      <c r="AR52" s="1524"/>
      <c r="AS52" s="1524"/>
      <c r="AT52" s="1524"/>
      <c r="AU52" s="20"/>
      <c r="AV52" s="20"/>
      <c r="AW52" s="20"/>
      <c r="AX52" s="20"/>
      <c r="AY52" s="20"/>
      <c r="AZ52" s="20"/>
      <c r="BD52" s="1182" t="s">
        <v>2466</v>
      </c>
      <c r="BE52" s="1183" t="str">
        <f>Application!M263</f>
        <v>Paul Salib</v>
      </c>
    </row>
    <row r="53" spans="1:57" ht="13.0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2467</v>
      </c>
      <c r="BE53" s="1183" t="str">
        <f>Application!AA266</f>
        <v xml:space="preserve">CRP Affordable Housing and Community Development LLC </v>
      </c>
    </row>
    <row r="54" spans="1:57" ht="13.05" customHeight="1">
      <c r="A54" s="1524" t="s">
        <v>2106</v>
      </c>
      <c r="B54" s="1524"/>
      <c r="C54" s="1524"/>
      <c r="D54" s="1524"/>
      <c r="E54" s="1524"/>
      <c r="F54" s="1524"/>
      <c r="G54" s="1524"/>
      <c r="H54" s="1524"/>
      <c r="I54" s="1524"/>
      <c r="J54" s="1524"/>
      <c r="K54" s="1524"/>
      <c r="L54" s="1524"/>
      <c r="M54" s="1524"/>
      <c r="N54" s="1524"/>
      <c r="O54" s="1524"/>
      <c r="P54" s="1524"/>
      <c r="Q54" s="1524"/>
      <c r="R54" s="1524"/>
      <c r="S54" s="1524"/>
      <c r="T54" s="1524"/>
      <c r="U54" s="1524"/>
      <c r="V54" s="1524"/>
      <c r="W54" s="1524"/>
      <c r="X54" s="1524"/>
      <c r="Y54" s="1524"/>
      <c r="Z54" s="1524"/>
      <c r="AA54" s="1524"/>
      <c r="AB54" s="1524"/>
      <c r="AC54" s="1524"/>
      <c r="AD54" s="1524"/>
      <c r="AE54" s="1524"/>
      <c r="AF54" s="1524"/>
      <c r="AG54" s="1524"/>
      <c r="AH54" s="1524"/>
      <c r="AI54" s="1524"/>
      <c r="AJ54" s="1524"/>
      <c r="AK54" s="1524"/>
      <c r="AL54" s="1524"/>
      <c r="AM54" s="1524"/>
      <c r="AN54" s="1524"/>
      <c r="AO54" s="1524"/>
      <c r="AP54" s="1524"/>
      <c r="AQ54" s="1524"/>
      <c r="AR54" s="1524"/>
      <c r="AS54" s="1524"/>
      <c r="AT54" s="1524"/>
      <c r="AU54" s="20"/>
      <c r="AV54" s="20"/>
      <c r="AW54" s="20"/>
      <c r="AX54" s="20"/>
      <c r="AY54" s="20"/>
      <c r="AZ54" s="21"/>
      <c r="BD54" s="1182" t="s">
        <v>2468</v>
      </c>
      <c r="BE54" s="1183">
        <f>Application!M268</f>
        <v>0</v>
      </c>
    </row>
    <row r="55" spans="1:57" ht="13.05" customHeight="1">
      <c r="A55" s="1524"/>
      <c r="B55" s="1524"/>
      <c r="C55" s="1524"/>
      <c r="D55" s="1524"/>
      <c r="E55" s="1524"/>
      <c r="F55" s="1524"/>
      <c r="G55" s="1524"/>
      <c r="H55" s="1524"/>
      <c r="I55" s="1524"/>
      <c r="J55" s="1524"/>
      <c r="K55" s="1524"/>
      <c r="L55" s="1524"/>
      <c r="M55" s="1524"/>
      <c r="N55" s="1524"/>
      <c r="O55" s="1524"/>
      <c r="P55" s="1524"/>
      <c r="Q55" s="1524"/>
      <c r="R55" s="1524"/>
      <c r="S55" s="1524"/>
      <c r="T55" s="1524"/>
      <c r="U55" s="1524"/>
      <c r="V55" s="1524"/>
      <c r="W55" s="1524"/>
      <c r="X55" s="1524"/>
      <c r="Y55" s="1524"/>
      <c r="Z55" s="1524"/>
      <c r="AA55" s="1524"/>
      <c r="AB55" s="1524"/>
      <c r="AC55" s="1524"/>
      <c r="AD55" s="1524"/>
      <c r="AE55" s="1524"/>
      <c r="AF55" s="1524"/>
      <c r="AG55" s="1524"/>
      <c r="AH55" s="1524"/>
      <c r="AI55" s="1524"/>
      <c r="AJ55" s="1524"/>
      <c r="AK55" s="1524"/>
      <c r="AL55" s="1524"/>
      <c r="AM55" s="1524"/>
      <c r="AN55" s="1524"/>
      <c r="AO55" s="1524"/>
      <c r="AP55" s="1524"/>
      <c r="AQ55" s="1524"/>
      <c r="AR55" s="1524"/>
      <c r="AS55" s="1524"/>
      <c r="AT55" s="1524"/>
      <c r="AZ55" s="21"/>
      <c r="BD55" s="1181" t="s">
        <v>2469</v>
      </c>
      <c r="BE55" s="1183">
        <f>Application!M271</f>
        <v>0</v>
      </c>
    </row>
    <row r="56" spans="1:57" ht="13.05" customHeight="1">
      <c r="A56" s="1524"/>
      <c r="B56" s="1524"/>
      <c r="C56" s="1524"/>
      <c r="D56" s="1524"/>
      <c r="E56" s="1524"/>
      <c r="F56" s="1524"/>
      <c r="G56" s="1524"/>
      <c r="H56" s="1524"/>
      <c r="I56" s="1524"/>
      <c r="J56" s="1524"/>
      <c r="K56" s="1524"/>
      <c r="L56" s="1524"/>
      <c r="M56" s="1524"/>
      <c r="N56" s="1524"/>
      <c r="O56" s="1524"/>
      <c r="P56" s="1524"/>
      <c r="Q56" s="1524"/>
      <c r="R56" s="1524"/>
      <c r="S56" s="1524"/>
      <c r="T56" s="1524"/>
      <c r="U56" s="1524"/>
      <c r="V56" s="1524"/>
      <c r="W56" s="1524"/>
      <c r="X56" s="1524"/>
      <c r="Y56" s="1524"/>
      <c r="Z56" s="1524"/>
      <c r="AA56" s="1524"/>
      <c r="AB56" s="1524"/>
      <c r="AC56" s="1524"/>
      <c r="AD56" s="1524"/>
      <c r="AE56" s="1524"/>
      <c r="AF56" s="1524"/>
      <c r="AG56" s="1524"/>
      <c r="AH56" s="1524"/>
      <c r="AI56" s="1524"/>
      <c r="AJ56" s="1524"/>
      <c r="AK56" s="1524"/>
      <c r="AL56" s="1524"/>
      <c r="AM56" s="1524"/>
      <c r="AN56" s="1524"/>
      <c r="AO56" s="1524"/>
      <c r="AP56" s="1524"/>
      <c r="AQ56" s="1524"/>
      <c r="AR56" s="1524"/>
      <c r="AS56" s="1524"/>
      <c r="AT56" s="1524"/>
      <c r="BD56" s="1182" t="s">
        <v>2470</v>
      </c>
      <c r="BE56" s="1183">
        <f>Application!AA274</f>
        <v>0</v>
      </c>
    </row>
    <row r="57" spans="1:57" ht="13.05" customHeight="1">
      <c r="A57" s="1524"/>
      <c r="B57" s="1524"/>
      <c r="C57" s="1524"/>
      <c r="D57" s="1524"/>
      <c r="E57" s="1524"/>
      <c r="F57" s="1524"/>
      <c r="G57" s="1524"/>
      <c r="H57" s="1524"/>
      <c r="I57" s="1524"/>
      <c r="J57" s="1524"/>
      <c r="K57" s="1524"/>
      <c r="L57" s="1524"/>
      <c r="M57" s="1524"/>
      <c r="N57" s="1524"/>
      <c r="O57" s="1524"/>
      <c r="P57" s="1524"/>
      <c r="Q57" s="1524"/>
      <c r="R57" s="1524"/>
      <c r="S57" s="1524"/>
      <c r="T57" s="1524"/>
      <c r="U57" s="1524"/>
      <c r="V57" s="1524"/>
      <c r="W57" s="1524"/>
      <c r="X57" s="1524"/>
      <c r="Y57" s="1524"/>
      <c r="Z57" s="1524"/>
      <c r="AA57" s="1524"/>
      <c r="AB57" s="1524"/>
      <c r="AC57" s="1524"/>
      <c r="AD57" s="1524"/>
      <c r="AE57" s="1524"/>
      <c r="AF57" s="1524"/>
      <c r="AG57" s="1524"/>
      <c r="AH57" s="1524"/>
      <c r="AI57" s="1524"/>
      <c r="AJ57" s="1524"/>
      <c r="AK57" s="1524"/>
      <c r="AL57" s="1524"/>
      <c r="AM57" s="1524"/>
      <c r="AN57" s="1524"/>
      <c r="AO57" s="1524"/>
      <c r="AP57" s="1524"/>
      <c r="AQ57" s="1524"/>
      <c r="AR57" s="1524"/>
      <c r="AS57" s="1524"/>
      <c r="AT57" s="1524"/>
      <c r="BD57" s="1181" t="s">
        <v>2471</v>
      </c>
      <c r="BE57" s="1183" t="str">
        <f>Application!H296</f>
        <v>CRP Affordable Housing and Community Development LLC</v>
      </c>
    </row>
    <row r="58" spans="1:57" ht="13.05" customHeight="1">
      <c r="A58" s="1524"/>
      <c r="B58" s="1524"/>
      <c r="C58" s="1524"/>
      <c r="D58" s="1524"/>
      <c r="E58" s="1524"/>
      <c r="F58" s="1524"/>
      <c r="G58" s="1524"/>
      <c r="H58" s="1524"/>
      <c r="I58" s="1524"/>
      <c r="J58" s="1524"/>
      <c r="K58" s="1524"/>
      <c r="L58" s="1524"/>
      <c r="M58" s="1524"/>
      <c r="N58" s="1524"/>
      <c r="O58" s="1524"/>
      <c r="P58" s="1524"/>
      <c r="Q58" s="1524"/>
      <c r="R58" s="1524"/>
      <c r="S58" s="1524"/>
      <c r="T58" s="1524"/>
      <c r="U58" s="1524"/>
      <c r="V58" s="1524"/>
      <c r="W58" s="1524"/>
      <c r="X58" s="1524"/>
      <c r="Y58" s="1524"/>
      <c r="Z58" s="1524"/>
      <c r="AA58" s="1524"/>
      <c r="AB58" s="1524"/>
      <c r="AC58" s="1524"/>
      <c r="AD58" s="1524"/>
      <c r="AE58" s="1524"/>
      <c r="AF58" s="1524"/>
      <c r="AG58" s="1524"/>
      <c r="AH58" s="1524"/>
      <c r="AI58" s="1524"/>
      <c r="AJ58" s="1524"/>
      <c r="AK58" s="1524"/>
      <c r="AL58" s="1524"/>
      <c r="AM58" s="1524"/>
      <c r="AN58" s="1524"/>
      <c r="AO58" s="1524"/>
      <c r="AP58" s="1524"/>
      <c r="AQ58" s="1524"/>
      <c r="AR58" s="1524"/>
      <c r="AS58" s="1524"/>
      <c r="AT58" s="1524"/>
      <c r="BD58" s="1182" t="s">
        <v>2472</v>
      </c>
      <c r="BE58" s="1183" t="str">
        <f>Application!H297</f>
        <v>122 E 42nd Street, suite 1903</v>
      </c>
    </row>
    <row r="59" spans="1:57" ht="13.0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2473</v>
      </c>
      <c r="BE59" s="1183" t="str">
        <f>Application!H298</f>
        <v>New York, NY 10168</v>
      </c>
    </row>
    <row r="60" spans="1:57" ht="13.05" customHeight="1">
      <c r="A60" s="1524" t="s">
        <v>2107</v>
      </c>
      <c r="B60" s="1524"/>
      <c r="C60" s="1524"/>
      <c r="D60" s="1524"/>
      <c r="E60" s="1524"/>
      <c r="F60" s="1524"/>
      <c r="G60" s="1524"/>
      <c r="H60" s="1524"/>
      <c r="I60" s="1524"/>
      <c r="J60" s="1524"/>
      <c r="K60" s="1524"/>
      <c r="L60" s="1524"/>
      <c r="M60" s="1524"/>
      <c r="N60" s="1524"/>
      <c r="O60" s="1524"/>
      <c r="P60" s="1524"/>
      <c r="Q60" s="1524"/>
      <c r="R60" s="1524"/>
      <c r="S60" s="1524"/>
      <c r="T60" s="1524"/>
      <c r="U60" s="1524"/>
      <c r="V60" s="1524"/>
      <c r="W60" s="1524"/>
      <c r="X60" s="1524"/>
      <c r="Y60" s="1524"/>
      <c r="Z60" s="1524"/>
      <c r="AA60" s="1524"/>
      <c r="AB60" s="1524"/>
      <c r="AC60" s="1524"/>
      <c r="AD60" s="1524"/>
      <c r="AE60" s="1524"/>
      <c r="AF60" s="1524"/>
      <c r="AG60" s="1524"/>
      <c r="AH60" s="1524"/>
      <c r="AI60" s="1524"/>
      <c r="AJ60" s="1524"/>
      <c r="AK60" s="1524"/>
      <c r="AL60" s="1524"/>
      <c r="AM60" s="1524"/>
      <c r="AN60" s="1524"/>
      <c r="AO60" s="1524"/>
      <c r="AP60" s="1524"/>
      <c r="AQ60" s="1524"/>
      <c r="AR60" s="1524"/>
      <c r="AS60" s="1524"/>
      <c r="AT60" s="1524"/>
      <c r="AU60" s="20"/>
      <c r="AV60" s="20"/>
      <c r="AW60" s="20"/>
      <c r="AX60" s="20"/>
      <c r="AY60" s="20"/>
      <c r="AZ60" s="20"/>
      <c r="BD60" s="1182" t="s">
        <v>2474</v>
      </c>
      <c r="BE60" s="1183" t="str">
        <f>Application!H299</f>
        <v>Paul Salib</v>
      </c>
    </row>
    <row r="61" spans="1:57" ht="13.05" customHeight="1">
      <c r="A61" s="1524"/>
      <c r="B61" s="1524"/>
      <c r="C61" s="1524"/>
      <c r="D61" s="1524"/>
      <c r="E61" s="1524"/>
      <c r="F61" s="1524"/>
      <c r="G61" s="1524"/>
      <c r="H61" s="1524"/>
      <c r="I61" s="1524"/>
      <c r="J61" s="1524"/>
      <c r="K61" s="1524"/>
      <c r="L61" s="1524"/>
      <c r="M61" s="1524"/>
      <c r="N61" s="1524"/>
      <c r="O61" s="1524"/>
      <c r="P61" s="1524"/>
      <c r="Q61" s="1524"/>
      <c r="R61" s="1524"/>
      <c r="S61" s="1524"/>
      <c r="T61" s="1524"/>
      <c r="U61" s="1524"/>
      <c r="V61" s="1524"/>
      <c r="W61" s="1524"/>
      <c r="X61" s="1524"/>
      <c r="Y61" s="1524"/>
      <c r="Z61" s="1524"/>
      <c r="AA61" s="1524"/>
      <c r="AB61" s="1524"/>
      <c r="AC61" s="1524"/>
      <c r="AD61" s="1524"/>
      <c r="AE61" s="1524"/>
      <c r="AF61" s="1524"/>
      <c r="AG61" s="1524"/>
      <c r="AH61" s="1524"/>
      <c r="AI61" s="1524"/>
      <c r="AJ61" s="1524"/>
      <c r="AK61" s="1524"/>
      <c r="AL61" s="1524"/>
      <c r="AM61" s="1524"/>
      <c r="AN61" s="1524"/>
      <c r="AO61" s="1524"/>
      <c r="AP61" s="1524"/>
      <c r="AQ61" s="1524"/>
      <c r="AR61" s="1524"/>
      <c r="AS61" s="1524"/>
      <c r="AT61" s="1524"/>
      <c r="AU61" s="20"/>
      <c r="AV61" s="20"/>
      <c r="AW61" s="20"/>
      <c r="AX61" s="20"/>
      <c r="AY61" s="20"/>
      <c r="AZ61" s="20"/>
      <c r="BD61" s="1181" t="s">
        <v>2475</v>
      </c>
      <c r="BE61" s="1183" t="str">
        <f>Application!H302</f>
        <v>psalib@crpaffordable.com</v>
      </c>
    </row>
    <row r="62" spans="1:57" ht="13.0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2476</v>
      </c>
      <c r="BE62" s="1186">
        <f>'Basis &amp; Credits'!AB50</f>
        <v>0.82991709499999999</v>
      </c>
    </row>
    <row r="63" spans="1:57" ht="13.05" customHeight="1">
      <c r="A63" s="91" t="s">
        <v>2108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1249</v>
      </c>
      <c r="BE63" s="1186">
        <f>'Basis &amp; Credits'!AB72</f>
        <v>0.89</v>
      </c>
    </row>
    <row r="64" spans="1:57" ht="13.0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2477</v>
      </c>
      <c r="BE64" s="1183" t="b">
        <f>Application!X180="Yes"</f>
        <v>0</v>
      </c>
    </row>
    <row r="65" spans="1:57" ht="13.05" customHeight="1">
      <c r="A65" s="1735" t="s">
        <v>2109</v>
      </c>
      <c r="B65" s="1735"/>
      <c r="C65" s="1735"/>
      <c r="D65" s="1735"/>
      <c r="E65" s="1735"/>
      <c r="F65" s="1735"/>
      <c r="G65" s="1735"/>
      <c r="H65" s="1735"/>
      <c r="I65" s="1735"/>
      <c r="J65" s="1735"/>
      <c r="K65" s="1735"/>
      <c r="L65" s="1735"/>
      <c r="M65" s="1735"/>
      <c r="N65" s="1735"/>
      <c r="O65" s="1735"/>
      <c r="P65" s="1735"/>
      <c r="Q65" s="1735"/>
      <c r="R65" s="1735"/>
      <c r="S65" s="1735"/>
      <c r="T65" s="1735"/>
      <c r="U65" s="1735"/>
      <c r="V65" s="1735"/>
      <c r="W65" s="1735"/>
      <c r="X65" s="1735"/>
      <c r="Y65" s="1735"/>
      <c r="Z65" s="1735"/>
      <c r="AA65" s="1735"/>
      <c r="AB65" s="1735"/>
      <c r="AC65" s="1735"/>
      <c r="AD65" s="1735"/>
      <c r="AE65" s="1735"/>
      <c r="AF65" s="1735"/>
      <c r="AG65" s="1735"/>
      <c r="AH65" s="1735"/>
      <c r="AI65" s="1735"/>
      <c r="AJ65" s="1735"/>
      <c r="AK65" s="1735"/>
      <c r="AL65" s="1735"/>
      <c r="AM65" s="1735"/>
      <c r="AN65" s="1735"/>
      <c r="AO65" s="1735"/>
      <c r="AP65" s="1735"/>
      <c r="AQ65" s="1735"/>
      <c r="AR65" s="1735"/>
      <c r="AS65" s="1735"/>
      <c r="AT65" s="1735"/>
      <c r="AU65" s="21"/>
      <c r="AV65" s="21"/>
      <c r="AW65" s="21"/>
      <c r="AX65" s="21"/>
      <c r="AY65" s="21"/>
      <c r="AZ65" s="20"/>
      <c r="BD65" s="1181" t="s">
        <v>2511</v>
      </c>
      <c r="BE65" s="1183" t="str">
        <f>Z205</f>
        <v>$500M</v>
      </c>
    </row>
    <row r="66" spans="1:57" ht="13.05" customHeight="1">
      <c r="A66" s="1735"/>
      <c r="B66" s="1735"/>
      <c r="C66" s="1735"/>
      <c r="D66" s="1735"/>
      <c r="E66" s="1735"/>
      <c r="F66" s="1735"/>
      <c r="G66" s="1735"/>
      <c r="H66" s="1735"/>
      <c r="I66" s="1735"/>
      <c r="J66" s="1735"/>
      <c r="K66" s="1735"/>
      <c r="L66" s="1735"/>
      <c r="M66" s="1735"/>
      <c r="N66" s="1735"/>
      <c r="O66" s="1735"/>
      <c r="P66" s="1735"/>
      <c r="Q66" s="1735"/>
      <c r="R66" s="1735"/>
      <c r="S66" s="1735"/>
      <c r="T66" s="1735"/>
      <c r="U66" s="1735"/>
      <c r="V66" s="1735"/>
      <c r="W66" s="1735"/>
      <c r="X66" s="1735"/>
      <c r="Y66" s="1735"/>
      <c r="Z66" s="1735"/>
      <c r="AA66" s="1735"/>
      <c r="AB66" s="1735"/>
      <c r="AC66" s="1735"/>
      <c r="AD66" s="1735"/>
      <c r="AE66" s="1735"/>
      <c r="AF66" s="1735"/>
      <c r="AG66" s="1735"/>
      <c r="AH66" s="1735"/>
      <c r="AI66" s="1735"/>
      <c r="AJ66" s="1735"/>
      <c r="AK66" s="1735"/>
      <c r="AL66" s="1735"/>
      <c r="AM66" s="1735"/>
      <c r="AN66" s="1735"/>
      <c r="AO66" s="1735"/>
      <c r="AP66" s="1735"/>
      <c r="AQ66" s="1735"/>
      <c r="AR66" s="1735"/>
      <c r="AS66" s="1735"/>
      <c r="AT66" s="1735"/>
      <c r="AU66" s="21"/>
      <c r="AV66" s="21"/>
      <c r="AW66" s="21"/>
      <c r="AX66" s="21"/>
      <c r="AY66" s="21"/>
      <c r="AZ66" s="20"/>
      <c r="BD66" s="1182" t="s">
        <v>2478</v>
      </c>
      <c r="BE66" s="1183" t="b">
        <f>Application!Z205="State Farmworker Credit"</f>
        <v>0</v>
      </c>
    </row>
    <row r="67" spans="1:57" ht="13.05" customHeight="1">
      <c r="A67" s="1735"/>
      <c r="B67" s="1735"/>
      <c r="C67" s="1735"/>
      <c r="D67" s="1735"/>
      <c r="E67" s="1735"/>
      <c r="F67" s="1735"/>
      <c r="G67" s="1735"/>
      <c r="H67" s="1735"/>
      <c r="I67" s="1735"/>
      <c r="J67" s="1735"/>
      <c r="K67" s="1735"/>
      <c r="L67" s="1735"/>
      <c r="M67" s="1735"/>
      <c r="N67" s="1735"/>
      <c r="O67" s="1735"/>
      <c r="P67" s="1735"/>
      <c r="Q67" s="1735"/>
      <c r="R67" s="1735"/>
      <c r="S67" s="1735"/>
      <c r="T67" s="1735"/>
      <c r="U67" s="1735"/>
      <c r="V67" s="1735"/>
      <c r="W67" s="1735"/>
      <c r="X67" s="1735"/>
      <c r="Y67" s="1735"/>
      <c r="Z67" s="1735"/>
      <c r="AA67" s="1735"/>
      <c r="AB67" s="1735"/>
      <c r="AC67" s="1735"/>
      <c r="AD67" s="1735"/>
      <c r="AE67" s="1735"/>
      <c r="AF67" s="1735"/>
      <c r="AG67" s="1735"/>
      <c r="AH67" s="1735"/>
      <c r="AI67" s="1735"/>
      <c r="AJ67" s="1735"/>
      <c r="AK67" s="1735"/>
      <c r="AL67" s="1735"/>
      <c r="AM67" s="1735"/>
      <c r="AN67" s="1735"/>
      <c r="AO67" s="1735"/>
      <c r="AP67" s="1735"/>
      <c r="AQ67" s="1735"/>
      <c r="AR67" s="1735"/>
      <c r="AS67" s="1735"/>
      <c r="AT67" s="1735"/>
      <c r="AZ67" s="20"/>
      <c r="BD67" s="1181" t="s">
        <v>2479</v>
      </c>
      <c r="BE67" s="1183" t="b">
        <f>Application!O33="Yes"</f>
        <v>0</v>
      </c>
    </row>
    <row r="68" spans="1:57" ht="13.0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2480</v>
      </c>
      <c r="BE68" s="1183">
        <f>'Sources and Uses Budget'!D105</f>
        <v>0</v>
      </c>
    </row>
    <row r="69" spans="1:57" ht="13.05" customHeight="1">
      <c r="A69" s="1735" t="s">
        <v>2110</v>
      </c>
      <c r="B69" s="1735"/>
      <c r="C69" s="1735"/>
      <c r="D69" s="1735"/>
      <c r="E69" s="1735"/>
      <c r="F69" s="1735"/>
      <c r="G69" s="1735"/>
      <c r="H69" s="1735"/>
      <c r="I69" s="1735"/>
      <c r="J69" s="1735"/>
      <c r="K69" s="1735"/>
      <c r="L69" s="1735"/>
      <c r="M69" s="1735"/>
      <c r="N69" s="1735"/>
      <c r="O69" s="1735"/>
      <c r="P69" s="1735"/>
      <c r="Q69" s="1735"/>
      <c r="R69" s="1735"/>
      <c r="S69" s="1735"/>
      <c r="T69" s="1735"/>
      <c r="U69" s="1735"/>
      <c r="V69" s="1735"/>
      <c r="W69" s="1735"/>
      <c r="X69" s="1735"/>
      <c r="Y69" s="1735"/>
      <c r="Z69" s="1735"/>
      <c r="AA69" s="1735"/>
      <c r="AB69" s="1735"/>
      <c r="AC69" s="1735"/>
      <c r="AD69" s="1735"/>
      <c r="AE69" s="1735"/>
      <c r="AF69" s="1735"/>
      <c r="AG69" s="1735"/>
      <c r="AH69" s="1735"/>
      <c r="AI69" s="1735"/>
      <c r="AJ69" s="1735"/>
      <c r="AK69" s="1735"/>
      <c r="AL69" s="1735"/>
      <c r="AM69" s="1735"/>
      <c r="AN69" s="1735"/>
      <c r="AO69" s="1735"/>
      <c r="AP69" s="1735"/>
      <c r="AQ69" s="1735"/>
      <c r="AR69" s="1735"/>
      <c r="AS69" s="1735"/>
      <c r="AT69" s="1735"/>
      <c r="AZ69" s="20"/>
      <c r="BD69" s="1181" t="s">
        <v>2481</v>
      </c>
      <c r="BE69" s="1183" t="str">
        <f>Application!W708</f>
        <v>California Housing Finance Agency</v>
      </c>
    </row>
    <row r="70" spans="1:57" ht="13.05" customHeight="1">
      <c r="A70" s="1735"/>
      <c r="B70" s="1735"/>
      <c r="C70" s="1735"/>
      <c r="D70" s="1735"/>
      <c r="E70" s="1735"/>
      <c r="F70" s="1735"/>
      <c r="G70" s="1735"/>
      <c r="H70" s="1735"/>
      <c r="I70" s="1735"/>
      <c r="J70" s="1735"/>
      <c r="K70" s="1735"/>
      <c r="L70" s="1735"/>
      <c r="M70" s="1735"/>
      <c r="N70" s="1735"/>
      <c r="O70" s="1735"/>
      <c r="P70" s="1735"/>
      <c r="Q70" s="1735"/>
      <c r="R70" s="1735"/>
      <c r="S70" s="1735"/>
      <c r="T70" s="1735"/>
      <c r="U70" s="1735"/>
      <c r="V70" s="1735"/>
      <c r="W70" s="1735"/>
      <c r="X70" s="1735"/>
      <c r="Y70" s="1735"/>
      <c r="Z70" s="1735"/>
      <c r="AA70" s="1735"/>
      <c r="AB70" s="1735"/>
      <c r="AC70" s="1735"/>
      <c r="AD70" s="1735"/>
      <c r="AE70" s="1735"/>
      <c r="AF70" s="1735"/>
      <c r="AG70" s="1735"/>
      <c r="AH70" s="1735"/>
      <c r="AI70" s="1735"/>
      <c r="AJ70" s="1735"/>
      <c r="AK70" s="1735"/>
      <c r="AL70" s="1735"/>
      <c r="AM70" s="1735"/>
      <c r="AN70" s="1735"/>
      <c r="AO70" s="1735"/>
      <c r="AP70" s="1735"/>
      <c r="AQ70" s="1735"/>
      <c r="AR70" s="1735"/>
      <c r="AS70" s="1735"/>
      <c r="AT70" s="1735"/>
      <c r="AU70" s="20"/>
      <c r="AV70" s="20"/>
      <c r="AW70" s="20"/>
      <c r="AX70" s="20"/>
      <c r="AY70" s="20"/>
      <c r="AZ70" s="20"/>
      <c r="BD70" s="1182" t="s">
        <v>2482</v>
      </c>
      <c r="BE70" s="1183">
        <f ca="1">'Points System'!AF843</f>
        <v>112</v>
      </c>
    </row>
    <row r="71" spans="1:57" ht="13.0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2603</v>
      </c>
      <c r="BE71" s="1183">
        <f>'Points System'!AF826</f>
        <v>0</v>
      </c>
    </row>
    <row r="72" spans="1:57" ht="13.05" customHeight="1">
      <c r="A72" s="1733" t="s">
        <v>2111</v>
      </c>
      <c r="B72" s="1733"/>
      <c r="C72" s="1733"/>
      <c r="D72" s="1733"/>
      <c r="E72" s="1733"/>
      <c r="F72" s="1733"/>
      <c r="G72" s="1733"/>
      <c r="H72" s="1733"/>
      <c r="I72" s="1733"/>
      <c r="J72" s="1733"/>
      <c r="K72" s="1733"/>
      <c r="L72" s="1733"/>
      <c r="M72" s="1733"/>
      <c r="N72" s="1733"/>
      <c r="O72" s="1733"/>
      <c r="P72" s="1733"/>
      <c r="Q72" s="1733"/>
      <c r="R72" s="1733"/>
      <c r="S72" s="1733"/>
      <c r="T72" s="1733"/>
      <c r="U72" s="1733"/>
      <c r="V72" s="1733"/>
      <c r="W72" s="1733"/>
      <c r="X72" s="1733"/>
      <c r="Y72" s="1733"/>
      <c r="Z72" s="1733"/>
      <c r="AA72" s="1733"/>
      <c r="AB72" s="1733"/>
      <c r="AC72" s="1733"/>
      <c r="AD72" s="1733"/>
      <c r="AE72" s="1733"/>
      <c r="AF72" s="1733"/>
      <c r="AG72" s="1733"/>
      <c r="AH72" s="1733"/>
      <c r="AI72" s="1733"/>
      <c r="AJ72" s="1733"/>
      <c r="AK72" s="1733"/>
      <c r="AL72" s="1733"/>
      <c r="AM72" s="1733"/>
      <c r="AN72" s="1733"/>
      <c r="AO72" s="1733"/>
      <c r="AP72" s="1733"/>
      <c r="AQ72" s="1733"/>
      <c r="AR72" s="1733"/>
      <c r="AS72" s="1733"/>
      <c r="AT72" s="1733"/>
      <c r="AU72" s="20"/>
      <c r="AV72" s="20"/>
      <c r="AW72" s="20"/>
      <c r="AX72" s="20"/>
      <c r="AY72" s="20"/>
      <c r="AZ72" s="20"/>
      <c r="BD72" s="1182" t="s">
        <v>2483</v>
      </c>
      <c r="BE72" s="1183">
        <f>'Points System'!AF827</f>
        <v>10</v>
      </c>
    </row>
    <row r="73" spans="1:57" ht="13.05" customHeight="1">
      <c r="A73" s="1733"/>
      <c r="B73" s="1733"/>
      <c r="C73" s="1733"/>
      <c r="D73" s="1733"/>
      <c r="E73" s="1733"/>
      <c r="F73" s="1733"/>
      <c r="G73" s="1733"/>
      <c r="H73" s="1733"/>
      <c r="I73" s="1733"/>
      <c r="J73" s="1733"/>
      <c r="K73" s="1733"/>
      <c r="L73" s="1733"/>
      <c r="M73" s="1733"/>
      <c r="N73" s="1733"/>
      <c r="O73" s="1733"/>
      <c r="P73" s="1733"/>
      <c r="Q73" s="1733"/>
      <c r="R73" s="1733"/>
      <c r="S73" s="1733"/>
      <c r="T73" s="1733"/>
      <c r="U73" s="1733"/>
      <c r="V73" s="1733"/>
      <c r="W73" s="1733"/>
      <c r="X73" s="1733"/>
      <c r="Y73" s="1733"/>
      <c r="Z73" s="1733"/>
      <c r="AA73" s="1733"/>
      <c r="AB73" s="1733"/>
      <c r="AC73" s="1733"/>
      <c r="AD73" s="1733"/>
      <c r="AE73" s="1733"/>
      <c r="AF73" s="1733"/>
      <c r="AG73" s="1733"/>
      <c r="AH73" s="1733"/>
      <c r="AI73" s="1733"/>
      <c r="AJ73" s="1733"/>
      <c r="AK73" s="1733"/>
      <c r="AL73" s="1733"/>
      <c r="AM73" s="1733"/>
      <c r="AN73" s="1733"/>
      <c r="AO73" s="1733"/>
      <c r="AP73" s="1733"/>
      <c r="AQ73" s="1733"/>
      <c r="AR73" s="1733"/>
      <c r="AS73" s="1733"/>
      <c r="AT73" s="1733"/>
      <c r="AU73" s="20"/>
      <c r="AV73" s="20"/>
      <c r="AW73" s="20"/>
      <c r="AX73" s="20"/>
      <c r="AY73" s="20"/>
      <c r="AZ73" s="20"/>
      <c r="BD73" s="1181" t="s">
        <v>2484</v>
      </c>
      <c r="BE73" s="1183">
        <f ca="1">'Points System'!AF828</f>
        <v>20</v>
      </c>
    </row>
    <row r="74" spans="1:57" ht="13.0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2485</v>
      </c>
      <c r="BE74" s="1183">
        <f>'Points System'!AF829</f>
        <v>10</v>
      </c>
    </row>
    <row r="75" spans="1:57" ht="13.05" customHeight="1">
      <c r="A75" s="2036" t="s">
        <v>2112</v>
      </c>
      <c r="B75" s="2036"/>
      <c r="C75" s="2036"/>
      <c r="D75" s="2036"/>
      <c r="E75" s="2036"/>
      <c r="F75" s="2036"/>
      <c r="G75" s="2036"/>
      <c r="H75" s="2036"/>
      <c r="I75" s="2036"/>
      <c r="J75" s="2036"/>
      <c r="K75" s="2036"/>
      <c r="L75" s="2036"/>
      <c r="M75" s="2036"/>
      <c r="N75" s="2036"/>
      <c r="O75" s="2036"/>
      <c r="P75" s="2036"/>
      <c r="Q75" s="2036"/>
      <c r="R75" s="2036"/>
      <c r="S75" s="2036"/>
      <c r="T75" s="2036"/>
      <c r="U75" s="2036"/>
      <c r="V75" s="2036"/>
      <c r="W75" s="2036"/>
      <c r="X75" s="2036"/>
      <c r="Y75" s="2036"/>
      <c r="Z75" s="2036"/>
      <c r="AA75" s="2036"/>
      <c r="AB75" s="2036"/>
      <c r="AC75" s="2036"/>
      <c r="AD75" s="2036"/>
      <c r="AE75" s="2036"/>
      <c r="AF75" s="2036"/>
      <c r="AG75" s="2036"/>
      <c r="AH75" s="2036"/>
      <c r="AI75" s="2036"/>
      <c r="AJ75" s="2036"/>
      <c r="AK75" s="2036"/>
      <c r="AL75" s="2036"/>
      <c r="AM75" s="2036"/>
      <c r="AN75" s="2036"/>
      <c r="AO75" s="2036"/>
      <c r="AP75" s="2036"/>
      <c r="AQ75" s="2036"/>
      <c r="AR75" s="2036"/>
      <c r="AS75" s="2036"/>
      <c r="AT75" s="2036"/>
      <c r="AU75" s="20"/>
      <c r="AV75" s="20"/>
      <c r="AW75" s="20"/>
      <c r="AX75" s="20"/>
      <c r="AY75" s="20"/>
      <c r="AZ75" s="20"/>
      <c r="BD75" s="1181" t="s">
        <v>2486</v>
      </c>
      <c r="BE75" s="1183">
        <f>'Points System'!AF830</f>
        <v>10</v>
      </c>
    </row>
    <row r="76" spans="1:57" ht="13.05" customHeight="1">
      <c r="A76" s="2036"/>
      <c r="B76" s="2036"/>
      <c r="C76" s="2036"/>
      <c r="D76" s="2036"/>
      <c r="E76" s="2036"/>
      <c r="F76" s="2036"/>
      <c r="G76" s="2036"/>
      <c r="H76" s="2036"/>
      <c r="I76" s="2036"/>
      <c r="J76" s="2036"/>
      <c r="K76" s="2036"/>
      <c r="L76" s="2036"/>
      <c r="M76" s="2036"/>
      <c r="N76" s="2036"/>
      <c r="O76" s="2036"/>
      <c r="P76" s="2036"/>
      <c r="Q76" s="2036"/>
      <c r="R76" s="2036"/>
      <c r="S76" s="2036"/>
      <c r="T76" s="2036"/>
      <c r="U76" s="2036"/>
      <c r="V76" s="2036"/>
      <c r="W76" s="2036"/>
      <c r="X76" s="2036"/>
      <c r="Y76" s="2036"/>
      <c r="Z76" s="2036"/>
      <c r="AA76" s="2036"/>
      <c r="AB76" s="2036"/>
      <c r="AC76" s="2036"/>
      <c r="AD76" s="2036"/>
      <c r="AE76" s="2036"/>
      <c r="AF76" s="2036"/>
      <c r="AG76" s="2036"/>
      <c r="AH76" s="2036"/>
      <c r="AI76" s="2036"/>
      <c r="AJ76" s="2036"/>
      <c r="AK76" s="2036"/>
      <c r="AL76" s="2036"/>
      <c r="AM76" s="2036"/>
      <c r="AN76" s="2036"/>
      <c r="AO76" s="2036"/>
      <c r="AP76" s="2036"/>
      <c r="AQ76" s="2036"/>
      <c r="AR76" s="2036"/>
      <c r="AS76" s="2036"/>
      <c r="AT76" s="2036"/>
      <c r="AU76" s="20"/>
      <c r="AV76" s="20"/>
      <c r="AW76" s="20"/>
      <c r="AX76" s="20"/>
      <c r="AY76" s="20"/>
      <c r="AZ76" s="17"/>
      <c r="BD76" s="1182" t="s">
        <v>2487</v>
      </c>
      <c r="BE76" s="1183">
        <f>'Points System'!AF833</f>
        <v>10</v>
      </c>
    </row>
    <row r="77" spans="1:57" ht="13.05" customHeight="1">
      <c r="A77" s="2036"/>
      <c r="B77" s="2036"/>
      <c r="C77" s="2036"/>
      <c r="D77" s="2036"/>
      <c r="E77" s="2036"/>
      <c r="F77" s="2036"/>
      <c r="G77" s="2036"/>
      <c r="H77" s="2036"/>
      <c r="I77" s="2036"/>
      <c r="J77" s="2036"/>
      <c r="K77" s="2036"/>
      <c r="L77" s="2036"/>
      <c r="M77" s="2036"/>
      <c r="N77" s="2036"/>
      <c r="O77" s="2036"/>
      <c r="P77" s="2036"/>
      <c r="Q77" s="2036"/>
      <c r="R77" s="2036"/>
      <c r="S77" s="2036"/>
      <c r="T77" s="2036"/>
      <c r="U77" s="2036"/>
      <c r="V77" s="2036"/>
      <c r="W77" s="2036"/>
      <c r="X77" s="2036"/>
      <c r="Y77" s="2036"/>
      <c r="Z77" s="2036"/>
      <c r="AA77" s="2036"/>
      <c r="AB77" s="2036"/>
      <c r="AC77" s="2036"/>
      <c r="AD77" s="2036"/>
      <c r="AE77" s="2036"/>
      <c r="AF77" s="2036"/>
      <c r="AG77" s="2036"/>
      <c r="AH77" s="2036"/>
      <c r="AI77" s="2036"/>
      <c r="AJ77" s="2036"/>
      <c r="AK77" s="2036"/>
      <c r="AL77" s="2036"/>
      <c r="AM77" s="2036"/>
      <c r="AN77" s="2036"/>
      <c r="AO77" s="2036"/>
      <c r="AP77" s="2036"/>
      <c r="AQ77" s="2036"/>
      <c r="AR77" s="2036"/>
      <c r="AS77" s="2036"/>
      <c r="AT77" s="2036"/>
      <c r="AU77" s="20"/>
      <c r="AV77" s="20"/>
      <c r="AW77" s="20"/>
      <c r="AX77" s="20"/>
      <c r="AY77" s="20"/>
      <c r="AZ77" s="17"/>
      <c r="BD77" s="1181" t="s">
        <v>2488</v>
      </c>
      <c r="BE77" s="1183">
        <f>'Points System'!AF834</f>
        <v>0</v>
      </c>
    </row>
    <row r="78" spans="1:57" ht="13.0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2489</v>
      </c>
      <c r="BE78" s="1183">
        <f>'Points System'!AF836</f>
        <v>10</v>
      </c>
    </row>
    <row r="79" spans="1:57" ht="13.05" customHeight="1">
      <c r="A79" s="1735" t="s">
        <v>2113</v>
      </c>
      <c r="B79" s="1735"/>
      <c r="C79" s="1735"/>
      <c r="D79" s="1735"/>
      <c r="E79" s="1735"/>
      <c r="F79" s="1735"/>
      <c r="G79" s="1735"/>
      <c r="H79" s="1735"/>
      <c r="I79" s="1735"/>
      <c r="J79" s="1735"/>
      <c r="K79" s="1735"/>
      <c r="L79" s="1735"/>
      <c r="M79" s="1735"/>
      <c r="N79" s="1735"/>
      <c r="O79" s="1735"/>
      <c r="P79" s="1735"/>
      <c r="Q79" s="1735"/>
      <c r="R79" s="1735"/>
      <c r="S79" s="1735"/>
      <c r="T79" s="1735"/>
      <c r="U79" s="1735"/>
      <c r="V79" s="1735"/>
      <c r="W79" s="1735"/>
      <c r="X79" s="1735"/>
      <c r="Y79" s="1735"/>
      <c r="Z79" s="1735"/>
      <c r="AA79" s="1735"/>
      <c r="AB79" s="1735"/>
      <c r="AC79" s="1735"/>
      <c r="AD79" s="1735"/>
      <c r="AE79" s="1735"/>
      <c r="AF79" s="1735"/>
      <c r="AG79" s="1735"/>
      <c r="AH79" s="1735"/>
      <c r="AI79" s="1735"/>
      <c r="AJ79" s="1735"/>
      <c r="AK79" s="1735"/>
      <c r="AL79" s="1735"/>
      <c r="AM79" s="1735"/>
      <c r="AN79" s="1735"/>
      <c r="AO79" s="1735"/>
      <c r="AP79" s="1735"/>
      <c r="AQ79" s="1735"/>
      <c r="AR79" s="1735"/>
      <c r="AS79" s="1735"/>
      <c r="AT79" s="1735"/>
      <c r="AU79" s="20"/>
      <c r="AV79" s="20"/>
      <c r="AW79" s="20"/>
      <c r="AX79" s="20"/>
      <c r="AY79" s="20"/>
      <c r="AZ79" s="20"/>
      <c r="BD79" s="1181" t="s">
        <v>2604</v>
      </c>
      <c r="BE79" s="1183">
        <f>'Points System'!AF837</f>
        <v>10</v>
      </c>
    </row>
    <row r="80" spans="1:57" ht="13.05" customHeight="1">
      <c r="A80" s="1735"/>
      <c r="B80" s="1735"/>
      <c r="C80" s="1735"/>
      <c r="D80" s="1735"/>
      <c r="E80" s="1735"/>
      <c r="F80" s="1735"/>
      <c r="G80" s="1735"/>
      <c r="H80" s="1735"/>
      <c r="I80" s="1735"/>
      <c r="J80" s="1735"/>
      <c r="K80" s="1735"/>
      <c r="L80" s="1735"/>
      <c r="M80" s="1735"/>
      <c r="N80" s="1735"/>
      <c r="O80" s="1735"/>
      <c r="P80" s="1735"/>
      <c r="Q80" s="1735"/>
      <c r="R80" s="1735"/>
      <c r="S80" s="1735"/>
      <c r="T80" s="1735"/>
      <c r="U80" s="1735"/>
      <c r="V80" s="1735"/>
      <c r="W80" s="1735"/>
      <c r="X80" s="1735"/>
      <c r="Y80" s="1735"/>
      <c r="Z80" s="1735"/>
      <c r="AA80" s="1735"/>
      <c r="AB80" s="1735"/>
      <c r="AC80" s="1735"/>
      <c r="AD80" s="1735"/>
      <c r="AE80" s="1735"/>
      <c r="AF80" s="1735"/>
      <c r="AG80" s="1735"/>
      <c r="AH80" s="1735"/>
      <c r="AI80" s="1735"/>
      <c r="AJ80" s="1735"/>
      <c r="AK80" s="1735"/>
      <c r="AL80" s="1735"/>
      <c r="AM80" s="1735"/>
      <c r="AN80" s="1735"/>
      <c r="AO80" s="1735"/>
      <c r="AP80" s="1735"/>
      <c r="AQ80" s="1735"/>
      <c r="AR80" s="1735"/>
      <c r="AS80" s="1735"/>
      <c r="AT80" s="1735"/>
      <c r="AU80" s="20"/>
      <c r="AV80" s="20"/>
      <c r="AW80" s="20"/>
      <c r="AX80" s="20"/>
      <c r="AY80" s="20"/>
      <c r="AZ80" s="20"/>
      <c r="BD80" s="1182" t="s">
        <v>2490</v>
      </c>
      <c r="BE80" s="1183">
        <f>'Points System'!AF839</f>
        <v>10</v>
      </c>
    </row>
    <row r="81" spans="1:57" ht="13.05" customHeight="1">
      <c r="A81" s="1735"/>
      <c r="B81" s="1735"/>
      <c r="C81" s="1735"/>
      <c r="D81" s="1735"/>
      <c r="E81" s="1735"/>
      <c r="F81" s="1735"/>
      <c r="G81" s="1735"/>
      <c r="H81" s="1735"/>
      <c r="I81" s="1735"/>
      <c r="J81" s="1735"/>
      <c r="K81" s="1735"/>
      <c r="L81" s="1735"/>
      <c r="M81" s="1735"/>
      <c r="N81" s="1735"/>
      <c r="O81" s="1735"/>
      <c r="P81" s="1735"/>
      <c r="Q81" s="1735"/>
      <c r="R81" s="1735"/>
      <c r="S81" s="1735"/>
      <c r="T81" s="1735"/>
      <c r="U81" s="1735"/>
      <c r="V81" s="1735"/>
      <c r="W81" s="1735"/>
      <c r="X81" s="1735"/>
      <c r="Y81" s="1735"/>
      <c r="Z81" s="1735"/>
      <c r="AA81" s="1735"/>
      <c r="AB81" s="1735"/>
      <c r="AC81" s="1735"/>
      <c r="AD81" s="1735"/>
      <c r="AE81" s="1735"/>
      <c r="AF81" s="1735"/>
      <c r="AG81" s="1735"/>
      <c r="AH81" s="1735"/>
      <c r="AI81" s="1735"/>
      <c r="AJ81" s="1735"/>
      <c r="AK81" s="1735"/>
      <c r="AL81" s="1735"/>
      <c r="AM81" s="1735"/>
      <c r="AN81" s="1735"/>
      <c r="AO81" s="1735"/>
      <c r="AP81" s="1735"/>
      <c r="AQ81" s="1735"/>
      <c r="AR81" s="1735"/>
      <c r="AS81" s="1735"/>
      <c r="AT81" s="1735"/>
      <c r="AU81" s="20"/>
      <c r="AV81" s="20"/>
      <c r="AW81" s="20"/>
      <c r="AX81" s="20"/>
      <c r="AY81" s="20"/>
      <c r="AZ81" s="20"/>
      <c r="BD81" s="1181" t="s">
        <v>2491</v>
      </c>
      <c r="BE81" s="1183">
        <f>'Points System'!AF840</f>
        <v>12</v>
      </c>
    </row>
    <row r="82" spans="1:57" ht="13.0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2492</v>
      </c>
      <c r="BE82" s="1183">
        <f>'Points System'!AF841</f>
        <v>10</v>
      </c>
    </row>
    <row r="83" spans="1:57" ht="13.05" customHeight="1">
      <c r="A83" s="1524" t="s">
        <v>2114</v>
      </c>
      <c r="B83" s="1524"/>
      <c r="C83" s="1524"/>
      <c r="D83" s="1524"/>
      <c r="E83" s="1524"/>
      <c r="F83" s="1524"/>
      <c r="G83" s="1524"/>
      <c r="H83" s="1524"/>
      <c r="I83" s="1524"/>
      <c r="J83" s="1524"/>
      <c r="K83" s="1524"/>
      <c r="L83" s="1524"/>
      <c r="M83" s="1524"/>
      <c r="N83" s="1524"/>
      <c r="O83" s="1524"/>
      <c r="P83" s="1524"/>
      <c r="Q83" s="1524"/>
      <c r="R83" s="1524"/>
      <c r="S83" s="1524"/>
      <c r="T83" s="1524"/>
      <c r="U83" s="1524"/>
      <c r="V83" s="1524"/>
      <c r="W83" s="1524"/>
      <c r="X83" s="1524"/>
      <c r="Y83" s="1524"/>
      <c r="Z83" s="1524"/>
      <c r="AA83" s="1524"/>
      <c r="AB83" s="1524"/>
      <c r="AC83" s="1524"/>
      <c r="AD83" s="1524"/>
      <c r="AE83" s="1524"/>
      <c r="AF83" s="1524"/>
      <c r="AG83" s="1524"/>
      <c r="AH83" s="1524"/>
      <c r="AI83" s="1524"/>
      <c r="AJ83" s="1524"/>
      <c r="AK83" s="1524"/>
      <c r="AL83" s="1524"/>
      <c r="AM83" s="1524"/>
      <c r="AN83" s="1524"/>
      <c r="AO83" s="1524"/>
      <c r="AP83" s="1524"/>
      <c r="AQ83" s="1524"/>
      <c r="AR83" s="1524"/>
      <c r="AS83" s="1524"/>
      <c r="AT83" s="1524"/>
      <c r="AU83" s="20"/>
      <c r="AV83" s="20"/>
      <c r="AW83" s="20"/>
      <c r="AX83" s="20"/>
      <c r="AY83" s="20"/>
      <c r="AZ83" s="20"/>
      <c r="BD83" s="1181" t="s">
        <v>2493</v>
      </c>
      <c r="BE83" s="1187">
        <f>'Tie Breaker'!H5</f>
        <v>2.3215367151767152</v>
      </c>
    </row>
    <row r="84" spans="1:57" ht="13.05" customHeight="1">
      <c r="A84" s="1524"/>
      <c r="B84" s="1524"/>
      <c r="C84" s="1524"/>
      <c r="D84" s="1524"/>
      <c r="E84" s="1524"/>
      <c r="F84" s="1524"/>
      <c r="G84" s="1524"/>
      <c r="H84" s="1524"/>
      <c r="I84" s="1524"/>
      <c r="J84" s="1524"/>
      <c r="K84" s="1524"/>
      <c r="L84" s="1524"/>
      <c r="M84" s="1524"/>
      <c r="N84" s="1524"/>
      <c r="O84" s="1524"/>
      <c r="P84" s="1524"/>
      <c r="Q84" s="1524"/>
      <c r="R84" s="1524"/>
      <c r="S84" s="1524"/>
      <c r="T84" s="1524"/>
      <c r="U84" s="1524"/>
      <c r="V84" s="1524"/>
      <c r="W84" s="1524"/>
      <c r="X84" s="1524"/>
      <c r="Y84" s="1524"/>
      <c r="Z84" s="1524"/>
      <c r="AA84" s="1524"/>
      <c r="AB84" s="1524"/>
      <c r="AC84" s="1524"/>
      <c r="AD84" s="1524"/>
      <c r="AE84" s="1524"/>
      <c r="AF84" s="1524"/>
      <c r="AG84" s="1524"/>
      <c r="AH84" s="1524"/>
      <c r="AI84" s="1524"/>
      <c r="AJ84" s="1524"/>
      <c r="AK84" s="1524"/>
      <c r="AL84" s="1524"/>
      <c r="AM84" s="1524"/>
      <c r="AN84" s="1524"/>
      <c r="AO84" s="1524"/>
      <c r="AP84" s="1524"/>
      <c r="AQ84" s="1524"/>
      <c r="AR84" s="1524"/>
      <c r="AS84" s="1524"/>
      <c r="AT84" s="1524"/>
      <c r="AU84" s="20"/>
      <c r="AV84" s="20"/>
      <c r="AW84" s="20"/>
      <c r="AX84" s="20"/>
      <c r="AY84" s="20"/>
      <c r="AZ84" s="20"/>
      <c r="BD84" s="1182" t="s">
        <v>2494</v>
      </c>
      <c r="BE84" s="1183" t="str">
        <f>Application!O153</f>
        <v>City of Santa Cruz Redevelopment Agency</v>
      </c>
    </row>
    <row r="85" spans="1:57" ht="13.0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2495</v>
      </c>
      <c r="BE85" s="1183" t="str">
        <f>Application!O154</f>
        <v>Ms. Bonnie Lopscomb</v>
      </c>
    </row>
    <row r="86" spans="1:57" ht="13.05" customHeight="1">
      <c r="A86" s="1524" t="s">
        <v>2115</v>
      </c>
      <c r="B86" s="1524"/>
      <c r="C86" s="1524"/>
      <c r="D86" s="1524"/>
      <c r="E86" s="1524"/>
      <c r="F86" s="1524"/>
      <c r="G86" s="1524"/>
      <c r="H86" s="1524"/>
      <c r="I86" s="1524"/>
      <c r="J86" s="1524"/>
      <c r="K86" s="1524"/>
      <c r="L86" s="1524"/>
      <c r="M86" s="1524"/>
      <c r="N86" s="1524"/>
      <c r="O86" s="1524"/>
      <c r="P86" s="1524"/>
      <c r="Q86" s="1524"/>
      <c r="R86" s="1524"/>
      <c r="S86" s="1524"/>
      <c r="T86" s="1524"/>
      <c r="U86" s="1524"/>
      <c r="V86" s="1524"/>
      <c r="W86" s="1524"/>
      <c r="X86" s="1524"/>
      <c r="Y86" s="1524"/>
      <c r="Z86" s="1524"/>
      <c r="AA86" s="1524"/>
      <c r="AB86" s="1524"/>
      <c r="AC86" s="1524"/>
      <c r="AD86" s="1524"/>
      <c r="AE86" s="1524"/>
      <c r="AF86" s="1524"/>
      <c r="AG86" s="1524"/>
      <c r="AH86" s="1524"/>
      <c r="AI86" s="1524"/>
      <c r="AJ86" s="1524"/>
      <c r="AK86" s="1524"/>
      <c r="AL86" s="1524"/>
      <c r="AM86" s="1524"/>
      <c r="AN86" s="1524"/>
      <c r="AO86" s="1524"/>
      <c r="AP86" s="1524"/>
      <c r="AQ86" s="1524"/>
      <c r="AR86" s="1524"/>
      <c r="AS86" s="1524"/>
      <c r="AT86" s="1524"/>
      <c r="AU86" s="20"/>
      <c r="AV86" s="20"/>
      <c r="AW86" s="20"/>
      <c r="AX86" s="20"/>
      <c r="AY86" s="20"/>
      <c r="AZ86" s="20"/>
      <c r="BD86" s="1182" t="s">
        <v>2496</v>
      </c>
      <c r="BE86" s="1183" t="str">
        <f>Application!O155</f>
        <v>City Manager</v>
      </c>
    </row>
    <row r="87" spans="1:57" ht="13.05" customHeight="1">
      <c r="A87" s="1524"/>
      <c r="B87" s="1524"/>
      <c r="C87" s="1524"/>
      <c r="D87" s="1524"/>
      <c r="E87" s="1524"/>
      <c r="F87" s="1524"/>
      <c r="G87" s="1524"/>
      <c r="H87" s="1524"/>
      <c r="I87" s="1524"/>
      <c r="J87" s="1524"/>
      <c r="K87" s="1524"/>
      <c r="L87" s="1524"/>
      <c r="M87" s="1524"/>
      <c r="N87" s="1524"/>
      <c r="O87" s="1524"/>
      <c r="P87" s="1524"/>
      <c r="Q87" s="1524"/>
      <c r="R87" s="1524"/>
      <c r="S87" s="1524"/>
      <c r="T87" s="1524"/>
      <c r="U87" s="1524"/>
      <c r="V87" s="1524"/>
      <c r="W87" s="1524"/>
      <c r="X87" s="1524"/>
      <c r="Y87" s="1524"/>
      <c r="Z87" s="1524"/>
      <c r="AA87" s="1524"/>
      <c r="AB87" s="1524"/>
      <c r="AC87" s="1524"/>
      <c r="AD87" s="1524"/>
      <c r="AE87" s="1524"/>
      <c r="AF87" s="1524"/>
      <c r="AG87" s="1524"/>
      <c r="AH87" s="1524"/>
      <c r="AI87" s="1524"/>
      <c r="AJ87" s="1524"/>
      <c r="AK87" s="1524"/>
      <c r="AL87" s="1524"/>
      <c r="AM87" s="1524"/>
      <c r="AN87" s="1524"/>
      <c r="AO87" s="1524"/>
      <c r="AP87" s="1524"/>
      <c r="AQ87" s="1524"/>
      <c r="AR87" s="1524"/>
      <c r="AS87" s="1524"/>
      <c r="AT87" s="1524"/>
      <c r="AU87" s="20"/>
      <c r="AV87" s="20"/>
      <c r="AW87" s="20"/>
      <c r="AX87" s="20"/>
      <c r="AY87" s="20"/>
      <c r="AZ87" s="20"/>
      <c r="BD87" s="1181" t="s">
        <v>2497</v>
      </c>
      <c r="BE87" s="1183" t="str">
        <f>Application!O156</f>
        <v>337 Locust Street</v>
      </c>
    </row>
    <row r="88" spans="1:57" ht="13.0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2498</v>
      </c>
      <c r="BE88" s="1183" t="str">
        <f>Application!O157</f>
        <v>Santa Cruz</v>
      </c>
    </row>
    <row r="89" spans="1:57" ht="13.05" customHeight="1">
      <c r="A89" s="2035" t="s">
        <v>2116</v>
      </c>
      <c r="B89" s="2035"/>
      <c r="C89" s="2035"/>
      <c r="D89" s="2035"/>
      <c r="E89" s="2035"/>
      <c r="F89" s="2035"/>
      <c r="G89" s="2035"/>
      <c r="H89" s="2035"/>
      <c r="I89" s="2035"/>
      <c r="J89" s="2035"/>
      <c r="K89" s="2035"/>
      <c r="L89" s="2035"/>
      <c r="M89" s="2035"/>
      <c r="N89" s="2035"/>
      <c r="O89" s="2035"/>
      <c r="P89" s="2035"/>
      <c r="Q89" s="2035"/>
      <c r="R89" s="2035"/>
      <c r="S89" s="2035"/>
      <c r="T89" s="2035"/>
      <c r="U89" s="2035"/>
      <c r="V89" s="2035"/>
      <c r="W89" s="2035"/>
      <c r="X89" s="2035"/>
      <c r="Y89" s="2035"/>
      <c r="Z89" s="2035"/>
      <c r="AA89" s="2035"/>
      <c r="AB89" s="2035"/>
      <c r="AC89" s="2035"/>
      <c r="AD89" s="2035"/>
      <c r="AE89" s="2035"/>
      <c r="AF89" s="2035"/>
      <c r="AG89" s="2035"/>
      <c r="AH89" s="2035"/>
      <c r="AI89" s="2035"/>
      <c r="AJ89" s="2035"/>
      <c r="AK89" s="2035"/>
      <c r="AL89" s="2035"/>
      <c r="AM89" s="2035"/>
      <c r="AN89" s="2035"/>
      <c r="AO89" s="2035"/>
      <c r="AP89" s="2035"/>
      <c r="AQ89" s="2035"/>
      <c r="AR89" s="2035"/>
      <c r="AS89" s="2035"/>
      <c r="AT89" s="2035"/>
      <c r="AU89" s="17"/>
      <c r="AV89" s="17"/>
      <c r="AW89" s="17"/>
      <c r="AX89" s="17"/>
      <c r="AY89" s="17"/>
      <c r="AZ89" s="20"/>
      <c r="BD89" s="1181" t="s">
        <v>2499</v>
      </c>
      <c r="BE89" s="1183">
        <f>Application!O158</f>
        <v>95060</v>
      </c>
    </row>
    <row r="90" spans="1:57" ht="13.05" customHeight="1">
      <c r="A90" s="2035"/>
      <c r="B90" s="2035"/>
      <c r="C90" s="2035"/>
      <c r="D90" s="2035"/>
      <c r="E90" s="2035"/>
      <c r="F90" s="2035"/>
      <c r="G90" s="2035"/>
      <c r="H90" s="2035"/>
      <c r="I90" s="2035"/>
      <c r="J90" s="2035"/>
      <c r="K90" s="2035"/>
      <c r="L90" s="2035"/>
      <c r="M90" s="2035"/>
      <c r="N90" s="2035"/>
      <c r="O90" s="2035"/>
      <c r="P90" s="2035"/>
      <c r="Q90" s="2035"/>
      <c r="R90" s="2035"/>
      <c r="S90" s="2035"/>
      <c r="T90" s="2035"/>
      <c r="U90" s="2035"/>
      <c r="V90" s="2035"/>
      <c r="W90" s="2035"/>
      <c r="X90" s="2035"/>
      <c r="Y90" s="2035"/>
      <c r="Z90" s="2035"/>
      <c r="AA90" s="2035"/>
      <c r="AB90" s="2035"/>
      <c r="AC90" s="2035"/>
      <c r="AD90" s="2035"/>
      <c r="AE90" s="2035"/>
      <c r="AF90" s="2035"/>
      <c r="AG90" s="2035"/>
      <c r="AH90" s="2035"/>
      <c r="AI90" s="2035"/>
      <c r="AJ90" s="2035"/>
      <c r="AK90" s="2035"/>
      <c r="AL90" s="2035"/>
      <c r="AM90" s="2035"/>
      <c r="AN90" s="2035"/>
      <c r="AO90" s="2035"/>
      <c r="AP90" s="2035"/>
      <c r="AQ90" s="2035"/>
      <c r="AR90" s="2035"/>
      <c r="AS90" s="2035"/>
      <c r="AT90" s="2035"/>
      <c r="AU90" s="17"/>
      <c r="AV90" s="17"/>
      <c r="AW90" s="17"/>
      <c r="AX90" s="17"/>
      <c r="AY90" s="17"/>
      <c r="AZ90" s="20"/>
      <c r="BD90" s="1182" t="s">
        <v>2500</v>
      </c>
      <c r="BE90" s="1183" t="str">
        <f>Application!H16</f>
        <v>CRP Driftwood Flats LP</v>
      </c>
    </row>
    <row r="91" spans="1:57" ht="13.0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2501</v>
      </c>
      <c r="BE91" s="1183" t="str">
        <f>Application!M242</f>
        <v>122 E 42nd Street, suite 1903</v>
      </c>
    </row>
    <row r="92" spans="1:57" ht="13.05" customHeight="1">
      <c r="A92" s="2036" t="s">
        <v>2117</v>
      </c>
      <c r="B92" s="2036"/>
      <c r="C92" s="2036"/>
      <c r="D92" s="2036"/>
      <c r="E92" s="2036"/>
      <c r="F92" s="2036"/>
      <c r="G92" s="2036"/>
      <c r="H92" s="2036"/>
      <c r="I92" s="2036"/>
      <c r="J92" s="2036"/>
      <c r="K92" s="2036"/>
      <c r="L92" s="2036"/>
      <c r="M92" s="2036"/>
      <c r="N92" s="2036"/>
      <c r="O92" s="2036"/>
      <c r="P92" s="2036"/>
      <c r="Q92" s="2036"/>
      <c r="R92" s="2036"/>
      <c r="S92" s="2036"/>
      <c r="T92" s="2036"/>
      <c r="U92" s="2036"/>
      <c r="V92" s="2036"/>
      <c r="W92" s="2036"/>
      <c r="X92" s="2036"/>
      <c r="Y92" s="2036"/>
      <c r="Z92" s="2036"/>
      <c r="AA92" s="2036"/>
      <c r="AB92" s="2036"/>
      <c r="AC92" s="2036"/>
      <c r="AD92" s="2036"/>
      <c r="AE92" s="2036"/>
      <c r="AF92" s="2036"/>
      <c r="AG92" s="2036"/>
      <c r="AH92" s="2036"/>
      <c r="AI92" s="2036"/>
      <c r="AJ92" s="2036"/>
      <c r="AK92" s="2036"/>
      <c r="AL92" s="2036"/>
      <c r="AM92" s="2036"/>
      <c r="AN92" s="2036"/>
      <c r="AO92" s="2036"/>
      <c r="AP92" s="2036"/>
      <c r="AQ92" s="2036"/>
      <c r="AR92" s="2036"/>
      <c r="AS92" s="2036"/>
      <c r="AT92" s="2036"/>
      <c r="AU92" s="20"/>
      <c r="AV92" s="20"/>
      <c r="AW92" s="20"/>
      <c r="AX92" s="20"/>
      <c r="AY92" s="20"/>
      <c r="AZ92" s="20"/>
      <c r="BD92" s="1182" t="s">
        <v>2502</v>
      </c>
      <c r="BE92" s="1183" t="str">
        <f>Application!M243</f>
        <v>New York</v>
      </c>
    </row>
    <row r="93" spans="1:57" ht="13.05" customHeight="1">
      <c r="A93" s="2036"/>
      <c r="B93" s="2036"/>
      <c r="C93" s="2036"/>
      <c r="D93" s="2036"/>
      <c r="E93" s="2036"/>
      <c r="F93" s="2036"/>
      <c r="G93" s="2036"/>
      <c r="H93" s="2036"/>
      <c r="I93" s="2036"/>
      <c r="J93" s="2036"/>
      <c r="K93" s="2036"/>
      <c r="L93" s="2036"/>
      <c r="M93" s="2036"/>
      <c r="N93" s="2036"/>
      <c r="O93" s="2036"/>
      <c r="P93" s="2036"/>
      <c r="Q93" s="2036"/>
      <c r="R93" s="2036"/>
      <c r="S93" s="2036"/>
      <c r="T93" s="2036"/>
      <c r="U93" s="2036"/>
      <c r="V93" s="2036"/>
      <c r="W93" s="2036"/>
      <c r="X93" s="2036"/>
      <c r="Y93" s="2036"/>
      <c r="Z93" s="2036"/>
      <c r="AA93" s="2036"/>
      <c r="AB93" s="2036"/>
      <c r="AC93" s="2036"/>
      <c r="AD93" s="2036"/>
      <c r="AE93" s="2036"/>
      <c r="AF93" s="2036"/>
      <c r="AG93" s="2036"/>
      <c r="AH93" s="2036"/>
      <c r="AI93" s="2036"/>
      <c r="AJ93" s="2036"/>
      <c r="AK93" s="2036"/>
      <c r="AL93" s="2036"/>
      <c r="AM93" s="2036"/>
      <c r="AN93" s="2036"/>
      <c r="AO93" s="2036"/>
      <c r="AP93" s="2036"/>
      <c r="AQ93" s="2036"/>
      <c r="AR93" s="2036"/>
      <c r="AS93" s="2036"/>
      <c r="AT93" s="2036"/>
      <c r="AU93" s="20"/>
      <c r="AV93" s="20"/>
      <c r="AW93" s="20"/>
      <c r="AX93" s="20"/>
      <c r="AY93" s="20"/>
      <c r="AZ93" s="20"/>
      <c r="BD93" s="1181" t="s">
        <v>2503</v>
      </c>
      <c r="BE93" s="1183" t="str">
        <f>Application!W243</f>
        <v>NY</v>
      </c>
    </row>
    <row r="94" spans="1:57" ht="13.05" customHeight="1">
      <c r="A94" s="2036"/>
      <c r="B94" s="2036"/>
      <c r="C94" s="2036"/>
      <c r="D94" s="2036"/>
      <c r="E94" s="2036"/>
      <c r="F94" s="2036"/>
      <c r="G94" s="2036"/>
      <c r="H94" s="2036"/>
      <c r="I94" s="2036"/>
      <c r="J94" s="2036"/>
      <c r="K94" s="2036"/>
      <c r="L94" s="2036"/>
      <c r="M94" s="2036"/>
      <c r="N94" s="2036"/>
      <c r="O94" s="2036"/>
      <c r="P94" s="2036"/>
      <c r="Q94" s="2036"/>
      <c r="R94" s="2036"/>
      <c r="S94" s="2036"/>
      <c r="T94" s="2036"/>
      <c r="U94" s="2036"/>
      <c r="V94" s="2036"/>
      <c r="W94" s="2036"/>
      <c r="X94" s="2036"/>
      <c r="Y94" s="2036"/>
      <c r="Z94" s="2036"/>
      <c r="AA94" s="2036"/>
      <c r="AB94" s="2036"/>
      <c r="AC94" s="2036"/>
      <c r="AD94" s="2036"/>
      <c r="AE94" s="2036"/>
      <c r="AF94" s="2036"/>
      <c r="AG94" s="2036"/>
      <c r="AH94" s="2036"/>
      <c r="AI94" s="2036"/>
      <c r="AJ94" s="2036"/>
      <c r="AK94" s="2036"/>
      <c r="AL94" s="2036"/>
      <c r="AM94" s="2036"/>
      <c r="AN94" s="2036"/>
      <c r="AO94" s="2036"/>
      <c r="AP94" s="2036"/>
      <c r="AQ94" s="2036"/>
      <c r="AR94" s="2036"/>
      <c r="AS94" s="2036"/>
      <c r="AT94" s="2036"/>
      <c r="AU94" s="20"/>
      <c r="AV94" s="20"/>
      <c r="AW94" s="20"/>
      <c r="AX94" s="20"/>
      <c r="AY94" s="20"/>
      <c r="AZ94" s="20"/>
      <c r="BD94" s="1182" t="s">
        <v>2504</v>
      </c>
      <c r="BE94" s="1183">
        <f>Application!AC243</f>
        <v>10168</v>
      </c>
    </row>
    <row r="95" spans="1:57" ht="13.05" customHeight="1">
      <c r="A95" s="2036"/>
      <c r="B95" s="2036"/>
      <c r="C95" s="2036"/>
      <c r="D95" s="2036"/>
      <c r="E95" s="2036"/>
      <c r="F95" s="2036"/>
      <c r="G95" s="2036"/>
      <c r="H95" s="2036"/>
      <c r="I95" s="2036"/>
      <c r="J95" s="2036"/>
      <c r="K95" s="2036"/>
      <c r="L95" s="2036"/>
      <c r="M95" s="2036"/>
      <c r="N95" s="2036"/>
      <c r="O95" s="2036"/>
      <c r="P95" s="2036"/>
      <c r="Q95" s="2036"/>
      <c r="R95" s="2036"/>
      <c r="S95" s="2036"/>
      <c r="T95" s="2036"/>
      <c r="U95" s="2036"/>
      <c r="V95" s="2036"/>
      <c r="W95" s="2036"/>
      <c r="X95" s="2036"/>
      <c r="Y95" s="2036"/>
      <c r="Z95" s="2036"/>
      <c r="AA95" s="2036"/>
      <c r="AB95" s="2036"/>
      <c r="AC95" s="2036"/>
      <c r="AD95" s="2036"/>
      <c r="AE95" s="2036"/>
      <c r="AF95" s="2036"/>
      <c r="AG95" s="2036"/>
      <c r="AH95" s="2036"/>
      <c r="AI95" s="2036"/>
      <c r="AJ95" s="2036"/>
      <c r="AK95" s="2036"/>
      <c r="AL95" s="2036"/>
      <c r="AM95" s="2036"/>
      <c r="AN95" s="2036"/>
      <c r="AO95" s="2036"/>
      <c r="AP95" s="2036"/>
      <c r="AQ95" s="2036"/>
      <c r="AR95" s="2036"/>
      <c r="AS95" s="2036"/>
      <c r="AT95" s="2036"/>
      <c r="AU95" s="20"/>
      <c r="AV95" s="20"/>
      <c r="AW95" s="20"/>
      <c r="AX95" s="20"/>
      <c r="AY95" s="20"/>
      <c r="AZ95" s="20"/>
      <c r="BD95" s="1181" t="s">
        <v>2505</v>
      </c>
      <c r="BE95" s="1183" t="str">
        <f>Application!M244</f>
        <v>Paul Salib</v>
      </c>
    </row>
    <row r="96" spans="1:57" ht="13.05" customHeight="1">
      <c r="A96" s="2036"/>
      <c r="B96" s="2036"/>
      <c r="C96" s="2036"/>
      <c r="D96" s="2036"/>
      <c r="E96" s="2036"/>
      <c r="F96" s="2036"/>
      <c r="G96" s="2036"/>
      <c r="H96" s="2036"/>
      <c r="I96" s="2036"/>
      <c r="J96" s="2036"/>
      <c r="K96" s="2036"/>
      <c r="L96" s="2036"/>
      <c r="M96" s="2036"/>
      <c r="N96" s="2036"/>
      <c r="O96" s="2036"/>
      <c r="P96" s="2036"/>
      <c r="Q96" s="2036"/>
      <c r="R96" s="2036"/>
      <c r="S96" s="2036"/>
      <c r="T96" s="2036"/>
      <c r="U96" s="2036"/>
      <c r="V96" s="2036"/>
      <c r="W96" s="2036"/>
      <c r="X96" s="2036"/>
      <c r="Y96" s="2036"/>
      <c r="Z96" s="2036"/>
      <c r="AA96" s="2036"/>
      <c r="AB96" s="2036"/>
      <c r="AC96" s="2036"/>
      <c r="AD96" s="2036"/>
      <c r="AE96" s="2036"/>
      <c r="AF96" s="2036"/>
      <c r="AG96" s="2036"/>
      <c r="AH96" s="2036"/>
      <c r="AI96" s="2036"/>
      <c r="AJ96" s="2036"/>
      <c r="AK96" s="2036"/>
      <c r="AL96" s="2036"/>
      <c r="AM96" s="2036"/>
      <c r="AN96" s="2036"/>
      <c r="AO96" s="2036"/>
      <c r="AP96" s="2036"/>
      <c r="AQ96" s="2036"/>
      <c r="AR96" s="2036"/>
      <c r="AS96" s="2036"/>
      <c r="AT96" s="2036"/>
      <c r="AU96" s="20"/>
      <c r="AV96" s="20"/>
      <c r="AW96" s="20"/>
      <c r="AX96" s="20"/>
      <c r="AY96" s="20"/>
      <c r="AZ96" s="20"/>
      <c r="BD96" s="1182" t="s">
        <v>2506</v>
      </c>
      <c r="BE96" s="1183" t="str">
        <f>Application!M246</f>
        <v>psalib@crpaffordable.com</v>
      </c>
    </row>
    <row r="97" spans="1:57" ht="13.05" customHeight="1">
      <c r="A97" s="2036"/>
      <c r="B97" s="2036"/>
      <c r="C97" s="2036"/>
      <c r="D97" s="2036"/>
      <c r="E97" s="2036"/>
      <c r="F97" s="2036"/>
      <c r="G97" s="2036"/>
      <c r="H97" s="2036"/>
      <c r="I97" s="2036"/>
      <c r="J97" s="2036"/>
      <c r="K97" s="2036"/>
      <c r="L97" s="2036"/>
      <c r="M97" s="2036"/>
      <c r="N97" s="2036"/>
      <c r="O97" s="2036"/>
      <c r="P97" s="2036"/>
      <c r="Q97" s="2036"/>
      <c r="R97" s="2036"/>
      <c r="S97" s="2036"/>
      <c r="T97" s="2036"/>
      <c r="U97" s="2036"/>
      <c r="V97" s="2036"/>
      <c r="W97" s="2036"/>
      <c r="X97" s="2036"/>
      <c r="Y97" s="2036"/>
      <c r="Z97" s="2036"/>
      <c r="AA97" s="2036"/>
      <c r="AB97" s="2036"/>
      <c r="AC97" s="2036"/>
      <c r="AD97" s="2036"/>
      <c r="AE97" s="2036"/>
      <c r="AF97" s="2036"/>
      <c r="AG97" s="2036"/>
      <c r="AH97" s="2036"/>
      <c r="AI97" s="2036"/>
      <c r="AJ97" s="2036"/>
      <c r="AK97" s="2036"/>
      <c r="AL97" s="2036"/>
      <c r="AM97" s="2036"/>
      <c r="AN97" s="2036"/>
      <c r="AO97" s="2036"/>
      <c r="AP97" s="2036"/>
      <c r="AQ97" s="2036"/>
      <c r="AR97" s="2036"/>
      <c r="AS97" s="2036"/>
      <c r="AT97" s="2036"/>
      <c r="AU97" s="20"/>
      <c r="AV97" s="20"/>
      <c r="AW97" s="20"/>
      <c r="AX97" s="20"/>
      <c r="AY97" s="20"/>
      <c r="AZ97" s="20"/>
      <c r="BD97" s="1181" t="s">
        <v>2507</v>
      </c>
      <c r="BE97" s="1183" t="str">
        <f>Application!M257</f>
        <v>david@crdc.org</v>
      </c>
    </row>
    <row r="98" spans="1:57" ht="13.05" customHeight="1">
      <c r="A98" s="2036"/>
      <c r="B98" s="2036"/>
      <c r="C98" s="2036"/>
      <c r="D98" s="2036"/>
      <c r="E98" s="2036"/>
      <c r="F98" s="2036"/>
      <c r="G98" s="2036"/>
      <c r="H98" s="2036"/>
      <c r="I98" s="2036"/>
      <c r="J98" s="2036"/>
      <c r="K98" s="2036"/>
      <c r="L98" s="2036"/>
      <c r="M98" s="2036"/>
      <c r="N98" s="2036"/>
      <c r="O98" s="2036"/>
      <c r="P98" s="2036"/>
      <c r="Q98" s="2036"/>
      <c r="R98" s="2036"/>
      <c r="S98" s="2036"/>
      <c r="T98" s="2036"/>
      <c r="U98" s="2036"/>
      <c r="V98" s="2036"/>
      <c r="W98" s="2036"/>
      <c r="X98" s="2036"/>
      <c r="Y98" s="2036"/>
      <c r="Z98" s="2036"/>
      <c r="AA98" s="2036"/>
      <c r="AB98" s="2036"/>
      <c r="AC98" s="2036"/>
      <c r="AD98" s="2036"/>
      <c r="AE98" s="2036"/>
      <c r="AF98" s="2036"/>
      <c r="AG98" s="2036"/>
      <c r="AH98" s="2036"/>
      <c r="AI98" s="2036"/>
      <c r="AJ98" s="2036"/>
      <c r="AK98" s="2036"/>
      <c r="AL98" s="2036"/>
      <c r="AM98" s="2036"/>
      <c r="AN98" s="2036"/>
      <c r="AO98" s="2036"/>
      <c r="AP98" s="2036"/>
      <c r="AQ98" s="2036"/>
      <c r="AR98" s="2036"/>
      <c r="AS98" s="2036"/>
      <c r="AT98" s="2036"/>
      <c r="AU98" s="20"/>
      <c r="AV98" s="20"/>
      <c r="AW98" s="20"/>
      <c r="AX98" s="20"/>
      <c r="AY98" s="20"/>
      <c r="AZ98" s="20"/>
      <c r="BD98" s="1182" t="s">
        <v>2508</v>
      </c>
      <c r="BE98" s="1183" t="str">
        <f>Application!M265</f>
        <v>psalib@crpaffordable.com</v>
      </c>
    </row>
    <row r="99" spans="1:57" ht="13.0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2509</v>
      </c>
      <c r="BE99" s="1183">
        <f>Application!M273</f>
        <v>0</v>
      </c>
    </row>
    <row r="100" spans="1:57" ht="13.05" customHeight="1">
      <c r="A100" s="2037" t="s">
        <v>2118</v>
      </c>
      <c r="B100" s="2037"/>
      <c r="C100" s="2037"/>
      <c r="D100" s="2037"/>
      <c r="E100" s="2037"/>
      <c r="F100" s="2037"/>
      <c r="G100" s="2037"/>
      <c r="H100" s="2037"/>
      <c r="I100" s="2037"/>
      <c r="J100" s="2037"/>
      <c r="K100" s="2037"/>
      <c r="L100" s="2037"/>
      <c r="M100" s="2037"/>
      <c r="N100" s="2037"/>
      <c r="O100" s="2037"/>
      <c r="P100" s="2037"/>
      <c r="Q100" s="2037"/>
      <c r="R100" s="2037"/>
      <c r="S100" s="2037"/>
      <c r="T100" s="2037"/>
      <c r="U100" s="2037"/>
      <c r="V100" s="2037"/>
      <c r="W100" s="2037"/>
      <c r="X100" s="2037"/>
      <c r="Y100" s="2037"/>
      <c r="Z100" s="2037"/>
      <c r="AA100" s="2037"/>
      <c r="AB100" s="2037"/>
      <c r="AC100" s="2037"/>
      <c r="AD100" s="2037"/>
      <c r="AE100" s="2037"/>
      <c r="AF100" s="2037"/>
      <c r="AG100" s="2037"/>
      <c r="AH100" s="2037"/>
      <c r="AI100" s="2037"/>
      <c r="AJ100" s="2037"/>
      <c r="AK100" s="2037"/>
      <c r="AL100" s="2037"/>
      <c r="AM100" s="2037"/>
      <c r="AN100" s="2037"/>
      <c r="AO100" s="2037"/>
      <c r="AP100" s="2037"/>
      <c r="AQ100" s="2037"/>
      <c r="AR100" s="2037"/>
      <c r="AS100" s="2037"/>
      <c r="AT100" s="2037"/>
      <c r="AU100" s="20"/>
      <c r="AV100" s="20"/>
      <c r="AW100" s="20"/>
      <c r="AX100" s="20"/>
      <c r="AY100" s="20"/>
      <c r="AZ100" s="20"/>
      <c r="BD100" s="1182" t="s">
        <v>2510</v>
      </c>
      <c r="BE100" s="1183" t="str">
        <f>Application!L288</f>
        <v>ssterneck@crpaffordable.com</v>
      </c>
    </row>
    <row r="101" spans="1:57" ht="13.05" customHeight="1">
      <c r="A101" s="2037"/>
      <c r="B101" s="2037"/>
      <c r="C101" s="2037"/>
      <c r="D101" s="2037"/>
      <c r="E101" s="2037"/>
      <c r="F101" s="2037"/>
      <c r="G101" s="2037"/>
      <c r="H101" s="2037"/>
      <c r="I101" s="2037"/>
      <c r="J101" s="2037"/>
      <c r="K101" s="2037"/>
      <c r="L101" s="2037"/>
      <c r="M101" s="2037"/>
      <c r="N101" s="2037"/>
      <c r="O101" s="2037"/>
      <c r="P101" s="2037"/>
      <c r="Q101" s="2037"/>
      <c r="R101" s="2037"/>
      <c r="S101" s="2037"/>
      <c r="T101" s="2037"/>
      <c r="U101" s="2037"/>
      <c r="V101" s="2037"/>
      <c r="W101" s="2037"/>
      <c r="X101" s="2037"/>
      <c r="Y101" s="2037"/>
      <c r="Z101" s="2037"/>
      <c r="AA101" s="2037"/>
      <c r="AB101" s="2037"/>
      <c r="AC101" s="2037"/>
      <c r="AD101" s="2037"/>
      <c r="AE101" s="2037"/>
      <c r="AF101" s="2037"/>
      <c r="AG101" s="2037"/>
      <c r="AH101" s="2037"/>
      <c r="AI101" s="2037"/>
      <c r="AJ101" s="2037"/>
      <c r="AK101" s="2037"/>
      <c r="AL101" s="2037"/>
      <c r="AM101" s="2037"/>
      <c r="AN101" s="2037"/>
      <c r="AO101" s="2037"/>
      <c r="AP101" s="2037"/>
      <c r="AQ101" s="2037"/>
      <c r="AR101" s="2037"/>
      <c r="AS101" s="2037"/>
      <c r="AT101" s="2037"/>
      <c r="AU101" s="20"/>
      <c r="AV101" s="20"/>
      <c r="AW101" s="20"/>
      <c r="AX101" s="20"/>
      <c r="AY101" s="20"/>
      <c r="AZ101" s="20"/>
      <c r="BD101" s="3" t="s">
        <v>2515</v>
      </c>
      <c r="BE101">
        <f>'Sources and Uses Budget'!C105</f>
        <v>79606911</v>
      </c>
    </row>
    <row r="102" spans="1:57" ht="13.05" customHeight="1">
      <c r="A102" s="2037"/>
      <c r="B102" s="2037"/>
      <c r="C102" s="2037"/>
      <c r="D102" s="2037"/>
      <c r="E102" s="2037"/>
      <c r="F102" s="2037"/>
      <c r="G102" s="2037"/>
      <c r="H102" s="2037"/>
      <c r="I102" s="2037"/>
      <c r="J102" s="2037"/>
      <c r="K102" s="2037"/>
      <c r="L102" s="2037"/>
      <c r="M102" s="2037"/>
      <c r="N102" s="2037"/>
      <c r="O102" s="2037"/>
      <c r="P102" s="2037"/>
      <c r="Q102" s="2037"/>
      <c r="R102" s="2037"/>
      <c r="S102" s="2037"/>
      <c r="T102" s="2037"/>
      <c r="U102" s="2037"/>
      <c r="V102" s="2037"/>
      <c r="W102" s="2037"/>
      <c r="X102" s="2037"/>
      <c r="Y102" s="2037"/>
      <c r="Z102" s="2037"/>
      <c r="AA102" s="2037"/>
      <c r="AB102" s="2037"/>
      <c r="AC102" s="2037"/>
      <c r="AD102" s="2037"/>
      <c r="AE102" s="2037"/>
      <c r="AF102" s="2037"/>
      <c r="AG102" s="2037"/>
      <c r="AH102" s="2037"/>
      <c r="AI102" s="2037"/>
      <c r="AJ102" s="2037"/>
      <c r="AK102" s="2037"/>
      <c r="AL102" s="2037"/>
      <c r="AM102" s="2037"/>
      <c r="AN102" s="2037"/>
      <c r="AO102" s="2037"/>
      <c r="AP102" s="2037"/>
      <c r="AQ102" s="2037"/>
      <c r="AR102" s="2037"/>
      <c r="AS102" s="2037"/>
      <c r="AT102" s="2037"/>
      <c r="AU102" s="20"/>
      <c r="AV102" s="20"/>
      <c r="AW102" s="20"/>
      <c r="AX102" s="20"/>
      <c r="AY102" s="20"/>
      <c r="AZ102" s="20"/>
      <c r="BD102" s="3" t="s">
        <v>2516</v>
      </c>
      <c r="BE102" t="b">
        <f>T197="Yes"</f>
        <v>0</v>
      </c>
    </row>
    <row r="103" spans="1:57" ht="13.05" customHeight="1">
      <c r="A103" s="2037"/>
      <c r="B103" s="2037"/>
      <c r="C103" s="2037"/>
      <c r="D103" s="2037"/>
      <c r="E103" s="2037"/>
      <c r="F103" s="2037"/>
      <c r="G103" s="2037"/>
      <c r="H103" s="2037"/>
      <c r="I103" s="2037"/>
      <c r="J103" s="2037"/>
      <c r="K103" s="2037"/>
      <c r="L103" s="2037"/>
      <c r="M103" s="2037"/>
      <c r="N103" s="2037"/>
      <c r="O103" s="2037"/>
      <c r="P103" s="2037"/>
      <c r="Q103" s="2037"/>
      <c r="R103" s="2037"/>
      <c r="S103" s="2037"/>
      <c r="T103" s="2037"/>
      <c r="U103" s="2037"/>
      <c r="V103" s="2037"/>
      <c r="W103" s="2037"/>
      <c r="X103" s="2037"/>
      <c r="Y103" s="2037"/>
      <c r="Z103" s="2037"/>
      <c r="AA103" s="2037"/>
      <c r="AB103" s="2037"/>
      <c r="AC103" s="2037"/>
      <c r="AD103" s="2037"/>
      <c r="AE103" s="2037"/>
      <c r="AF103" s="2037"/>
      <c r="AG103" s="2037"/>
      <c r="AH103" s="2037"/>
      <c r="AI103" s="2037"/>
      <c r="AJ103" s="2037"/>
      <c r="AK103" s="2037"/>
      <c r="AL103" s="2037"/>
      <c r="AM103" s="2037"/>
      <c r="AN103" s="2037"/>
      <c r="AO103" s="2037"/>
      <c r="AP103" s="2037"/>
      <c r="AQ103" s="2037"/>
      <c r="AR103" s="2037"/>
      <c r="AS103" s="2037"/>
      <c r="AT103" s="2037"/>
      <c r="AU103" s="20"/>
      <c r="AV103" s="20"/>
      <c r="AW103" s="20"/>
      <c r="AX103" s="20"/>
      <c r="AY103" s="20"/>
      <c r="BD103" t="s">
        <v>2128</v>
      </c>
      <c r="BE103" s="1183" t="b">
        <f>T199="Yes"</f>
        <v>0</v>
      </c>
    </row>
    <row r="104" spans="1:57" ht="13.0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2527</v>
      </c>
      <c r="BE104" s="1183" t="b">
        <f>T200="Yes"</f>
        <v>0</v>
      </c>
    </row>
    <row r="105" spans="1:57" ht="13.05" customHeight="1">
      <c r="A105" s="2037" t="s">
        <v>2119</v>
      </c>
      <c r="B105" s="2037"/>
      <c r="C105" s="2037"/>
      <c r="D105" s="2037"/>
      <c r="E105" s="2037"/>
      <c r="F105" s="2037"/>
      <c r="G105" s="2037"/>
      <c r="H105" s="2037"/>
      <c r="I105" s="2037"/>
      <c r="J105" s="2037"/>
      <c r="K105" s="2037"/>
      <c r="L105" s="2037"/>
      <c r="M105" s="2037"/>
      <c r="N105" s="2037"/>
      <c r="O105" s="2037"/>
      <c r="P105" s="2037"/>
      <c r="Q105" s="2037"/>
      <c r="R105" s="2037"/>
      <c r="S105" s="2037"/>
      <c r="T105" s="2037"/>
      <c r="U105" s="2037"/>
      <c r="V105" s="2037"/>
      <c r="W105" s="2037"/>
      <c r="X105" s="2037"/>
      <c r="Y105" s="2037"/>
      <c r="Z105" s="2037"/>
      <c r="AA105" s="2037"/>
      <c r="AB105" s="2037"/>
      <c r="AC105" s="2037"/>
      <c r="AD105" s="2037"/>
      <c r="AE105" s="2037"/>
      <c r="AF105" s="2037"/>
      <c r="AG105" s="2037"/>
      <c r="AH105" s="2037"/>
      <c r="AI105" s="2037"/>
      <c r="AJ105" s="2037"/>
      <c r="AK105" s="2037"/>
      <c r="AL105" s="2037"/>
      <c r="AM105" s="2037"/>
      <c r="AN105" s="2037"/>
      <c r="AO105" s="2037"/>
      <c r="AP105" s="2037"/>
      <c r="AQ105" s="2037"/>
      <c r="AR105" s="2037"/>
      <c r="AS105" s="2037"/>
      <c r="AT105" s="2037"/>
      <c r="AU105" s="20"/>
      <c r="AV105" s="20"/>
      <c r="AW105" s="20"/>
      <c r="AX105" s="20"/>
      <c r="AY105" s="20"/>
      <c r="BD105" s="3" t="s">
        <v>2532</v>
      </c>
      <c r="BE105" s="1183" t="b">
        <f>V224="Yes"</f>
        <v>0</v>
      </c>
    </row>
    <row r="106" spans="1:57" ht="13.05" customHeight="1">
      <c r="A106" s="2037"/>
      <c r="B106" s="2037"/>
      <c r="C106" s="2037"/>
      <c r="D106" s="2037"/>
      <c r="E106" s="2037"/>
      <c r="F106" s="2037"/>
      <c r="G106" s="2037"/>
      <c r="H106" s="2037"/>
      <c r="I106" s="2037"/>
      <c r="J106" s="2037"/>
      <c r="K106" s="2037"/>
      <c r="L106" s="2037"/>
      <c r="M106" s="2037"/>
      <c r="N106" s="2037"/>
      <c r="O106" s="2037"/>
      <c r="P106" s="2037"/>
      <c r="Q106" s="2037"/>
      <c r="R106" s="2037"/>
      <c r="S106" s="2037"/>
      <c r="T106" s="2037"/>
      <c r="U106" s="2037"/>
      <c r="V106" s="2037"/>
      <c r="W106" s="2037"/>
      <c r="X106" s="2037"/>
      <c r="Y106" s="2037"/>
      <c r="Z106" s="2037"/>
      <c r="AA106" s="2037"/>
      <c r="AB106" s="2037"/>
      <c r="AC106" s="2037"/>
      <c r="AD106" s="2037"/>
      <c r="AE106" s="2037"/>
      <c r="AF106" s="2037"/>
      <c r="AG106" s="2037"/>
      <c r="AH106" s="2037"/>
      <c r="AI106" s="2037"/>
      <c r="AJ106" s="2037"/>
      <c r="AK106" s="2037"/>
      <c r="AL106" s="2037"/>
      <c r="AM106" s="2037"/>
      <c r="AN106" s="2037"/>
      <c r="AO106" s="2037"/>
      <c r="AP106" s="2037"/>
      <c r="AQ106" s="2037"/>
      <c r="AR106" s="2037"/>
      <c r="AS106" s="2037"/>
      <c r="AT106" s="2037"/>
      <c r="AU106" s="20"/>
      <c r="AV106" s="20"/>
      <c r="AW106" s="20"/>
      <c r="AX106" s="20"/>
      <c r="AY106" s="20"/>
      <c r="BD106" s="3" t="s">
        <v>2533</v>
      </c>
      <c r="BE106" s="1183" t="b">
        <f t="shared" ref="BE106:BE110" si="0">V225="Yes"</f>
        <v>0</v>
      </c>
    </row>
    <row r="107" spans="1:57" ht="13.0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2534</v>
      </c>
      <c r="BE107" s="1183" t="b">
        <f t="shared" si="0"/>
        <v>0</v>
      </c>
    </row>
    <row r="108" spans="1:57" ht="13.05" customHeight="1">
      <c r="A108" s="517" t="s">
        <v>2120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2535</v>
      </c>
      <c r="BE108" s="1183" t="b">
        <f t="shared" si="0"/>
        <v>0</v>
      </c>
    </row>
    <row r="109" spans="1:57" ht="13.0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2536</v>
      </c>
      <c r="BE109" s="1183" t="b">
        <f t="shared" si="0"/>
        <v>0</v>
      </c>
    </row>
    <row r="110" spans="1:57" ht="13.0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2537</v>
      </c>
      <c r="BE110" s="1183" t="b">
        <f t="shared" si="0"/>
        <v>1</v>
      </c>
    </row>
    <row r="111" spans="1:57" ht="13.0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0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05" customHeight="1">
      <c r="A113" s="289"/>
      <c r="C113" s="3" t="s">
        <v>181</v>
      </c>
      <c r="G113" s="2038">
        <v>8</v>
      </c>
      <c r="H113" s="2038"/>
      <c r="I113" s="3" t="s">
        <v>182</v>
      </c>
      <c r="L113" s="2038" t="s">
        <v>2792</v>
      </c>
      <c r="M113" s="2038"/>
      <c r="N113" s="2038"/>
      <c r="O113" s="2038"/>
      <c r="P113" s="2044" t="s">
        <v>2596</v>
      </c>
      <c r="Q113" s="2044"/>
      <c r="R113" s="2044"/>
      <c r="S113" s="204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0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05" customHeight="1">
      <c r="A115" s="91"/>
      <c r="C115" s="2051" t="s">
        <v>729</v>
      </c>
      <c r="D115" s="2051"/>
      <c r="E115" s="2051"/>
      <c r="F115" s="2051"/>
      <c r="G115" s="2051"/>
      <c r="H115" s="2051"/>
      <c r="I115" s="2051"/>
      <c r="J115" s="2051"/>
      <c r="K115" s="2051"/>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0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05" customHeight="1">
      <c r="A117" s="91"/>
      <c r="B117" s="22"/>
      <c r="C117" s="22"/>
      <c r="X117" s="3" t="s">
        <v>628</v>
      </c>
      <c r="Y117" s="2038"/>
      <c r="Z117" s="2038"/>
      <c r="AA117" s="2038"/>
      <c r="AB117" s="2038"/>
      <c r="AC117" s="2038"/>
      <c r="AD117" s="2038"/>
      <c r="AE117" s="2038"/>
      <c r="AF117" s="2038"/>
      <c r="AG117" s="2038"/>
      <c r="AH117" s="2038"/>
      <c r="AI117" s="2038"/>
      <c r="AJ117" s="2038"/>
      <c r="AK117" s="2038"/>
    </row>
    <row r="118" spans="1:117" ht="13.05" customHeight="1">
      <c r="X118" s="3"/>
      <c r="Y118" s="3"/>
      <c r="Z118" s="3" t="s">
        <v>629</v>
      </c>
      <c r="AA118" s="3"/>
      <c r="AB118" s="3"/>
      <c r="AC118" s="3"/>
      <c r="AD118" s="3"/>
      <c r="AE118" s="3"/>
      <c r="AF118" s="3"/>
      <c r="AG118" s="3"/>
      <c r="AH118" s="3"/>
      <c r="AI118" s="3"/>
      <c r="AJ118" s="3"/>
      <c r="AK118" s="3"/>
    </row>
    <row r="119" spans="1:117" ht="13.0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05" customHeight="1">
      <c r="A120" s="91"/>
      <c r="B120" s="3"/>
      <c r="P120" s="3"/>
      <c r="Q120" s="3"/>
      <c r="R120" s="3"/>
      <c r="S120" s="3"/>
      <c r="T120" s="3"/>
      <c r="U120" s="3"/>
      <c r="V120" s="3"/>
      <c r="W120" s="3"/>
      <c r="X120" s="3"/>
      <c r="Y120" s="2038" t="s">
        <v>2651</v>
      </c>
      <c r="Z120" s="2038"/>
      <c r="AA120" s="2038"/>
      <c r="AB120" s="2038"/>
      <c r="AC120" s="2038"/>
      <c r="AD120" s="2038"/>
      <c r="AE120" s="2038"/>
      <c r="AF120" s="2038"/>
      <c r="AG120" s="2038"/>
      <c r="AH120" s="2038"/>
      <c r="AI120" s="2038"/>
      <c r="AJ120" s="2038"/>
      <c r="AK120" s="2038"/>
      <c r="AL120" s="3"/>
      <c r="AM120" s="3"/>
      <c r="AN120" s="3"/>
      <c r="AO120" s="3"/>
      <c r="AP120" s="3"/>
      <c r="AQ120" s="3"/>
      <c r="AR120" s="3"/>
      <c r="AS120" s="3"/>
      <c r="AT120" s="3"/>
      <c r="AU120" s="3"/>
      <c r="AV120" s="3"/>
      <c r="AW120" s="3"/>
      <c r="AX120" s="3"/>
      <c r="AY120" s="3"/>
    </row>
    <row r="121" spans="1:117" ht="13.0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0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941" t="s">
        <v>469</v>
      </c>
      <c r="CV122" s="1942"/>
      <c r="CW122" s="14"/>
      <c r="CX122" s="14" t="s">
        <v>634</v>
      </c>
      <c r="CY122" s="14"/>
      <c r="CZ122" s="14"/>
      <c r="DA122" s="14"/>
      <c r="DB122" s="14"/>
      <c r="DC122" s="14"/>
      <c r="DD122" s="14"/>
      <c r="DE122" s="14"/>
      <c r="DF122" s="14"/>
      <c r="DG122" s="1938" t="str">
        <f>T189</f>
        <v>Santa Cruz</v>
      </c>
      <c r="DH122" s="1939"/>
      <c r="DI122" s="1939"/>
      <c r="DJ122" s="1939"/>
      <c r="DK122" s="1939"/>
      <c r="DL122" s="1939"/>
      <c r="DM122" s="1940"/>
    </row>
    <row r="123" spans="1:117" ht="13.05" customHeight="1">
      <c r="A123" s="3"/>
      <c r="B123" s="3"/>
      <c r="T123" s="3"/>
      <c r="U123" s="3"/>
      <c r="V123" s="3"/>
      <c r="W123" s="3"/>
      <c r="X123" s="3"/>
      <c r="Y123" s="2038" t="s">
        <v>2717</v>
      </c>
      <c r="Z123" s="2038"/>
      <c r="AA123" s="2038"/>
      <c r="AB123" s="2038"/>
      <c r="AC123" s="2038"/>
      <c r="AD123" s="2038"/>
      <c r="AE123" s="2038"/>
      <c r="AF123" s="2038"/>
      <c r="AG123" s="2038"/>
      <c r="AH123" s="2038"/>
      <c r="AI123" s="2038"/>
      <c r="AJ123" s="2038"/>
      <c r="AK123" s="2038"/>
      <c r="AL123" s="3"/>
      <c r="AM123" s="3"/>
      <c r="AN123" s="3"/>
      <c r="AO123" s="3"/>
      <c r="AP123" s="3"/>
      <c r="AQ123" s="3"/>
      <c r="AR123" s="3"/>
      <c r="AS123" s="3"/>
      <c r="AT123" s="3"/>
      <c r="AU123" s="3"/>
      <c r="AV123" s="3"/>
      <c r="AW123" s="3"/>
      <c r="AX123" s="3"/>
      <c r="AY123" s="3"/>
      <c r="DJ123" s="3"/>
      <c r="DK123" s="3"/>
      <c r="DL123" s="3"/>
      <c r="DM123" s="3"/>
    </row>
    <row r="124" spans="1:117" ht="13.0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0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0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0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05" customHeight="1">
      <c r="A128" s="354"/>
      <c r="AL128" s="354"/>
      <c r="AM128" s="354"/>
      <c r="AN128" s="354"/>
      <c r="AO128" s="354"/>
      <c r="AP128" s="354"/>
      <c r="AQ128" s="354"/>
      <c r="AR128" s="354"/>
      <c r="AS128" s="354"/>
      <c r="AT128" s="354"/>
      <c r="AU128" s="354"/>
      <c r="AV128" s="354"/>
      <c r="AW128" s="354"/>
      <c r="AX128" s="354"/>
      <c r="AY128" s="354"/>
    </row>
    <row r="129" spans="1:51" ht="13.0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0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05" customHeight="1">
      <c r="A131" s="3"/>
      <c r="AL131" s="3"/>
      <c r="AM131" s="3"/>
      <c r="AN131" s="3"/>
      <c r="AO131" s="3"/>
      <c r="AP131" s="3"/>
      <c r="AQ131" s="3"/>
      <c r="AR131" s="3"/>
      <c r="AS131" s="3"/>
      <c r="AT131" s="3"/>
      <c r="AU131" s="3"/>
      <c r="AV131" s="3"/>
      <c r="AW131" s="3"/>
      <c r="AX131" s="3"/>
      <c r="AY131" s="3"/>
    </row>
    <row r="132" spans="1:51" ht="13.0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05" customHeight="1">
      <c r="A133" s="3"/>
      <c r="W133" s="3"/>
      <c r="AL133" s="3"/>
      <c r="AM133" s="3"/>
      <c r="AN133" s="3"/>
      <c r="AO133" s="3"/>
      <c r="AP133" s="3"/>
      <c r="AQ133" s="3"/>
      <c r="AR133" s="3"/>
      <c r="AS133" s="3"/>
      <c r="AT133" s="3"/>
      <c r="AU133" s="3"/>
      <c r="AV133" s="3"/>
      <c r="AW133" s="3"/>
      <c r="AX133" s="3"/>
      <c r="AY133" s="3"/>
    </row>
    <row r="134" spans="1:51" ht="13.0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05" customHeight="1">
      <c r="A135" s="3"/>
      <c r="M135" s="3"/>
      <c r="N135" s="3"/>
      <c r="O135" s="3"/>
      <c r="AK135" s="3"/>
      <c r="AL135" s="3"/>
      <c r="AM135" s="3"/>
      <c r="AN135" s="3"/>
      <c r="AO135" s="3"/>
      <c r="AP135" s="3"/>
      <c r="AQ135" s="3"/>
      <c r="AR135" s="3"/>
      <c r="AS135" s="3"/>
      <c r="AT135" s="3"/>
      <c r="AU135" s="3"/>
      <c r="AV135" s="3"/>
      <c r="AW135" s="3"/>
      <c r="AX135" s="3"/>
      <c r="AY135" s="3"/>
    </row>
    <row r="136" spans="1:51" ht="13.0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0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0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0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0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0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0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0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0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0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0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0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0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0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05" customHeight="1">
      <c r="A150" s="3"/>
      <c r="B150" s="3"/>
      <c r="D150" s="3"/>
      <c r="E150" s="3"/>
      <c r="F150" s="1601"/>
      <c r="G150" s="1601"/>
      <c r="H150" s="1601"/>
      <c r="I150" s="1601"/>
      <c r="J150" s="1601"/>
      <c r="K150" s="1601"/>
      <c r="L150" s="1601"/>
      <c r="M150" s="1601"/>
      <c r="N150" s="1601"/>
      <c r="O150" s="1601"/>
      <c r="P150" s="1601"/>
      <c r="Q150" s="1601"/>
      <c r="R150" s="1601"/>
      <c r="S150" s="1601"/>
      <c r="T150" s="160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0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2386</v>
      </c>
    </row>
    <row r="152" spans="1:108" ht="13.05" customHeight="1">
      <c r="BM152">
        <v>4</v>
      </c>
      <c r="BN152" s="3" t="s">
        <v>2385</v>
      </c>
    </row>
    <row r="153" spans="1:108" ht="13.05" customHeight="1">
      <c r="D153" t="s">
        <v>645</v>
      </c>
      <c r="O153" s="1737" t="s">
        <v>2641</v>
      </c>
      <c r="P153" s="1737"/>
      <c r="Q153" s="1737"/>
      <c r="R153" s="1737"/>
      <c r="S153" s="1737"/>
      <c r="T153" s="1737"/>
      <c r="U153" s="1737"/>
      <c r="V153" s="1737"/>
      <c r="W153" s="1737"/>
      <c r="X153" s="1737"/>
      <c r="Y153" s="1737"/>
      <c r="Z153" s="1737"/>
      <c r="AA153" s="1737"/>
      <c r="AB153" s="1737"/>
      <c r="AC153" s="1737"/>
      <c r="AD153" s="1737"/>
      <c r="AE153" s="1737"/>
      <c r="AF153" s="1737"/>
      <c r="AG153" s="1737"/>
      <c r="AH153" s="1737"/>
      <c r="BM153">
        <v>5</v>
      </c>
      <c r="BN153" s="3" t="s">
        <v>2387</v>
      </c>
      <c r="CR153" s="31" t="s">
        <v>2625</v>
      </c>
      <c r="CS153" s="32"/>
      <c r="CT153" s="32"/>
      <c r="CU153" s="32"/>
      <c r="CV153" s="32"/>
      <c r="CW153" s="32"/>
      <c r="CX153" s="14"/>
      <c r="CY153" s="31" t="s">
        <v>2626</v>
      </c>
      <c r="CZ153" s="14"/>
      <c r="DA153" s="14"/>
      <c r="DB153" s="14"/>
      <c r="DC153" s="14"/>
      <c r="DD153" s="14"/>
    </row>
    <row r="154" spans="1:108" ht="13.05" customHeight="1">
      <c r="D154" s="303" t="s">
        <v>439</v>
      </c>
      <c r="O154" s="1749" t="s">
        <v>2642</v>
      </c>
      <c r="P154" s="1749"/>
      <c r="Q154" s="1749"/>
      <c r="R154" s="1749"/>
      <c r="S154" s="1749"/>
      <c r="T154" s="1749"/>
      <c r="U154" s="1749"/>
      <c r="V154" s="1749"/>
      <c r="W154" s="1749"/>
      <c r="X154" s="1749"/>
      <c r="Y154" s="1749"/>
      <c r="Z154" s="1749"/>
      <c r="AA154" s="1749"/>
      <c r="AB154" s="1749"/>
      <c r="AC154" s="1749"/>
      <c r="AD154" s="1749"/>
      <c r="AE154" s="1749"/>
      <c r="AF154" s="1749"/>
      <c r="AG154" s="1749"/>
      <c r="AH154" s="1749"/>
      <c r="BM154">
        <v>6</v>
      </c>
      <c r="BN154" s="3" t="s">
        <v>2388</v>
      </c>
      <c r="CR154" s="31"/>
      <c r="CS154" s="32"/>
      <c r="CT154" s="32"/>
      <c r="CU154" s="32"/>
      <c r="CV154" s="32"/>
      <c r="CW154" s="32"/>
      <c r="CX154" s="14"/>
      <c r="CY154" s="31"/>
      <c r="CZ154" s="14"/>
      <c r="DA154" s="14"/>
      <c r="DB154" s="14"/>
      <c r="DC154" s="14"/>
      <c r="DD154" s="14"/>
    </row>
    <row r="155" spans="1:108" ht="13.05" customHeight="1">
      <c r="D155" s="8" t="s">
        <v>441</v>
      </c>
      <c r="F155" s="8"/>
      <c r="G155" s="8"/>
      <c r="H155" s="8"/>
      <c r="I155" s="8"/>
      <c r="J155" s="8"/>
      <c r="K155" s="8"/>
      <c r="L155" s="8"/>
      <c r="M155" s="8"/>
      <c r="N155" s="8"/>
      <c r="O155" s="2058" t="s">
        <v>440</v>
      </c>
      <c r="P155" s="2058"/>
      <c r="Q155" s="2058"/>
      <c r="R155" s="2058"/>
      <c r="S155" s="2058"/>
      <c r="T155" s="2058"/>
      <c r="U155" s="2058"/>
      <c r="V155" s="2058"/>
      <c r="W155" s="2058"/>
      <c r="X155" s="2058"/>
      <c r="Y155" s="2058"/>
      <c r="Z155" s="2058"/>
      <c r="AA155" s="2058"/>
      <c r="AB155" s="2058"/>
      <c r="AC155" s="2058"/>
      <c r="AD155" s="2058"/>
      <c r="AE155" s="2058"/>
      <c r="AF155" s="2058"/>
      <c r="AG155" s="2058"/>
      <c r="AH155" s="2058"/>
      <c r="BM155">
        <v>7</v>
      </c>
      <c r="BN155" s="3" t="s">
        <v>591</v>
      </c>
      <c r="CR155" s="31"/>
      <c r="CS155" s="32"/>
      <c r="CT155" s="32"/>
      <c r="CU155" s="32"/>
      <c r="CV155" s="32"/>
      <c r="CW155" s="32"/>
      <c r="CX155" s="14"/>
      <c r="CY155" s="31"/>
      <c r="CZ155" s="14"/>
      <c r="DA155" s="14"/>
      <c r="DB155" s="14"/>
      <c r="DC155" s="14"/>
      <c r="DD155" s="14"/>
    </row>
    <row r="156" spans="1:108" ht="13.05" customHeight="1">
      <c r="D156" t="s">
        <v>313</v>
      </c>
      <c r="O156" s="1705" t="s">
        <v>2643</v>
      </c>
      <c r="P156" s="1705"/>
      <c r="Q156" s="1705"/>
      <c r="R156" s="1705"/>
      <c r="S156" s="1705"/>
      <c r="T156" s="1705"/>
      <c r="U156" s="1705"/>
      <c r="V156" s="1705"/>
      <c r="W156" s="1705"/>
      <c r="X156" s="1705"/>
      <c r="Y156" s="1705"/>
      <c r="Z156" s="1705"/>
      <c r="AA156" s="1705"/>
      <c r="AB156" s="1705"/>
      <c r="AC156" s="1705"/>
      <c r="AD156" s="1705"/>
      <c r="AE156" s="1705"/>
      <c r="AF156" s="1705"/>
      <c r="AG156" s="1705"/>
      <c r="AH156" s="1705"/>
      <c r="BT156" t="s">
        <v>307</v>
      </c>
      <c r="CB156" s="195" t="s">
        <v>2525</v>
      </c>
      <c r="CC156" s="196"/>
      <c r="CD156" s="196"/>
      <c r="CE156" s="196"/>
      <c r="CF156" s="196"/>
      <c r="CG156" s="196"/>
      <c r="CH156" s="196"/>
      <c r="CI156" s="3"/>
      <c r="CJ156" s="195" t="s">
        <v>2523</v>
      </c>
      <c r="CK156" s="3"/>
      <c r="CL156" s="3"/>
      <c r="CM156" s="3"/>
      <c r="CN156" s="3"/>
      <c r="CR156" s="31"/>
      <c r="CS156" s="32"/>
      <c r="CT156" s="32"/>
      <c r="CU156" s="32"/>
      <c r="CV156" s="32"/>
      <c r="CW156" s="32"/>
      <c r="CX156" s="14"/>
      <c r="CY156" s="31"/>
      <c r="CZ156" s="14"/>
      <c r="DA156" s="14"/>
      <c r="DB156" s="14"/>
      <c r="DC156" s="14"/>
      <c r="DD156" s="14"/>
    </row>
    <row r="157" spans="1:108" ht="13.05" customHeight="1">
      <c r="D157" t="s">
        <v>314</v>
      </c>
      <c r="O157" s="1736" t="s">
        <v>193</v>
      </c>
      <c r="P157" s="1737"/>
      <c r="Q157" s="1737"/>
      <c r="R157" s="1737"/>
      <c r="S157" s="1737"/>
      <c r="T157" s="1737"/>
      <c r="U157" s="1737"/>
      <c r="V157" s="1737"/>
      <c r="W157" s="1737"/>
      <c r="X157" s="1737"/>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1904</v>
      </c>
      <c r="CK157" s="3"/>
      <c r="CL157" s="3"/>
      <c r="CM157" s="3"/>
      <c r="CN157" s="3"/>
      <c r="CR157" s="14"/>
      <c r="CS157" s="32"/>
      <c r="CT157" s="32"/>
      <c r="CU157" s="32"/>
      <c r="CV157" s="32"/>
      <c r="CW157" s="32"/>
      <c r="CX157" s="14"/>
      <c r="CY157" s="14"/>
      <c r="CZ157" s="14"/>
      <c r="DA157" s="14"/>
      <c r="DB157" s="14"/>
      <c r="DC157" s="14"/>
      <c r="DD157" s="14"/>
    </row>
    <row r="158" spans="1:108" ht="13.05" customHeight="1">
      <c r="D158" t="s">
        <v>315</v>
      </c>
      <c r="O158" s="2041">
        <v>95060</v>
      </c>
      <c r="P158" s="2041"/>
      <c r="Q158" s="2041"/>
      <c r="R158" s="2041"/>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05" customHeight="1" thickBot="1">
      <c r="D159" t="s">
        <v>316</v>
      </c>
      <c r="O159" s="2047" t="s">
        <v>2644</v>
      </c>
      <c r="P159" s="2047"/>
      <c r="Q159" s="2047"/>
      <c r="R159" s="2047"/>
      <c r="S159" s="2047"/>
      <c r="T159" s="2047"/>
      <c r="V159" s="97" t="s">
        <v>271</v>
      </c>
      <c r="W159" s="2042"/>
      <c r="X159" s="2042"/>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3.05" customHeight="1">
      <c r="D160" t="s">
        <v>317</v>
      </c>
      <c r="O160" s="2047" t="s">
        <v>2645</v>
      </c>
      <c r="P160" s="2047"/>
      <c r="Q160" s="2047"/>
      <c r="R160" s="2047"/>
      <c r="S160" s="2047"/>
      <c r="T160" s="2047"/>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3.05" customHeight="1">
      <c r="D161" t="s">
        <v>318</v>
      </c>
      <c r="O161" s="2030" t="s">
        <v>2646</v>
      </c>
      <c r="P161" s="2030"/>
      <c r="Q161" s="2030"/>
      <c r="R161" s="2030"/>
      <c r="S161" s="2030"/>
      <c r="T161" s="2030"/>
      <c r="U161" s="2030"/>
      <c r="V161" s="2030"/>
      <c r="W161" s="2030"/>
      <c r="X161" s="2030"/>
      <c r="Y161" s="2030"/>
      <c r="Z161" s="2030"/>
      <c r="AA161" s="2030"/>
      <c r="AB161" s="2030"/>
      <c r="AC161" s="2030"/>
      <c r="AD161" s="2030"/>
      <c r="AE161" s="2030"/>
      <c r="AF161" s="2030"/>
      <c r="AG161" s="2030"/>
      <c r="AH161" s="2030"/>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3.0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3.05" customHeight="1">
      <c r="C163" s="27" t="s">
        <v>82</v>
      </c>
      <c r="D163" s="3" t="s">
        <v>2050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3.05" customHeight="1">
      <c r="C164" s="27"/>
      <c r="D164" s="2052" t="s">
        <v>2169</v>
      </c>
      <c r="E164" s="2052"/>
      <c r="F164" s="2052"/>
      <c r="G164" s="2052"/>
      <c r="H164" s="2052"/>
      <c r="I164" s="2052"/>
      <c r="J164" s="2052"/>
      <c r="K164" s="2052"/>
      <c r="L164" s="2052"/>
      <c r="M164" s="2052"/>
      <c r="N164" s="2052"/>
      <c r="O164" s="2052"/>
      <c r="P164" s="2052"/>
      <c r="Q164" s="2052"/>
      <c r="R164" s="2052"/>
      <c r="S164" s="2052"/>
      <c r="T164" s="2052"/>
      <c r="U164" s="2052"/>
      <c r="V164" s="2052"/>
      <c r="W164" s="2052"/>
      <c r="X164" s="2052"/>
      <c r="Y164" s="2052"/>
      <c r="Z164" s="2052"/>
      <c r="AA164" s="2052"/>
      <c r="AB164" s="2052"/>
      <c r="AC164" s="2052"/>
      <c r="AD164" s="2052"/>
      <c r="AE164" s="2052"/>
      <c r="AF164" s="2052"/>
      <c r="AG164" s="2052"/>
      <c r="AH164" s="2052"/>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3.0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3.0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3.0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3.0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3.05" customHeight="1">
      <c r="A169" s="1741" t="s">
        <v>539</v>
      </c>
      <c r="B169" s="1741"/>
      <c r="C169" s="1741"/>
      <c r="D169" s="1741"/>
      <c r="E169" s="1741"/>
      <c r="F169" s="1741"/>
      <c r="G169" s="1741"/>
      <c r="H169" s="1741"/>
      <c r="I169" s="1741"/>
      <c r="J169" s="1741"/>
      <c r="K169" s="1741"/>
      <c r="L169" s="1741"/>
      <c r="M169" s="1741"/>
      <c r="N169" s="1741"/>
      <c r="O169" s="1741"/>
      <c r="P169" s="1741"/>
      <c r="Q169" s="1741"/>
      <c r="R169" s="1741"/>
      <c r="S169" s="1741"/>
      <c r="T169" s="1741"/>
      <c r="U169" s="1741"/>
      <c r="V169" s="1741"/>
      <c r="W169" s="1741"/>
      <c r="X169" s="1741"/>
      <c r="Y169" s="1741"/>
      <c r="Z169" s="1741"/>
      <c r="AA169" s="1741"/>
      <c r="AB169" s="1741"/>
      <c r="AC169" s="1741"/>
      <c r="AD169" s="1741"/>
      <c r="AE169" s="1741"/>
      <c r="AF169" s="1741"/>
      <c r="AG169" s="1741"/>
      <c r="AH169" s="1741"/>
      <c r="AI169" s="1741"/>
      <c r="AJ169" s="1741"/>
      <c r="AK169" s="1741"/>
      <c r="AL169" s="1741"/>
      <c r="AM169" s="1741"/>
      <c r="AN169" s="1741"/>
      <c r="AO169" s="1741"/>
      <c r="AP169" s="1741"/>
      <c r="AQ169" s="1741"/>
      <c r="AR169" s="1741"/>
      <c r="AS169" s="1741"/>
      <c r="AT169" s="1741"/>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3.05" customHeight="1">
      <c r="A170" s="1741"/>
      <c r="B170" s="1741"/>
      <c r="C170" s="1741"/>
      <c r="D170" s="1741"/>
      <c r="E170" s="1741"/>
      <c r="F170" s="1741"/>
      <c r="G170" s="1741"/>
      <c r="H170" s="1741"/>
      <c r="I170" s="1741"/>
      <c r="J170" s="1741"/>
      <c r="K170" s="1741"/>
      <c r="L170" s="1741"/>
      <c r="M170" s="1741"/>
      <c r="N170" s="1741"/>
      <c r="O170" s="1741"/>
      <c r="P170" s="1741"/>
      <c r="Q170" s="1741"/>
      <c r="R170" s="1741"/>
      <c r="S170" s="1741"/>
      <c r="T170" s="1741"/>
      <c r="U170" s="1741"/>
      <c r="V170" s="1741"/>
      <c r="W170" s="1741"/>
      <c r="X170" s="1741"/>
      <c r="Y170" s="1741"/>
      <c r="Z170" s="1741"/>
      <c r="AA170" s="1741"/>
      <c r="AB170" s="1741"/>
      <c r="AC170" s="1741"/>
      <c r="AD170" s="1741"/>
      <c r="AE170" s="1741"/>
      <c r="AF170" s="1741"/>
      <c r="AG170" s="1741"/>
      <c r="AH170" s="1741"/>
      <c r="AI170" s="1741"/>
      <c r="AJ170" s="1741"/>
      <c r="AK170" s="1741"/>
      <c r="AL170" s="1741"/>
      <c r="AM170" s="1741"/>
      <c r="AN170" s="1741"/>
      <c r="AO170" s="1741"/>
      <c r="AP170" s="1741"/>
      <c r="AQ170" s="1741"/>
      <c r="AR170" s="1741"/>
      <c r="AS170" s="1741"/>
      <c r="AT170" s="1741"/>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3.05"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3.0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3.05" customHeight="1">
      <c r="C173" s="24"/>
      <c r="D173" t="s">
        <v>321</v>
      </c>
      <c r="J173" s="2057" t="s">
        <v>371</v>
      </c>
      <c r="K173" s="2057"/>
      <c r="L173" s="2057"/>
      <c r="M173" s="2057"/>
      <c r="N173" s="2057"/>
      <c r="O173" s="2057"/>
      <c r="P173" s="2057"/>
      <c r="Q173" s="2057"/>
      <c r="R173" s="2057"/>
      <c r="S173" s="2057"/>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3.05" customHeight="1">
      <c r="C174" s="24"/>
      <c r="D174" s="3" t="s">
        <v>1201</v>
      </c>
      <c r="J174" s="1705" t="s">
        <v>2055</v>
      </c>
      <c r="K174" s="1705"/>
      <c r="L174" s="1705"/>
      <c r="M174" s="1705"/>
      <c r="N174" s="1705"/>
      <c r="O174" s="1705"/>
      <c r="P174" s="1705"/>
      <c r="Q174" s="1705"/>
      <c r="R174" s="1705"/>
      <c r="S174" s="1705"/>
      <c r="T174" s="1705"/>
      <c r="U174" s="1705"/>
      <c r="V174" s="1705"/>
      <c r="W174" s="1705"/>
      <c r="X174" s="1705"/>
      <c r="Y174" s="1705"/>
      <c r="Z174" s="1705"/>
      <c r="AA174" s="1705"/>
      <c r="AB174" s="1705"/>
      <c r="BB174" t="s">
        <v>1941</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3.05" customHeight="1">
      <c r="C175" s="8"/>
      <c r="D175" s="3" t="s">
        <v>322</v>
      </c>
      <c r="O175" s="27"/>
      <c r="U175" s="1599" t="s">
        <v>545</v>
      </c>
      <c r="V175" s="1599"/>
      <c r="BB175" t="s">
        <v>1909</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3.05" customHeight="1">
      <c r="C176" s="8"/>
      <c r="D176" s="26"/>
      <c r="E176" t="s">
        <v>304</v>
      </c>
      <c r="O176" s="27"/>
      <c r="P176" t="s">
        <v>2034</v>
      </c>
      <c r="T176" s="27" t="s">
        <v>305</v>
      </c>
      <c r="U176" s="1725">
        <v>26</v>
      </c>
      <c r="V176" s="1725"/>
      <c r="W176" s="1" t="s">
        <v>306</v>
      </c>
      <c r="X176" s="2062">
        <v>455</v>
      </c>
      <c r="Y176" s="2062"/>
      <c r="BB176" t="s">
        <v>1942</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3.05" customHeight="1">
      <c r="C177" s="24"/>
      <c r="D177" t="s">
        <v>249</v>
      </c>
      <c r="R177" s="1599" t="s">
        <v>669</v>
      </c>
      <c r="S177" s="1599"/>
      <c r="BB177" t="s">
        <v>2166</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3.05" customHeight="1">
      <c r="C178" s="24"/>
      <c r="D178" s="3" t="s">
        <v>1202</v>
      </c>
      <c r="AA178" t="s">
        <v>2034</v>
      </c>
      <c r="AE178" s="27" t="s">
        <v>305</v>
      </c>
      <c r="AF178" s="2072"/>
      <c r="AG178" s="2072"/>
      <c r="AH178" s="1" t="s">
        <v>306</v>
      </c>
      <c r="AI178" s="2056"/>
      <c r="AJ178" s="2056"/>
      <c r="AK178" s="2056"/>
      <c r="BB178" t="s">
        <v>2167</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05"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3.05" customHeight="1">
      <c r="C180" s="24"/>
      <c r="D180" s="3" t="s">
        <v>2621</v>
      </c>
      <c r="X180" s="1599"/>
      <c r="Y180" s="1599"/>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3.05" customHeight="1">
      <c r="C181" s="8"/>
      <c r="E181" s="4" t="s">
        <v>975</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3.0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3.0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3.05" customHeight="1">
      <c r="C184" s="21"/>
      <c r="D184" t="s">
        <v>578</v>
      </c>
      <c r="I184" s="1709" t="str">
        <f>H18</f>
        <v>Driftwood Flats</v>
      </c>
      <c r="J184" s="1709"/>
      <c r="K184" s="1709"/>
      <c r="L184" s="1709"/>
      <c r="M184" s="1709"/>
      <c r="N184" s="1709"/>
      <c r="O184" s="1709"/>
      <c r="P184" s="1709"/>
      <c r="Q184" s="1709"/>
      <c r="R184" s="1709"/>
      <c r="S184" s="1709"/>
      <c r="T184" s="1709"/>
      <c r="U184" s="1709"/>
      <c r="V184" s="1709"/>
      <c r="W184" s="1709"/>
      <c r="X184" s="1709"/>
      <c r="Y184" s="1709"/>
      <c r="Z184" s="1709"/>
      <c r="AA184" s="1709"/>
      <c r="AB184" s="1709"/>
      <c r="AC184" s="1709"/>
      <c r="AD184" s="1709"/>
      <c r="AE184" s="1709"/>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3.05" customHeight="1">
      <c r="C185" s="21"/>
      <c r="D185" t="s">
        <v>579</v>
      </c>
      <c r="I185" s="1710" t="s">
        <v>2647</v>
      </c>
      <c r="J185" s="1710"/>
      <c r="K185" s="1710"/>
      <c r="L185" s="1710"/>
      <c r="M185" s="1710"/>
      <c r="N185" s="1710"/>
      <c r="O185" s="1710"/>
      <c r="P185" s="1710"/>
      <c r="Q185" s="1710"/>
      <c r="R185" s="1710"/>
      <c r="S185" s="1710"/>
      <c r="T185" s="1710"/>
      <c r="U185" s="1710"/>
      <c r="V185" s="1710"/>
      <c r="W185" s="1710"/>
      <c r="X185" s="1710"/>
      <c r="Y185" s="1710"/>
      <c r="Z185" s="1710"/>
      <c r="AA185" s="1710"/>
      <c r="AB185" s="1710"/>
      <c r="AC185" s="1710"/>
      <c r="AD185" s="1710"/>
      <c r="AE185" s="1710"/>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3.0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3.05" customHeight="1">
      <c r="C187" s="21"/>
      <c r="E187" s="2054"/>
      <c r="F187" s="2054"/>
      <c r="G187" s="2054"/>
      <c r="H187" s="2054"/>
      <c r="I187" s="2054"/>
      <c r="J187" s="2054"/>
      <c r="K187" s="2054"/>
      <c r="L187" s="2054"/>
      <c r="M187" s="2054"/>
      <c r="N187" s="2054"/>
      <c r="O187" s="2054"/>
      <c r="P187" s="2054"/>
      <c r="Q187" s="2054"/>
      <c r="R187" s="2054"/>
      <c r="S187" s="2054"/>
      <c r="T187" s="2054"/>
      <c r="U187" s="2054"/>
      <c r="V187" s="2054"/>
      <c r="W187" s="2054"/>
      <c r="X187" s="2054"/>
      <c r="Y187" s="2054"/>
      <c r="Z187" s="2054"/>
      <c r="AA187" s="2054"/>
      <c r="AB187" s="2054"/>
      <c r="AC187" s="2054"/>
      <c r="AD187" s="2054"/>
      <c r="AE187" s="2054"/>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3.05" customHeight="1">
      <c r="C188" s="21"/>
      <c r="E188" s="2055"/>
      <c r="F188" s="2055"/>
      <c r="G188" s="2055"/>
      <c r="H188" s="2055"/>
      <c r="I188" s="2055"/>
      <c r="J188" s="2055"/>
      <c r="K188" s="2055"/>
      <c r="L188" s="2055"/>
      <c r="M188" s="2055"/>
      <c r="N188" s="2055"/>
      <c r="O188" s="2055"/>
      <c r="P188" s="2055"/>
      <c r="Q188" s="2055"/>
      <c r="R188" s="2055"/>
      <c r="S188" s="2055"/>
      <c r="T188" s="2055"/>
      <c r="U188" s="2055"/>
      <c r="V188" s="2055"/>
      <c r="W188" s="2055"/>
      <c r="X188" s="2055"/>
      <c r="Y188" s="2055"/>
      <c r="Z188" s="2055"/>
      <c r="AA188" s="2055"/>
      <c r="AB188" s="2055"/>
      <c r="AC188" s="2055"/>
      <c r="AD188" s="2055"/>
      <c r="AE188" s="2055"/>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3.05" customHeight="1">
      <c r="C189" s="21"/>
      <c r="D189" t="s">
        <v>580</v>
      </c>
      <c r="I189" s="1736" t="s">
        <v>193</v>
      </c>
      <c r="J189" s="1705"/>
      <c r="K189" s="1705"/>
      <c r="L189" s="1705"/>
      <c r="M189" s="1705"/>
      <c r="N189" s="1705"/>
      <c r="O189" s="1705"/>
      <c r="P189" s="1705"/>
      <c r="Q189" t="s">
        <v>582</v>
      </c>
      <c r="T189" s="1705" t="s">
        <v>193</v>
      </c>
      <c r="U189" s="1705"/>
      <c r="V189" s="1705"/>
      <c r="W189" s="1705"/>
      <c r="X189" s="1705"/>
      <c r="Y189" s="1705"/>
      <c r="Z189" s="1705"/>
      <c r="AA189" s="1705"/>
      <c r="AB189" s="1705"/>
      <c r="AC189" s="1705"/>
      <c r="AD189" s="1705"/>
      <c r="AE189" s="1705"/>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3.05" customHeight="1">
      <c r="C190" s="21"/>
      <c r="D190" t="s">
        <v>583</v>
      </c>
      <c r="I190" s="1710">
        <v>95060</v>
      </c>
      <c r="J190" s="1710"/>
      <c r="K190" s="1710"/>
      <c r="L190" s="1710"/>
      <c r="M190" s="1710"/>
      <c r="N190" s="1710"/>
      <c r="O190" t="s">
        <v>585</v>
      </c>
      <c r="T190" s="2039">
        <v>6087101002</v>
      </c>
      <c r="U190" s="2039"/>
      <c r="V190" s="2039"/>
      <c r="W190" s="2039"/>
      <c r="X190" s="2039"/>
      <c r="Y190" s="2039"/>
      <c r="Z190" s="2039"/>
      <c r="AA190" s="2039"/>
      <c r="AB190" s="2039"/>
      <c r="AC190" s="2039"/>
      <c r="AD190" s="2039"/>
      <c r="AE190" s="2039"/>
      <c r="BC190" t="s">
        <v>1040</v>
      </c>
      <c r="BH190" t="s">
        <v>1040</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3.05" customHeight="1">
      <c r="C191" s="21"/>
      <c r="D191" t="s">
        <v>462</v>
      </c>
      <c r="N191" s="2054" t="s">
        <v>2648</v>
      </c>
      <c r="O191" s="2054"/>
      <c r="P191" s="2054"/>
      <c r="Q191" s="2054"/>
      <c r="R191" s="2054"/>
      <c r="S191" s="2054"/>
      <c r="T191" s="2054"/>
      <c r="U191" s="2054"/>
      <c r="V191" s="2054"/>
      <c r="W191" s="2054"/>
      <c r="X191" s="2054"/>
      <c r="Y191" s="2054"/>
      <c r="Z191" s="2054"/>
      <c r="AA191" s="2054"/>
      <c r="AB191" s="2054"/>
      <c r="AC191" s="2054"/>
      <c r="AD191" s="2054"/>
      <c r="AE191" s="2054"/>
      <c r="BC191" t="s">
        <v>1039</v>
      </c>
      <c r="BH191" t="s">
        <v>1039</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3.05" customHeight="1">
      <c r="C192" s="21"/>
      <c r="M192" s="40"/>
      <c r="N192" s="2055"/>
      <c r="O192" s="2055"/>
      <c r="P192" s="2055"/>
      <c r="Q192" s="2055"/>
      <c r="R192" s="2055"/>
      <c r="S192" s="2055"/>
      <c r="T192" s="2055"/>
      <c r="U192" s="2055"/>
      <c r="V192" s="2055"/>
      <c r="W192" s="2055"/>
      <c r="X192" s="2055"/>
      <c r="Y192" s="2055"/>
      <c r="Z192" s="2055"/>
      <c r="AA192" s="2055"/>
      <c r="AB192" s="2055"/>
      <c r="AC192" s="2055"/>
      <c r="AD192" s="2055"/>
      <c r="AE192" s="2055"/>
      <c r="BC192" t="s">
        <v>1042</v>
      </c>
      <c r="BH192" s="3" t="s">
        <v>1357</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3.05" customHeight="1">
      <c r="C193" s="21"/>
      <c r="D193" t="s">
        <v>2035</v>
      </c>
      <c r="M193" s="40"/>
      <c r="N193" s="890"/>
      <c r="O193" s="890"/>
      <c r="P193" s="890"/>
      <c r="Q193" s="890"/>
      <c r="R193" s="890"/>
      <c r="S193" s="890"/>
      <c r="T193" s="2043" t="s">
        <v>1941</v>
      </c>
      <c r="U193" s="2043"/>
      <c r="V193" s="2043"/>
      <c r="W193" s="2043"/>
      <c r="X193" s="2043"/>
      <c r="Y193" s="2043"/>
      <c r="Z193" s="2043"/>
      <c r="AA193" s="2043"/>
      <c r="AB193" s="2043"/>
      <c r="AC193" s="2043"/>
      <c r="AD193" s="2043"/>
      <c r="AE193" s="2043"/>
      <c r="AF193" s="2043"/>
      <c r="AG193" s="2043"/>
      <c r="AH193" s="2043"/>
      <c r="AI193" s="2043"/>
      <c r="BC193" t="s">
        <v>1041</v>
      </c>
      <c r="BH193" s="3" t="s">
        <v>1617</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3.05" customHeight="1">
      <c r="C194" s="21"/>
      <c r="D194" s="3" t="s">
        <v>2168</v>
      </c>
      <c r="M194" s="40"/>
      <c r="N194" s="890"/>
      <c r="O194" s="890"/>
      <c r="P194" s="890"/>
      <c r="Q194" s="890"/>
      <c r="R194" s="890"/>
      <c r="S194" s="890"/>
      <c r="AH194" s="1599" t="s">
        <v>669</v>
      </c>
      <c r="AI194" s="1599"/>
      <c r="BC194" t="s">
        <v>1357</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3.05" customHeight="1">
      <c r="C195" s="21"/>
      <c r="D195" t="s">
        <v>331</v>
      </c>
      <c r="T195" s="1599" t="s">
        <v>545</v>
      </c>
      <c r="U195" s="1599"/>
      <c r="W195" t="s">
        <v>684</v>
      </c>
      <c r="AH195" s="1599">
        <v>19</v>
      </c>
      <c r="AI195" s="1599"/>
      <c r="BC195" t="s">
        <v>1830</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3.05" customHeight="1">
      <c r="C196" s="21"/>
      <c r="D196" t="s">
        <v>386</v>
      </c>
      <c r="T196" s="1636" t="s">
        <v>669</v>
      </c>
      <c r="U196" s="1636"/>
      <c r="W196" t="s">
        <v>685</v>
      </c>
      <c r="AH196" s="1599">
        <v>28</v>
      </c>
      <c r="AI196" s="1599"/>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3.05" customHeight="1">
      <c r="C197" s="21"/>
      <c r="D197" s="3" t="s">
        <v>169</v>
      </c>
      <c r="T197" s="1636" t="s">
        <v>669</v>
      </c>
      <c r="U197" s="1636"/>
      <c r="W197" t="s">
        <v>686</v>
      </c>
      <c r="AH197" s="1599">
        <v>17</v>
      </c>
      <c r="AI197" s="1599"/>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3.05" customHeight="1">
      <c r="A198"/>
      <c r="B198"/>
      <c r="C198" s="21"/>
      <c r="D198" s="3" t="s">
        <v>1640</v>
      </c>
      <c r="E198"/>
      <c r="F198"/>
      <c r="G198"/>
      <c r="H198"/>
      <c r="I198"/>
      <c r="J198"/>
      <c r="K198"/>
      <c r="L198"/>
      <c r="M198"/>
      <c r="N198"/>
      <c r="O198"/>
      <c r="P198"/>
      <c r="Q198"/>
      <c r="R198"/>
      <c r="S198"/>
      <c r="T198" s="1636" t="s">
        <v>591</v>
      </c>
      <c r="U198" s="1636"/>
      <c r="V198"/>
      <c r="X198" s="1733" t="s">
        <v>2434</v>
      </c>
      <c r="Y198" s="1733"/>
      <c r="Z198" s="1733"/>
      <c r="AA198" s="1733"/>
      <c r="AB198" s="1733"/>
      <c r="AC198" s="1733"/>
      <c r="AD198" s="1733"/>
      <c r="AE198" s="1733"/>
      <c r="AF198" s="1733"/>
      <c r="AG198" s="1733"/>
      <c r="AH198" s="1733"/>
      <c r="AI198" s="1733"/>
      <c r="AJ198" s="1733"/>
      <c r="AK198" s="1733"/>
      <c r="AL198" s="1733"/>
      <c r="AM198" s="1733"/>
      <c r="AN198" s="1733"/>
      <c r="AO198" s="1733"/>
      <c r="AP198" s="1733"/>
      <c r="AQ198" s="1733"/>
      <c r="AR198" s="1733"/>
      <c r="AS198" s="1733"/>
      <c r="AT198" s="1733"/>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3.05" customHeight="1">
      <c r="A199"/>
      <c r="B199"/>
      <c r="C199" s="21"/>
      <c r="D199" s="118" t="s">
        <v>2437</v>
      </c>
      <c r="E199"/>
      <c r="F199"/>
      <c r="G199"/>
      <c r="H199"/>
      <c r="I199"/>
      <c r="J199"/>
      <c r="K199"/>
      <c r="L199"/>
      <c r="M199"/>
      <c r="N199"/>
      <c r="O199"/>
      <c r="P199"/>
      <c r="Q199"/>
      <c r="R199"/>
      <c r="S199"/>
      <c r="T199" s="1599" t="s">
        <v>669</v>
      </c>
      <c r="U199" s="1599"/>
      <c r="V199"/>
      <c r="W199"/>
      <c r="X199" s="1733"/>
      <c r="Y199" s="1733"/>
      <c r="Z199" s="1733"/>
      <c r="AA199" s="1733"/>
      <c r="AB199" s="1733"/>
      <c r="AC199" s="1733"/>
      <c r="AD199" s="1733"/>
      <c r="AE199" s="1733"/>
      <c r="AF199" s="1733"/>
      <c r="AG199" s="1733"/>
      <c r="AH199" s="1733"/>
      <c r="AI199" s="1733"/>
      <c r="AJ199" s="1733"/>
      <c r="AK199" s="1733"/>
      <c r="AL199" s="1733"/>
      <c r="AM199" s="1733"/>
      <c r="AN199" s="1733"/>
      <c r="AO199" s="1733"/>
      <c r="AP199" s="1733"/>
      <c r="AQ199" s="1733"/>
      <c r="AR199" s="1733"/>
      <c r="AS199" s="1733"/>
      <c r="AT199" s="1733"/>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3.05" customHeight="1">
      <c r="A200"/>
      <c r="B200"/>
      <c r="C200" s="21"/>
      <c r="D200" s="14" t="s">
        <v>2435</v>
      </c>
      <c r="T200" s="1599" t="s">
        <v>669</v>
      </c>
      <c r="U200" s="1599"/>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05" customHeight="1">
      <c r="A201"/>
      <c r="B201"/>
      <c r="C201" s="21"/>
      <c r="E201" s="3" t="s">
        <v>2436</v>
      </c>
      <c r="V201"/>
      <c r="X201"/>
      <c r="Y201"/>
      <c r="Z201"/>
      <c r="AB201" s="1184" t="s">
        <v>919</v>
      </c>
      <c r="AC201"/>
      <c r="AH201" s="1"/>
      <c r="AJ201"/>
      <c r="AK201"/>
      <c r="AL201"/>
      <c r="AM201"/>
      <c r="AN201"/>
      <c r="AO201"/>
      <c r="AP201"/>
      <c r="AQ201"/>
      <c r="AR201"/>
      <c r="AS201"/>
      <c r="AU201"/>
      <c r="AV201"/>
      <c r="AW201"/>
      <c r="AX201"/>
      <c r="AY201"/>
      <c r="AZ201" s="30"/>
      <c r="BA201" s="30"/>
      <c r="BC201" s="3" t="s">
        <v>1060</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3.0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3.05" customHeight="1">
      <c r="A203" s="2" t="s">
        <v>586</v>
      </c>
      <c r="C203" s="2" t="s">
        <v>136</v>
      </c>
      <c r="BC203" t="s">
        <v>1061</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3.05" customHeight="1">
      <c r="D204" s="1709" t="s">
        <v>385</v>
      </c>
      <c r="E204" s="1709"/>
      <c r="F204" s="1709"/>
      <c r="G204" s="1709"/>
      <c r="H204" s="1709"/>
      <c r="I204" s="1709"/>
      <c r="J204" s="1709"/>
      <c r="K204" s="1709"/>
      <c r="L204" s="1709"/>
      <c r="M204" s="1709"/>
      <c r="P204" s="2053">
        <f>M26</f>
        <v>3659678</v>
      </c>
      <c r="Q204" s="2048"/>
      <c r="R204" s="2048"/>
      <c r="S204" s="2048"/>
      <c r="T204" s="2048"/>
      <c r="U204" s="2048"/>
      <c r="BC204" t="s">
        <v>1062</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3.05" customHeight="1">
      <c r="C205" s="21"/>
      <c r="D205" s="2061" t="s">
        <v>1246</v>
      </c>
      <c r="E205" s="1709"/>
      <c r="F205" s="1709"/>
      <c r="G205" s="1709"/>
      <c r="H205" s="1709"/>
      <c r="I205" s="1709"/>
      <c r="J205" s="1709"/>
      <c r="K205" s="1709"/>
      <c r="L205" s="1709"/>
      <c r="M205" s="1709"/>
      <c r="P205" s="2048">
        <f>M27</f>
        <v>5000000</v>
      </c>
      <c r="Q205" s="2048"/>
      <c r="R205" s="2048"/>
      <c r="S205" s="2048"/>
      <c r="T205" s="2048"/>
      <c r="U205" s="2048"/>
      <c r="V205" s="28"/>
      <c r="W205" s="3" t="s">
        <v>1708</v>
      </c>
      <c r="Z205" s="2059" t="s">
        <v>2172</v>
      </c>
      <c r="AA205" s="2059"/>
      <c r="AB205" s="2059"/>
      <c r="AC205" s="2059"/>
      <c r="AD205" s="2059"/>
      <c r="AE205" s="2059"/>
      <c r="AF205" s="2059"/>
      <c r="AG205" s="2059"/>
      <c r="AH205" s="2059"/>
      <c r="AI205" s="2059"/>
      <c r="AJ205" s="2059"/>
      <c r="AK205" s="2059"/>
      <c r="AL205" s="2059"/>
      <c r="AM205" s="2059"/>
      <c r="AN205" s="2059"/>
      <c r="AP205" s="1601"/>
      <c r="AQ205" s="1601"/>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3.05" customHeight="1">
      <c r="D206" s="29"/>
      <c r="E206" s="29"/>
      <c r="F206" s="29"/>
      <c r="G206" s="29"/>
      <c r="H206" s="29"/>
      <c r="I206" s="29"/>
      <c r="J206" s="29"/>
      <c r="K206" s="29"/>
      <c r="L206" s="29"/>
      <c r="M206" s="29"/>
      <c r="N206" s="29"/>
      <c r="O206" s="29"/>
      <c r="P206" s="29"/>
      <c r="BC206" t="s">
        <v>1025</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3.05" customHeight="1">
      <c r="A207" s="2" t="s">
        <v>589</v>
      </c>
      <c r="C207" s="2" t="s">
        <v>551</v>
      </c>
      <c r="BC207" s="437" t="s">
        <v>1063</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3.05" customHeight="1">
      <c r="C208" s="21"/>
      <c r="D208" s="1737" t="s">
        <v>2797</v>
      </c>
      <c r="E208" s="1737"/>
      <c r="F208" s="1737"/>
      <c r="G208" s="1737"/>
      <c r="H208" s="1737"/>
      <c r="I208" s="1737"/>
      <c r="J208" s="1737"/>
      <c r="K208" s="1737"/>
      <c r="L208" s="1737"/>
      <c r="M208" s="1737"/>
      <c r="BC208" s="3" t="s">
        <v>2159</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3.05" customHeight="1">
      <c r="BC209" t="s">
        <v>1064</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3.0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3.05" customHeight="1">
      <c r="C211" s="21"/>
      <c r="D211" s="1737" t="s">
        <v>1040</v>
      </c>
      <c r="E211" s="1737"/>
      <c r="F211" s="1737"/>
      <c r="G211" s="1737"/>
      <c r="H211" s="1737"/>
      <c r="I211" s="1737"/>
      <c r="J211" s="1737"/>
      <c r="K211" s="1737"/>
      <c r="L211" s="1737"/>
      <c r="M211" s="1737"/>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3.05" customHeight="1">
      <c r="C212" s="21"/>
      <c r="D212" s="3" t="s">
        <v>2183</v>
      </c>
      <c r="Q212" s="1599">
        <v>0</v>
      </c>
      <c r="R212" s="1599"/>
      <c r="T212" s="2045">
        <f>IFERROR(Q212/AG449,0)</f>
        <v>0</v>
      </c>
      <c r="U212" s="2046"/>
      <c r="BC212" t="s">
        <v>307</v>
      </c>
      <c r="BI212" t="s">
        <v>1183</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3.05" customHeight="1">
      <c r="D213" s="1139" t="s">
        <v>2394</v>
      </c>
      <c r="BC213" t="s">
        <v>526</v>
      </c>
      <c r="BI213" s="3" t="s">
        <v>2180</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3.05" customHeight="1">
      <c r="D214" s="2050" t="s">
        <v>591</v>
      </c>
      <c r="E214" s="2050"/>
      <c r="F214" s="2050"/>
      <c r="G214" s="2050"/>
      <c r="H214" s="2050"/>
      <c r="I214" s="2050"/>
      <c r="J214" s="2050"/>
      <c r="K214" s="2050"/>
      <c r="L214" s="2050"/>
      <c r="M214" s="2050"/>
      <c r="N214" s="2050"/>
      <c r="O214" s="2050"/>
      <c r="P214" s="2050"/>
      <c r="Q214" s="2050"/>
      <c r="R214" s="2050"/>
      <c r="S214" s="2050"/>
      <c r="T214" s="2050"/>
      <c r="U214" s="2050"/>
      <c r="V214" s="2050"/>
      <c r="W214" s="2050"/>
      <c r="X214" s="2050"/>
      <c r="Y214" s="2050"/>
      <c r="Z214" s="2050"/>
      <c r="AU214" s="21"/>
      <c r="AV214" s="21"/>
      <c r="AW214" s="21"/>
      <c r="AX214" s="21"/>
      <c r="AY214" s="21"/>
      <c r="BC214" t="s">
        <v>530</v>
      </c>
      <c r="BI214" s="3" t="s">
        <v>2173</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3.05" customHeight="1">
      <c r="D215" s="3" t="s">
        <v>1641</v>
      </c>
      <c r="Z215" s="40"/>
      <c r="AB215" s="2049"/>
      <c r="AC215" s="2049"/>
      <c r="AD215" s="2049"/>
      <c r="AE215" s="2049"/>
      <c r="AF215" s="2049"/>
      <c r="AG215" s="2049"/>
      <c r="AH215" s="2049"/>
      <c r="AI215" s="2049"/>
      <c r="AJ215" s="2049"/>
      <c r="AK215" s="2049"/>
      <c r="AL215" s="2049"/>
      <c r="AM215" s="21"/>
      <c r="AN215" s="21"/>
      <c r="AO215" s="21"/>
      <c r="AP215" s="21"/>
      <c r="AQ215" s="21"/>
      <c r="AR215" s="21"/>
      <c r="AS215" s="21"/>
      <c r="AT215" s="21"/>
      <c r="AU215" s="21"/>
      <c r="AV215" s="21"/>
      <c r="AW215" s="21"/>
      <c r="AX215" s="21"/>
      <c r="AY215" s="21"/>
      <c r="BC215" t="s">
        <v>527</v>
      </c>
      <c r="BI215" s="3" t="s">
        <v>2174</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3.05" customHeight="1">
      <c r="D216" s="3" t="s">
        <v>1639</v>
      </c>
      <c r="Z216" s="40"/>
      <c r="AB216" s="2049"/>
      <c r="AC216" s="2049"/>
      <c r="AD216" s="2049"/>
      <c r="AE216" s="2049"/>
      <c r="AF216" s="2049"/>
      <c r="AG216" s="2049"/>
      <c r="AH216" s="2049"/>
      <c r="AI216" s="2049"/>
      <c r="AJ216" s="2049"/>
      <c r="AK216" s="2049"/>
      <c r="AL216" s="2049"/>
      <c r="AM216" s="21"/>
      <c r="AN216" s="21"/>
      <c r="AO216" s="21"/>
      <c r="AP216" s="21"/>
      <c r="AQ216" s="21"/>
      <c r="AR216" s="21"/>
      <c r="AS216" s="21"/>
      <c r="AT216" s="21"/>
      <c r="AU216" s="21"/>
      <c r="AV216" s="21"/>
      <c r="AW216" s="21"/>
      <c r="AX216" s="21"/>
      <c r="AY216" s="21"/>
      <c r="BC216" t="s">
        <v>566</v>
      </c>
      <c r="BI216" t="s">
        <v>2172</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3.0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2176</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3.05" customHeight="1">
      <c r="A218" s="2" t="s">
        <v>592</v>
      </c>
      <c r="C218" s="2" t="s">
        <v>2186</v>
      </c>
      <c r="D218" s="28"/>
      <c r="AC218" s="2" t="s">
        <v>2383</v>
      </c>
      <c r="BC218" t="s">
        <v>529</v>
      </c>
    </row>
    <row r="219" spans="1:108" ht="13.05" customHeight="1">
      <c r="A219" s="2"/>
      <c r="C219" s="2"/>
      <c r="D219" s="3" t="s">
        <v>2384</v>
      </c>
      <c r="AZ219" s="3"/>
      <c r="BA219" s="3"/>
      <c r="BC219" t="s">
        <v>377</v>
      </c>
    </row>
    <row r="220" spans="1:108" ht="13.05" customHeight="1">
      <c r="A220" s="2"/>
      <c r="C220" s="2"/>
      <c r="D220" s="1737" t="s">
        <v>2159</v>
      </c>
      <c r="E220" s="1737"/>
      <c r="F220" s="1737"/>
      <c r="G220" s="1737"/>
      <c r="H220" s="1737"/>
      <c r="I220" s="1737"/>
      <c r="J220" s="1737"/>
      <c r="K220" s="1737"/>
      <c r="L220" s="1737"/>
      <c r="M220" s="1737"/>
      <c r="N220" s="1737"/>
      <c r="O220" s="1737"/>
      <c r="P220" s="1737"/>
      <c r="Q220" s="1737"/>
      <c r="R220" s="1737"/>
      <c r="S220" s="1737"/>
      <c r="T220" s="1737"/>
      <c r="U220" s="1737"/>
      <c r="V220" s="1737"/>
      <c r="W220" s="1737"/>
      <c r="X220" s="1737"/>
      <c r="Y220" s="1737"/>
      <c r="Z220" s="1737"/>
      <c r="AC220" s="2060" t="s">
        <v>2386</v>
      </c>
      <c r="AD220" s="2060"/>
      <c r="AE220" s="2060"/>
      <c r="AF220" s="2060"/>
      <c r="AG220" s="2060"/>
      <c r="AH220" s="2060"/>
      <c r="AI220" s="2060"/>
      <c r="AJ220" s="2060"/>
      <c r="AK220" s="2060"/>
      <c r="AL220" s="2060"/>
      <c r="AM220" s="2060"/>
      <c r="AN220" s="2060"/>
      <c r="AO220" s="2060"/>
      <c r="AP220" s="2060"/>
      <c r="AQ220" s="2060"/>
      <c r="BA220" s="3"/>
      <c r="BC220" t="s">
        <v>300</v>
      </c>
    </row>
    <row r="221" spans="1:108" ht="13.05" customHeight="1">
      <c r="A221" s="2"/>
      <c r="B221" s="14"/>
      <c r="C221" s="2"/>
      <c r="BA221" s="3"/>
    </row>
    <row r="222" spans="1:108" ht="13.05" customHeight="1">
      <c r="A222" s="2" t="s">
        <v>2529</v>
      </c>
      <c r="B222" s="14"/>
      <c r="C222" s="2" t="s">
        <v>2530</v>
      </c>
      <c r="BA222" s="3"/>
    </row>
    <row r="223" spans="1:108" ht="13.05" customHeight="1">
      <c r="A223" s="2"/>
      <c r="B223" s="14"/>
      <c r="C223" s="2"/>
      <c r="D223" s="3" t="s">
        <v>2531</v>
      </c>
      <c r="BA223" s="3"/>
    </row>
    <row r="224" spans="1:108" ht="13.05" customHeight="1">
      <c r="A224" s="2"/>
      <c r="B224" s="14"/>
      <c r="C224" s="2"/>
      <c r="E224" s="3" t="s">
        <v>2532</v>
      </c>
      <c r="V224" s="1599" t="s">
        <v>669</v>
      </c>
      <c r="W224" s="1599"/>
      <c r="Y224" s="1193"/>
      <c r="BA224" s="3"/>
    </row>
    <row r="225" spans="1:69" ht="13.05" customHeight="1">
      <c r="A225" s="2"/>
      <c r="B225" s="14"/>
      <c r="C225" s="2"/>
      <c r="E225" s="3" t="s">
        <v>2533</v>
      </c>
      <c r="V225" s="1599" t="s">
        <v>669</v>
      </c>
      <c r="W225" s="1599"/>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3.05" customHeight="1">
      <c r="A226" s="2"/>
      <c r="B226" s="14"/>
      <c r="C226" s="2"/>
      <c r="E226" s="3" t="s">
        <v>2534</v>
      </c>
      <c r="V226" s="1636" t="s">
        <v>669</v>
      </c>
      <c r="W226" s="1636"/>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3.05" customHeight="1">
      <c r="A227" s="2"/>
      <c r="B227" s="14"/>
      <c r="C227" s="2"/>
      <c r="E227" s="3" t="s">
        <v>2535</v>
      </c>
      <c r="V227" s="1636" t="s">
        <v>669</v>
      </c>
      <c r="W227" s="1636"/>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3.05" customHeight="1">
      <c r="A228" s="2"/>
      <c r="B228" s="14"/>
      <c r="C228" s="2"/>
      <c r="E228" s="3" t="s">
        <v>2536</v>
      </c>
      <c r="V228" s="1636" t="s">
        <v>669</v>
      </c>
      <c r="W228" s="1636"/>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3.05" customHeight="1">
      <c r="A229" s="2"/>
      <c r="B229" s="14"/>
      <c r="C229" s="2"/>
      <c r="E229" s="3" t="s">
        <v>2537</v>
      </c>
      <c r="V229" s="1636" t="s">
        <v>545</v>
      </c>
      <c r="W229" s="1636"/>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3.05" customHeight="1">
      <c r="A230" s="2"/>
      <c r="B230" s="14"/>
      <c r="C230" s="2"/>
      <c r="BA230" s="3"/>
    </row>
    <row r="231" spans="1:69" ht="13.05" customHeight="1">
      <c r="A231" s="1741" t="s">
        <v>540</v>
      </c>
      <c r="B231" s="1741"/>
      <c r="C231" s="1741"/>
      <c r="D231" s="1741"/>
      <c r="E231" s="1741"/>
      <c r="F231" s="1741"/>
      <c r="G231" s="1741"/>
      <c r="H231" s="1741"/>
      <c r="I231" s="1741"/>
      <c r="J231" s="1741"/>
      <c r="K231" s="1741"/>
      <c r="L231" s="1741"/>
      <c r="M231" s="1741"/>
      <c r="N231" s="1741"/>
      <c r="O231" s="1741"/>
      <c r="P231" s="1741"/>
      <c r="Q231" s="1741"/>
      <c r="R231" s="1741"/>
      <c r="S231" s="1741"/>
      <c r="T231" s="1741"/>
      <c r="U231" s="1741"/>
      <c r="V231" s="1741"/>
      <c r="W231" s="1741"/>
      <c r="X231" s="1741"/>
      <c r="Y231" s="1741"/>
      <c r="Z231" s="1741"/>
      <c r="AA231" s="1741"/>
      <c r="AB231" s="1741"/>
      <c r="AC231" s="1741"/>
      <c r="AD231" s="1741"/>
      <c r="AE231" s="1741"/>
      <c r="AF231" s="1741"/>
      <c r="AG231" s="1741"/>
      <c r="AH231" s="1741"/>
      <c r="AI231" s="1741"/>
      <c r="AJ231" s="1741"/>
      <c r="AK231" s="1741"/>
      <c r="AL231" s="1741"/>
      <c r="AM231" s="1741"/>
      <c r="AN231" s="1741"/>
      <c r="AO231" s="1741"/>
      <c r="AP231" s="1741"/>
      <c r="AQ231" s="1741"/>
      <c r="AR231" s="1741"/>
      <c r="AS231" s="1741"/>
      <c r="AT231" s="1741"/>
      <c r="AU231" s="95"/>
      <c r="AV231" s="95"/>
      <c r="AW231" s="95"/>
      <c r="AX231" s="95"/>
      <c r="AY231" s="95"/>
      <c r="AZ231" s="3"/>
      <c r="BA231" s="3"/>
      <c r="BP231" s="34"/>
    </row>
    <row r="232" spans="1:69" ht="13.05" customHeight="1">
      <c r="A232" s="1741"/>
      <c r="B232" s="1741"/>
      <c r="C232" s="1741"/>
      <c r="D232" s="1741"/>
      <c r="E232" s="1741"/>
      <c r="F232" s="1741"/>
      <c r="G232" s="1741"/>
      <c r="H232" s="1741"/>
      <c r="I232" s="1741"/>
      <c r="J232" s="1741"/>
      <c r="K232" s="1741"/>
      <c r="L232" s="1741"/>
      <c r="M232" s="1741"/>
      <c r="N232" s="1741"/>
      <c r="O232" s="1741"/>
      <c r="P232" s="1741"/>
      <c r="Q232" s="1741"/>
      <c r="R232" s="1741"/>
      <c r="S232" s="1741"/>
      <c r="T232" s="1741"/>
      <c r="U232" s="1741"/>
      <c r="V232" s="1741"/>
      <c r="W232" s="1741"/>
      <c r="X232" s="1741"/>
      <c r="Y232" s="1741"/>
      <c r="Z232" s="1741"/>
      <c r="AA232" s="1741"/>
      <c r="AB232" s="1741"/>
      <c r="AC232" s="1741"/>
      <c r="AD232" s="1741"/>
      <c r="AE232" s="1741"/>
      <c r="AF232" s="1741"/>
      <c r="AG232" s="1741"/>
      <c r="AH232" s="1741"/>
      <c r="AI232" s="1741"/>
      <c r="AJ232" s="1741"/>
      <c r="AK232" s="1741"/>
      <c r="AL232" s="1741"/>
      <c r="AM232" s="1741"/>
      <c r="AN232" s="1741"/>
      <c r="AO232" s="1741"/>
      <c r="AP232" s="1741"/>
      <c r="AQ232" s="1741"/>
      <c r="AR232" s="1741"/>
      <c r="AS232" s="1741"/>
      <c r="AT232" s="1741"/>
      <c r="BA232" s="3"/>
      <c r="BB232" s="3"/>
      <c r="BQ232" s="34"/>
    </row>
    <row r="233" spans="1:69" ht="13.05" customHeight="1">
      <c r="AZ233" s="4"/>
      <c r="BA233" s="3"/>
      <c r="BB233" s="3"/>
      <c r="BQ233" s="34"/>
    </row>
    <row r="234" spans="1:69" ht="13.05" customHeight="1">
      <c r="A234" s="2" t="s">
        <v>319</v>
      </c>
      <c r="B234" s="2"/>
      <c r="C234" s="2" t="s">
        <v>2036</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3.05"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599" t="s">
        <v>591</v>
      </c>
      <c r="AJ235" s="1599"/>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3.05"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599" t="s">
        <v>545</v>
      </c>
      <c r="AJ236" s="1599"/>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3.0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599" t="s">
        <v>591</v>
      </c>
      <c r="AJ237" s="1599"/>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3.0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599" t="s">
        <v>591</v>
      </c>
      <c r="AJ238" s="1599"/>
      <c r="AL238" s="3"/>
      <c r="AM238" s="3"/>
      <c r="AN238" s="3"/>
      <c r="AO238" s="3"/>
      <c r="AP238" s="3"/>
      <c r="AQ238" s="3"/>
      <c r="AR238" s="3"/>
      <c r="AS238" s="3"/>
      <c r="AT238" s="3"/>
      <c r="AU238" s="3"/>
      <c r="AV238" s="3"/>
      <c r="AW238" s="3"/>
      <c r="AX238" s="3"/>
      <c r="AY238" s="3"/>
      <c r="BA238" s="3"/>
      <c r="BB238" s="204" t="s">
        <v>538</v>
      </c>
      <c r="BG238" s="241">
        <f>IF(AND(AND($M$258="for profit",$M$266="nonprofit",$M$274="(select one)")),2,0)</f>
        <v>0</v>
      </c>
    </row>
    <row r="239" spans="1:69" ht="13.0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2</v>
      </c>
    </row>
    <row r="240" spans="1:69" ht="13.05" customHeight="1">
      <c r="A240" s="2" t="s">
        <v>576</v>
      </c>
      <c r="B240" s="4"/>
      <c r="C240" s="2" t="s">
        <v>2037</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3.05" customHeight="1">
      <c r="D241" s="4" t="s">
        <v>470</v>
      </c>
      <c r="E241" s="4"/>
      <c r="F241" s="4"/>
      <c r="G241" s="4"/>
      <c r="H241" s="4"/>
      <c r="I241" s="4"/>
      <c r="J241" s="4"/>
      <c r="K241" s="4"/>
      <c r="M241" s="2040" t="str">
        <f>H16</f>
        <v>CRP Driftwood Flats LP</v>
      </c>
      <c r="N241" s="2040"/>
      <c r="O241" s="2040"/>
      <c r="P241" s="2040"/>
      <c r="Q241" s="2040"/>
      <c r="R241" s="2040"/>
      <c r="S241" s="2040"/>
      <c r="T241" s="2040"/>
      <c r="U241" s="2040"/>
      <c r="V241" s="2040"/>
      <c r="W241" s="2040"/>
      <c r="X241" s="2040"/>
      <c r="Y241" s="2040"/>
      <c r="Z241" s="2040"/>
      <c r="AA241" s="2040"/>
      <c r="AB241" s="2040"/>
      <c r="AC241" s="2040"/>
      <c r="AD241" s="2040"/>
      <c r="AE241" s="2040"/>
      <c r="AF241" s="2040"/>
      <c r="AG241" s="2040"/>
      <c r="AH241" s="2040"/>
      <c r="AI241" s="2040"/>
      <c r="AJ241" s="2040"/>
      <c r="AK241" s="2040"/>
      <c r="AZ241" s="4"/>
      <c r="BA241" s="3"/>
      <c r="BB241" s="205" t="s">
        <v>538</v>
      </c>
      <c r="BG241" s="241">
        <f>IF(AND(AND($M$258="nonprofit",$M$266="nonprofit",$M$274="for profit")),2,0)</f>
        <v>0</v>
      </c>
    </row>
    <row r="242" spans="1:67" ht="13.05" customHeight="1">
      <c r="D242" s="4" t="s">
        <v>85</v>
      </c>
      <c r="E242" s="4"/>
      <c r="F242" s="4"/>
      <c r="G242" s="4"/>
      <c r="H242" s="4"/>
      <c r="I242" s="4"/>
      <c r="J242" s="4"/>
      <c r="K242" s="4"/>
      <c r="M242" s="1737" t="s">
        <v>2649</v>
      </c>
      <c r="N242" s="1737"/>
      <c r="O242" s="1737"/>
      <c r="P242" s="1737"/>
      <c r="Q242" s="1737"/>
      <c r="R242" s="1737"/>
      <c r="S242" s="1737"/>
      <c r="T242" s="1737"/>
      <c r="U242" s="1737"/>
      <c r="V242" s="1737"/>
      <c r="W242" s="1737"/>
      <c r="X242" s="1737"/>
      <c r="Y242" s="1737"/>
      <c r="Z242" s="1737"/>
      <c r="AA242" s="1737"/>
      <c r="AB242" s="1737"/>
      <c r="AC242" s="1737"/>
      <c r="AD242" s="1737"/>
      <c r="AE242" s="1737"/>
      <c r="BB242" s="205" t="s">
        <v>538</v>
      </c>
      <c r="BG242" s="241">
        <f>IF(AND(AND($M$258="nonprofit",$M$266="for profit",$M$274="nonprofit")),2,0)</f>
        <v>0</v>
      </c>
    </row>
    <row r="243" spans="1:67" ht="13.05" customHeight="1">
      <c r="D243" s="4" t="s">
        <v>580</v>
      </c>
      <c r="E243" s="4"/>
      <c r="M243" s="1737" t="s">
        <v>2650</v>
      </c>
      <c r="N243" s="1737"/>
      <c r="O243" s="1737"/>
      <c r="P243" s="1737"/>
      <c r="Q243" s="1737"/>
      <c r="R243" s="1737"/>
      <c r="S243" s="1737"/>
      <c r="T243" s="1737"/>
      <c r="V243" s="33" t="s">
        <v>86</v>
      </c>
      <c r="W243" s="1642" t="s">
        <v>2652</v>
      </c>
      <c r="X243" s="1749"/>
      <c r="Y243" s="4" t="s">
        <v>583</v>
      </c>
      <c r="AC243" s="1737">
        <v>10168</v>
      </c>
      <c r="AD243" s="1737"/>
      <c r="AE243" s="1737"/>
      <c r="AU243" s="4"/>
      <c r="AV243" s="4"/>
      <c r="AW243" s="4"/>
      <c r="AX243" s="4"/>
      <c r="AY243" s="4"/>
      <c r="AZ243" s="4"/>
      <c r="BB243" s="205" t="s">
        <v>538</v>
      </c>
      <c r="BG243" s="240">
        <f>IF(AND(AND($M$258="for profit",$M$266="nonprofit",$M$274="nonprofit")),2,0)</f>
        <v>0</v>
      </c>
    </row>
    <row r="244" spans="1:67" ht="13.05" customHeight="1">
      <c r="D244" s="4" t="s">
        <v>87</v>
      </c>
      <c r="E244" s="4"/>
      <c r="F244" s="4"/>
      <c r="G244" s="4"/>
      <c r="H244" s="4"/>
      <c r="I244" s="4"/>
      <c r="J244" s="4"/>
      <c r="K244" s="19"/>
      <c r="M244" s="1737" t="s">
        <v>2651</v>
      </c>
      <c r="N244" s="1737"/>
      <c r="O244" s="1737"/>
      <c r="P244" s="1737"/>
      <c r="Q244" s="1737"/>
      <c r="R244" s="1737"/>
      <c r="S244" s="1737"/>
      <c r="T244" s="1737"/>
      <c r="U244" s="1737"/>
      <c r="V244" s="1737"/>
      <c r="W244" s="1737"/>
      <c r="X244" s="1737"/>
      <c r="Y244" s="1737"/>
      <c r="Z244" s="1737"/>
      <c r="AA244" s="1737"/>
      <c r="AB244" s="1737"/>
      <c r="AC244" s="1737"/>
      <c r="AD244" s="1737"/>
      <c r="AE244" s="1737"/>
      <c r="AI244" s="4"/>
      <c r="AJ244" s="4"/>
      <c r="AK244" s="4"/>
      <c r="AL244" s="4"/>
      <c r="AM244" s="4"/>
      <c r="AN244" s="4"/>
      <c r="AO244" s="4"/>
      <c r="AP244" s="4"/>
      <c r="AQ244" s="4"/>
      <c r="AR244" s="4"/>
      <c r="AS244" s="4"/>
      <c r="AT244" s="4"/>
      <c r="BB244" s="205"/>
      <c r="BG244" s="204"/>
    </row>
    <row r="245" spans="1:67" ht="13.05" customHeight="1">
      <c r="D245" s="4" t="s">
        <v>88</v>
      </c>
      <c r="E245" s="4"/>
      <c r="F245" s="4"/>
      <c r="M245" s="1714" t="s">
        <v>2653</v>
      </c>
      <c r="N245" s="1714"/>
      <c r="O245" s="1714"/>
      <c r="P245" s="1714"/>
      <c r="Q245" s="1714"/>
      <c r="R245" s="1714"/>
      <c r="S245" s="4" t="s">
        <v>206</v>
      </c>
      <c r="T245" s="4"/>
      <c r="U245" s="1749"/>
      <c r="V245" s="1749"/>
      <c r="W245" s="1749"/>
      <c r="X245" s="4" t="s">
        <v>89</v>
      </c>
      <c r="Z245" s="1714"/>
      <c r="AA245" s="1714"/>
      <c r="AB245" s="1714"/>
      <c r="AC245" s="1714"/>
      <c r="AD245" s="1714"/>
      <c r="AE245" s="1714"/>
      <c r="AU245" s="4"/>
      <c r="AV245" s="4"/>
      <c r="AW245" s="4"/>
      <c r="AX245" s="4"/>
      <c r="AY245" s="4"/>
      <c r="AZ245" s="4"/>
      <c r="BB245" s="204" t="s">
        <v>537</v>
      </c>
      <c r="BG245" s="241">
        <f>IF(AND(AND($M$258="nonprofit",$M$266="nonprofit",$M$274="(select one)")),1,0)</f>
        <v>0</v>
      </c>
    </row>
    <row r="246" spans="1:67" ht="13.05" customHeight="1">
      <c r="D246" s="4" t="s">
        <v>90</v>
      </c>
      <c r="E246" s="4"/>
      <c r="F246" s="4"/>
      <c r="M246" s="2030" t="s">
        <v>2654</v>
      </c>
      <c r="N246" s="2030"/>
      <c r="O246" s="2030"/>
      <c r="P246" s="2030"/>
      <c r="Q246" s="2030"/>
      <c r="R246" s="2030"/>
      <c r="S246" s="2030"/>
      <c r="T246" s="2030"/>
      <c r="U246" s="2030"/>
      <c r="V246" s="2030"/>
      <c r="W246" s="2030"/>
      <c r="X246" s="2030"/>
      <c r="Y246" s="2030"/>
      <c r="Z246" s="2030"/>
      <c r="AA246" s="2030"/>
      <c r="AB246" s="2030"/>
      <c r="AC246" s="2030"/>
      <c r="AD246" s="2030"/>
      <c r="AE246" s="2030"/>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3.05" customHeight="1">
      <c r="A247" s="2" t="s">
        <v>586</v>
      </c>
      <c r="C247" s="2" t="s">
        <v>525</v>
      </c>
      <c r="M247" s="1710" t="s">
        <v>528</v>
      </c>
      <c r="N247" s="1710"/>
      <c r="O247" s="1710"/>
      <c r="P247" s="1710"/>
      <c r="Q247" s="1710"/>
      <c r="R247" s="1710"/>
      <c r="S247" s="1710"/>
      <c r="T247" s="1710"/>
      <c r="U247" s="204" t="s">
        <v>906</v>
      </c>
      <c r="V247" s="204"/>
      <c r="W247" s="204"/>
      <c r="X247" s="204"/>
      <c r="Y247" s="204"/>
      <c r="Z247" s="204"/>
      <c r="AA247" s="2032" t="s">
        <v>2655</v>
      </c>
      <c r="AB247" s="2032"/>
      <c r="AC247" s="2032"/>
      <c r="AD247" s="2032"/>
      <c r="AE247" s="2032"/>
      <c r="AF247" s="2032"/>
      <c r="AG247" s="2032"/>
      <c r="AH247" s="2032"/>
      <c r="AI247" s="2032"/>
      <c r="AJ247" s="2032"/>
      <c r="AK247" s="2032"/>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3.05" customHeight="1">
      <c r="D248" t="s">
        <v>531</v>
      </c>
      <c r="M248" s="1705"/>
      <c r="N248" s="1705"/>
      <c r="O248" s="1705"/>
      <c r="P248" s="1705"/>
      <c r="Q248" s="1705"/>
      <c r="R248" s="1705"/>
      <c r="S248" s="1705"/>
      <c r="T248" s="1705"/>
      <c r="U248" s="1705"/>
      <c r="V248" s="1705"/>
      <c r="W248" s="1705"/>
      <c r="X248" s="1705"/>
      <c r="Y248" s="1705"/>
      <c r="Z248" s="1705"/>
      <c r="AA248" s="1705"/>
      <c r="AB248" s="1705"/>
      <c r="AC248" s="1705"/>
      <c r="AD248" s="1705"/>
      <c r="AE248" s="1705"/>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3.05" customHeight="1">
      <c r="D249" s="4"/>
      <c r="BB249" s="204" t="s">
        <v>877</v>
      </c>
      <c r="BG249" s="241">
        <f>IF(AND(AND($M$258="for profit",$M$266="for profit",$M$274="for profit")),3,0)</f>
        <v>0</v>
      </c>
    </row>
    <row r="250" spans="1:67" ht="13.05" customHeight="1">
      <c r="A250" s="2" t="s">
        <v>589</v>
      </c>
      <c r="C250" s="2" t="s">
        <v>1182</v>
      </c>
      <c r="D250" s="4"/>
      <c r="L250" s="8"/>
      <c r="M250" s="8"/>
      <c r="N250" s="8"/>
      <c r="AU250" s="3"/>
      <c r="AV250" s="3"/>
      <c r="AW250" s="3"/>
      <c r="AX250" s="3"/>
      <c r="AY250" s="3"/>
      <c r="BB250" s="204" t="s">
        <v>877</v>
      </c>
      <c r="BG250" s="241">
        <f>IF(AND(AND($M$258="for profit",$M$266="(select one)",$M$274="(select one)")),3,0)</f>
        <v>0</v>
      </c>
    </row>
    <row r="251" spans="1:67" ht="13.0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3.05" customHeight="1">
      <c r="A252" s="19"/>
      <c r="B252" s="4"/>
      <c r="C252" s="56" t="s">
        <v>473</v>
      </c>
      <c r="D252" s="4" t="s">
        <v>532</v>
      </c>
      <c r="E252" s="4"/>
      <c r="F252" s="4"/>
      <c r="G252" s="4"/>
      <c r="H252" s="4"/>
      <c r="I252" s="4"/>
      <c r="J252" s="4"/>
      <c r="K252" s="4"/>
      <c r="L252" s="4"/>
      <c r="M252" s="1740" t="s">
        <v>2635</v>
      </c>
      <c r="N252" s="1740"/>
      <c r="O252" s="1740"/>
      <c r="P252" s="1740"/>
      <c r="Q252" s="1740"/>
      <c r="R252" s="1740"/>
      <c r="S252" s="1740"/>
      <c r="T252" s="1740"/>
      <c r="U252" s="1740"/>
      <c r="V252" s="1740"/>
      <c r="W252" s="1740"/>
      <c r="X252" s="1740"/>
      <c r="Y252" s="1740"/>
      <c r="Z252" s="1740"/>
      <c r="AA252" s="1740"/>
      <c r="AB252" s="1740"/>
      <c r="AC252" s="1740"/>
      <c r="AD252" s="1740"/>
      <c r="AE252" s="1740"/>
      <c r="AF252" s="1740" t="s">
        <v>2660</v>
      </c>
      <c r="AG252" s="1740"/>
      <c r="AH252" s="1740"/>
      <c r="AI252" s="1740"/>
      <c r="AJ252" s="1740"/>
      <c r="AK252" s="1740"/>
      <c r="AU252" s="4"/>
      <c r="AV252" s="4"/>
      <c r="AW252" s="4"/>
      <c r="AX252" s="4"/>
      <c r="AY252" s="4"/>
      <c r="BG252">
        <f>SUM(BG235:BG250)</f>
        <v>2</v>
      </c>
    </row>
    <row r="253" spans="1:67" ht="13.05" customHeight="1">
      <c r="A253" s="19"/>
      <c r="B253" s="4"/>
      <c r="C253" s="4"/>
      <c r="D253" s="4" t="s">
        <v>85</v>
      </c>
      <c r="E253" s="4"/>
      <c r="F253" s="4"/>
      <c r="G253" s="4"/>
      <c r="H253" s="4"/>
      <c r="I253" s="4"/>
      <c r="J253" s="4"/>
      <c r="K253" s="4"/>
      <c r="L253" s="4"/>
      <c r="M253" s="1736" t="s">
        <v>2771</v>
      </c>
      <c r="N253" s="1737"/>
      <c r="O253" s="1737"/>
      <c r="P253" s="1737"/>
      <c r="Q253" s="1737"/>
      <c r="R253" s="1737"/>
      <c r="S253" s="1737"/>
      <c r="T253" s="1737"/>
      <c r="U253" s="1737"/>
      <c r="V253" s="1737"/>
      <c r="W253" s="1737"/>
      <c r="X253" s="1737"/>
      <c r="Y253" s="1737"/>
      <c r="Z253" s="1737"/>
      <c r="AA253" s="1737"/>
      <c r="AB253" s="1737"/>
      <c r="AC253" s="1737"/>
      <c r="AD253" s="1737"/>
      <c r="AE253" s="1737"/>
      <c r="AF253" s="3" t="s">
        <v>1178</v>
      </c>
      <c r="AL253" s="4"/>
      <c r="AM253" s="4"/>
      <c r="AN253" s="4"/>
      <c r="AO253" s="4"/>
      <c r="AP253" s="4"/>
      <c r="AQ253" s="4"/>
      <c r="AR253" s="4"/>
      <c r="AS253" s="4"/>
      <c r="AT253" s="4"/>
      <c r="BB253" t="s">
        <v>307</v>
      </c>
      <c r="BG253">
        <v>1</v>
      </c>
      <c r="BH253" t="s">
        <v>534</v>
      </c>
    </row>
    <row r="254" spans="1:67" ht="13.05" customHeight="1">
      <c r="A254" s="19"/>
      <c r="B254" s="4"/>
      <c r="C254" s="4"/>
      <c r="D254" s="4" t="s">
        <v>580</v>
      </c>
      <c r="E254" s="4"/>
      <c r="M254" s="1737" t="s">
        <v>2656</v>
      </c>
      <c r="N254" s="1737"/>
      <c r="O254" s="1737"/>
      <c r="P254" s="1737"/>
      <c r="Q254" s="1737"/>
      <c r="R254" s="1737"/>
      <c r="S254" s="1737"/>
      <c r="T254" s="1737"/>
      <c r="V254" s="33" t="s">
        <v>86</v>
      </c>
      <c r="W254" s="1642" t="s">
        <v>2770</v>
      </c>
      <c r="X254" s="1749"/>
      <c r="Y254" s="4" t="s">
        <v>583</v>
      </c>
      <c r="AC254" s="1737">
        <v>96001</v>
      </c>
      <c r="AD254" s="1737"/>
      <c r="AE254" s="1737"/>
      <c r="AF254" s="3" t="s">
        <v>1179</v>
      </c>
      <c r="AU254" s="4"/>
      <c r="AV254" s="4"/>
      <c r="AW254" s="4"/>
      <c r="AX254" s="4"/>
      <c r="AY254" s="4"/>
      <c r="BB254" s="4" t="s">
        <v>280</v>
      </c>
      <c r="BG254">
        <v>2</v>
      </c>
      <c r="BH254" t="s">
        <v>566</v>
      </c>
      <c r="BO254" s="239" t="str">
        <f>VLOOKUP(BG252,BG253:BH256,2,FALSE)</f>
        <v>Joint Venture</v>
      </c>
    </row>
    <row r="255" spans="1:67" ht="13.05" customHeight="1">
      <c r="A255" s="19"/>
      <c r="B255" s="4"/>
      <c r="C255" s="4"/>
      <c r="D255" s="4" t="s">
        <v>87</v>
      </c>
      <c r="E255" s="4"/>
      <c r="F255" s="4"/>
      <c r="G255" s="4"/>
      <c r="H255" s="4"/>
      <c r="I255" s="4"/>
      <c r="J255" s="4"/>
      <c r="K255" s="4"/>
      <c r="L255" s="19"/>
      <c r="M255" s="1737" t="s">
        <v>2657</v>
      </c>
      <c r="N255" s="1737"/>
      <c r="O255" s="1737"/>
      <c r="P255" s="1737"/>
      <c r="Q255" s="1737"/>
      <c r="R255" s="1737"/>
      <c r="S255" s="1737"/>
      <c r="T255" s="1737"/>
      <c r="U255" s="1737"/>
      <c r="V255" s="1737"/>
      <c r="W255" s="1737"/>
      <c r="X255" s="1737"/>
      <c r="Y255" s="1737"/>
      <c r="Z255" s="1737"/>
      <c r="AA255" s="1737"/>
      <c r="AB255" s="1737"/>
      <c r="AC255" s="1737"/>
      <c r="AD255" s="1737"/>
      <c r="AE255" s="1737"/>
      <c r="AH255" s="2029">
        <v>5.1000000000000004E-4</v>
      </c>
      <c r="AI255" s="2029"/>
      <c r="AJ255" s="2029"/>
      <c r="AK255" s="2029"/>
      <c r="AL255" s="4"/>
      <c r="AM255" s="4"/>
      <c r="AN255" s="4"/>
      <c r="AO255" s="4"/>
      <c r="AP255" s="4"/>
      <c r="AQ255" s="4"/>
      <c r="AR255" s="4"/>
      <c r="AS255" s="4"/>
      <c r="AT255" s="4"/>
      <c r="BB255" s="4" t="s">
        <v>173</v>
      </c>
      <c r="BG255">
        <v>3</v>
      </c>
      <c r="BH255" t="s">
        <v>536</v>
      </c>
      <c r="BN255" s="34"/>
    </row>
    <row r="256" spans="1:67" ht="13.05" customHeight="1">
      <c r="A256" s="19"/>
      <c r="B256" s="4"/>
      <c r="C256" s="4"/>
      <c r="D256" s="4" t="s">
        <v>88</v>
      </c>
      <c r="E256" s="4"/>
      <c r="F256" s="4"/>
      <c r="M256" s="1714" t="s">
        <v>2658</v>
      </c>
      <c r="N256" s="1714"/>
      <c r="O256" s="1714"/>
      <c r="P256" s="1714"/>
      <c r="Q256" s="1714"/>
      <c r="R256" s="1714"/>
      <c r="S256" s="4" t="s">
        <v>206</v>
      </c>
      <c r="T256" s="4"/>
      <c r="U256" s="1749"/>
      <c r="V256" s="1749"/>
      <c r="W256" s="1749"/>
      <c r="X256" s="4" t="s">
        <v>89</v>
      </c>
      <c r="Z256" s="1714"/>
      <c r="AA256" s="1714"/>
      <c r="AB256" s="1714"/>
      <c r="AC256" s="1714"/>
      <c r="AD256" s="1714"/>
      <c r="AE256" s="1714"/>
      <c r="AU256" s="4"/>
      <c r="AV256" s="4"/>
      <c r="AW256" s="4"/>
      <c r="AX256" s="4"/>
      <c r="AY256" s="4"/>
      <c r="BG256">
        <v>0</v>
      </c>
      <c r="BH256" s="3" t="str">
        <f>""</f>
        <v/>
      </c>
      <c r="BN256" s="34"/>
    </row>
    <row r="257" spans="1:66" ht="13.05" customHeight="1">
      <c r="A257" s="19"/>
      <c r="B257" s="4"/>
      <c r="C257" s="4"/>
      <c r="D257" s="4" t="s">
        <v>90</v>
      </c>
      <c r="E257" s="4"/>
      <c r="F257" s="4"/>
      <c r="M257" s="2030" t="s">
        <v>2659</v>
      </c>
      <c r="N257" s="2030"/>
      <c r="O257" s="2030"/>
      <c r="P257" s="2030"/>
      <c r="Q257" s="2030"/>
      <c r="R257" s="2030"/>
      <c r="S257" s="2030"/>
      <c r="T257" s="2030"/>
      <c r="U257" s="2030"/>
      <c r="V257" s="2030"/>
      <c r="W257" s="2030"/>
      <c r="X257" s="2030"/>
      <c r="Y257" s="2030"/>
      <c r="Z257" s="2030"/>
      <c r="AA257" s="2030"/>
      <c r="AB257" s="2030"/>
      <c r="AC257" s="2030"/>
      <c r="AD257" s="2030"/>
      <c r="AE257" s="2030"/>
      <c r="AG257" s="4"/>
      <c r="AH257" s="4"/>
      <c r="AI257" s="4"/>
      <c r="AJ257" s="4"/>
      <c r="AK257" s="4"/>
      <c r="AL257" s="4"/>
      <c r="AM257" s="4"/>
      <c r="AN257" s="4"/>
      <c r="AO257" s="4"/>
      <c r="AP257" s="4"/>
      <c r="AQ257" s="4"/>
      <c r="AR257" s="4"/>
      <c r="AS257" s="4"/>
      <c r="AT257" s="4"/>
      <c r="BN257" s="34"/>
    </row>
    <row r="258" spans="1:66" ht="13.05" customHeight="1">
      <c r="A258" s="13"/>
      <c r="B258" s="4"/>
      <c r="C258" s="56"/>
      <c r="D258" s="4" t="s">
        <v>535</v>
      </c>
      <c r="E258" s="4"/>
      <c r="F258" s="4"/>
      <c r="G258" s="4"/>
      <c r="H258" s="4"/>
      <c r="I258" s="4"/>
      <c r="J258" s="4"/>
      <c r="K258" s="4"/>
      <c r="L258" s="4"/>
      <c r="M258" s="1710" t="s">
        <v>534</v>
      </c>
      <c r="N258" s="1710"/>
      <c r="O258" s="1710"/>
      <c r="P258" s="1710"/>
      <c r="Q258" s="1710"/>
      <c r="R258" s="1710"/>
      <c r="S258" s="1710"/>
      <c r="T258" s="1710"/>
      <c r="U258" s="204" t="s">
        <v>906</v>
      </c>
      <c r="V258" s="204"/>
      <c r="W258" s="204"/>
      <c r="X258" s="204"/>
      <c r="Y258" s="204"/>
      <c r="Z258" s="204"/>
      <c r="AA258" s="2032"/>
      <c r="AB258" s="2032"/>
      <c r="AC258" s="2032"/>
      <c r="AD258" s="2032"/>
      <c r="AE258" s="2032"/>
      <c r="AF258" s="2032"/>
      <c r="AG258" s="2032"/>
      <c r="AH258" s="2032"/>
      <c r="AI258" s="2032"/>
      <c r="AJ258" s="2032"/>
      <c r="AK258" s="2032"/>
      <c r="BN258" s="34"/>
    </row>
    <row r="259" spans="1:66" ht="13.05" customHeight="1">
      <c r="A259" s="19"/>
      <c r="B259" s="4"/>
      <c r="C259" s="4"/>
      <c r="D259" s="4"/>
      <c r="E259" s="4"/>
      <c r="F259" s="4"/>
      <c r="G259" s="4"/>
      <c r="H259" s="4"/>
      <c r="I259" s="4"/>
      <c r="J259" s="4"/>
      <c r="K259" s="4"/>
      <c r="L259" s="4"/>
      <c r="AG259" s="4"/>
      <c r="AH259" s="4"/>
      <c r="AI259" s="4"/>
      <c r="AJ259" s="4"/>
      <c r="BN259" s="34"/>
    </row>
    <row r="260" spans="1:66" ht="13.05" customHeight="1">
      <c r="A260" s="2"/>
      <c r="B260" s="4"/>
      <c r="C260" s="56" t="s">
        <v>98</v>
      </c>
      <c r="D260" s="4" t="s">
        <v>955</v>
      </c>
      <c r="E260" s="4"/>
      <c r="F260" s="4"/>
      <c r="G260" s="4"/>
      <c r="H260" s="4"/>
      <c r="I260" s="4"/>
      <c r="J260" s="4"/>
      <c r="K260" s="4"/>
      <c r="L260" s="4"/>
      <c r="M260" s="1740" t="s">
        <v>2636</v>
      </c>
      <c r="N260" s="1740"/>
      <c r="O260" s="1740"/>
      <c r="P260" s="1740"/>
      <c r="Q260" s="1740"/>
      <c r="R260" s="1740"/>
      <c r="S260" s="1740"/>
      <c r="T260" s="1740"/>
      <c r="U260" s="1740"/>
      <c r="V260" s="1740"/>
      <c r="W260" s="1740"/>
      <c r="X260" s="1740"/>
      <c r="Y260" s="1740"/>
      <c r="Z260" s="1740"/>
      <c r="AA260" s="1740"/>
      <c r="AB260" s="1740"/>
      <c r="AC260" s="1740"/>
      <c r="AD260" s="1740"/>
      <c r="AE260" s="1740"/>
      <c r="AF260" s="1740" t="s">
        <v>2755</v>
      </c>
      <c r="AG260" s="1740"/>
      <c r="AH260" s="1740"/>
      <c r="AI260" s="1740"/>
      <c r="AJ260" s="1740"/>
      <c r="AK260" s="1740"/>
      <c r="AU260" s="4"/>
      <c r="AV260" s="4"/>
      <c r="AW260" s="4"/>
      <c r="AX260" s="4"/>
      <c r="AY260" s="4"/>
      <c r="BN260" s="34"/>
    </row>
    <row r="261" spans="1:66" ht="13.05" customHeight="1">
      <c r="A261" s="19"/>
      <c r="B261" s="4"/>
      <c r="C261" s="4"/>
      <c r="D261" s="4" t="s">
        <v>85</v>
      </c>
      <c r="E261" s="4"/>
      <c r="F261" s="4"/>
      <c r="G261" s="4"/>
      <c r="H261" s="4"/>
      <c r="I261" s="4"/>
      <c r="J261" s="4"/>
      <c r="K261" s="4"/>
      <c r="L261" s="4"/>
      <c r="M261" s="1736" t="s">
        <v>2781</v>
      </c>
      <c r="N261" s="1737"/>
      <c r="O261" s="1737"/>
      <c r="P261" s="1737"/>
      <c r="Q261" s="1737"/>
      <c r="R261" s="1737"/>
      <c r="S261" s="1737"/>
      <c r="T261" s="1737"/>
      <c r="U261" s="1737"/>
      <c r="V261" s="1737"/>
      <c r="W261" s="1737"/>
      <c r="X261" s="1737"/>
      <c r="Y261" s="1737"/>
      <c r="Z261" s="1737"/>
      <c r="AA261" s="1737"/>
      <c r="AB261" s="1737"/>
      <c r="AC261" s="1737"/>
      <c r="AD261" s="1737"/>
      <c r="AE261" s="1737"/>
      <c r="AF261" s="3" t="s">
        <v>1178</v>
      </c>
      <c r="AL261" s="4"/>
      <c r="AM261" s="4"/>
      <c r="AN261" s="4"/>
      <c r="AO261" s="4"/>
      <c r="AP261" s="4"/>
      <c r="AQ261" s="4"/>
      <c r="AR261" s="4"/>
      <c r="AS261" s="4"/>
      <c r="AT261" s="4"/>
      <c r="BN261" s="34"/>
    </row>
    <row r="262" spans="1:66" ht="13.05" customHeight="1">
      <c r="A262" s="19"/>
      <c r="B262" s="4"/>
      <c r="C262" s="4"/>
      <c r="D262" s="4" t="s">
        <v>580</v>
      </c>
      <c r="E262" s="4"/>
      <c r="M262" s="1736" t="s">
        <v>2650</v>
      </c>
      <c r="N262" s="1737"/>
      <c r="O262" s="1737"/>
      <c r="P262" s="1737"/>
      <c r="Q262" s="1737"/>
      <c r="R262" s="1737"/>
      <c r="S262" s="1737"/>
      <c r="T262" s="1737"/>
      <c r="V262" s="33" t="s">
        <v>86</v>
      </c>
      <c r="W262" s="1642" t="s">
        <v>2652</v>
      </c>
      <c r="X262" s="1749"/>
      <c r="Y262" s="4" t="s">
        <v>583</v>
      </c>
      <c r="AC262" s="1737">
        <v>10168</v>
      </c>
      <c r="AD262" s="1737"/>
      <c r="AE262" s="1737"/>
      <c r="AF262" s="3" t="s">
        <v>1179</v>
      </c>
      <c r="AU262" s="4"/>
      <c r="AV262" s="4"/>
      <c r="AW262" s="4"/>
      <c r="AX262" s="4"/>
      <c r="AY262" s="4"/>
      <c r="BN262" s="34"/>
    </row>
    <row r="263" spans="1:66" ht="13.05" customHeight="1">
      <c r="A263" s="19"/>
      <c r="B263" s="4"/>
      <c r="C263" s="4"/>
      <c r="D263" s="4" t="s">
        <v>87</v>
      </c>
      <c r="E263" s="4"/>
      <c r="F263" s="4"/>
      <c r="G263" s="4"/>
      <c r="H263" s="4"/>
      <c r="I263" s="4"/>
      <c r="J263" s="4"/>
      <c r="K263" s="4"/>
      <c r="L263" s="19"/>
      <c r="M263" s="1736" t="s">
        <v>2651</v>
      </c>
      <c r="N263" s="1737"/>
      <c r="O263" s="1737"/>
      <c r="P263" s="1737"/>
      <c r="Q263" s="1737"/>
      <c r="R263" s="1737"/>
      <c r="S263" s="1737"/>
      <c r="T263" s="1737"/>
      <c r="U263" s="1737"/>
      <c r="V263" s="1737"/>
      <c r="W263" s="1737"/>
      <c r="X263" s="1737"/>
      <c r="Y263" s="1737"/>
      <c r="Z263" s="1737"/>
      <c r="AA263" s="1737"/>
      <c r="AB263" s="1737"/>
      <c r="AC263" s="1737"/>
      <c r="AD263" s="1737"/>
      <c r="AE263" s="1737"/>
      <c r="AH263" s="2029">
        <v>4.8999999999999998E-4</v>
      </c>
      <c r="AI263" s="2029"/>
      <c r="AJ263" s="2029"/>
      <c r="AK263" s="2029"/>
      <c r="AL263" s="4"/>
      <c r="AM263" s="4"/>
      <c r="AN263" s="4"/>
      <c r="AO263" s="4"/>
      <c r="AP263" s="4"/>
      <c r="AQ263" s="4"/>
      <c r="AR263" s="4"/>
      <c r="AS263" s="4"/>
      <c r="AT263" s="4"/>
    </row>
    <row r="264" spans="1:66" ht="13.05" customHeight="1">
      <c r="A264" s="19"/>
      <c r="B264" s="4"/>
      <c r="C264" s="4"/>
      <c r="D264" s="4" t="s">
        <v>88</v>
      </c>
      <c r="E264" s="4"/>
      <c r="F264" s="4"/>
      <c r="M264" s="1714" t="s">
        <v>2653</v>
      </c>
      <c r="N264" s="1714"/>
      <c r="O264" s="1714"/>
      <c r="P264" s="1714"/>
      <c r="Q264" s="1714"/>
      <c r="R264" s="1714"/>
      <c r="S264" s="4" t="s">
        <v>206</v>
      </c>
      <c r="T264" s="4"/>
      <c r="U264" s="1749"/>
      <c r="V264" s="1749"/>
      <c r="W264" s="1749"/>
      <c r="X264" s="4" t="s">
        <v>89</v>
      </c>
      <c r="Z264" s="1714"/>
      <c r="AA264" s="1714"/>
      <c r="AB264" s="1714"/>
      <c r="AC264" s="1714"/>
      <c r="AD264" s="1714"/>
      <c r="AE264" s="1714"/>
      <c r="AU264" s="4"/>
      <c r="AV264" s="4"/>
      <c r="AW264" s="4"/>
      <c r="AX264" s="4"/>
      <c r="AY264" s="4"/>
      <c r="BN264" s="34"/>
    </row>
    <row r="265" spans="1:66" ht="13.05" customHeight="1">
      <c r="A265" s="19"/>
      <c r="B265" s="4"/>
      <c r="C265" s="4"/>
      <c r="D265" s="4" t="s">
        <v>90</v>
      </c>
      <c r="E265" s="4"/>
      <c r="F265" s="4"/>
      <c r="M265" s="2030" t="s">
        <v>2654</v>
      </c>
      <c r="N265" s="2030"/>
      <c r="O265" s="2030"/>
      <c r="P265" s="2030"/>
      <c r="Q265" s="2030"/>
      <c r="R265" s="2030"/>
      <c r="S265" s="2030"/>
      <c r="T265" s="2030"/>
      <c r="U265" s="2030"/>
      <c r="V265" s="2030"/>
      <c r="W265" s="2030"/>
      <c r="X265" s="2030"/>
      <c r="Y265" s="2030"/>
      <c r="Z265" s="2030"/>
      <c r="AA265" s="2030"/>
      <c r="AB265" s="2030"/>
      <c r="AC265" s="2030"/>
      <c r="AD265" s="2030"/>
      <c r="AE265" s="2030"/>
      <c r="AG265" s="4"/>
      <c r="AH265" s="4"/>
      <c r="AI265" s="4"/>
      <c r="AJ265" s="4"/>
      <c r="AK265" s="4"/>
      <c r="AL265" s="4"/>
      <c r="AM265" s="4"/>
      <c r="AN265" s="4"/>
      <c r="AO265" s="4"/>
      <c r="AP265" s="4"/>
      <c r="AQ265" s="4"/>
      <c r="AR265" s="4"/>
      <c r="AS265" s="4"/>
      <c r="AT265" s="4"/>
      <c r="AU265" s="3"/>
      <c r="AV265" s="3"/>
      <c r="AW265" s="3"/>
      <c r="AX265" s="3"/>
      <c r="AY265" s="3"/>
      <c r="BN265" s="34"/>
    </row>
    <row r="266" spans="1:66" ht="13.05" customHeight="1">
      <c r="A266" s="13"/>
      <c r="B266" s="4"/>
      <c r="C266" s="56"/>
      <c r="D266" s="4" t="s">
        <v>535</v>
      </c>
      <c r="E266" s="4"/>
      <c r="F266" s="4"/>
      <c r="G266" s="4"/>
      <c r="H266" s="4"/>
      <c r="I266" s="4"/>
      <c r="J266" s="4"/>
      <c r="K266" s="4"/>
      <c r="L266" s="4"/>
      <c r="M266" s="1710" t="s">
        <v>536</v>
      </c>
      <c r="N266" s="1710"/>
      <c r="O266" s="1710"/>
      <c r="P266" s="1710"/>
      <c r="Q266" s="1710"/>
      <c r="R266" s="1710"/>
      <c r="S266" s="1710"/>
      <c r="T266" s="1710"/>
      <c r="U266" s="204" t="s">
        <v>906</v>
      </c>
      <c r="V266" s="204"/>
      <c r="W266" s="204"/>
      <c r="X266" s="204"/>
      <c r="Y266" s="204"/>
      <c r="Z266" s="204"/>
      <c r="AA266" s="2032" t="s">
        <v>2661</v>
      </c>
      <c r="AB266" s="2032"/>
      <c r="AC266" s="2032"/>
      <c r="AD266" s="2032"/>
      <c r="AE266" s="2032"/>
      <c r="AF266" s="2032"/>
      <c r="AG266" s="2032"/>
      <c r="AH266" s="2032"/>
      <c r="AI266" s="2032"/>
      <c r="AJ266" s="2032"/>
      <c r="AK266" s="2032"/>
      <c r="AL266" s="3"/>
      <c r="AM266" s="3"/>
      <c r="AN266" s="3"/>
      <c r="AO266" s="3"/>
      <c r="AP266" s="3"/>
      <c r="AQ266" s="3"/>
      <c r="AR266" s="3"/>
      <c r="AS266" s="3"/>
      <c r="AT266" s="3"/>
      <c r="AU266" s="3"/>
      <c r="AV266" s="3"/>
      <c r="AW266" s="3"/>
      <c r="AX266" s="3"/>
      <c r="AY266" s="3"/>
    </row>
    <row r="267" spans="1:66" ht="13.0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3.05" customHeight="1">
      <c r="A268" s="13"/>
      <c r="B268" s="4"/>
      <c r="C268" s="56" t="s">
        <v>876</v>
      </c>
      <c r="D268" s="4" t="s">
        <v>532</v>
      </c>
      <c r="E268" s="4"/>
      <c r="F268" s="4"/>
      <c r="G268" s="4"/>
      <c r="H268" s="4"/>
      <c r="I268" s="4"/>
      <c r="J268" s="4"/>
      <c r="K268" s="4"/>
      <c r="L268" s="4"/>
      <c r="M268" s="1740"/>
      <c r="N268" s="1740"/>
      <c r="O268" s="1740"/>
      <c r="P268" s="1740"/>
      <c r="Q268" s="1740"/>
      <c r="R268" s="1740"/>
      <c r="S268" s="1740"/>
      <c r="T268" s="1740"/>
      <c r="U268" s="1740"/>
      <c r="V268" s="1740"/>
      <c r="W268" s="1740"/>
      <c r="X268" s="1740"/>
      <c r="Y268" s="1740"/>
      <c r="Z268" s="1740"/>
      <c r="AA268" s="1740"/>
      <c r="AB268" s="1740"/>
      <c r="AC268" s="1740"/>
      <c r="AD268" s="1740"/>
      <c r="AE268" s="1740"/>
      <c r="AF268" s="1740" t="s">
        <v>307</v>
      </c>
      <c r="AG268" s="1740"/>
      <c r="AH268" s="1740"/>
      <c r="AI268" s="1740"/>
      <c r="AJ268" s="1740"/>
      <c r="AK268" s="1740"/>
      <c r="AL268" s="3"/>
      <c r="AM268" s="3"/>
      <c r="AN268" s="3"/>
      <c r="AO268" s="3"/>
      <c r="AP268" s="3"/>
      <c r="AQ268" s="3"/>
      <c r="AR268" s="3"/>
      <c r="AS268" s="3"/>
      <c r="AT268" s="3"/>
      <c r="AU268" s="3"/>
      <c r="AV268" s="3"/>
      <c r="AW268" s="3"/>
      <c r="AX268" s="3"/>
      <c r="AY268" s="3"/>
    </row>
    <row r="269" spans="1:66" ht="13.05" customHeight="1">
      <c r="A269" s="13"/>
      <c r="B269" s="4"/>
      <c r="C269" s="4"/>
      <c r="D269" s="4" t="s">
        <v>85</v>
      </c>
      <c r="E269" s="4"/>
      <c r="F269" s="4"/>
      <c r="G269" s="4"/>
      <c r="H269" s="4"/>
      <c r="I269" s="4"/>
      <c r="J269" s="4"/>
      <c r="K269" s="4"/>
      <c r="L269" s="4"/>
      <c r="M269" s="1737"/>
      <c r="N269" s="1737"/>
      <c r="O269" s="1737"/>
      <c r="P269" s="1737"/>
      <c r="Q269" s="1737"/>
      <c r="R269" s="1737"/>
      <c r="S269" s="1737"/>
      <c r="T269" s="1737"/>
      <c r="U269" s="1737"/>
      <c r="V269" s="1737"/>
      <c r="W269" s="1737"/>
      <c r="X269" s="1737"/>
      <c r="Y269" s="1737"/>
      <c r="Z269" s="1737"/>
      <c r="AA269" s="1737"/>
      <c r="AB269" s="1737"/>
      <c r="AC269" s="1737"/>
      <c r="AD269" s="1737"/>
      <c r="AE269" s="1737"/>
      <c r="AF269" s="3" t="s">
        <v>1178</v>
      </c>
      <c r="AL269" s="3"/>
      <c r="AM269" s="3"/>
      <c r="AN269" s="3"/>
      <c r="AO269" s="3"/>
      <c r="AP269" s="3"/>
      <c r="AQ269" s="3"/>
      <c r="AR269" s="3"/>
      <c r="AS269" s="3"/>
      <c r="AT269" s="3"/>
      <c r="AU269" s="3"/>
      <c r="AV269" s="3"/>
      <c r="AW269" s="3"/>
      <c r="AX269" s="3"/>
      <c r="AY269" s="3"/>
    </row>
    <row r="270" spans="1:66" ht="13.05" customHeight="1">
      <c r="A270" s="13"/>
      <c r="B270" s="4"/>
      <c r="C270" s="4"/>
      <c r="D270" s="4" t="s">
        <v>580</v>
      </c>
      <c r="E270" s="4"/>
      <c r="M270" s="1737"/>
      <c r="N270" s="1737"/>
      <c r="O270" s="1737"/>
      <c r="P270" s="1737"/>
      <c r="Q270" s="1737"/>
      <c r="R270" s="1737"/>
      <c r="S270" s="1737"/>
      <c r="T270" s="1737"/>
      <c r="V270" s="33" t="s">
        <v>86</v>
      </c>
      <c r="W270" s="1749"/>
      <c r="X270" s="1749"/>
      <c r="Y270" s="4" t="s">
        <v>583</v>
      </c>
      <c r="AC270" s="1737"/>
      <c r="AD270" s="1737"/>
      <c r="AE270" s="1737"/>
      <c r="AF270" s="3" t="s">
        <v>1179</v>
      </c>
      <c r="AL270" s="3"/>
      <c r="AM270" s="3"/>
      <c r="AN270" s="3"/>
      <c r="AO270" s="3"/>
      <c r="AP270" s="3"/>
      <c r="AQ270" s="3"/>
      <c r="AR270" s="3"/>
      <c r="AS270" s="3"/>
      <c r="AT270" s="3"/>
      <c r="AU270" s="3"/>
      <c r="AV270" s="3"/>
      <c r="AW270" s="3"/>
      <c r="AX270" s="3"/>
      <c r="AY270" s="3"/>
    </row>
    <row r="271" spans="1:66" ht="13.05" customHeight="1">
      <c r="A271" s="13"/>
      <c r="B271" s="4"/>
      <c r="C271" s="4"/>
      <c r="D271" s="4" t="s">
        <v>87</v>
      </c>
      <c r="E271" s="4"/>
      <c r="F271" s="4"/>
      <c r="G271" s="4"/>
      <c r="H271" s="4"/>
      <c r="I271" s="4"/>
      <c r="J271" s="4"/>
      <c r="K271" s="4"/>
      <c r="L271" s="19"/>
      <c r="M271" s="1737"/>
      <c r="N271" s="1737"/>
      <c r="O271" s="1737"/>
      <c r="P271" s="1737"/>
      <c r="Q271" s="1737"/>
      <c r="R271" s="1737"/>
      <c r="S271" s="1737"/>
      <c r="T271" s="1737"/>
      <c r="U271" s="1737"/>
      <c r="V271" s="1737"/>
      <c r="W271" s="1737"/>
      <c r="X271" s="1737"/>
      <c r="Y271" s="1737"/>
      <c r="Z271" s="1737"/>
      <c r="AA271" s="1737"/>
      <c r="AB271" s="1737"/>
      <c r="AC271" s="1737"/>
      <c r="AD271" s="1737"/>
      <c r="AE271" s="1737"/>
      <c r="AH271" s="2029"/>
      <c r="AI271" s="2029"/>
      <c r="AJ271" s="2029"/>
      <c r="AK271" s="2029"/>
      <c r="AL271" s="3"/>
      <c r="AM271" s="3"/>
      <c r="AN271" s="3"/>
      <c r="AO271" s="3"/>
      <c r="AP271" s="3"/>
      <c r="AQ271" s="3"/>
      <c r="AR271" s="3"/>
      <c r="AS271" s="3"/>
      <c r="AT271" s="3"/>
      <c r="AU271" s="3"/>
      <c r="AV271" s="3"/>
      <c r="AW271" s="3"/>
      <c r="AX271" s="3"/>
      <c r="AY271" s="3"/>
    </row>
    <row r="272" spans="1:66" ht="13.05" customHeight="1">
      <c r="A272" s="13"/>
      <c r="B272" s="4"/>
      <c r="C272" s="4"/>
      <c r="D272" s="4" t="s">
        <v>88</v>
      </c>
      <c r="E272" s="4"/>
      <c r="F272" s="4"/>
      <c r="M272" s="1714"/>
      <c r="N272" s="1714"/>
      <c r="O272" s="1714"/>
      <c r="P272" s="1714"/>
      <c r="Q272" s="1714"/>
      <c r="R272" s="1714"/>
      <c r="S272" s="4" t="s">
        <v>206</v>
      </c>
      <c r="T272" s="4"/>
      <c r="U272" s="1749"/>
      <c r="V272" s="1749"/>
      <c r="W272" s="1749"/>
      <c r="X272" s="4" t="s">
        <v>89</v>
      </c>
      <c r="Z272" s="1714"/>
      <c r="AA272" s="1714"/>
      <c r="AB272" s="1714"/>
      <c r="AC272" s="1714"/>
      <c r="AD272" s="1714"/>
      <c r="AE272" s="1714"/>
      <c r="AL272" s="3"/>
      <c r="AM272" s="3"/>
      <c r="AN272" s="3"/>
      <c r="AO272" s="3"/>
      <c r="AP272" s="3"/>
      <c r="AQ272" s="3"/>
      <c r="AR272" s="3"/>
      <c r="AS272" s="3"/>
      <c r="AT272" s="3"/>
      <c r="AU272" s="3"/>
      <c r="AV272" s="3"/>
      <c r="AW272" s="3"/>
      <c r="AX272" s="3"/>
      <c r="AY272" s="3"/>
    </row>
    <row r="273" spans="1:51" ht="13.05" customHeight="1">
      <c r="A273" s="13"/>
      <c r="B273" s="4"/>
      <c r="C273" s="4"/>
      <c r="D273" s="4" t="s">
        <v>90</v>
      </c>
      <c r="E273" s="4"/>
      <c r="F273" s="4"/>
      <c r="M273" s="2030"/>
      <c r="N273" s="2030"/>
      <c r="O273" s="2030"/>
      <c r="P273" s="2030"/>
      <c r="Q273" s="2030"/>
      <c r="R273" s="2030"/>
      <c r="S273" s="2030"/>
      <c r="T273" s="2030"/>
      <c r="U273" s="2030"/>
      <c r="V273" s="2030"/>
      <c r="W273" s="2030"/>
      <c r="X273" s="2030"/>
      <c r="Y273" s="2030"/>
      <c r="Z273" s="2030"/>
      <c r="AA273" s="2034"/>
      <c r="AB273" s="2034"/>
      <c r="AC273" s="2034"/>
      <c r="AD273" s="2034"/>
      <c r="AE273" s="2034"/>
      <c r="AG273" s="4"/>
      <c r="AH273" s="4"/>
      <c r="AI273" s="4"/>
      <c r="AJ273" s="4"/>
      <c r="AK273" s="4"/>
      <c r="AL273" s="3"/>
      <c r="AM273" s="3"/>
      <c r="AN273" s="3"/>
      <c r="AO273" s="3"/>
      <c r="AP273" s="3"/>
      <c r="AQ273" s="3"/>
      <c r="AR273" s="3"/>
      <c r="AS273" s="3"/>
      <c r="AT273" s="3"/>
      <c r="AU273" s="3"/>
      <c r="AV273" s="3"/>
      <c r="AW273" s="3"/>
      <c r="AX273" s="3"/>
      <c r="AY273" s="3"/>
    </row>
    <row r="274" spans="1:51" ht="13.05" customHeight="1">
      <c r="A274" s="13"/>
      <c r="B274" s="4"/>
      <c r="C274" s="56"/>
      <c r="D274" s="4" t="s">
        <v>535</v>
      </c>
      <c r="E274" s="4"/>
      <c r="F274" s="4"/>
      <c r="G274" s="4"/>
      <c r="H274" s="4"/>
      <c r="I274" s="4"/>
      <c r="J274" s="4"/>
      <c r="K274" s="4"/>
      <c r="L274" s="4"/>
      <c r="M274" s="1710" t="s">
        <v>307</v>
      </c>
      <c r="N274" s="1710"/>
      <c r="O274" s="1710"/>
      <c r="P274" s="1710"/>
      <c r="Q274" s="1710"/>
      <c r="R274" s="1710"/>
      <c r="S274" s="1710"/>
      <c r="T274" s="1710"/>
      <c r="U274" s="204" t="s">
        <v>906</v>
      </c>
      <c r="V274" s="204"/>
      <c r="W274" s="204"/>
      <c r="X274" s="204"/>
      <c r="Y274" s="204"/>
      <c r="Z274" s="204"/>
      <c r="AA274" s="2033"/>
      <c r="AB274" s="2033"/>
      <c r="AC274" s="2033"/>
      <c r="AD274" s="2033"/>
      <c r="AE274" s="2033"/>
      <c r="AF274" s="2033"/>
      <c r="AG274" s="2033"/>
      <c r="AH274" s="2033"/>
      <c r="AI274" s="2033"/>
      <c r="AJ274" s="2033"/>
      <c r="AK274" s="2033"/>
      <c r="AL274" s="3"/>
      <c r="AM274" s="3"/>
      <c r="AN274" s="3"/>
      <c r="AO274" s="3"/>
      <c r="AP274" s="3"/>
      <c r="AQ274" s="3"/>
      <c r="AR274" s="3"/>
      <c r="AS274" s="3"/>
      <c r="AT274" s="3"/>
    </row>
    <row r="275" spans="1:51" ht="13.0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3.05" customHeight="1">
      <c r="A276" s="57" t="s">
        <v>590</v>
      </c>
      <c r="B276" s="4"/>
      <c r="C276" s="2" t="s">
        <v>295</v>
      </c>
      <c r="D276" s="4"/>
      <c r="E276" s="4"/>
      <c r="F276" s="4"/>
      <c r="G276" s="4"/>
      <c r="H276" s="4"/>
      <c r="I276" s="4"/>
      <c r="J276" s="4"/>
      <c r="K276" s="4"/>
      <c r="L276" s="4"/>
      <c r="M276" s="35"/>
      <c r="N276" s="35"/>
      <c r="O276" s="35"/>
      <c r="P276" s="35"/>
      <c r="Q276" s="35"/>
      <c r="T276" s="2031" t="str">
        <f>IFERROR(BO254,"")</f>
        <v>Joint Venture</v>
      </c>
      <c r="U276" s="2031"/>
      <c r="V276" s="2031"/>
      <c r="W276" s="2031"/>
      <c r="X276" s="2031"/>
      <c r="Z276" s="307" t="s">
        <v>954</v>
      </c>
      <c r="AA276" s="308"/>
      <c r="AB276" s="308"/>
      <c r="AC276" s="308"/>
      <c r="AD276" s="105"/>
      <c r="AE276" s="105"/>
      <c r="AF276" s="105"/>
      <c r="AG276" s="105"/>
      <c r="AH276" s="105"/>
      <c r="AI276" s="105"/>
      <c r="AJ276" s="105"/>
      <c r="AK276" s="309"/>
      <c r="AL276" s="58"/>
    </row>
    <row r="277" spans="1:51" ht="13.05"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3.05"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3.05" customHeight="1">
      <c r="A279" s="4"/>
      <c r="B279" s="36">
        <v>0</v>
      </c>
      <c r="D279" s="1737" t="s">
        <v>280</v>
      </c>
      <c r="E279" s="1737"/>
      <c r="F279" s="1737"/>
      <c r="G279" s="1737"/>
      <c r="H279" s="1737"/>
      <c r="J279" t="s">
        <v>279</v>
      </c>
      <c r="X279" s="1984"/>
      <c r="Y279" s="1984"/>
      <c r="Z279" s="1984"/>
      <c r="AA279" s="1984"/>
      <c r="AB279" s="1984"/>
      <c r="AC279" s="1984"/>
      <c r="AU279" s="3"/>
      <c r="AV279" s="3"/>
      <c r="AW279" s="3"/>
      <c r="AX279" s="3"/>
      <c r="AY279" s="3"/>
    </row>
    <row r="280" spans="1:51" ht="13.0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3.0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3.05"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3.05" customHeight="1">
      <c r="D283" s="4" t="s">
        <v>296</v>
      </c>
      <c r="E283" s="4"/>
      <c r="F283" s="4"/>
      <c r="G283" s="4"/>
      <c r="H283" s="4"/>
      <c r="I283" s="4"/>
      <c r="J283" s="4"/>
      <c r="K283" s="4"/>
      <c r="L283" s="1740" t="s">
        <v>2662</v>
      </c>
      <c r="M283" s="1740"/>
      <c r="N283" s="1740"/>
      <c r="O283" s="1740"/>
      <c r="P283" s="1740"/>
      <c r="Q283" s="1740"/>
      <c r="R283" s="1740"/>
      <c r="S283" s="1740"/>
      <c r="T283" s="1740"/>
      <c r="U283" s="1740"/>
      <c r="V283" s="1740"/>
      <c r="W283" s="1740"/>
      <c r="X283" s="1740"/>
      <c r="Y283" s="1740"/>
      <c r="Z283" s="1740"/>
      <c r="AA283" s="1740"/>
      <c r="AB283" s="1740"/>
      <c r="AC283" s="1740"/>
      <c r="AD283" s="1740"/>
      <c r="AE283" s="1740"/>
      <c r="AF283" s="1740"/>
      <c r="AG283" s="1740"/>
      <c r="AH283" s="1740"/>
      <c r="AI283" s="1740"/>
      <c r="AJ283" s="1740"/>
      <c r="AK283" s="3"/>
      <c r="AL283" s="3"/>
      <c r="AM283" s="3"/>
      <c r="AN283" s="3"/>
      <c r="AO283" s="3"/>
      <c r="AP283" s="3"/>
      <c r="AQ283" s="3"/>
      <c r="AR283" s="3"/>
      <c r="AS283" s="3"/>
      <c r="AT283" s="3"/>
      <c r="AU283" s="3"/>
      <c r="AV283" s="3"/>
      <c r="AW283" s="3"/>
      <c r="AX283" s="3"/>
      <c r="AY283" s="3"/>
    </row>
    <row r="284" spans="1:51" ht="13.05" customHeight="1">
      <c r="D284" s="4" t="s">
        <v>85</v>
      </c>
      <c r="E284" s="4"/>
      <c r="F284" s="4"/>
      <c r="G284" s="4"/>
      <c r="H284" s="4"/>
      <c r="I284" s="4"/>
      <c r="J284" s="4"/>
      <c r="K284" s="4"/>
      <c r="L284" s="1737" t="s">
        <v>2663</v>
      </c>
      <c r="M284" s="1737"/>
      <c r="N284" s="1737"/>
      <c r="O284" s="1737"/>
      <c r="P284" s="1737"/>
      <c r="Q284" s="1737"/>
      <c r="R284" s="1737"/>
      <c r="S284" s="1737"/>
      <c r="T284" s="1737"/>
      <c r="U284" s="1737"/>
      <c r="V284" s="1737"/>
      <c r="W284" s="1737"/>
      <c r="X284" s="1737"/>
      <c r="Y284" s="1737"/>
      <c r="Z284" s="1737"/>
      <c r="AA284" s="1737"/>
      <c r="AB284" s="1737"/>
      <c r="AC284" s="1737"/>
      <c r="AD284" s="1737"/>
      <c r="AK284" s="3"/>
      <c r="AL284" s="3"/>
      <c r="AM284" s="3"/>
      <c r="AN284" s="3"/>
      <c r="AO284" s="3"/>
      <c r="AP284" s="3"/>
      <c r="AQ284" s="3"/>
      <c r="AR284" s="3"/>
      <c r="AS284" s="3"/>
      <c r="AT284" s="3"/>
      <c r="AU284" s="3"/>
      <c r="AV284" s="3"/>
      <c r="AW284" s="3"/>
      <c r="AX284" s="3"/>
      <c r="AY284" s="3"/>
    </row>
    <row r="285" spans="1:51" ht="13.05" customHeight="1">
      <c r="D285" s="4" t="s">
        <v>580</v>
      </c>
      <c r="E285" s="4"/>
      <c r="L285" s="1736" t="s">
        <v>2650</v>
      </c>
      <c r="M285" s="1737"/>
      <c r="N285" s="1737"/>
      <c r="O285" s="1737"/>
      <c r="P285" s="1737"/>
      <c r="Q285" s="1737"/>
      <c r="R285" s="1737"/>
      <c r="S285" s="1737"/>
      <c r="U285" s="33" t="s">
        <v>86</v>
      </c>
      <c r="V285" s="1642" t="s">
        <v>2652</v>
      </c>
      <c r="W285" s="1749"/>
      <c r="X285" s="4" t="s">
        <v>583</v>
      </c>
      <c r="AB285" s="1737">
        <v>10168</v>
      </c>
      <c r="AC285" s="1737"/>
      <c r="AD285" s="1737"/>
      <c r="AK285" s="3"/>
      <c r="AL285" s="3"/>
      <c r="AM285" s="3"/>
      <c r="AN285" s="3"/>
      <c r="AO285" s="3"/>
      <c r="AP285" s="3"/>
      <c r="AQ285" s="3"/>
      <c r="AR285" s="3"/>
      <c r="AS285" s="3"/>
      <c r="AT285" s="3"/>
      <c r="AU285" s="3"/>
      <c r="AV285" s="3"/>
      <c r="AW285" s="3"/>
      <c r="AX285" s="3"/>
      <c r="AY285" s="3"/>
    </row>
    <row r="286" spans="1:51" ht="13.05" customHeight="1">
      <c r="D286" s="4" t="s">
        <v>87</v>
      </c>
      <c r="E286" s="4"/>
      <c r="F286" s="4"/>
      <c r="G286" s="4"/>
      <c r="H286" s="4"/>
      <c r="I286" s="4"/>
      <c r="J286" s="4"/>
      <c r="K286" s="19"/>
      <c r="L286" s="1736" t="s">
        <v>2664</v>
      </c>
      <c r="M286" s="1737"/>
      <c r="N286" s="1737"/>
      <c r="O286" s="1737"/>
      <c r="P286" s="1737"/>
      <c r="Q286" s="1737"/>
      <c r="R286" s="1737"/>
      <c r="S286" s="1737"/>
      <c r="T286" s="1737"/>
      <c r="U286" s="1737"/>
      <c r="V286" s="1737"/>
      <c r="W286" s="1737"/>
      <c r="X286" s="1737"/>
      <c r="Y286" s="1737"/>
      <c r="Z286" s="1737"/>
      <c r="AA286" s="1737"/>
      <c r="AB286" s="1737"/>
      <c r="AC286" s="1737"/>
      <c r="AD286" s="1737"/>
      <c r="AI286" s="4"/>
      <c r="AJ286" s="4"/>
      <c r="AK286" s="3"/>
      <c r="AL286" s="3"/>
      <c r="AM286" s="3"/>
      <c r="AN286" s="3"/>
      <c r="AO286" s="3"/>
      <c r="AP286" s="3"/>
      <c r="AQ286" s="3"/>
      <c r="AR286" s="3"/>
      <c r="AS286" s="3"/>
      <c r="AT286" s="3"/>
    </row>
    <row r="287" spans="1:51" ht="13.05" customHeight="1">
      <c r="D287" s="4" t="s">
        <v>88</v>
      </c>
      <c r="E287" s="4"/>
      <c r="F287" s="4"/>
      <c r="L287" s="1714" t="s">
        <v>2665</v>
      </c>
      <c r="M287" s="1714"/>
      <c r="N287" s="1714"/>
      <c r="O287" s="1714"/>
      <c r="P287" s="1714"/>
      <c r="Q287" s="1714"/>
      <c r="R287" s="4" t="s">
        <v>206</v>
      </c>
      <c r="S287" s="4"/>
      <c r="T287" s="1749"/>
      <c r="U287" s="1749"/>
      <c r="V287" s="1749"/>
      <c r="W287" s="4" t="s">
        <v>89</v>
      </c>
      <c r="Y287" s="1714"/>
      <c r="Z287" s="1714"/>
      <c r="AA287" s="1714"/>
      <c r="AB287" s="1714"/>
      <c r="AC287" s="1714"/>
      <c r="AD287" s="1714"/>
    </row>
    <row r="288" spans="1:51" ht="13.05" customHeight="1">
      <c r="D288" s="4" t="s">
        <v>90</v>
      </c>
      <c r="E288" s="4"/>
      <c r="F288" s="4"/>
      <c r="L288" s="2030" t="s">
        <v>2666</v>
      </c>
      <c r="M288" s="2030"/>
      <c r="N288" s="2030"/>
      <c r="O288" s="2030"/>
      <c r="P288" s="2030"/>
      <c r="Q288" s="2030"/>
      <c r="R288" s="2030"/>
      <c r="S288" s="2030"/>
      <c r="T288" s="2030"/>
      <c r="U288" s="2030"/>
      <c r="V288" s="2030"/>
      <c r="W288" s="2030"/>
      <c r="X288" s="2030"/>
      <c r="Y288" s="2030"/>
      <c r="Z288" s="2030"/>
      <c r="AA288" s="2030"/>
      <c r="AB288" s="2030"/>
      <c r="AC288" s="2030"/>
      <c r="AD288" s="2030"/>
      <c r="AF288" s="4"/>
      <c r="AG288" s="4"/>
      <c r="AH288" s="4"/>
      <c r="AI288" s="4"/>
      <c r="AJ288" s="4"/>
      <c r="AU288" s="3"/>
      <c r="AV288" s="3"/>
      <c r="AW288" s="3"/>
      <c r="AX288" s="3"/>
      <c r="AY288" s="3"/>
    </row>
    <row r="289" spans="1:51" ht="13.05" customHeight="1">
      <c r="D289" s="3" t="s">
        <v>623</v>
      </c>
      <c r="E289" s="3"/>
      <c r="F289" s="3"/>
      <c r="G289" s="3"/>
      <c r="H289" s="3"/>
      <c r="I289" s="3"/>
      <c r="L289" s="1642" t="s">
        <v>2667</v>
      </c>
      <c r="M289" s="1642"/>
      <c r="N289" s="1642"/>
      <c r="O289" s="1642"/>
      <c r="P289" s="1642"/>
      <c r="Q289" s="1642"/>
      <c r="R289" s="1642"/>
      <c r="S289" s="1642"/>
      <c r="T289" s="1642"/>
      <c r="U289" s="1642"/>
      <c r="V289" s="1642"/>
      <c r="W289" s="1642"/>
      <c r="X289" s="1642"/>
      <c r="Y289" s="1642"/>
      <c r="Z289" s="1642"/>
      <c r="AA289" s="1642"/>
      <c r="AB289" s="1642"/>
      <c r="AC289" s="1642"/>
      <c r="AD289" s="1642"/>
      <c r="AK289" s="3"/>
      <c r="AL289" s="3"/>
      <c r="AM289" s="3"/>
      <c r="AN289" s="3"/>
      <c r="AO289" s="3"/>
      <c r="AP289" s="3"/>
      <c r="AQ289" s="3"/>
      <c r="AR289" s="3"/>
      <c r="AS289" s="3"/>
      <c r="AT289" s="3"/>
    </row>
    <row r="290" spans="1:51" ht="13.05" customHeight="1">
      <c r="L290" s="22" t="s">
        <v>624</v>
      </c>
      <c r="AU290" s="95"/>
      <c r="AV290" s="95"/>
      <c r="AW290" s="95"/>
      <c r="AX290" s="95"/>
      <c r="AY290" s="95"/>
    </row>
    <row r="291" spans="1:51" ht="13.05" customHeight="1">
      <c r="A291" s="1741" t="s">
        <v>541</v>
      </c>
      <c r="B291" s="1741"/>
      <c r="C291" s="1741"/>
      <c r="D291" s="1741"/>
      <c r="E291" s="1741"/>
      <c r="F291" s="1741"/>
      <c r="G291" s="1741"/>
      <c r="H291" s="1741"/>
      <c r="I291" s="1741"/>
      <c r="J291" s="1741"/>
      <c r="K291" s="1741"/>
      <c r="L291" s="1741"/>
      <c r="M291" s="1741"/>
      <c r="N291" s="1741"/>
      <c r="O291" s="1741"/>
      <c r="P291" s="1741"/>
      <c r="Q291" s="1741"/>
      <c r="R291" s="1741"/>
      <c r="S291" s="1741"/>
      <c r="T291" s="1741"/>
      <c r="U291" s="1741"/>
      <c r="V291" s="1741"/>
      <c r="W291" s="1741"/>
      <c r="X291" s="1741"/>
      <c r="Y291" s="1741"/>
      <c r="Z291" s="1741"/>
      <c r="AA291" s="1741"/>
      <c r="AB291" s="1741"/>
      <c r="AC291" s="1741"/>
      <c r="AD291" s="1741"/>
      <c r="AE291" s="1741"/>
      <c r="AF291" s="1741"/>
      <c r="AG291" s="1741"/>
      <c r="AH291" s="1741"/>
      <c r="AI291" s="1741"/>
      <c r="AJ291" s="1741"/>
      <c r="AK291" s="1741"/>
      <c r="AL291" s="1741"/>
      <c r="AM291" s="1741"/>
      <c r="AN291" s="1741"/>
      <c r="AO291" s="1741"/>
      <c r="AP291" s="1741"/>
      <c r="AQ291" s="1741"/>
      <c r="AR291" s="1741"/>
      <c r="AS291" s="1741"/>
      <c r="AT291" s="1741"/>
      <c r="AU291" s="95"/>
      <c r="AV291" s="95"/>
      <c r="AW291" s="95"/>
      <c r="AX291" s="95"/>
      <c r="AY291" s="95"/>
    </row>
    <row r="292" spans="1:51" ht="13.05" customHeight="1">
      <c r="A292" s="1741"/>
      <c r="B292" s="1741"/>
      <c r="C292" s="1741"/>
      <c r="D292" s="1741"/>
      <c r="E292" s="1741"/>
      <c r="F292" s="1741"/>
      <c r="G292" s="1741"/>
      <c r="H292" s="1741"/>
      <c r="I292" s="1741"/>
      <c r="J292" s="1741"/>
      <c r="K292" s="1741"/>
      <c r="L292" s="1741"/>
      <c r="M292" s="1741"/>
      <c r="N292" s="1741"/>
      <c r="O292" s="1741"/>
      <c r="P292" s="1741"/>
      <c r="Q292" s="1741"/>
      <c r="R292" s="1741"/>
      <c r="S292" s="1741"/>
      <c r="T292" s="1741"/>
      <c r="U292" s="1741"/>
      <c r="V292" s="1741"/>
      <c r="W292" s="1741"/>
      <c r="X292" s="1741"/>
      <c r="Y292" s="1741"/>
      <c r="Z292" s="1741"/>
      <c r="AA292" s="1741"/>
      <c r="AB292" s="1741"/>
      <c r="AC292" s="1741"/>
      <c r="AD292" s="1741"/>
      <c r="AE292" s="1741"/>
      <c r="AF292" s="1741"/>
      <c r="AG292" s="1741"/>
      <c r="AH292" s="1741"/>
      <c r="AI292" s="1741"/>
      <c r="AJ292" s="1741"/>
      <c r="AK292" s="1741"/>
      <c r="AL292" s="1741"/>
      <c r="AM292" s="1741"/>
      <c r="AN292" s="1741"/>
      <c r="AO292" s="1741"/>
      <c r="AP292" s="1741"/>
      <c r="AQ292" s="1741"/>
      <c r="AR292" s="1741"/>
      <c r="AS292" s="1741"/>
      <c r="AT292" s="1741"/>
      <c r="AU292" s="25"/>
      <c r="AV292" s="25"/>
      <c r="AW292" s="25"/>
      <c r="AX292" s="25"/>
      <c r="AY292" s="25"/>
    </row>
    <row r="293" spans="1:51" ht="13.0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3.05"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0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05" customHeight="1">
      <c r="B296" s="3" t="s">
        <v>626</v>
      </c>
      <c r="C296" s="3"/>
      <c r="D296" s="3"/>
      <c r="E296" s="3"/>
      <c r="F296" s="3"/>
      <c r="H296" s="1705" t="s">
        <v>2668</v>
      </c>
      <c r="I296" s="1705"/>
      <c r="J296" s="1705"/>
      <c r="K296" s="1705"/>
      <c r="L296" s="1705"/>
      <c r="M296" s="1705"/>
      <c r="N296" s="1705"/>
      <c r="O296" s="1705"/>
      <c r="P296" s="1705"/>
      <c r="Q296" s="1705"/>
      <c r="R296" s="1705"/>
      <c r="T296" s="3" t="s">
        <v>567</v>
      </c>
      <c r="V296" s="3"/>
      <c r="W296" s="3"/>
      <c r="X296" s="3"/>
      <c r="Y296" s="3"/>
      <c r="AA296" s="1705" t="s">
        <v>2671</v>
      </c>
      <c r="AB296" s="1705"/>
      <c r="AC296" s="1705"/>
      <c r="AD296" s="1705"/>
      <c r="AE296" s="1705"/>
      <c r="AF296" s="1705"/>
      <c r="AG296" s="1705"/>
      <c r="AH296" s="1705"/>
      <c r="AI296" s="1705"/>
      <c r="AJ296" s="1705"/>
      <c r="AK296" s="1705"/>
    </row>
    <row r="297" spans="1:51" ht="13.05" customHeight="1">
      <c r="B297" s="3" t="s">
        <v>471</v>
      </c>
      <c r="C297" s="3"/>
      <c r="D297" s="3"/>
      <c r="E297" s="3"/>
      <c r="F297" s="3"/>
      <c r="H297" s="1710" t="s">
        <v>2649</v>
      </c>
      <c r="I297" s="1710"/>
      <c r="J297" s="1710"/>
      <c r="K297" s="1710"/>
      <c r="L297" s="1710"/>
      <c r="M297" s="1710"/>
      <c r="N297" s="1710"/>
      <c r="O297" s="1710"/>
      <c r="P297" s="1710"/>
      <c r="Q297" s="1710"/>
      <c r="R297" s="1710"/>
      <c r="T297" s="3" t="s">
        <v>471</v>
      </c>
      <c r="V297" s="3"/>
      <c r="W297" s="3"/>
      <c r="X297" s="3"/>
      <c r="Y297" s="3"/>
      <c r="AA297" s="1710" t="s">
        <v>2672</v>
      </c>
      <c r="AB297" s="1710"/>
      <c r="AC297" s="1710"/>
      <c r="AD297" s="1710"/>
      <c r="AE297" s="1710"/>
      <c r="AF297" s="1710"/>
      <c r="AG297" s="1710"/>
      <c r="AH297" s="1710"/>
      <c r="AI297" s="1710"/>
      <c r="AJ297" s="1710"/>
      <c r="AK297" s="1710"/>
    </row>
    <row r="298" spans="1:51" ht="13.05" customHeight="1">
      <c r="B298" s="3" t="s">
        <v>472</v>
      </c>
      <c r="C298" s="3"/>
      <c r="D298" s="3"/>
      <c r="E298" s="3"/>
      <c r="F298" s="3"/>
      <c r="H298" s="1710" t="s">
        <v>2669</v>
      </c>
      <c r="I298" s="1710"/>
      <c r="J298" s="1710"/>
      <c r="K298" s="1710"/>
      <c r="L298" s="1710"/>
      <c r="M298" s="1710"/>
      <c r="N298" s="1710"/>
      <c r="O298" s="1710"/>
      <c r="P298" s="1710"/>
      <c r="Q298" s="1710"/>
      <c r="R298" s="1710"/>
      <c r="T298" s="3" t="s">
        <v>75</v>
      </c>
      <c r="V298" s="3"/>
      <c r="W298" s="3"/>
      <c r="X298" s="3"/>
      <c r="Y298" s="3"/>
      <c r="AA298" s="1710" t="s">
        <v>2673</v>
      </c>
      <c r="AB298" s="1710"/>
      <c r="AC298" s="1710"/>
      <c r="AD298" s="1710"/>
      <c r="AE298" s="1710"/>
      <c r="AF298" s="1710"/>
      <c r="AG298" s="1710"/>
      <c r="AH298" s="1710"/>
      <c r="AI298" s="1710"/>
      <c r="AJ298" s="1710"/>
      <c r="AK298" s="1710"/>
    </row>
    <row r="299" spans="1:51" ht="13.05" customHeight="1">
      <c r="B299" s="3" t="s">
        <v>87</v>
      </c>
      <c r="C299" s="3"/>
      <c r="D299" s="3"/>
      <c r="E299" s="3"/>
      <c r="F299" s="3"/>
      <c r="H299" s="1710" t="s">
        <v>2651</v>
      </c>
      <c r="I299" s="1710"/>
      <c r="J299" s="1710"/>
      <c r="K299" s="1710"/>
      <c r="L299" s="1710"/>
      <c r="M299" s="1710"/>
      <c r="N299" s="1710"/>
      <c r="O299" s="1710"/>
      <c r="P299" s="1710"/>
      <c r="Q299" s="1710"/>
      <c r="R299" s="1710"/>
      <c r="T299" s="3" t="s">
        <v>87</v>
      </c>
      <c r="V299" s="3"/>
      <c r="W299" s="3"/>
      <c r="X299" s="3"/>
      <c r="Y299" s="3"/>
      <c r="AA299" s="1710" t="s">
        <v>2674</v>
      </c>
      <c r="AB299" s="1710"/>
      <c r="AC299" s="1710"/>
      <c r="AD299" s="1710"/>
      <c r="AE299" s="1710"/>
      <c r="AF299" s="1710"/>
      <c r="AG299" s="1710"/>
      <c r="AH299" s="1710"/>
      <c r="AI299" s="1710"/>
      <c r="AJ299" s="1710"/>
      <c r="AK299" s="1710"/>
    </row>
    <row r="300" spans="1:51" ht="13.05" customHeight="1">
      <c r="B300" s="3" t="s">
        <v>88</v>
      </c>
      <c r="C300" s="3"/>
      <c r="D300" s="3"/>
      <c r="E300" s="3"/>
      <c r="F300" s="3"/>
      <c r="G300" s="3"/>
      <c r="H300" s="1742" t="s">
        <v>2670</v>
      </c>
      <c r="I300" s="1742"/>
      <c r="J300" s="1742"/>
      <c r="K300" s="1742"/>
      <c r="L300" s="1742"/>
      <c r="M300" s="1742"/>
      <c r="N300" s="4" t="s">
        <v>206</v>
      </c>
      <c r="O300" s="4"/>
      <c r="P300" s="1737"/>
      <c r="Q300" s="1737"/>
      <c r="R300" s="1737"/>
      <c r="S300" s="3"/>
      <c r="T300" s="3" t="s">
        <v>88</v>
      </c>
      <c r="V300" s="3"/>
      <c r="W300" s="3"/>
      <c r="X300" s="3"/>
      <c r="Y300" s="3"/>
      <c r="AA300" s="1742" t="s">
        <v>2675</v>
      </c>
      <c r="AB300" s="1742"/>
      <c r="AC300" s="1742"/>
      <c r="AD300" s="1742"/>
      <c r="AE300" s="1742"/>
      <c r="AF300" s="1742"/>
      <c r="AG300" s="4" t="s">
        <v>206</v>
      </c>
      <c r="AH300" s="4"/>
      <c r="AI300" s="1737"/>
      <c r="AJ300" s="1737"/>
      <c r="AK300" s="1737"/>
    </row>
    <row r="301" spans="1:51" ht="13.05" customHeight="1">
      <c r="B301" s="3" t="s">
        <v>89</v>
      </c>
      <c r="C301" s="3"/>
      <c r="D301" s="3"/>
      <c r="E301" s="3"/>
      <c r="F301" s="3"/>
      <c r="G301" s="3"/>
      <c r="H301" s="1714"/>
      <c r="I301" s="1714"/>
      <c r="J301" s="1714"/>
      <c r="K301" s="1714"/>
      <c r="L301" s="1714"/>
      <c r="M301" s="1714"/>
      <c r="N301" s="4"/>
      <c r="O301" s="4"/>
      <c r="P301" s="35"/>
      <c r="Q301" s="35"/>
      <c r="R301" s="35"/>
      <c r="S301" s="3"/>
      <c r="T301" s="3" t="s">
        <v>89</v>
      </c>
      <c r="V301" s="3"/>
      <c r="W301" s="3"/>
      <c r="X301" s="3"/>
      <c r="Y301" s="3"/>
      <c r="AA301" s="1714"/>
      <c r="AB301" s="1714"/>
      <c r="AC301" s="1714"/>
      <c r="AD301" s="1714"/>
      <c r="AE301" s="1714"/>
      <c r="AF301" s="1714"/>
      <c r="AG301" s="4"/>
      <c r="AH301" s="4"/>
      <c r="AI301" s="35"/>
      <c r="AJ301" s="35"/>
      <c r="AK301" s="35"/>
    </row>
    <row r="302" spans="1:51" ht="13.05" customHeight="1">
      <c r="B302" s="3" t="s">
        <v>76</v>
      </c>
      <c r="C302" s="3"/>
      <c r="D302" s="3"/>
      <c r="E302" s="3"/>
      <c r="F302" s="3"/>
      <c r="G302" s="3"/>
      <c r="H302" s="1710" t="s">
        <v>2654</v>
      </c>
      <c r="I302" s="1710"/>
      <c r="J302" s="1710"/>
      <c r="K302" s="1710"/>
      <c r="L302" s="1710"/>
      <c r="M302" s="1710"/>
      <c r="N302" s="1705"/>
      <c r="O302" s="1705"/>
      <c r="P302" s="1705"/>
      <c r="Q302" s="1705"/>
      <c r="R302" s="1705"/>
      <c r="S302" s="3"/>
      <c r="T302" s="3" t="s">
        <v>76</v>
      </c>
      <c r="V302" s="3"/>
      <c r="W302" s="3"/>
      <c r="X302" s="3"/>
      <c r="Y302" s="3"/>
      <c r="AA302" s="1710" t="s">
        <v>2676</v>
      </c>
      <c r="AB302" s="1710"/>
      <c r="AC302" s="1710"/>
      <c r="AD302" s="1710"/>
      <c r="AE302" s="1710"/>
      <c r="AF302" s="1710"/>
      <c r="AG302" s="1705"/>
      <c r="AH302" s="1705"/>
      <c r="AI302" s="1705"/>
      <c r="AJ302" s="1705"/>
      <c r="AK302" s="1705"/>
    </row>
    <row r="303" spans="1:51" ht="13.0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05" customHeight="1">
      <c r="B304" s="3" t="s">
        <v>323</v>
      </c>
      <c r="C304" s="3"/>
      <c r="D304" s="3"/>
      <c r="E304" s="3"/>
      <c r="F304" s="3"/>
      <c r="H304" s="1705" t="s">
        <v>2677</v>
      </c>
      <c r="I304" s="1705"/>
      <c r="J304" s="1705"/>
      <c r="K304" s="1705"/>
      <c r="L304" s="1705"/>
      <c r="M304" s="1705"/>
      <c r="N304" s="1705"/>
      <c r="O304" s="1705"/>
      <c r="P304" s="1705"/>
      <c r="Q304" s="1705"/>
      <c r="R304" s="1705"/>
      <c r="T304" s="3" t="s">
        <v>364</v>
      </c>
      <c r="V304" s="3"/>
      <c r="W304" s="3"/>
      <c r="X304" s="3"/>
      <c r="Y304" s="3"/>
      <c r="AA304" s="1705" t="s">
        <v>2682</v>
      </c>
      <c r="AB304" s="1705"/>
      <c r="AC304" s="1705"/>
      <c r="AD304" s="1705"/>
      <c r="AE304" s="1705"/>
      <c r="AF304" s="1705"/>
      <c r="AG304" s="1705"/>
      <c r="AH304" s="1705"/>
      <c r="AI304" s="1705"/>
      <c r="AJ304" s="1705"/>
      <c r="AK304" s="1705"/>
    </row>
    <row r="305" spans="2:72" ht="13.05" customHeight="1">
      <c r="B305" s="3" t="s">
        <v>471</v>
      </c>
      <c r="C305" s="3"/>
      <c r="D305" s="3"/>
      <c r="E305" s="3"/>
      <c r="F305" s="3"/>
      <c r="H305" s="1710" t="s">
        <v>2678</v>
      </c>
      <c r="I305" s="1710"/>
      <c r="J305" s="1710"/>
      <c r="K305" s="1710"/>
      <c r="L305" s="1710"/>
      <c r="M305" s="1710"/>
      <c r="N305" s="1710"/>
      <c r="O305" s="1710"/>
      <c r="P305" s="1710"/>
      <c r="Q305" s="1710"/>
      <c r="R305" s="1710"/>
      <c r="T305" s="3" t="s">
        <v>471</v>
      </c>
      <c r="V305" s="3"/>
      <c r="W305" s="3"/>
      <c r="X305" s="3"/>
      <c r="Y305" s="3"/>
      <c r="AA305" s="1710" t="s">
        <v>2683</v>
      </c>
      <c r="AB305" s="1710"/>
      <c r="AC305" s="1710"/>
      <c r="AD305" s="1710"/>
      <c r="AE305" s="1710"/>
      <c r="AF305" s="1710"/>
      <c r="AG305" s="1710"/>
      <c r="AH305" s="1710"/>
      <c r="AI305" s="1710"/>
      <c r="AJ305" s="1710"/>
      <c r="AK305" s="1710"/>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3.05" customHeight="1">
      <c r="B306" s="3" t="s">
        <v>472</v>
      </c>
      <c r="C306" s="3"/>
      <c r="D306" s="3"/>
      <c r="E306" s="3"/>
      <c r="F306" s="3"/>
      <c r="H306" s="1710" t="s">
        <v>2679</v>
      </c>
      <c r="I306" s="1710"/>
      <c r="J306" s="1710"/>
      <c r="K306" s="1710"/>
      <c r="L306" s="1710"/>
      <c r="M306" s="1710"/>
      <c r="N306" s="1710"/>
      <c r="O306" s="1710"/>
      <c r="P306" s="1710"/>
      <c r="Q306" s="1710"/>
      <c r="R306" s="1710"/>
      <c r="T306" s="3" t="s">
        <v>75</v>
      </c>
      <c r="V306" s="3"/>
      <c r="W306" s="3"/>
      <c r="X306" s="3"/>
      <c r="Y306" s="3"/>
      <c r="AA306" s="1710" t="s">
        <v>2684</v>
      </c>
      <c r="AB306" s="1710"/>
      <c r="AC306" s="1710"/>
      <c r="AD306" s="1710"/>
      <c r="AE306" s="1710"/>
      <c r="AF306" s="1710"/>
      <c r="AG306" s="1710"/>
      <c r="AH306" s="1710"/>
      <c r="AI306" s="1710"/>
      <c r="AJ306" s="1710"/>
      <c r="AK306" s="1710"/>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3.05" customHeight="1">
      <c r="B307" s="3" t="s">
        <v>87</v>
      </c>
      <c r="C307" s="3"/>
      <c r="D307" s="3"/>
      <c r="E307" s="3"/>
      <c r="F307" s="3"/>
      <c r="H307" s="1710" t="s">
        <v>2680</v>
      </c>
      <c r="I307" s="1710"/>
      <c r="J307" s="1710"/>
      <c r="K307" s="1710"/>
      <c r="L307" s="1710"/>
      <c r="M307" s="1710"/>
      <c r="N307" s="1710"/>
      <c r="O307" s="1710"/>
      <c r="P307" s="1710"/>
      <c r="Q307" s="1710"/>
      <c r="R307" s="1710"/>
      <c r="T307" s="3" t="s">
        <v>87</v>
      </c>
      <c r="V307" s="3"/>
      <c r="W307" s="3"/>
      <c r="X307" s="3"/>
      <c r="Y307" s="3"/>
      <c r="AA307" s="1710" t="s">
        <v>2685</v>
      </c>
      <c r="AB307" s="1710"/>
      <c r="AC307" s="1710"/>
      <c r="AD307" s="1710"/>
      <c r="AE307" s="1710"/>
      <c r="AF307" s="1710"/>
      <c r="AG307" s="1710"/>
      <c r="AH307" s="1710"/>
      <c r="AI307" s="1710"/>
      <c r="AJ307" s="1710"/>
      <c r="AK307" s="1710"/>
    </row>
    <row r="308" spans="2:72" ht="13.05" customHeight="1">
      <c r="B308" s="3" t="s">
        <v>88</v>
      </c>
      <c r="C308" s="3"/>
      <c r="D308" s="3"/>
      <c r="E308" s="3"/>
      <c r="F308" s="3"/>
      <c r="G308" s="3"/>
      <c r="H308" s="1742" t="s">
        <v>2681</v>
      </c>
      <c r="I308" s="1742"/>
      <c r="J308" s="1742"/>
      <c r="K308" s="1742"/>
      <c r="L308" s="1742"/>
      <c r="M308" s="1742"/>
      <c r="N308" s="4" t="s">
        <v>206</v>
      </c>
      <c r="O308" s="4"/>
      <c r="P308" s="1737"/>
      <c r="Q308" s="1737"/>
      <c r="R308" s="1737"/>
      <c r="S308" s="3"/>
      <c r="T308" s="3" t="s">
        <v>88</v>
      </c>
      <c r="V308" s="3"/>
      <c r="W308" s="3"/>
      <c r="X308" s="3"/>
      <c r="Y308" s="3"/>
      <c r="AA308" s="1742" t="s">
        <v>2686</v>
      </c>
      <c r="AB308" s="1742"/>
      <c r="AC308" s="1742"/>
      <c r="AD308" s="1742"/>
      <c r="AE308" s="1742"/>
      <c r="AF308" s="1742"/>
      <c r="AG308" s="4" t="s">
        <v>206</v>
      </c>
      <c r="AH308" s="4"/>
      <c r="AI308" s="1737"/>
      <c r="AJ308" s="1737"/>
      <c r="AK308" s="1737"/>
    </row>
    <row r="309" spans="2:72" ht="13.05" customHeight="1">
      <c r="B309" s="3" t="s">
        <v>89</v>
      </c>
      <c r="C309" s="3"/>
      <c r="D309" s="3"/>
      <c r="E309" s="3"/>
      <c r="F309" s="3"/>
      <c r="G309" s="3"/>
      <c r="H309" s="1714"/>
      <c r="I309" s="1714"/>
      <c r="J309" s="1714"/>
      <c r="K309" s="1714"/>
      <c r="L309" s="1714"/>
      <c r="M309" s="1714"/>
      <c r="N309" s="4"/>
      <c r="O309" s="4"/>
      <c r="P309" s="35"/>
      <c r="Q309" s="35"/>
      <c r="R309" s="35"/>
      <c r="S309" s="3"/>
      <c r="T309" s="3" t="s">
        <v>89</v>
      </c>
      <c r="V309" s="3"/>
      <c r="W309" s="3"/>
      <c r="X309" s="3"/>
      <c r="Y309" s="3"/>
      <c r="AA309" s="1714"/>
      <c r="AB309" s="1714"/>
      <c r="AC309" s="1714"/>
      <c r="AD309" s="1714"/>
      <c r="AE309" s="1714"/>
      <c r="AF309" s="1714"/>
      <c r="AG309" s="4"/>
      <c r="AH309" s="4"/>
      <c r="AI309" s="35"/>
      <c r="AJ309" s="35"/>
      <c r="AK309" s="35"/>
    </row>
    <row r="310" spans="2:72" ht="13.05" customHeight="1">
      <c r="B310" s="3" t="s">
        <v>76</v>
      </c>
      <c r="C310" s="3"/>
      <c r="D310" s="3"/>
      <c r="E310" s="3"/>
      <c r="F310" s="3"/>
      <c r="G310" s="3"/>
      <c r="H310" s="1710" t="s">
        <v>2772</v>
      </c>
      <c r="I310" s="1710"/>
      <c r="J310" s="1710"/>
      <c r="K310" s="1710"/>
      <c r="L310" s="1710"/>
      <c r="M310" s="1710"/>
      <c r="N310" s="1705"/>
      <c r="O310" s="1705"/>
      <c r="P310" s="1705"/>
      <c r="Q310" s="1705"/>
      <c r="R310" s="1705"/>
      <c r="S310" s="3"/>
      <c r="T310" s="3" t="s">
        <v>76</v>
      </c>
      <c r="V310" s="3"/>
      <c r="W310" s="3"/>
      <c r="X310" s="3"/>
      <c r="Y310" s="3"/>
      <c r="AA310" s="1710" t="s">
        <v>2687</v>
      </c>
      <c r="AB310" s="1710"/>
      <c r="AC310" s="1710"/>
      <c r="AD310" s="1710"/>
      <c r="AE310" s="1710"/>
      <c r="AF310" s="1710"/>
      <c r="AG310" s="1705"/>
      <c r="AH310" s="1705"/>
      <c r="AI310" s="1705"/>
      <c r="AJ310" s="1705"/>
      <c r="AK310" s="1705"/>
    </row>
    <row r="311" spans="2:72" ht="13.05" customHeight="1"/>
    <row r="312" spans="2:72" ht="13.05" customHeight="1">
      <c r="B312" s="3" t="s">
        <v>77</v>
      </c>
      <c r="C312" s="3"/>
      <c r="D312" s="3"/>
      <c r="E312" s="3"/>
      <c r="F312" s="3"/>
      <c r="H312" s="1705" t="s">
        <v>2688</v>
      </c>
      <c r="I312" s="1705"/>
      <c r="J312" s="1705"/>
      <c r="K312" s="1705"/>
      <c r="L312" s="1705"/>
      <c r="M312" s="1705"/>
      <c r="N312" s="1705"/>
      <c r="O312" s="1705"/>
      <c r="P312" s="1705"/>
      <c r="Q312" s="1705"/>
      <c r="R312" s="1705"/>
      <c r="T312" s="4" t="s">
        <v>878</v>
      </c>
      <c r="V312" s="3"/>
      <c r="W312" s="3"/>
      <c r="X312" s="3"/>
      <c r="Y312" s="3"/>
      <c r="AA312" s="1705" t="s">
        <v>2693</v>
      </c>
      <c r="AB312" s="1705"/>
      <c r="AC312" s="1705"/>
      <c r="AD312" s="1705"/>
      <c r="AE312" s="1705"/>
      <c r="AF312" s="1705"/>
      <c r="AG312" s="1705"/>
      <c r="AH312" s="1705"/>
      <c r="AI312" s="1705"/>
      <c r="AJ312" s="1705"/>
      <c r="AK312" s="1705"/>
    </row>
    <row r="313" spans="2:72" ht="13.05" customHeight="1">
      <c r="B313" s="3" t="s">
        <v>471</v>
      </c>
      <c r="C313" s="3"/>
      <c r="D313" s="3"/>
      <c r="E313" s="3"/>
      <c r="F313" s="3"/>
      <c r="H313" s="1710" t="s">
        <v>2689</v>
      </c>
      <c r="I313" s="1710"/>
      <c r="J313" s="1710"/>
      <c r="K313" s="1710"/>
      <c r="L313" s="1710"/>
      <c r="M313" s="1710"/>
      <c r="N313" s="1710"/>
      <c r="O313" s="1710"/>
      <c r="P313" s="1710"/>
      <c r="Q313" s="1710"/>
      <c r="R313" s="1710"/>
      <c r="T313" s="3" t="s">
        <v>471</v>
      </c>
      <c r="V313" s="3"/>
      <c r="W313" s="3"/>
      <c r="X313" s="3"/>
      <c r="Y313" s="3"/>
      <c r="AA313" s="1710" t="s">
        <v>2694</v>
      </c>
      <c r="AB313" s="1710"/>
      <c r="AC313" s="1710"/>
      <c r="AD313" s="1710"/>
      <c r="AE313" s="1710"/>
      <c r="AF313" s="1710"/>
      <c r="AG313" s="1710"/>
      <c r="AH313" s="1710"/>
      <c r="AI313" s="1710"/>
      <c r="AJ313" s="1710"/>
      <c r="AK313" s="1710"/>
    </row>
    <row r="314" spans="2:72" ht="13.05" customHeight="1">
      <c r="B314" s="3" t="s">
        <v>472</v>
      </c>
      <c r="C314" s="3"/>
      <c r="D314" s="3"/>
      <c r="E314" s="3"/>
      <c r="F314" s="3"/>
      <c r="H314" s="1710" t="s">
        <v>2690</v>
      </c>
      <c r="I314" s="1710"/>
      <c r="J314" s="1710"/>
      <c r="K314" s="1710"/>
      <c r="L314" s="1710"/>
      <c r="M314" s="1710"/>
      <c r="N314" s="1710"/>
      <c r="O314" s="1710"/>
      <c r="P314" s="1710"/>
      <c r="Q314" s="1710"/>
      <c r="R314" s="1710"/>
      <c r="T314" s="3" t="s">
        <v>75</v>
      </c>
      <c r="V314" s="3"/>
      <c r="W314" s="3"/>
      <c r="X314" s="3"/>
      <c r="Y314" s="3"/>
      <c r="AA314" s="1710" t="s">
        <v>2695</v>
      </c>
      <c r="AB314" s="1710"/>
      <c r="AC314" s="1710"/>
      <c r="AD314" s="1710"/>
      <c r="AE314" s="1710"/>
      <c r="AF314" s="1710"/>
      <c r="AG314" s="1710"/>
      <c r="AH314" s="1710"/>
      <c r="AI314" s="1710"/>
      <c r="AJ314" s="1710"/>
      <c r="AK314" s="1710"/>
    </row>
    <row r="315" spans="2:72" ht="13.05" customHeight="1">
      <c r="B315" s="3" t="s">
        <v>87</v>
      </c>
      <c r="C315" s="3"/>
      <c r="D315" s="3"/>
      <c r="E315" s="3"/>
      <c r="F315" s="3"/>
      <c r="H315" s="1710" t="s">
        <v>2691</v>
      </c>
      <c r="I315" s="1710"/>
      <c r="J315" s="1710"/>
      <c r="K315" s="1710"/>
      <c r="L315" s="1710"/>
      <c r="M315" s="1710"/>
      <c r="N315" s="1710"/>
      <c r="O315" s="1710"/>
      <c r="P315" s="1710"/>
      <c r="Q315" s="1710"/>
      <c r="R315" s="1710"/>
      <c r="T315" s="3" t="s">
        <v>87</v>
      </c>
      <c r="V315" s="3"/>
      <c r="W315" s="3"/>
      <c r="X315" s="3"/>
      <c r="Y315" s="3"/>
      <c r="AA315" s="1710" t="s">
        <v>2696</v>
      </c>
      <c r="AB315" s="1710"/>
      <c r="AC315" s="1710"/>
      <c r="AD315" s="1710"/>
      <c r="AE315" s="1710"/>
      <c r="AF315" s="1710"/>
      <c r="AG315" s="1710"/>
      <c r="AH315" s="1710"/>
      <c r="AI315" s="1710"/>
      <c r="AJ315" s="1710"/>
      <c r="AK315" s="1710"/>
    </row>
    <row r="316" spans="2:72" ht="13.05" customHeight="1">
      <c r="B316" s="3" t="s">
        <v>88</v>
      </c>
      <c r="C316" s="3"/>
      <c r="D316" s="3"/>
      <c r="E316" s="3"/>
      <c r="F316" s="3"/>
      <c r="G316" s="3"/>
      <c r="H316" s="1742">
        <v>4254535783</v>
      </c>
      <c r="I316" s="1742"/>
      <c r="J316" s="1742"/>
      <c r="K316" s="1742"/>
      <c r="L316" s="1742"/>
      <c r="M316" s="1742"/>
      <c r="N316" s="4" t="s">
        <v>206</v>
      </c>
      <c r="O316" s="4"/>
      <c r="P316" s="1737"/>
      <c r="Q316" s="1737"/>
      <c r="R316" s="1737"/>
      <c r="S316" s="3"/>
      <c r="T316" s="3" t="s">
        <v>88</v>
      </c>
      <c r="V316" s="3"/>
      <c r="W316" s="3"/>
      <c r="X316" s="3"/>
      <c r="Y316" s="3"/>
      <c r="AA316" s="1742" t="s">
        <v>2697</v>
      </c>
      <c r="AB316" s="1742"/>
      <c r="AC316" s="1742"/>
      <c r="AD316" s="1742"/>
      <c r="AE316" s="1742"/>
      <c r="AF316" s="1742"/>
      <c r="AG316" s="4" t="s">
        <v>206</v>
      </c>
      <c r="AH316" s="4"/>
      <c r="AI316" s="1737"/>
      <c r="AJ316" s="1737"/>
      <c r="AK316" s="1737"/>
    </row>
    <row r="317" spans="2:72" ht="13.05" customHeight="1">
      <c r="B317" s="3" t="s">
        <v>89</v>
      </c>
      <c r="C317" s="3"/>
      <c r="D317" s="3"/>
      <c r="E317" s="3"/>
      <c r="F317" s="3"/>
      <c r="G317" s="3"/>
      <c r="H317" s="1714"/>
      <c r="I317" s="1714"/>
      <c r="J317" s="1714"/>
      <c r="K317" s="1714"/>
      <c r="L317" s="1714"/>
      <c r="M317" s="1714"/>
      <c r="N317" s="4"/>
      <c r="O317" s="4"/>
      <c r="P317" s="35"/>
      <c r="Q317" s="35"/>
      <c r="R317" s="35"/>
      <c r="S317" s="3"/>
      <c r="T317" s="3" t="s">
        <v>89</v>
      </c>
      <c r="V317" s="3"/>
      <c r="W317" s="3"/>
      <c r="X317" s="3"/>
      <c r="Y317" s="3"/>
      <c r="AA317" s="1714"/>
      <c r="AB317" s="1714"/>
      <c r="AC317" s="1714"/>
      <c r="AD317" s="1714"/>
      <c r="AE317" s="1714"/>
      <c r="AF317" s="1714"/>
      <c r="AG317" s="4"/>
      <c r="AH317" s="4"/>
      <c r="AI317" s="35"/>
      <c r="AJ317" s="35"/>
      <c r="AK317" s="35"/>
    </row>
    <row r="318" spans="2:72" ht="13.05" customHeight="1">
      <c r="B318" s="3" t="s">
        <v>76</v>
      </c>
      <c r="C318" s="3"/>
      <c r="D318" s="3"/>
      <c r="E318" s="3"/>
      <c r="F318" s="3"/>
      <c r="G318" s="3"/>
      <c r="H318" s="1710" t="s">
        <v>2692</v>
      </c>
      <c r="I318" s="1710"/>
      <c r="J318" s="1710"/>
      <c r="K318" s="1710"/>
      <c r="L318" s="1710"/>
      <c r="M318" s="1710"/>
      <c r="N318" s="1705"/>
      <c r="O318" s="1705"/>
      <c r="P318" s="1705"/>
      <c r="Q318" s="1705"/>
      <c r="R318" s="1705"/>
      <c r="S318" s="3"/>
      <c r="T318" s="3" t="s">
        <v>76</v>
      </c>
      <c r="V318" s="3"/>
      <c r="W318" s="3"/>
      <c r="X318" s="3"/>
      <c r="Y318" s="3"/>
      <c r="AA318" s="1710" t="s">
        <v>2698</v>
      </c>
      <c r="AB318" s="1710"/>
      <c r="AC318" s="1710"/>
      <c r="AD318" s="1710"/>
      <c r="AE318" s="1710"/>
      <c r="AF318" s="1710"/>
      <c r="AG318" s="1705"/>
      <c r="AH318" s="1705"/>
      <c r="AI318" s="1705"/>
      <c r="AJ318" s="1705"/>
      <c r="AK318" s="1705"/>
    </row>
    <row r="319" spans="2:72" ht="13.0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3.05" customHeight="1">
      <c r="B320" s="4" t="s">
        <v>907</v>
      </c>
      <c r="C320" s="3"/>
      <c r="D320" s="3"/>
      <c r="E320" s="3"/>
      <c r="F320" s="3"/>
      <c r="H320" s="1705" t="s">
        <v>2699</v>
      </c>
      <c r="I320" s="1705"/>
      <c r="J320" s="1705"/>
      <c r="K320" s="1705"/>
      <c r="L320" s="1705"/>
      <c r="M320" s="1705"/>
      <c r="N320" s="1705"/>
      <c r="O320" s="1705"/>
      <c r="P320" s="1705"/>
      <c r="Q320" s="1705"/>
      <c r="R320" s="1705"/>
      <c r="S320" s="3"/>
      <c r="T320" s="3" t="s">
        <v>365</v>
      </c>
      <c r="V320" s="3"/>
      <c r="W320" s="3"/>
      <c r="X320" s="3"/>
      <c r="Y320" s="3"/>
      <c r="AA320" s="1705" t="s">
        <v>2704</v>
      </c>
      <c r="AB320" s="1705"/>
      <c r="AC320" s="1705"/>
      <c r="AD320" s="1705"/>
      <c r="AE320" s="1705"/>
      <c r="AF320" s="1705"/>
      <c r="AG320" s="1705"/>
      <c r="AH320" s="1705"/>
      <c r="AI320" s="1705"/>
      <c r="AJ320" s="1705"/>
      <c r="AK320" s="1705"/>
    </row>
    <row r="321" spans="2:37" ht="13.05" customHeight="1">
      <c r="B321" s="3" t="s">
        <v>471</v>
      </c>
      <c r="C321" s="3"/>
      <c r="D321" s="3"/>
      <c r="E321" s="3"/>
      <c r="F321" s="3"/>
      <c r="H321" s="1710" t="s">
        <v>2700</v>
      </c>
      <c r="I321" s="1710"/>
      <c r="J321" s="1710"/>
      <c r="K321" s="1710"/>
      <c r="L321" s="1710"/>
      <c r="M321" s="1710"/>
      <c r="N321" s="1710"/>
      <c r="O321" s="1710"/>
      <c r="P321" s="1710"/>
      <c r="Q321" s="1710"/>
      <c r="R321" s="1710"/>
      <c r="S321" s="3"/>
      <c r="T321" s="3" t="s">
        <v>471</v>
      </c>
      <c r="V321" s="3"/>
      <c r="W321" s="3"/>
      <c r="X321" s="3"/>
      <c r="Y321" s="3"/>
      <c r="AA321" s="1710" t="s">
        <v>2705</v>
      </c>
      <c r="AB321" s="1710"/>
      <c r="AC321" s="1710"/>
      <c r="AD321" s="1710"/>
      <c r="AE321" s="1710"/>
      <c r="AF321" s="1710"/>
      <c r="AG321" s="1710"/>
      <c r="AH321" s="1710"/>
      <c r="AI321" s="1710"/>
      <c r="AJ321" s="1710"/>
      <c r="AK321" s="1710"/>
    </row>
    <row r="322" spans="2:37" ht="13.05" customHeight="1">
      <c r="B322" s="3" t="s">
        <v>472</v>
      </c>
      <c r="C322" s="3"/>
      <c r="D322" s="3"/>
      <c r="E322" s="3"/>
      <c r="F322" s="3"/>
      <c r="H322" s="1710" t="s">
        <v>2701</v>
      </c>
      <c r="I322" s="1710"/>
      <c r="J322" s="1710"/>
      <c r="K322" s="1710"/>
      <c r="L322" s="1710"/>
      <c r="M322" s="1710"/>
      <c r="N322" s="1710"/>
      <c r="O322" s="1710"/>
      <c r="P322" s="1710"/>
      <c r="Q322" s="1710"/>
      <c r="R322" s="1710"/>
      <c r="S322" s="3"/>
      <c r="T322" s="3" t="s">
        <v>75</v>
      </c>
      <c r="V322" s="3"/>
      <c r="W322" s="3"/>
      <c r="X322" s="3"/>
      <c r="Y322" s="3"/>
      <c r="AA322" s="1710" t="s">
        <v>2706</v>
      </c>
      <c r="AB322" s="1710"/>
      <c r="AC322" s="1710"/>
      <c r="AD322" s="1710"/>
      <c r="AE322" s="1710"/>
      <c r="AF322" s="1710"/>
      <c r="AG322" s="1710"/>
      <c r="AH322" s="1710"/>
      <c r="AI322" s="1710"/>
      <c r="AJ322" s="1710"/>
      <c r="AK322" s="1710"/>
    </row>
    <row r="323" spans="2:37" ht="13.05" customHeight="1">
      <c r="B323" s="3" t="s">
        <v>87</v>
      </c>
      <c r="C323" s="3"/>
      <c r="D323" s="3"/>
      <c r="E323" s="3"/>
      <c r="F323" s="3"/>
      <c r="H323" s="1710" t="s">
        <v>2691</v>
      </c>
      <c r="I323" s="1710"/>
      <c r="J323" s="1710"/>
      <c r="K323" s="1710"/>
      <c r="L323" s="1710"/>
      <c r="M323" s="1710"/>
      <c r="N323" s="1710"/>
      <c r="O323" s="1710"/>
      <c r="P323" s="1710"/>
      <c r="Q323" s="1710"/>
      <c r="R323" s="1710"/>
      <c r="S323" s="3"/>
      <c r="T323" s="3" t="s">
        <v>87</v>
      </c>
      <c r="V323" s="3"/>
      <c r="W323" s="3"/>
      <c r="X323" s="3"/>
      <c r="Y323" s="3"/>
      <c r="AA323" s="1710" t="s">
        <v>2707</v>
      </c>
      <c r="AB323" s="1710"/>
      <c r="AC323" s="1710"/>
      <c r="AD323" s="1710"/>
      <c r="AE323" s="1710"/>
      <c r="AF323" s="1710"/>
      <c r="AG323" s="1710"/>
      <c r="AH323" s="1710"/>
      <c r="AI323" s="1710"/>
      <c r="AJ323" s="1710"/>
      <c r="AK323" s="1710"/>
    </row>
    <row r="324" spans="2:37" ht="13.05" customHeight="1">
      <c r="B324" s="3" t="s">
        <v>88</v>
      </c>
      <c r="C324" s="3"/>
      <c r="D324" s="3"/>
      <c r="E324" s="3"/>
      <c r="F324" s="3"/>
      <c r="G324" s="3"/>
      <c r="H324" s="1742" t="s">
        <v>2702</v>
      </c>
      <c r="I324" s="1742"/>
      <c r="J324" s="1742"/>
      <c r="K324" s="1742"/>
      <c r="L324" s="1742"/>
      <c r="M324" s="1742"/>
      <c r="N324" s="4" t="s">
        <v>206</v>
      </c>
      <c r="O324" s="4"/>
      <c r="P324" s="1737"/>
      <c r="Q324" s="1737"/>
      <c r="R324" s="1737"/>
      <c r="S324" s="3"/>
      <c r="T324" s="3" t="s">
        <v>88</v>
      </c>
      <c r="V324" s="3"/>
      <c r="W324" s="3"/>
      <c r="X324" s="3"/>
      <c r="Y324" s="3"/>
      <c r="AA324" s="1742" t="s">
        <v>2708</v>
      </c>
      <c r="AB324" s="1742"/>
      <c r="AC324" s="1742"/>
      <c r="AD324" s="1742"/>
      <c r="AE324" s="1742"/>
      <c r="AF324" s="1742"/>
      <c r="AG324" s="4" t="s">
        <v>206</v>
      </c>
      <c r="AH324" s="4"/>
      <c r="AI324" s="1737"/>
      <c r="AJ324" s="1737"/>
      <c r="AK324" s="1737"/>
    </row>
    <row r="325" spans="2:37" ht="13.05" customHeight="1">
      <c r="B325" s="3" t="s">
        <v>89</v>
      </c>
      <c r="C325" s="3"/>
      <c r="D325" s="3"/>
      <c r="E325" s="3"/>
      <c r="F325" s="3"/>
      <c r="G325" s="3"/>
      <c r="H325" s="1714"/>
      <c r="I325" s="1714"/>
      <c r="J325" s="1714"/>
      <c r="K325" s="1714"/>
      <c r="L325" s="1714"/>
      <c r="M325" s="1714"/>
      <c r="N325" s="4"/>
      <c r="O325" s="4"/>
      <c r="P325" s="35"/>
      <c r="Q325" s="35"/>
      <c r="R325" s="35"/>
      <c r="S325" s="3"/>
      <c r="T325" s="3" t="s">
        <v>89</v>
      </c>
      <c r="V325" s="3"/>
      <c r="W325" s="3"/>
      <c r="X325" s="3"/>
      <c r="Y325" s="3"/>
      <c r="AA325" s="1714"/>
      <c r="AB325" s="1714"/>
      <c r="AC325" s="1714"/>
      <c r="AD325" s="1714"/>
      <c r="AE325" s="1714"/>
      <c r="AF325" s="1714"/>
      <c r="AG325" s="4"/>
      <c r="AH325" s="4"/>
      <c r="AI325" s="35"/>
      <c r="AJ325" s="35"/>
      <c r="AK325" s="35"/>
    </row>
    <row r="326" spans="2:37" ht="13.05" customHeight="1">
      <c r="B326" s="3" t="s">
        <v>76</v>
      </c>
      <c r="C326" s="3"/>
      <c r="D326" s="3"/>
      <c r="E326" s="3"/>
      <c r="F326" s="3"/>
      <c r="G326" s="3"/>
      <c r="H326" s="1710" t="s">
        <v>2703</v>
      </c>
      <c r="I326" s="1710"/>
      <c r="J326" s="1710"/>
      <c r="K326" s="1710"/>
      <c r="L326" s="1710"/>
      <c r="M326" s="1710"/>
      <c r="N326" s="1705"/>
      <c r="O326" s="1705"/>
      <c r="P326" s="1705"/>
      <c r="Q326" s="1705"/>
      <c r="R326" s="1705"/>
      <c r="S326" s="3"/>
      <c r="T326" s="3" t="s">
        <v>76</v>
      </c>
      <c r="V326" s="3"/>
      <c r="W326" s="3"/>
      <c r="X326" s="3"/>
      <c r="Y326" s="3"/>
      <c r="AA326" s="1710" t="s">
        <v>2709</v>
      </c>
      <c r="AB326" s="1710"/>
      <c r="AC326" s="1710"/>
      <c r="AD326" s="1710"/>
      <c r="AE326" s="1710"/>
      <c r="AF326" s="1710"/>
      <c r="AG326" s="1705"/>
      <c r="AH326" s="1705"/>
      <c r="AI326" s="1705"/>
      <c r="AJ326" s="1705"/>
      <c r="AK326" s="1705"/>
    </row>
    <row r="327" spans="2:37" ht="13.05" customHeight="1"/>
    <row r="328" spans="2:37" ht="13.05" customHeight="1">
      <c r="B328" s="4" t="s">
        <v>908</v>
      </c>
      <c r="C328" s="3"/>
      <c r="D328" s="3"/>
      <c r="E328" s="3"/>
      <c r="F328" s="3"/>
      <c r="H328" s="1705"/>
      <c r="I328" s="1705"/>
      <c r="J328" s="1705"/>
      <c r="K328" s="1705"/>
      <c r="L328" s="1705"/>
      <c r="M328" s="1705"/>
      <c r="N328" s="1705"/>
      <c r="O328" s="1705"/>
      <c r="P328" s="1705"/>
      <c r="Q328" s="1705"/>
      <c r="R328" s="1705"/>
      <c r="T328" s="3" t="s">
        <v>366</v>
      </c>
      <c r="V328" s="3"/>
      <c r="W328" s="3"/>
      <c r="X328" s="3"/>
      <c r="Y328" s="3"/>
      <c r="AA328" s="1705" t="s">
        <v>2699</v>
      </c>
      <c r="AB328" s="1705"/>
      <c r="AC328" s="1705"/>
      <c r="AD328" s="1705"/>
      <c r="AE328" s="1705"/>
      <c r="AF328" s="1705"/>
      <c r="AG328" s="1705"/>
      <c r="AH328" s="1705"/>
      <c r="AI328" s="1705"/>
      <c r="AJ328" s="1705"/>
      <c r="AK328" s="1705"/>
    </row>
    <row r="329" spans="2:37" ht="13.05" customHeight="1">
      <c r="B329" s="3" t="s">
        <v>471</v>
      </c>
      <c r="C329" s="3"/>
      <c r="D329" s="3"/>
      <c r="E329" s="3"/>
      <c r="F329" s="3"/>
      <c r="H329" s="1710"/>
      <c r="I329" s="1710"/>
      <c r="J329" s="1710"/>
      <c r="K329" s="1710"/>
      <c r="L329" s="1710"/>
      <c r="M329" s="1710"/>
      <c r="N329" s="1710"/>
      <c r="O329" s="1710"/>
      <c r="P329" s="1710"/>
      <c r="Q329" s="1710"/>
      <c r="R329" s="1710"/>
      <c r="T329" s="3" t="s">
        <v>471</v>
      </c>
      <c r="V329" s="3"/>
      <c r="W329" s="3"/>
      <c r="X329" s="3"/>
      <c r="Y329" s="3"/>
      <c r="AA329" s="1710" t="s">
        <v>2700</v>
      </c>
      <c r="AB329" s="1710"/>
      <c r="AC329" s="1710"/>
      <c r="AD329" s="1710"/>
      <c r="AE329" s="1710"/>
      <c r="AF329" s="1710"/>
      <c r="AG329" s="1710"/>
      <c r="AH329" s="1710"/>
      <c r="AI329" s="1710"/>
      <c r="AJ329" s="1710"/>
      <c r="AK329" s="1710"/>
    </row>
    <row r="330" spans="2:37" ht="13.05" customHeight="1">
      <c r="B330" s="3" t="s">
        <v>472</v>
      </c>
      <c r="C330" s="3"/>
      <c r="D330" s="3"/>
      <c r="E330" s="3"/>
      <c r="F330" s="3"/>
      <c r="H330" s="1710"/>
      <c r="I330" s="1710"/>
      <c r="J330" s="1710"/>
      <c r="K330" s="1710"/>
      <c r="L330" s="1710"/>
      <c r="M330" s="1710"/>
      <c r="N330" s="1710"/>
      <c r="O330" s="1710"/>
      <c r="P330" s="1710"/>
      <c r="Q330" s="1710"/>
      <c r="R330" s="1710"/>
      <c r="T330" s="3" t="s">
        <v>75</v>
      </c>
      <c r="V330" s="3"/>
      <c r="W330" s="3"/>
      <c r="X330" s="3"/>
      <c r="Y330" s="3"/>
      <c r="AA330" s="1710" t="s">
        <v>2701</v>
      </c>
      <c r="AB330" s="1710"/>
      <c r="AC330" s="1710"/>
      <c r="AD330" s="1710"/>
      <c r="AE330" s="1710"/>
      <c r="AF330" s="1710"/>
      <c r="AG330" s="1710"/>
      <c r="AH330" s="1710"/>
      <c r="AI330" s="1710"/>
      <c r="AJ330" s="1710"/>
      <c r="AK330" s="1710"/>
    </row>
    <row r="331" spans="2:37" ht="13.05" customHeight="1">
      <c r="B331" s="3" t="s">
        <v>87</v>
      </c>
      <c r="C331" s="3"/>
      <c r="D331" s="3"/>
      <c r="E331" s="3"/>
      <c r="F331" s="3"/>
      <c r="H331" s="1710"/>
      <c r="I331" s="1710"/>
      <c r="J331" s="1710"/>
      <c r="K331" s="1710"/>
      <c r="L331" s="1710"/>
      <c r="M331" s="1710"/>
      <c r="N331" s="1710"/>
      <c r="O331" s="1710"/>
      <c r="P331" s="1710"/>
      <c r="Q331" s="1710"/>
      <c r="R331" s="1710"/>
      <c r="T331" s="3" t="s">
        <v>87</v>
      </c>
      <c r="V331" s="3"/>
      <c r="W331" s="3"/>
      <c r="X331" s="3"/>
      <c r="Y331" s="3"/>
      <c r="AA331" s="1710" t="s">
        <v>2710</v>
      </c>
      <c r="AB331" s="1710"/>
      <c r="AC331" s="1710"/>
      <c r="AD331" s="1710"/>
      <c r="AE331" s="1710"/>
      <c r="AF331" s="1710"/>
      <c r="AG331" s="1710"/>
      <c r="AH331" s="1710"/>
      <c r="AI331" s="1710"/>
      <c r="AJ331" s="1710"/>
      <c r="AK331" s="1710"/>
    </row>
    <row r="332" spans="2:37" ht="13.05" customHeight="1">
      <c r="B332" s="3" t="s">
        <v>88</v>
      </c>
      <c r="C332" s="3"/>
      <c r="D332" s="3"/>
      <c r="E332" s="3"/>
      <c r="F332" s="3"/>
      <c r="G332" s="3"/>
      <c r="H332" s="1742"/>
      <c r="I332" s="1742"/>
      <c r="J332" s="1742"/>
      <c r="K332" s="1742"/>
      <c r="L332" s="1742"/>
      <c r="M332" s="1742"/>
      <c r="N332" s="4" t="s">
        <v>206</v>
      </c>
      <c r="O332" s="4"/>
      <c r="P332" s="1737"/>
      <c r="Q332" s="1737"/>
      <c r="R332" s="1737"/>
      <c r="S332" s="3"/>
      <c r="T332" s="3" t="s">
        <v>88</v>
      </c>
      <c r="V332" s="3"/>
      <c r="W332" s="3"/>
      <c r="X332" s="3"/>
      <c r="Y332" s="3"/>
      <c r="AA332" s="1742" t="s">
        <v>2711</v>
      </c>
      <c r="AB332" s="1742"/>
      <c r="AC332" s="1742"/>
      <c r="AD332" s="1742"/>
      <c r="AE332" s="1742"/>
      <c r="AF332" s="1742"/>
      <c r="AG332" s="4" t="s">
        <v>206</v>
      </c>
      <c r="AH332" s="4"/>
      <c r="AI332" s="1737"/>
      <c r="AJ332" s="1737"/>
      <c r="AK332" s="1737"/>
    </row>
    <row r="333" spans="2:37" ht="13.05" customHeight="1">
      <c r="B333" s="3" t="s">
        <v>89</v>
      </c>
      <c r="C333" s="3"/>
      <c r="D333" s="3"/>
      <c r="E333" s="3"/>
      <c r="F333" s="3"/>
      <c r="G333" s="3"/>
      <c r="H333" s="1714"/>
      <c r="I333" s="1714"/>
      <c r="J333" s="1714"/>
      <c r="K333" s="1714"/>
      <c r="L333" s="1714"/>
      <c r="M333" s="1714"/>
      <c r="N333" s="4"/>
      <c r="O333" s="4"/>
      <c r="P333" s="35"/>
      <c r="Q333" s="35"/>
      <c r="R333" s="35"/>
      <c r="S333" s="3"/>
      <c r="T333" s="3" t="s">
        <v>89</v>
      </c>
      <c r="V333" s="3"/>
      <c r="W333" s="3"/>
      <c r="X333" s="3"/>
      <c r="Y333" s="3"/>
      <c r="AA333" s="1714"/>
      <c r="AB333" s="1714"/>
      <c r="AC333" s="1714"/>
      <c r="AD333" s="1714"/>
      <c r="AE333" s="1714"/>
      <c r="AF333" s="1714"/>
      <c r="AG333" s="4"/>
      <c r="AH333" s="4"/>
      <c r="AI333" s="35"/>
      <c r="AJ333" s="35"/>
      <c r="AK333" s="35"/>
    </row>
    <row r="334" spans="2:37" ht="13.05" customHeight="1">
      <c r="B334" s="3" t="s">
        <v>76</v>
      </c>
      <c r="C334" s="3"/>
      <c r="D334" s="3"/>
      <c r="E334" s="3"/>
      <c r="F334" s="3"/>
      <c r="G334" s="3"/>
      <c r="H334" s="1710"/>
      <c r="I334" s="1710"/>
      <c r="J334" s="1710"/>
      <c r="K334" s="1710"/>
      <c r="L334" s="1710"/>
      <c r="M334" s="1710"/>
      <c r="N334" s="1705"/>
      <c r="O334" s="1705"/>
      <c r="P334" s="1705"/>
      <c r="Q334" s="1705"/>
      <c r="R334" s="1705"/>
      <c r="S334" s="3"/>
      <c r="T334" s="3" t="s">
        <v>76</v>
      </c>
      <c r="V334" s="3"/>
      <c r="W334" s="3"/>
      <c r="X334" s="3"/>
      <c r="Y334" s="3"/>
      <c r="AA334" s="1710" t="s">
        <v>2712</v>
      </c>
      <c r="AB334" s="1710"/>
      <c r="AC334" s="1710"/>
      <c r="AD334" s="1710"/>
      <c r="AE334" s="1710"/>
      <c r="AF334" s="1710"/>
      <c r="AG334" s="1705"/>
      <c r="AH334" s="1705"/>
      <c r="AI334" s="1705"/>
      <c r="AJ334" s="1705"/>
      <c r="AK334" s="1705"/>
    </row>
    <row r="335" spans="2:37" ht="13.05" customHeight="1">
      <c r="B335" s="3"/>
      <c r="C335" s="3"/>
      <c r="D335" s="3"/>
      <c r="E335" s="3"/>
      <c r="F335" s="3"/>
      <c r="G335" s="3"/>
      <c r="P335" s="163"/>
      <c r="Q335" s="163"/>
      <c r="R335" s="163"/>
      <c r="S335" s="163"/>
      <c r="T335" s="163"/>
      <c r="U335" s="163"/>
      <c r="V335" s="4"/>
      <c r="W335" s="4"/>
      <c r="X335" s="35"/>
      <c r="Y335" s="35"/>
      <c r="Z335" s="35"/>
    </row>
    <row r="336" spans="2:37" ht="13.05" customHeight="1">
      <c r="B336" s="3" t="s">
        <v>367</v>
      </c>
      <c r="C336" s="3"/>
      <c r="D336" s="3"/>
      <c r="E336" s="3"/>
      <c r="F336" s="3"/>
      <c r="H336" s="1705" t="s">
        <v>2699</v>
      </c>
      <c r="I336" s="1705"/>
      <c r="J336" s="1705"/>
      <c r="K336" s="1705"/>
      <c r="L336" s="1705"/>
      <c r="M336" s="1705"/>
      <c r="N336" s="1705"/>
      <c r="O336" s="1705"/>
      <c r="P336" s="1705"/>
      <c r="Q336" s="1705"/>
      <c r="R336" s="1705"/>
      <c r="T336" s="3" t="s">
        <v>368</v>
      </c>
      <c r="V336" s="3"/>
      <c r="W336" s="3"/>
      <c r="X336" s="3"/>
      <c r="Y336" s="3"/>
      <c r="AA336" s="1705"/>
      <c r="AB336" s="1705"/>
      <c r="AC336" s="1705"/>
      <c r="AD336" s="1705"/>
      <c r="AE336" s="1705"/>
      <c r="AF336" s="1705"/>
      <c r="AG336" s="1705"/>
      <c r="AH336" s="1705"/>
      <c r="AI336" s="1705"/>
      <c r="AJ336" s="1705"/>
      <c r="AK336" s="1705"/>
    </row>
    <row r="337" spans="2:66" ht="13.05" customHeight="1">
      <c r="B337" s="3" t="s">
        <v>471</v>
      </c>
      <c r="C337" s="3"/>
      <c r="D337" s="3"/>
      <c r="E337" s="3"/>
      <c r="F337" s="3"/>
      <c r="H337" s="1710" t="s">
        <v>2700</v>
      </c>
      <c r="I337" s="1710"/>
      <c r="J337" s="1710"/>
      <c r="K337" s="1710"/>
      <c r="L337" s="1710"/>
      <c r="M337" s="1710"/>
      <c r="N337" s="1710"/>
      <c r="O337" s="1710"/>
      <c r="P337" s="1710"/>
      <c r="Q337" s="1710"/>
      <c r="R337" s="1710"/>
      <c r="T337" s="3" t="s">
        <v>471</v>
      </c>
      <c r="V337" s="3"/>
      <c r="W337" s="3"/>
      <c r="X337" s="3"/>
      <c r="Y337" s="3"/>
      <c r="AA337" s="1710"/>
      <c r="AB337" s="1710"/>
      <c r="AC337" s="1710"/>
      <c r="AD337" s="1710"/>
      <c r="AE337" s="1710"/>
      <c r="AF337" s="1710"/>
      <c r="AG337" s="1710"/>
      <c r="AH337" s="1710"/>
      <c r="AI337" s="1710"/>
      <c r="AJ337" s="1710"/>
      <c r="AK337" s="1710"/>
    </row>
    <row r="338" spans="2:66" ht="13.05" customHeight="1">
      <c r="B338" s="3" t="s">
        <v>472</v>
      </c>
      <c r="C338" s="3"/>
      <c r="D338" s="3"/>
      <c r="E338" s="3"/>
      <c r="F338" s="3"/>
      <c r="H338" s="1710" t="s">
        <v>2701</v>
      </c>
      <c r="I338" s="1710"/>
      <c r="J338" s="1710"/>
      <c r="K338" s="1710"/>
      <c r="L338" s="1710"/>
      <c r="M338" s="1710"/>
      <c r="N338" s="1710"/>
      <c r="O338" s="1710"/>
      <c r="P338" s="1710"/>
      <c r="Q338" s="1710"/>
      <c r="R338" s="1710"/>
      <c r="T338" s="3" t="s">
        <v>75</v>
      </c>
      <c r="V338" s="3"/>
      <c r="W338" s="3"/>
      <c r="X338" s="3"/>
      <c r="Y338" s="3"/>
      <c r="AA338" s="1710"/>
      <c r="AB338" s="1710"/>
      <c r="AC338" s="1710"/>
      <c r="AD338" s="1710"/>
      <c r="AE338" s="1710"/>
      <c r="AF338" s="1710"/>
      <c r="AG338" s="1710"/>
      <c r="AH338" s="1710"/>
      <c r="AI338" s="1710"/>
      <c r="AJ338" s="1710"/>
      <c r="AK338" s="1710"/>
    </row>
    <row r="339" spans="2:66" ht="13.05" customHeight="1">
      <c r="B339" s="3" t="s">
        <v>87</v>
      </c>
      <c r="C339" s="3"/>
      <c r="D339" s="3"/>
      <c r="E339" s="3"/>
      <c r="F339" s="3"/>
      <c r="H339" s="1710" t="s">
        <v>2710</v>
      </c>
      <c r="I339" s="1710"/>
      <c r="J339" s="1710"/>
      <c r="K339" s="1710"/>
      <c r="L339" s="1710"/>
      <c r="M339" s="1710"/>
      <c r="N339" s="1710"/>
      <c r="O339" s="1710"/>
      <c r="P339" s="1710"/>
      <c r="Q339" s="1710"/>
      <c r="R339" s="1710"/>
      <c r="T339" s="3" t="s">
        <v>87</v>
      </c>
      <c r="V339" s="3"/>
      <c r="W339" s="3"/>
      <c r="X339" s="3"/>
      <c r="Y339" s="3"/>
      <c r="AA339" s="1710"/>
      <c r="AB339" s="1710"/>
      <c r="AC339" s="1710"/>
      <c r="AD339" s="1710"/>
      <c r="AE339" s="1710"/>
      <c r="AF339" s="1710"/>
      <c r="AG339" s="1710"/>
      <c r="AH339" s="1710"/>
      <c r="AI339" s="1710"/>
      <c r="AJ339" s="1710"/>
      <c r="AK339" s="1710"/>
    </row>
    <row r="340" spans="2:66" ht="13.05" customHeight="1">
      <c r="B340" s="3" t="s">
        <v>88</v>
      </c>
      <c r="C340" s="3"/>
      <c r="D340" s="3"/>
      <c r="E340" s="3"/>
      <c r="F340" s="3"/>
      <c r="G340" s="3"/>
      <c r="H340" s="1742" t="s">
        <v>2711</v>
      </c>
      <c r="I340" s="1742"/>
      <c r="J340" s="1742"/>
      <c r="K340" s="1742"/>
      <c r="L340" s="1742"/>
      <c r="M340" s="1742"/>
      <c r="N340" s="4" t="s">
        <v>206</v>
      </c>
      <c r="O340" s="4"/>
      <c r="P340" s="1737"/>
      <c r="Q340" s="1737"/>
      <c r="R340" s="1737"/>
      <c r="S340" s="3"/>
      <c r="T340" s="3" t="s">
        <v>88</v>
      </c>
      <c r="V340" s="3"/>
      <c r="W340" s="3"/>
      <c r="X340" s="3"/>
      <c r="Y340" s="3"/>
      <c r="AA340" s="1742"/>
      <c r="AB340" s="1742"/>
      <c r="AC340" s="1742"/>
      <c r="AD340" s="1742"/>
      <c r="AE340" s="1742"/>
      <c r="AF340" s="1742"/>
      <c r="AG340" s="4" t="s">
        <v>206</v>
      </c>
      <c r="AH340" s="4"/>
      <c r="AI340" s="1737"/>
      <c r="AJ340" s="1737"/>
      <c r="AK340" s="1737"/>
    </row>
    <row r="341" spans="2:66" ht="13.05" customHeight="1">
      <c r="B341" s="3" t="s">
        <v>89</v>
      </c>
      <c r="C341" s="3"/>
      <c r="D341" s="3"/>
      <c r="E341" s="3"/>
      <c r="F341" s="3"/>
      <c r="G341" s="3"/>
      <c r="H341" s="1714"/>
      <c r="I341" s="1714"/>
      <c r="J341" s="1714"/>
      <c r="K341" s="1714"/>
      <c r="L341" s="1714"/>
      <c r="M341" s="1714"/>
      <c r="N341" s="4"/>
      <c r="O341" s="4"/>
      <c r="P341" s="35"/>
      <c r="Q341" s="35"/>
      <c r="R341" s="35"/>
      <c r="S341" s="3"/>
      <c r="T341" s="3" t="s">
        <v>89</v>
      </c>
      <c r="V341" s="3"/>
      <c r="W341" s="3"/>
      <c r="X341" s="3"/>
      <c r="Y341" s="3"/>
      <c r="AA341" s="1714"/>
      <c r="AB341" s="1714"/>
      <c r="AC341" s="1714"/>
      <c r="AD341" s="1714"/>
      <c r="AE341" s="1714"/>
      <c r="AF341" s="1714"/>
      <c r="AG341" s="4"/>
      <c r="AH341" s="4"/>
      <c r="AI341" s="35"/>
      <c r="AJ341" s="35"/>
      <c r="AK341" s="35"/>
    </row>
    <row r="342" spans="2:66" ht="13.05" customHeight="1">
      <c r="B342" s="3" t="s">
        <v>76</v>
      </c>
      <c r="C342" s="3"/>
      <c r="D342" s="3"/>
      <c r="E342" s="3"/>
      <c r="F342" s="3"/>
      <c r="G342" s="3"/>
      <c r="H342" s="1710" t="s">
        <v>2712</v>
      </c>
      <c r="I342" s="1710"/>
      <c r="J342" s="1710"/>
      <c r="K342" s="1710"/>
      <c r="L342" s="1710"/>
      <c r="M342" s="1710"/>
      <c r="N342" s="1705"/>
      <c r="O342" s="1705"/>
      <c r="P342" s="1705"/>
      <c r="Q342" s="1705"/>
      <c r="R342" s="1705"/>
      <c r="S342" s="3"/>
      <c r="T342" s="3" t="s">
        <v>76</v>
      </c>
      <c r="V342" s="3"/>
      <c r="W342" s="3"/>
      <c r="X342" s="3"/>
      <c r="Y342" s="3"/>
      <c r="AA342" s="1710"/>
      <c r="AB342" s="1710"/>
      <c r="AC342" s="1710"/>
      <c r="AD342" s="1710"/>
      <c r="AE342" s="1710"/>
      <c r="AF342" s="1710"/>
      <c r="AG342" s="1705"/>
      <c r="AH342" s="1705"/>
      <c r="AI342" s="1705"/>
      <c r="AJ342" s="1705"/>
      <c r="AK342" s="1705"/>
    </row>
    <row r="343" spans="2:66" ht="13.05" customHeight="1">
      <c r="B343" s="3"/>
      <c r="C343" s="3"/>
      <c r="D343" s="3"/>
      <c r="E343" s="3"/>
      <c r="F343" s="3"/>
      <c r="G343" s="3"/>
      <c r="P343" s="163"/>
      <c r="Q343" s="163"/>
      <c r="R343" s="163"/>
      <c r="S343" s="163"/>
      <c r="T343" s="163"/>
      <c r="U343" s="163"/>
      <c r="V343" s="4"/>
      <c r="W343" s="4"/>
      <c r="X343" s="35"/>
      <c r="Y343" s="35"/>
      <c r="Z343" s="35"/>
    </row>
    <row r="344" spans="2:66" ht="13.05" customHeight="1">
      <c r="B344" s="3" t="s">
        <v>329</v>
      </c>
      <c r="C344" s="3"/>
      <c r="D344" s="3"/>
      <c r="E344" s="3"/>
      <c r="F344" s="3"/>
      <c r="H344" s="1705" t="s">
        <v>2785</v>
      </c>
      <c r="I344" s="1705"/>
      <c r="J344" s="1705"/>
      <c r="K344" s="1705"/>
      <c r="L344" s="1705"/>
      <c r="M344" s="1705"/>
      <c r="N344" s="1705"/>
      <c r="O344" s="1705"/>
      <c r="P344" s="1705"/>
      <c r="Q344" s="1705"/>
      <c r="R344" s="1705"/>
      <c r="T344" s="204" t="s">
        <v>886</v>
      </c>
      <c r="V344" s="3"/>
      <c r="W344" s="3"/>
      <c r="X344" s="3"/>
      <c r="Y344" s="3"/>
      <c r="AA344" s="1736" t="s">
        <v>2793</v>
      </c>
      <c r="AB344" s="1705"/>
      <c r="AC344" s="1705"/>
      <c r="AD344" s="1705"/>
      <c r="AE344" s="1705"/>
      <c r="AF344" s="1705"/>
      <c r="AG344" s="1705"/>
      <c r="AH344" s="1705"/>
      <c r="AI344" s="1705"/>
      <c r="AJ344" s="1705"/>
      <c r="AK344" s="1705"/>
    </row>
    <row r="345" spans="2:66" ht="13.05" customHeight="1">
      <c r="B345" s="3" t="s">
        <v>471</v>
      </c>
      <c r="C345" s="3"/>
      <c r="D345" s="3"/>
      <c r="E345" s="3"/>
      <c r="F345" s="3"/>
      <c r="H345" s="2118" t="s">
        <v>2789</v>
      </c>
      <c r="I345" s="1710"/>
      <c r="J345" s="1710"/>
      <c r="K345" s="1710"/>
      <c r="L345" s="1710"/>
      <c r="M345" s="1710"/>
      <c r="N345" s="1710"/>
      <c r="O345" s="1710"/>
      <c r="P345" s="1710"/>
      <c r="Q345" s="1710"/>
      <c r="R345" s="1710"/>
      <c r="T345" s="3" t="s">
        <v>471</v>
      </c>
      <c r="V345" s="3"/>
      <c r="W345" s="3"/>
      <c r="X345" s="3"/>
      <c r="Y345" s="3"/>
      <c r="AA345" s="1710" t="s">
        <v>2713</v>
      </c>
      <c r="AB345" s="1710"/>
      <c r="AC345" s="1710"/>
      <c r="AD345" s="1710"/>
      <c r="AE345" s="1710"/>
      <c r="AF345" s="1710"/>
      <c r="AG345" s="1710"/>
      <c r="AH345" s="1710"/>
      <c r="AI345" s="1710"/>
      <c r="AJ345" s="1710"/>
      <c r="AK345" s="1710"/>
    </row>
    <row r="346" spans="2:66" ht="13.05" customHeight="1">
      <c r="B346" s="3" t="s">
        <v>75</v>
      </c>
      <c r="C346" s="3"/>
      <c r="D346" s="3"/>
      <c r="E346" s="3"/>
      <c r="F346" s="3"/>
      <c r="H346" s="1710" t="s">
        <v>2786</v>
      </c>
      <c r="I346" s="1710"/>
      <c r="J346" s="1710"/>
      <c r="K346" s="1710"/>
      <c r="L346" s="1710"/>
      <c r="M346" s="1710"/>
      <c r="N346" s="1710"/>
      <c r="O346" s="1710"/>
      <c r="P346" s="1710"/>
      <c r="Q346" s="1710"/>
      <c r="R346" s="1710"/>
      <c r="T346" s="3" t="s">
        <v>75</v>
      </c>
      <c r="V346" s="3"/>
      <c r="W346" s="3"/>
      <c r="X346" s="3"/>
      <c r="Y346" s="3"/>
      <c r="AA346" s="1710" t="s">
        <v>2714</v>
      </c>
      <c r="AB346" s="1710"/>
      <c r="AC346" s="1710"/>
      <c r="AD346" s="1710"/>
      <c r="AE346" s="1710"/>
      <c r="AF346" s="1710"/>
      <c r="AG346" s="1710"/>
      <c r="AH346" s="1710"/>
      <c r="AI346" s="1710"/>
      <c r="AJ346" s="1710"/>
      <c r="AK346" s="1710"/>
    </row>
    <row r="347" spans="2:66" ht="13.05" customHeight="1">
      <c r="B347" s="3" t="s">
        <v>87</v>
      </c>
      <c r="C347" s="3"/>
      <c r="D347" s="3"/>
      <c r="E347" s="3"/>
      <c r="F347" s="3"/>
      <c r="G347" s="3"/>
      <c r="H347" s="1710" t="s">
        <v>2775</v>
      </c>
      <c r="I347" s="1710"/>
      <c r="J347" s="1710"/>
      <c r="K347" s="1710"/>
      <c r="L347" s="1710"/>
      <c r="M347" s="1710"/>
      <c r="N347" s="1710"/>
      <c r="O347" s="1710"/>
      <c r="P347" s="1710"/>
      <c r="Q347" s="1710"/>
      <c r="R347" s="1710"/>
      <c r="T347" s="3" t="s">
        <v>87</v>
      </c>
      <c r="V347" s="3"/>
      <c r="W347" s="3"/>
      <c r="X347" s="3"/>
      <c r="Y347" s="3"/>
      <c r="AA347" s="1642" t="s">
        <v>2794</v>
      </c>
      <c r="AB347" s="1710"/>
      <c r="AC347" s="1710"/>
      <c r="AD347" s="1710"/>
      <c r="AE347" s="1710"/>
      <c r="AF347" s="1710"/>
      <c r="AG347" s="1710"/>
      <c r="AH347" s="1710"/>
      <c r="AI347" s="1710"/>
      <c r="AJ347" s="1710"/>
      <c r="AK347" s="1710"/>
    </row>
    <row r="348" spans="2:66" ht="13.05" customHeight="1">
      <c r="B348" s="3" t="s">
        <v>88</v>
      </c>
      <c r="C348" s="3"/>
      <c r="D348" s="3"/>
      <c r="E348" s="3"/>
      <c r="F348" s="3"/>
      <c r="G348" s="3"/>
      <c r="H348" s="2025" t="s">
        <v>2787</v>
      </c>
      <c r="I348" s="2025"/>
      <c r="J348" s="2025"/>
      <c r="K348" s="2025"/>
      <c r="L348" s="2025"/>
      <c r="M348" s="2025"/>
      <c r="N348" s="4" t="s">
        <v>206</v>
      </c>
      <c r="O348" s="4"/>
      <c r="P348" s="1737"/>
      <c r="Q348" s="1737"/>
      <c r="R348" s="1737"/>
      <c r="S348" s="3"/>
      <c r="T348" s="3" t="s">
        <v>88</v>
      </c>
      <c r="V348" s="3"/>
      <c r="W348" s="3"/>
      <c r="X348" s="3"/>
      <c r="Y348" s="3"/>
      <c r="AA348" s="2025" t="s">
        <v>2795</v>
      </c>
      <c r="AB348" s="1742"/>
      <c r="AC348" s="1742"/>
      <c r="AD348" s="1742"/>
      <c r="AE348" s="1742"/>
      <c r="AF348" s="1742"/>
      <c r="AG348" s="4" t="s">
        <v>206</v>
      </c>
      <c r="AH348" s="4"/>
      <c r="AI348" s="1737"/>
      <c r="AJ348" s="1737"/>
      <c r="AK348" s="1737"/>
    </row>
    <row r="349" spans="2:66" ht="13.05" customHeight="1">
      <c r="B349" s="3" t="s">
        <v>89</v>
      </c>
      <c r="C349" s="3"/>
      <c r="D349" s="3"/>
      <c r="E349" s="3"/>
      <c r="F349" s="3"/>
      <c r="G349" s="3"/>
      <c r="H349" s="1714"/>
      <c r="I349" s="1714"/>
      <c r="J349" s="1714"/>
      <c r="K349" s="1714"/>
      <c r="L349" s="1714"/>
      <c r="M349" s="1714"/>
      <c r="N349" s="4"/>
      <c r="O349" s="4"/>
      <c r="P349" s="35"/>
      <c r="Q349" s="35"/>
      <c r="R349" s="35"/>
      <c r="S349" s="3"/>
      <c r="T349" s="3" t="s">
        <v>89</v>
      </c>
      <c r="V349" s="3"/>
      <c r="W349" s="3"/>
      <c r="X349" s="3"/>
      <c r="Y349" s="3"/>
      <c r="AA349" s="1714"/>
      <c r="AB349" s="1714"/>
      <c r="AC349" s="1714"/>
      <c r="AD349" s="1714"/>
      <c r="AE349" s="1714"/>
      <c r="AF349" s="1714"/>
      <c r="AG349" s="4"/>
      <c r="AH349" s="4"/>
      <c r="AI349" s="35"/>
      <c r="AJ349" s="35"/>
      <c r="AK349" s="35"/>
    </row>
    <row r="350" spans="2:66" ht="13.05" customHeight="1">
      <c r="B350" s="3" t="s">
        <v>76</v>
      </c>
      <c r="C350" s="3"/>
      <c r="D350" s="3"/>
      <c r="E350" s="3"/>
      <c r="F350" s="3"/>
      <c r="G350" s="3"/>
      <c r="H350" s="1710" t="s">
        <v>2788</v>
      </c>
      <c r="I350" s="1710"/>
      <c r="J350" s="1710"/>
      <c r="K350" s="1710"/>
      <c r="L350" s="1710"/>
      <c r="M350" s="1710"/>
      <c r="N350" s="1705"/>
      <c r="O350" s="1705"/>
      <c r="P350" s="1705"/>
      <c r="Q350" s="1705"/>
      <c r="R350" s="1705"/>
      <c r="S350" s="3"/>
      <c r="T350" s="3" t="s">
        <v>76</v>
      </c>
      <c r="V350" s="3"/>
      <c r="W350" s="3"/>
      <c r="X350" s="3"/>
      <c r="Y350" s="3"/>
      <c r="AA350" s="1642" t="s">
        <v>2796</v>
      </c>
      <c r="AB350" s="1710"/>
      <c r="AC350" s="1710"/>
      <c r="AD350" s="1710"/>
      <c r="AE350" s="1710"/>
      <c r="AF350" s="1710"/>
      <c r="AG350" s="1705"/>
      <c r="AH350" s="1705"/>
      <c r="AI350" s="1705"/>
      <c r="AJ350" s="1705"/>
      <c r="AK350" s="1705"/>
    </row>
    <row r="351" spans="2:66" ht="13.0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3.05" customHeight="1">
      <c r="B352" s="3"/>
      <c r="C352" s="4"/>
      <c r="D352" s="4"/>
      <c r="E352" s="4"/>
      <c r="F352" s="4"/>
      <c r="I352" s="204" t="s">
        <v>887</v>
      </c>
      <c r="P352" s="1705"/>
      <c r="Q352" s="1705"/>
      <c r="R352" s="1705"/>
      <c r="S352" s="1705"/>
      <c r="T352" s="1705"/>
      <c r="U352" s="1705"/>
      <c r="V352" s="1705"/>
      <c r="W352" s="1705"/>
      <c r="X352" s="1705"/>
      <c r="Y352" s="1705"/>
      <c r="Z352" s="1705"/>
      <c r="AA352" s="1705"/>
      <c r="AB352" s="1705"/>
      <c r="AC352" s="1705"/>
      <c r="AD352" s="1705"/>
      <c r="AE352" s="1705"/>
      <c r="BN352" t="s">
        <v>669</v>
      </c>
    </row>
    <row r="353" spans="1:66" ht="13.05" customHeight="1">
      <c r="B353" s="4"/>
      <c r="C353" s="4"/>
      <c r="D353" s="4"/>
      <c r="E353" s="4"/>
      <c r="F353" s="4"/>
      <c r="I353" s="4" t="s">
        <v>471</v>
      </c>
      <c r="P353" s="1710"/>
      <c r="Q353" s="1710"/>
      <c r="R353" s="1710"/>
      <c r="S353" s="1710"/>
      <c r="T353" s="1710"/>
      <c r="U353" s="1710"/>
      <c r="V353" s="1710"/>
      <c r="W353" s="1710"/>
      <c r="X353" s="1710"/>
      <c r="Y353" s="1710"/>
      <c r="Z353" s="1710"/>
      <c r="AA353" s="1710"/>
      <c r="AB353" s="1710"/>
      <c r="AC353" s="1710"/>
      <c r="AD353" s="1710"/>
      <c r="AE353" s="1710"/>
      <c r="BN353" t="s">
        <v>545</v>
      </c>
    </row>
    <row r="354" spans="1:66" ht="13.05" customHeight="1">
      <c r="B354" s="4"/>
      <c r="C354" s="4"/>
      <c r="D354" s="4"/>
      <c r="E354" s="4"/>
      <c r="F354" s="4"/>
      <c r="I354" s="4" t="s">
        <v>75</v>
      </c>
      <c r="P354" s="1710"/>
      <c r="Q354" s="1710"/>
      <c r="R354" s="1710"/>
      <c r="S354" s="1710"/>
      <c r="T354" s="1710"/>
      <c r="U354" s="1710"/>
      <c r="V354" s="1710"/>
      <c r="W354" s="1710"/>
      <c r="X354" s="1710"/>
      <c r="Y354" s="1710"/>
      <c r="Z354" s="1710"/>
      <c r="AA354" s="1710"/>
      <c r="AB354" s="1710"/>
      <c r="AC354" s="1710"/>
      <c r="AD354" s="1710"/>
      <c r="AE354" s="1710"/>
    </row>
    <row r="355" spans="1:66" ht="13.05" customHeight="1">
      <c r="B355" s="4"/>
      <c r="C355" s="4"/>
      <c r="D355" s="4"/>
      <c r="E355" s="4"/>
      <c r="F355" s="4"/>
      <c r="G355" s="4"/>
      <c r="I355" s="4" t="s">
        <v>87</v>
      </c>
      <c r="P355" s="1710"/>
      <c r="Q355" s="1710"/>
      <c r="R355" s="1710"/>
      <c r="S355" s="1710"/>
      <c r="T355" s="1710"/>
      <c r="U355" s="1710"/>
      <c r="V355" s="1710"/>
      <c r="W355" s="1710"/>
      <c r="X355" s="1710"/>
      <c r="Y355" s="1710"/>
      <c r="Z355" s="1710"/>
      <c r="AA355" s="1710"/>
      <c r="AB355" s="1710"/>
      <c r="AC355" s="1710"/>
      <c r="AD355" s="1710"/>
      <c r="AE355" s="1710"/>
    </row>
    <row r="356" spans="1:66" ht="13.05" customHeight="1">
      <c r="B356" s="4"/>
      <c r="C356" s="4"/>
      <c r="D356" s="4"/>
      <c r="E356" s="4"/>
      <c r="F356" s="4"/>
      <c r="G356" s="4"/>
      <c r="H356" s="302"/>
      <c r="I356" s="4" t="s">
        <v>88</v>
      </c>
      <c r="P356" s="1714"/>
      <c r="Q356" s="1714"/>
      <c r="R356" s="1714"/>
      <c r="S356" s="1714"/>
      <c r="T356" s="1714"/>
      <c r="U356" s="1714"/>
      <c r="V356" s="1714"/>
      <c r="W356" s="1714"/>
      <c r="X356" s="1714"/>
      <c r="Y356" s="1714"/>
      <c r="Z356" s="1714"/>
      <c r="AA356" s="4" t="s">
        <v>206</v>
      </c>
      <c r="AB356" s="4"/>
      <c r="AC356" s="1749"/>
      <c r="AD356" s="1749"/>
      <c r="AE356" s="1749"/>
      <c r="AF356" s="302"/>
      <c r="AG356" s="4"/>
      <c r="AH356" s="4"/>
      <c r="AI356" s="4"/>
      <c r="AJ356" s="4"/>
      <c r="AK356" s="4"/>
    </row>
    <row r="357" spans="1:66" ht="13.05" customHeight="1">
      <c r="B357" s="4"/>
      <c r="C357" s="4"/>
      <c r="D357" s="4"/>
      <c r="E357" s="4"/>
      <c r="F357" s="4"/>
      <c r="G357" s="4"/>
      <c r="H357" s="302"/>
      <c r="I357" s="4" t="s">
        <v>89</v>
      </c>
      <c r="P357" s="1714"/>
      <c r="Q357" s="1714"/>
      <c r="R357" s="1714"/>
      <c r="S357" s="1714"/>
      <c r="T357" s="1714"/>
      <c r="U357" s="1714"/>
      <c r="V357" s="1714"/>
      <c r="W357" s="1714"/>
      <c r="X357" s="1714"/>
      <c r="Y357" s="1714"/>
      <c r="Z357" s="1714"/>
      <c r="AF357" s="302"/>
      <c r="AG357" s="4"/>
      <c r="AH357" s="4"/>
      <c r="AI357" s="35"/>
      <c r="AJ357" s="35"/>
      <c r="AK357" s="35"/>
    </row>
    <row r="358" spans="1:66" ht="13.05" customHeight="1">
      <c r="B358" s="4"/>
      <c r="C358" s="4"/>
      <c r="D358" s="4"/>
      <c r="E358" s="4"/>
      <c r="F358" s="4"/>
      <c r="G358" s="4"/>
      <c r="I358" s="4" t="s">
        <v>76</v>
      </c>
      <c r="P358" s="1705"/>
      <c r="Q358" s="1705"/>
      <c r="R358" s="1705"/>
      <c r="S358" s="1705"/>
      <c r="T358" s="1705"/>
      <c r="U358" s="1705"/>
      <c r="V358" s="1705"/>
      <c r="W358" s="1705"/>
      <c r="X358" s="1705"/>
      <c r="Y358" s="1705"/>
      <c r="Z358" s="1705"/>
      <c r="AA358" s="1705"/>
      <c r="AB358" s="1705"/>
      <c r="AC358" s="1705"/>
      <c r="AD358" s="1705"/>
      <c r="AE358" s="1705"/>
    </row>
    <row r="359" spans="1:66" ht="13.05" customHeight="1">
      <c r="T359" s="8"/>
      <c r="U359" s="8"/>
      <c r="V359" s="8"/>
      <c r="W359" s="8"/>
      <c r="X359" s="8"/>
      <c r="Y359" s="8"/>
      <c r="Z359" s="8"/>
      <c r="AU359" s="95"/>
      <c r="AV359" s="95"/>
      <c r="AW359" s="95"/>
      <c r="AX359" s="95"/>
      <c r="AY359" s="95"/>
    </row>
    <row r="360" spans="1:66" ht="13.05" customHeight="1">
      <c r="A360" s="1741" t="s">
        <v>542</v>
      </c>
      <c r="B360" s="1741"/>
      <c r="C360" s="1741"/>
      <c r="D360" s="1741"/>
      <c r="E360" s="1741"/>
      <c r="F360" s="1741"/>
      <c r="G360" s="1741"/>
      <c r="H360" s="1741"/>
      <c r="I360" s="1741"/>
      <c r="J360" s="1741"/>
      <c r="K360" s="1741"/>
      <c r="L360" s="1741"/>
      <c r="M360" s="1741"/>
      <c r="N360" s="1741"/>
      <c r="O360" s="1741"/>
      <c r="P360" s="1741"/>
      <c r="Q360" s="1741"/>
      <c r="R360" s="1741"/>
      <c r="S360" s="1741"/>
      <c r="T360" s="1741"/>
      <c r="U360" s="1741"/>
      <c r="V360" s="1741"/>
      <c r="W360" s="1741"/>
      <c r="X360" s="1741"/>
      <c r="Y360" s="1741"/>
      <c r="Z360" s="1741"/>
      <c r="AA360" s="1741"/>
      <c r="AB360" s="1741"/>
      <c r="AC360" s="1741"/>
      <c r="AD360" s="1741"/>
      <c r="AE360" s="1741"/>
      <c r="AF360" s="1741"/>
      <c r="AG360" s="1741"/>
      <c r="AH360" s="1741"/>
      <c r="AI360" s="1741"/>
      <c r="AJ360" s="1741"/>
      <c r="AK360" s="1741"/>
      <c r="AL360" s="1741"/>
      <c r="AM360" s="1741"/>
      <c r="AN360" s="1741"/>
      <c r="AO360" s="1741"/>
      <c r="AP360" s="1741"/>
      <c r="AQ360" s="1741"/>
      <c r="AR360" s="1741"/>
      <c r="AS360" s="1741"/>
      <c r="AT360" s="1741"/>
      <c r="AU360" s="95"/>
      <c r="AV360" s="95"/>
      <c r="AW360" s="95"/>
      <c r="AX360" s="95"/>
      <c r="AY360" s="95"/>
    </row>
    <row r="361" spans="1:66" ht="13.05" customHeight="1">
      <c r="A361" s="1741"/>
      <c r="B361" s="1741"/>
      <c r="C361" s="1741"/>
      <c r="D361" s="1741"/>
      <c r="E361" s="1741"/>
      <c r="F361" s="1741"/>
      <c r="G361" s="1741"/>
      <c r="H361" s="1741"/>
      <c r="I361" s="1741"/>
      <c r="J361" s="1741"/>
      <c r="K361" s="1741"/>
      <c r="L361" s="1741"/>
      <c r="M361" s="1741"/>
      <c r="N361" s="1741"/>
      <c r="O361" s="1741"/>
      <c r="P361" s="1741"/>
      <c r="Q361" s="1741"/>
      <c r="R361" s="1741"/>
      <c r="S361" s="1741"/>
      <c r="T361" s="1741"/>
      <c r="U361" s="1741"/>
      <c r="V361" s="1741"/>
      <c r="W361" s="1741"/>
      <c r="X361" s="1741"/>
      <c r="Y361" s="1741"/>
      <c r="Z361" s="1741"/>
      <c r="AA361" s="1741"/>
      <c r="AB361" s="1741"/>
      <c r="AC361" s="1741"/>
      <c r="AD361" s="1741"/>
      <c r="AE361" s="1741"/>
      <c r="AF361" s="1741"/>
      <c r="AG361" s="1741"/>
      <c r="AH361" s="1741"/>
      <c r="AI361" s="1741"/>
      <c r="AJ361" s="1741"/>
      <c r="AK361" s="1741"/>
      <c r="AL361" s="1741"/>
      <c r="AM361" s="1741"/>
      <c r="AN361" s="1741"/>
      <c r="AO361" s="1741"/>
      <c r="AP361" s="1741"/>
      <c r="AQ361" s="1741"/>
      <c r="AR361" s="1741"/>
      <c r="AS361" s="1741"/>
      <c r="AT361" s="1741"/>
      <c r="AU361" s="25"/>
      <c r="AV361" s="25"/>
      <c r="AW361" s="25"/>
      <c r="AX361" s="25"/>
      <c r="AY361" s="25"/>
    </row>
    <row r="362" spans="1:66" ht="13.0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3.05" customHeight="1">
      <c r="A363" s="2" t="s">
        <v>319</v>
      </c>
      <c r="B363" s="2"/>
      <c r="C363" s="2" t="s">
        <v>782</v>
      </c>
    </row>
    <row r="364" spans="1:66" ht="13.05" customHeight="1">
      <c r="D364" s="3" t="s">
        <v>2052</v>
      </c>
      <c r="M364" s="1599" t="s">
        <v>545</v>
      </c>
      <c r="N364" s="1599"/>
      <c r="P364" t="s">
        <v>1638</v>
      </c>
      <c r="AJ364" s="1599" t="s">
        <v>545</v>
      </c>
      <c r="AK364" s="1599"/>
    </row>
    <row r="365" spans="1:66" ht="13.05" customHeight="1">
      <c r="D365" s="3" t="s">
        <v>1627</v>
      </c>
      <c r="M365" s="1599" t="s">
        <v>591</v>
      </c>
      <c r="N365" s="1599"/>
      <c r="P365" s="3" t="s">
        <v>1707</v>
      </c>
      <c r="AJ365" s="1719">
        <v>10</v>
      </c>
      <c r="AK365" s="1719"/>
    </row>
    <row r="366" spans="1:66" ht="13.05" customHeight="1">
      <c r="D366" s="3" t="s">
        <v>704</v>
      </c>
      <c r="M366" s="1599" t="s">
        <v>591</v>
      </c>
      <c r="N366" s="1599"/>
      <c r="P366" t="s">
        <v>1637</v>
      </c>
      <c r="AJ366" s="1599" t="s">
        <v>545</v>
      </c>
      <c r="AK366" s="1599"/>
    </row>
    <row r="367" spans="1:66" ht="13.05" customHeight="1">
      <c r="D367" s="3" t="s">
        <v>705</v>
      </c>
      <c r="M367" s="1599" t="s">
        <v>591</v>
      </c>
      <c r="N367" s="1599"/>
      <c r="Q367" s="4"/>
    </row>
    <row r="368" spans="1:66" ht="13.05" customHeight="1">
      <c r="Q368" s="4"/>
    </row>
    <row r="369" spans="1:34" ht="13.05" customHeight="1">
      <c r="Q369" s="4"/>
    </row>
    <row r="370" spans="1:34" ht="13.05" customHeight="1">
      <c r="A370" s="2" t="s">
        <v>576</v>
      </c>
      <c r="B370" s="2"/>
      <c r="C370" s="2" t="s">
        <v>552</v>
      </c>
      <c r="D370" s="2"/>
    </row>
    <row r="371" spans="1:34" ht="13.0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3.05" customHeight="1">
      <c r="D372" s="39" t="s">
        <v>186</v>
      </c>
      <c r="E372" s="40"/>
      <c r="F372" s="40"/>
      <c r="G372" s="40"/>
      <c r="H372" s="40"/>
      <c r="I372" s="40"/>
      <c r="J372" s="40"/>
      <c r="K372" s="40"/>
      <c r="L372" s="40"/>
      <c r="M372" s="40"/>
      <c r="N372" s="1599" t="s">
        <v>591</v>
      </c>
      <c r="O372" s="1599"/>
      <c r="P372" s="40"/>
      <c r="Q372" s="40"/>
      <c r="R372" s="40"/>
      <c r="S372" s="40"/>
      <c r="T372" s="40"/>
      <c r="U372" s="40"/>
      <c r="V372" s="40"/>
      <c r="W372" s="40"/>
      <c r="X372" s="40"/>
      <c r="Y372" s="40"/>
      <c r="Z372" s="40"/>
      <c r="AC372" s="40"/>
      <c r="AD372" s="40"/>
      <c r="AE372" s="40"/>
    </row>
    <row r="373" spans="1:34" ht="13.05" customHeight="1">
      <c r="E373" t="s">
        <v>370</v>
      </c>
      <c r="Y373" s="1599" t="s">
        <v>591</v>
      </c>
      <c r="Z373" s="1599"/>
    </row>
    <row r="374" spans="1:34" ht="13.05" customHeight="1">
      <c r="D374" s="4" t="s">
        <v>977</v>
      </c>
      <c r="Q374" s="1705"/>
      <c r="R374" s="1705"/>
      <c r="S374" s="1705"/>
      <c r="T374" s="1705"/>
      <c r="U374" s="1705"/>
      <c r="V374" s="1705"/>
      <c r="W374" s="1705"/>
      <c r="X374" s="1705"/>
      <c r="Y374" s="1705"/>
      <c r="Z374" s="1705"/>
      <c r="AA374" s="1705"/>
      <c r="AB374" s="1705"/>
      <c r="AC374" s="1705"/>
      <c r="AD374" s="1705"/>
      <c r="AE374" s="1705"/>
      <c r="AF374" s="1705"/>
      <c r="AG374" s="1705"/>
    </row>
    <row r="375" spans="1:34" ht="13.0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3.05" customHeight="1">
      <c r="D376" t="s">
        <v>188</v>
      </c>
      <c r="E376" s="40"/>
      <c r="F376" s="40"/>
      <c r="G376" s="40"/>
      <c r="H376" s="40"/>
      <c r="I376" s="40"/>
      <c r="J376" s="1599" t="s">
        <v>591</v>
      </c>
      <c r="K376" s="1599"/>
      <c r="L376" s="40"/>
      <c r="M376" s="40"/>
      <c r="N376" s="40"/>
      <c r="O376" s="40"/>
      <c r="P376" s="40"/>
      <c r="Q376" s="40"/>
      <c r="R376" s="40"/>
      <c r="S376" s="40"/>
      <c r="T376" s="40"/>
      <c r="U376" s="40"/>
      <c r="V376" s="40"/>
      <c r="W376" s="40"/>
      <c r="X376" s="40"/>
      <c r="Y376" s="40"/>
      <c r="Z376" s="40"/>
      <c r="AC376" s="40"/>
      <c r="AD376" s="40"/>
      <c r="AE376" s="40"/>
    </row>
    <row r="377" spans="1:34" ht="13.05" customHeight="1">
      <c r="E377" s="1735" t="s">
        <v>706</v>
      </c>
      <c r="F377" s="1735"/>
      <c r="G377" s="1735"/>
      <c r="H377" s="1735"/>
      <c r="I377" s="1735"/>
      <c r="J377" s="1735"/>
      <c r="K377" s="1735"/>
      <c r="L377" s="1735"/>
      <c r="M377" s="1735"/>
      <c r="N377" s="1735"/>
      <c r="O377" s="1735"/>
      <c r="P377" s="1735"/>
      <c r="Q377" s="1735"/>
      <c r="R377" s="1735"/>
      <c r="S377" s="1735"/>
      <c r="T377" s="1735"/>
      <c r="U377" s="1735"/>
      <c r="V377" s="1735"/>
      <c r="W377" s="1735"/>
      <c r="X377" s="1735"/>
      <c r="Y377" s="1735"/>
      <c r="Z377" s="1735"/>
      <c r="AA377" s="1735"/>
      <c r="AB377" s="1735"/>
      <c r="AC377" s="1735"/>
      <c r="AD377" s="1735"/>
      <c r="AE377" s="1735"/>
      <c r="AF377" s="1735"/>
      <c r="AG377" s="1735"/>
      <c r="AH377" s="1735"/>
    </row>
    <row r="378" spans="1:34" ht="13.05" customHeight="1">
      <c r="E378" s="1735"/>
      <c r="F378" s="1735"/>
      <c r="G378" s="1735"/>
      <c r="H378" s="1735"/>
      <c r="I378" s="1735"/>
      <c r="J378" s="1735"/>
      <c r="K378" s="1735"/>
      <c r="L378" s="1735"/>
      <c r="M378" s="1735"/>
      <c r="N378" s="1735"/>
      <c r="O378" s="1735"/>
      <c r="P378" s="1735"/>
      <c r="Q378" s="1735"/>
      <c r="R378" s="1735"/>
      <c r="S378" s="1735"/>
      <c r="T378" s="1735"/>
      <c r="U378" s="1735"/>
      <c r="V378" s="1735"/>
      <c r="W378" s="1735"/>
      <c r="X378" s="1735"/>
      <c r="Y378" s="1735"/>
      <c r="Z378" s="1735"/>
      <c r="AA378" s="1735"/>
      <c r="AB378" s="1735"/>
      <c r="AC378" s="1735"/>
      <c r="AD378" s="1735"/>
      <c r="AE378" s="1735"/>
      <c r="AF378" s="1735"/>
      <c r="AG378" s="1735"/>
      <c r="AH378" s="1735"/>
    </row>
    <row r="379" spans="1:34" ht="13.05" customHeight="1">
      <c r="E379" s="4" t="s">
        <v>448</v>
      </c>
      <c r="F379" s="4"/>
      <c r="G379" s="4"/>
      <c r="H379" s="4"/>
      <c r="I379" s="4"/>
      <c r="J379" s="4"/>
      <c r="K379" s="4"/>
      <c r="L379" s="4"/>
      <c r="N379" s="1760"/>
      <c r="O379" s="1760"/>
      <c r="P379" s="1760"/>
      <c r="Q379" s="1760"/>
      <c r="R379" s="4"/>
      <c r="U379" s="4" t="s">
        <v>449</v>
      </c>
      <c r="V379" s="4"/>
      <c r="W379" s="4"/>
      <c r="X379" s="4"/>
      <c r="Y379" s="4"/>
      <c r="Z379" s="4"/>
      <c r="AA379" s="4"/>
      <c r="AB379" s="4"/>
      <c r="AC379" s="1760"/>
      <c r="AD379" s="1760"/>
      <c r="AE379" s="1760"/>
      <c r="AF379" s="1760"/>
    </row>
    <row r="380" spans="1:34" ht="13.05" customHeight="1">
      <c r="E380" s="4" t="s">
        <v>450</v>
      </c>
      <c r="F380" s="4"/>
      <c r="G380" s="4"/>
      <c r="H380" s="4"/>
      <c r="I380" s="4"/>
      <c r="J380" s="4"/>
      <c r="K380" s="4"/>
      <c r="L380" s="4"/>
      <c r="N380" s="1760"/>
      <c r="O380" s="1760"/>
      <c r="P380" s="1760"/>
      <c r="Q380" s="1760"/>
      <c r="R380" s="4"/>
      <c r="U380" s="4" t="s">
        <v>0</v>
      </c>
      <c r="V380" s="4"/>
      <c r="W380" s="4"/>
      <c r="X380" s="4"/>
      <c r="Y380" s="4"/>
      <c r="Z380" s="4"/>
      <c r="AA380" s="4"/>
      <c r="AB380" s="4"/>
      <c r="AC380" s="1760"/>
      <c r="AD380" s="1760"/>
      <c r="AE380" s="1760"/>
      <c r="AF380" s="1760"/>
    </row>
    <row r="381" spans="1:34" ht="13.05" customHeight="1">
      <c r="E381" s="4" t="s">
        <v>1</v>
      </c>
      <c r="F381" s="4"/>
      <c r="G381" s="4"/>
      <c r="H381" s="4"/>
      <c r="I381" s="4"/>
      <c r="J381" s="4"/>
      <c r="K381" s="4"/>
      <c r="L381" s="4"/>
      <c r="N381" s="1760"/>
      <c r="O381" s="1760"/>
      <c r="P381" s="1760"/>
      <c r="Q381" s="1760"/>
      <c r="R381" s="4"/>
      <c r="V381" s="4"/>
      <c r="W381" s="4"/>
      <c r="X381" s="4"/>
      <c r="Y381" s="4"/>
      <c r="Z381" s="4"/>
      <c r="AA381" s="4"/>
      <c r="AB381" s="4"/>
    </row>
    <row r="382" spans="1:34" ht="13.05" customHeight="1">
      <c r="E382" s="4" t="s">
        <v>2</v>
      </c>
      <c r="F382" s="4"/>
      <c r="G382" s="4"/>
      <c r="H382" s="4"/>
      <c r="I382" s="4"/>
      <c r="J382" s="4"/>
      <c r="K382" s="4"/>
      <c r="L382" s="4"/>
      <c r="N382" s="2064"/>
      <c r="O382" s="2064"/>
      <c r="P382" s="2064"/>
      <c r="Q382" s="2064"/>
      <c r="R382" s="2064"/>
      <c r="S382" s="2064"/>
      <c r="T382" s="2064"/>
      <c r="U382" s="2064"/>
      <c r="V382" s="2064"/>
      <c r="W382" s="2064"/>
      <c r="X382" s="2064"/>
      <c r="Y382" s="2064"/>
      <c r="Z382" s="2064"/>
      <c r="AA382" s="2064"/>
      <c r="AB382" s="2064"/>
      <c r="AC382" s="2064"/>
      <c r="AD382" s="2064"/>
      <c r="AE382" s="2064"/>
      <c r="AF382" s="2064"/>
    </row>
    <row r="383" spans="1:34" ht="13.05" customHeight="1">
      <c r="E383" s="4"/>
      <c r="F383" s="4"/>
      <c r="G383" s="4"/>
      <c r="H383" s="4"/>
      <c r="I383" s="4"/>
      <c r="J383" s="4"/>
      <c r="K383" s="4"/>
      <c r="L383" s="4"/>
      <c r="N383" s="2065"/>
      <c r="O383" s="2065"/>
      <c r="P383" s="2065"/>
      <c r="Q383" s="2065"/>
      <c r="R383" s="2065"/>
      <c r="S383" s="2065"/>
      <c r="T383" s="2065"/>
      <c r="U383" s="2065"/>
      <c r="V383" s="2065"/>
      <c r="W383" s="2065"/>
      <c r="X383" s="2065"/>
      <c r="Y383" s="2065"/>
      <c r="Z383" s="2065"/>
      <c r="AA383" s="2065"/>
      <c r="AB383" s="2065"/>
      <c r="AC383" s="2065"/>
      <c r="AD383" s="2065"/>
      <c r="AE383" s="2065"/>
      <c r="AF383" s="2065"/>
    </row>
    <row r="384" spans="1:34" ht="13.05" customHeight="1">
      <c r="C384" s="512"/>
      <c r="E384" s="4"/>
      <c r="F384" s="4"/>
      <c r="G384" s="4"/>
      <c r="H384" s="4"/>
      <c r="I384" s="4"/>
      <c r="J384" s="4"/>
      <c r="K384" s="4"/>
      <c r="L384" s="4"/>
    </row>
    <row r="385" spans="1:36" ht="13.05" customHeight="1">
      <c r="D385" s="2" t="s">
        <v>974</v>
      </c>
      <c r="E385" s="2"/>
      <c r="F385" s="4"/>
      <c r="G385" s="4"/>
      <c r="H385" s="4"/>
      <c r="I385" s="4"/>
      <c r="J385" s="4"/>
      <c r="K385" s="4"/>
      <c r="L385" s="4"/>
    </row>
    <row r="386" spans="1:36" ht="13.05" customHeight="1">
      <c r="E386" s="4" t="s">
        <v>2038</v>
      </c>
      <c r="F386" s="4"/>
      <c r="G386" s="4"/>
      <c r="H386" s="4"/>
      <c r="I386" s="4"/>
      <c r="J386" s="4"/>
      <c r="K386" s="4"/>
      <c r="L386" s="4"/>
      <c r="N386" t="s">
        <v>2034</v>
      </c>
      <c r="R386" s="27" t="s">
        <v>305</v>
      </c>
      <c r="S386" s="1998"/>
      <c r="T386" s="1998"/>
      <c r="U386" s="1" t="s">
        <v>306</v>
      </c>
      <c r="V386" s="1998"/>
      <c r="W386" s="1998"/>
      <c r="Y386" t="s">
        <v>2034</v>
      </c>
      <c r="AC386" s="27" t="s">
        <v>305</v>
      </c>
      <c r="AD386" s="1998"/>
      <c r="AE386" s="1998"/>
      <c r="AF386" s="1" t="s">
        <v>306</v>
      </c>
      <c r="AG386" s="1998"/>
      <c r="AH386" s="1998"/>
    </row>
    <row r="387" spans="1:36" ht="13.05" customHeight="1">
      <c r="E387" s="4" t="s">
        <v>986</v>
      </c>
      <c r="F387" s="4"/>
      <c r="G387" s="4"/>
      <c r="H387" s="4"/>
      <c r="I387" s="4"/>
      <c r="J387" s="4"/>
      <c r="K387" s="4"/>
      <c r="L387" s="4"/>
      <c r="N387" s="1998"/>
      <c r="O387" s="1998"/>
      <c r="P387" s="1998"/>
    </row>
    <row r="388" spans="1:36" ht="13.05" customHeight="1">
      <c r="E388" s="204" t="s">
        <v>2039</v>
      </c>
      <c r="F388" s="4"/>
      <c r="G388" s="4"/>
      <c r="H388" s="4"/>
      <c r="I388" s="4"/>
      <c r="J388" s="4"/>
      <c r="K388" s="4"/>
      <c r="L388" s="4"/>
      <c r="AG388" s="2056" t="s">
        <v>591</v>
      </c>
      <c r="AH388" s="2056"/>
    </row>
    <row r="389" spans="1:36" ht="13.05" customHeight="1">
      <c r="E389" s="4"/>
      <c r="F389" s="4"/>
      <c r="G389" s="4" t="s">
        <v>2040</v>
      </c>
      <c r="H389" s="4"/>
      <c r="I389" s="4"/>
      <c r="J389" s="4"/>
      <c r="K389" s="4"/>
      <c r="L389" s="4"/>
      <c r="AG389" s="2056" t="s">
        <v>591</v>
      </c>
      <c r="AH389" s="2056"/>
    </row>
    <row r="390" spans="1:36" ht="13.05" customHeight="1">
      <c r="E390" s="4"/>
      <c r="F390" s="4"/>
      <c r="G390" s="320" t="s">
        <v>987</v>
      </c>
      <c r="H390" s="4"/>
      <c r="I390" s="4"/>
      <c r="J390" s="4"/>
      <c r="K390" s="4"/>
      <c r="L390" s="4"/>
      <c r="V390" s="1599" t="s">
        <v>591</v>
      </c>
      <c r="W390" s="1599"/>
      <c r="Y390" s="22" t="s">
        <v>979</v>
      </c>
    </row>
    <row r="391" spans="1:36" ht="13.05" customHeight="1">
      <c r="E391" s="4" t="s">
        <v>980</v>
      </c>
      <c r="F391" s="4"/>
      <c r="G391" s="4"/>
      <c r="H391" s="4"/>
      <c r="I391" s="4"/>
      <c r="J391" s="4"/>
      <c r="K391" s="4"/>
      <c r="L391" s="4"/>
      <c r="V391" s="1599" t="s">
        <v>591</v>
      </c>
      <c r="W391" s="1599"/>
      <c r="Y391" s="4" t="s">
        <v>981</v>
      </c>
    </row>
    <row r="392" spans="1:36" ht="13.05" customHeight="1"/>
    <row r="393" spans="1:36" ht="13.05" customHeight="1">
      <c r="A393" s="2" t="s">
        <v>78</v>
      </c>
      <c r="B393" s="2"/>
    </row>
    <row r="394" spans="1:36" ht="13.05" customHeight="1">
      <c r="D394" t="s">
        <v>428</v>
      </c>
      <c r="J394" s="1705" t="s">
        <v>2715</v>
      </c>
      <c r="K394" s="1705"/>
      <c r="L394" s="1705"/>
      <c r="M394" s="1705"/>
      <c r="N394" s="1705"/>
      <c r="O394" s="1705"/>
      <c r="P394" s="1705"/>
      <c r="Q394" s="1705"/>
      <c r="R394" s="1705"/>
      <c r="S394" s="1705"/>
      <c r="T394" s="1705"/>
      <c r="U394" s="1705"/>
      <c r="V394" s="8" t="s">
        <v>83</v>
      </c>
      <c r="W394" s="8"/>
      <c r="X394" s="8"/>
      <c r="Y394" s="8"/>
      <c r="Z394" s="8"/>
      <c r="AA394" s="8"/>
      <c r="AB394" s="8"/>
      <c r="AC394" s="1705" t="s">
        <v>2719</v>
      </c>
      <c r="AD394" s="1705"/>
      <c r="AE394" s="1705"/>
      <c r="AF394" s="1705"/>
      <c r="AG394" s="1705"/>
      <c r="AH394" s="1705"/>
      <c r="AI394" s="1705"/>
      <c r="AJ394" s="1705"/>
    </row>
    <row r="395" spans="1:36" ht="13.05" customHeight="1">
      <c r="D395" s="3" t="s">
        <v>1181</v>
      </c>
      <c r="J395" s="1710" t="s">
        <v>2716</v>
      </c>
      <c r="K395" s="1710"/>
      <c r="L395" s="1710"/>
      <c r="M395" s="1710"/>
      <c r="N395" s="1710"/>
      <c r="O395" s="1710"/>
      <c r="P395" s="1710"/>
      <c r="Q395" s="1710"/>
      <c r="R395" s="1710"/>
      <c r="S395" s="1710"/>
      <c r="T395" s="1710"/>
      <c r="U395" s="1710"/>
      <c r="V395" s="3" t="s">
        <v>1181</v>
      </c>
      <c r="W395" s="8"/>
      <c r="X395" s="8"/>
      <c r="Y395" s="8"/>
      <c r="Z395" s="8"/>
      <c r="AA395" s="8"/>
      <c r="AB395" s="8"/>
      <c r="AC395" s="1705" t="s">
        <v>2719</v>
      </c>
      <c r="AD395" s="1705"/>
      <c r="AE395" s="1705"/>
      <c r="AF395" s="1705"/>
      <c r="AG395" s="1705"/>
      <c r="AH395" s="1705"/>
      <c r="AI395" s="1705"/>
      <c r="AJ395" s="1705"/>
    </row>
    <row r="396" spans="1:36" ht="13.05" customHeight="1">
      <c r="D396" s="3" t="s">
        <v>441</v>
      </c>
      <c r="J396" s="1710" t="s">
        <v>2717</v>
      </c>
      <c r="K396" s="1710"/>
      <c r="L396" s="1710"/>
      <c r="M396" s="1710"/>
      <c r="N396" s="1710"/>
      <c r="O396" s="1710"/>
      <c r="P396" s="1710"/>
      <c r="Q396" s="1710"/>
      <c r="R396" s="1710"/>
      <c r="S396" s="1710"/>
      <c r="T396" s="1710"/>
      <c r="U396" s="1710"/>
      <c r="V396" s="3" t="s">
        <v>441</v>
      </c>
      <c r="W396" s="8"/>
      <c r="X396" s="8"/>
      <c r="Y396" s="8"/>
      <c r="Z396" s="8"/>
      <c r="AA396" s="8"/>
      <c r="AB396" s="8"/>
      <c r="AC396" s="1705"/>
      <c r="AD396" s="1705"/>
      <c r="AE396" s="1705"/>
      <c r="AF396" s="1705"/>
      <c r="AG396" s="1705"/>
      <c r="AH396" s="1705"/>
      <c r="AI396" s="1705"/>
      <c r="AJ396" s="1705"/>
    </row>
    <row r="397" spans="1:36" ht="13.05" customHeight="1">
      <c r="D397" t="s">
        <v>1177</v>
      </c>
      <c r="J397" s="1636" t="s">
        <v>2718</v>
      </c>
      <c r="K397" s="1636"/>
      <c r="L397" s="1636"/>
      <c r="M397" s="1636"/>
      <c r="N397" s="1636"/>
      <c r="O397" s="1636"/>
      <c r="P397" s="1636"/>
      <c r="Q397" s="1636"/>
      <c r="R397" s="1636"/>
      <c r="S397" s="1636"/>
      <c r="T397" s="1636"/>
      <c r="U397" s="1636"/>
      <c r="V397" s="1705"/>
      <c r="W397" s="1705"/>
      <c r="X397" s="1705"/>
      <c r="Y397" s="1705"/>
      <c r="Z397" s="1705"/>
      <c r="AA397" s="1705"/>
      <c r="AB397" s="1705"/>
      <c r="AC397" s="1705"/>
      <c r="AD397" s="1705"/>
      <c r="AE397" s="1705"/>
      <c r="AF397" s="1705"/>
      <c r="AG397" s="1705"/>
      <c r="AH397" s="1705"/>
      <c r="AI397" s="1705"/>
      <c r="AJ397" s="1705"/>
    </row>
    <row r="398" spans="1:36" ht="13.05" customHeight="1">
      <c r="D398" t="s">
        <v>4</v>
      </c>
      <c r="Q398" s="1774">
        <v>45975</v>
      </c>
      <c r="R398" s="1774"/>
      <c r="S398" s="1774"/>
      <c r="T398" s="1774"/>
      <c r="U398" s="1774"/>
      <c r="V398" t="s">
        <v>309</v>
      </c>
      <c r="AI398" s="1599" t="s">
        <v>545</v>
      </c>
      <c r="AJ398" s="1599"/>
    </row>
    <row r="399" spans="1:36" ht="13.05" customHeight="1">
      <c r="D399" t="s">
        <v>5</v>
      </c>
      <c r="Q399" s="1798">
        <v>46705</v>
      </c>
      <c r="R399" s="2073"/>
      <c r="S399" s="2073"/>
      <c r="T399" s="2073"/>
      <c r="U399" s="2073"/>
      <c r="W399" s="21" t="s">
        <v>74</v>
      </c>
      <c r="AG399" s="2008">
        <v>0</v>
      </c>
      <c r="AH399" s="2008"/>
      <c r="AI399" s="2008"/>
      <c r="AJ399" s="2008"/>
    </row>
    <row r="400" spans="1:36" ht="13.05" customHeight="1">
      <c r="D400" t="s">
        <v>427</v>
      </c>
      <c r="Q400" s="2066">
        <v>4250000</v>
      </c>
      <c r="R400" s="2066"/>
      <c r="S400" s="2066"/>
      <c r="T400" s="2066"/>
      <c r="U400" s="2066"/>
      <c r="V400" s="3" t="s">
        <v>1180</v>
      </c>
      <c r="AG400" s="2075"/>
      <c r="AH400" s="2075"/>
      <c r="AI400" s="2075"/>
      <c r="AJ400" s="2075"/>
    </row>
    <row r="401" spans="4:36" ht="13.05" customHeight="1">
      <c r="D401" t="s">
        <v>88</v>
      </c>
      <c r="I401" s="1742"/>
      <c r="J401" s="1742"/>
      <c r="K401" s="1742"/>
      <c r="L401" s="1742"/>
      <c r="M401" s="1742"/>
      <c r="N401" s="1742"/>
      <c r="Q401" s="4" t="s">
        <v>206</v>
      </c>
      <c r="S401" s="2074"/>
      <c r="T401" s="2074"/>
      <c r="U401" s="2074"/>
      <c r="V401" t="s">
        <v>73</v>
      </c>
      <c r="AI401" s="1599" t="s">
        <v>669</v>
      </c>
      <c r="AJ401" s="1599"/>
    </row>
    <row r="402" spans="4:36" ht="13.05" customHeight="1">
      <c r="D402" t="s">
        <v>310</v>
      </c>
      <c r="Q402" s="1674"/>
      <c r="R402" s="1674"/>
      <c r="S402" s="1674"/>
      <c r="T402" s="1674"/>
      <c r="U402" s="1674"/>
      <c r="V402" t="s">
        <v>311</v>
      </c>
      <c r="AG402" s="2008"/>
      <c r="AH402" s="2008"/>
      <c r="AI402" s="2008"/>
      <c r="AJ402" s="2008"/>
    </row>
    <row r="403" spans="4:36" ht="13.05" customHeight="1">
      <c r="D403" t="s">
        <v>312</v>
      </c>
      <c r="Q403" s="2010"/>
      <c r="R403" s="2010"/>
      <c r="S403" s="2010"/>
      <c r="T403" s="2010"/>
      <c r="U403" s="2010"/>
      <c r="V403" t="s">
        <v>1162</v>
      </c>
      <c r="AG403" s="2008">
        <v>0</v>
      </c>
      <c r="AH403" s="2008"/>
      <c r="AI403" s="2008"/>
      <c r="AJ403" s="2008"/>
    </row>
    <row r="404" spans="4:36" ht="13.05" customHeight="1">
      <c r="D404" t="s">
        <v>1161</v>
      </c>
      <c r="AG404" s="2008"/>
      <c r="AH404" s="2008"/>
      <c r="AI404" s="2008"/>
      <c r="AJ404" s="2008"/>
    </row>
    <row r="405" spans="4:36" ht="13.05" customHeight="1">
      <c r="AG405" s="456"/>
      <c r="AH405" s="456"/>
      <c r="AI405" s="456"/>
      <c r="AJ405" s="456"/>
    </row>
    <row r="406" spans="4:36" ht="13.05" customHeight="1">
      <c r="D406" s="3" t="s">
        <v>2096</v>
      </c>
      <c r="AG406" s="456"/>
      <c r="AH406" s="456"/>
      <c r="AI406" s="1599" t="s">
        <v>669</v>
      </c>
      <c r="AJ406" s="1599"/>
    </row>
    <row r="407" spans="4:36" ht="13.05" customHeight="1">
      <c r="D407" s="3" t="s">
        <v>1655</v>
      </c>
      <c r="T407" s="2007"/>
      <c r="U407" s="2007"/>
      <c r="V407" s="2007"/>
      <c r="W407" s="2007"/>
      <c r="X407" s="2007"/>
      <c r="Y407" s="2007"/>
      <c r="Z407" s="2007"/>
      <c r="AA407" s="2007"/>
      <c r="AB407" s="2007"/>
      <c r="AC407" s="2007"/>
      <c r="AD407" s="2007"/>
      <c r="AE407" s="2007"/>
      <c r="AF407" s="2007"/>
      <c r="AG407" s="2007"/>
      <c r="AH407" s="2007"/>
      <c r="AI407" s="2007"/>
      <c r="AJ407" s="2007"/>
    </row>
    <row r="408" spans="4:36" ht="13.05" customHeight="1">
      <c r="D408" s="3" t="s">
        <v>1654</v>
      </c>
      <c r="T408" s="2007"/>
      <c r="U408" s="2007"/>
      <c r="V408" s="2007"/>
      <c r="W408" s="2007"/>
      <c r="X408" s="2007"/>
      <c r="Y408" s="2007"/>
      <c r="Z408" s="2007"/>
      <c r="AA408" s="2007"/>
      <c r="AB408" s="2007"/>
      <c r="AC408" s="2007"/>
      <c r="AD408" s="2007"/>
      <c r="AE408" s="2007"/>
      <c r="AF408" s="2007"/>
      <c r="AG408" s="2007"/>
      <c r="AH408" s="2007"/>
      <c r="AI408" s="2007"/>
      <c r="AJ408" s="2007"/>
    </row>
    <row r="409" spans="4:36" ht="13.05" customHeight="1">
      <c r="AG409" s="456"/>
      <c r="AH409" s="456"/>
      <c r="AI409" s="456"/>
      <c r="AJ409" s="456"/>
    </row>
    <row r="410" spans="4:36" ht="13.05" customHeight="1">
      <c r="D410" s="3" t="s">
        <v>1648</v>
      </c>
      <c r="S410" s="2007" t="s">
        <v>669</v>
      </c>
      <c r="T410" s="2007"/>
      <c r="U410" s="2007"/>
      <c r="V410" t="s">
        <v>1649</v>
      </c>
      <c r="AG410" s="2028"/>
      <c r="AH410" s="2028"/>
      <c r="AI410" s="2028"/>
      <c r="AJ410" s="2028"/>
    </row>
    <row r="411" spans="4:36" ht="13.05" customHeight="1">
      <c r="D411" s="3" t="s">
        <v>1646</v>
      </c>
      <c r="S411" s="2007" t="s">
        <v>591</v>
      </c>
      <c r="T411" s="2007"/>
      <c r="U411" s="2007"/>
      <c r="V411" t="s">
        <v>1651</v>
      </c>
      <c r="AE411" s="2082"/>
      <c r="AF411" s="2082"/>
      <c r="AG411" s="2082"/>
      <c r="AH411" s="2082"/>
      <c r="AI411" s="2082"/>
      <c r="AJ411" s="2082"/>
    </row>
    <row r="412" spans="4:36" ht="13.05" customHeight="1">
      <c r="D412" s="3" t="s">
        <v>1647</v>
      </c>
      <c r="K412" s="2049"/>
      <c r="L412" s="2049"/>
      <c r="M412" s="2049"/>
      <c r="N412" s="2049"/>
      <c r="O412" s="2049"/>
      <c r="P412" s="2049"/>
      <c r="Q412" s="2049"/>
      <c r="R412" s="2049"/>
      <c r="S412" s="2049"/>
      <c r="T412" s="2049"/>
      <c r="U412" s="2049"/>
      <c r="V412" s="2049"/>
      <c r="W412" s="2049"/>
      <c r="X412" s="2049"/>
      <c r="Y412" s="2049"/>
      <c r="Z412" s="2049"/>
      <c r="AA412" s="2049"/>
      <c r="AB412" s="2049"/>
      <c r="AC412" s="2049"/>
      <c r="AD412" s="2049"/>
      <c r="AE412" s="2049"/>
      <c r="AF412" s="2049"/>
      <c r="AG412" s="2049"/>
      <c r="AH412" s="2049"/>
      <c r="AI412" s="2049"/>
      <c r="AJ412" s="2049"/>
    </row>
    <row r="413" spans="4:36" ht="13.05" customHeight="1">
      <c r="D413" s="3" t="s">
        <v>1650</v>
      </c>
      <c r="K413" s="2049"/>
      <c r="L413" s="2049"/>
      <c r="M413" s="2049"/>
      <c r="N413" s="2049"/>
      <c r="O413" s="2049"/>
      <c r="P413" s="2049"/>
      <c r="Q413" s="2049"/>
      <c r="R413" s="2049"/>
      <c r="S413" s="2049"/>
      <c r="T413" s="2049"/>
      <c r="U413" s="2049"/>
      <c r="V413" s="2049"/>
      <c r="W413" s="2049"/>
      <c r="X413" s="2049"/>
      <c r="Y413" s="2049"/>
      <c r="Z413" s="2049"/>
      <c r="AA413" s="2049"/>
      <c r="AB413" s="2049"/>
      <c r="AC413" s="2049"/>
      <c r="AD413" s="2049"/>
      <c r="AE413" s="2049"/>
      <c r="AF413" s="2049"/>
      <c r="AG413" s="2049"/>
      <c r="AH413" s="2049"/>
      <c r="AI413" s="2049"/>
      <c r="AJ413" s="2049"/>
    </row>
    <row r="414" spans="4:36" ht="13.05" customHeight="1">
      <c r="D414" s="3" t="s">
        <v>1653</v>
      </c>
      <c r="E414" s="477"/>
      <c r="F414" s="477"/>
      <c r="G414" s="477"/>
      <c r="H414" s="477"/>
      <c r="I414" s="477"/>
      <c r="J414" s="477"/>
      <c r="K414" s="477"/>
      <c r="L414" s="477"/>
      <c r="M414" s="477"/>
      <c r="N414" s="477"/>
      <c r="O414" s="477"/>
      <c r="P414" s="477"/>
      <c r="Q414" s="477"/>
      <c r="R414" s="477"/>
      <c r="S414" s="2006" t="s">
        <v>1183</v>
      </c>
      <c r="T414" s="2006"/>
      <c r="U414" s="2006"/>
      <c r="V414" s="2006"/>
      <c r="W414" s="2006"/>
      <c r="X414" s="2006"/>
      <c r="Y414" s="2006"/>
      <c r="Z414" s="2006"/>
      <c r="AA414" s="2006"/>
      <c r="AB414" s="2006"/>
      <c r="AC414" s="2006"/>
      <c r="AD414" s="2006"/>
      <c r="AE414" s="2006"/>
      <c r="AF414" s="2006"/>
      <c r="AG414" s="2006"/>
      <c r="AH414" s="2006"/>
      <c r="AI414" s="2006"/>
      <c r="AJ414" s="2006"/>
    </row>
    <row r="415" spans="4:36" ht="13.05" customHeight="1">
      <c r="D415" s="1529" t="s">
        <v>1652</v>
      </c>
      <c r="E415" s="1529"/>
      <c r="F415" s="1529"/>
      <c r="G415" s="1529"/>
      <c r="H415" s="1529"/>
      <c r="I415" s="1529"/>
      <c r="J415" s="1529"/>
      <c r="K415" s="1529"/>
      <c r="L415" s="1529"/>
      <c r="M415" s="1529"/>
      <c r="N415" s="1529"/>
      <c r="O415" s="1529"/>
      <c r="P415" s="1529"/>
      <c r="Q415" s="1529"/>
      <c r="R415" s="1529"/>
      <c r="S415" s="1529"/>
      <c r="T415" s="1529"/>
      <c r="U415" s="1529"/>
      <c r="V415" s="1529"/>
      <c r="W415" s="1529"/>
      <c r="X415" s="1529"/>
      <c r="Y415" s="1529"/>
      <c r="Z415" s="1529"/>
      <c r="AA415" s="1529"/>
      <c r="AB415" s="1529"/>
      <c r="AC415" s="1529"/>
      <c r="AD415" s="1529"/>
      <c r="AE415" s="1529"/>
      <c r="AF415" s="1529"/>
      <c r="AG415" s="1529"/>
      <c r="AH415" s="1529"/>
      <c r="AI415" s="1529"/>
      <c r="AJ415" s="1529"/>
    </row>
    <row r="416" spans="4:36" ht="13.05" customHeight="1">
      <c r="D416" s="1529"/>
      <c r="E416" s="1529"/>
      <c r="F416" s="1529"/>
      <c r="G416" s="1529"/>
      <c r="H416" s="1529"/>
      <c r="I416" s="1529"/>
      <c r="J416" s="1529"/>
      <c r="K416" s="1529"/>
      <c r="L416" s="1529"/>
      <c r="M416" s="1529"/>
      <c r="N416" s="1529"/>
      <c r="O416" s="1529"/>
      <c r="P416" s="1529"/>
      <c r="Q416" s="1529"/>
      <c r="R416" s="1529"/>
      <c r="S416" s="1529"/>
      <c r="T416" s="1529"/>
      <c r="U416" s="1529"/>
      <c r="V416" s="1529"/>
      <c r="W416" s="1529"/>
      <c r="X416" s="1529"/>
      <c r="Y416" s="1529"/>
      <c r="Z416" s="1529"/>
      <c r="AA416" s="1529"/>
      <c r="AB416" s="1529"/>
      <c r="AC416" s="1529"/>
      <c r="AD416" s="1529"/>
      <c r="AE416" s="1529"/>
      <c r="AF416" s="1529"/>
      <c r="AG416" s="1529"/>
      <c r="AH416" s="1529"/>
      <c r="AI416" s="1529"/>
      <c r="AJ416" s="1529"/>
    </row>
    <row r="417" spans="1:39" ht="13.05" customHeight="1">
      <c r="AG417" s="456"/>
      <c r="AH417" s="456"/>
      <c r="AI417" s="456"/>
      <c r="AJ417" s="456"/>
    </row>
    <row r="418" spans="1:39" ht="13.05" customHeight="1">
      <c r="A418" s="2" t="s">
        <v>589</v>
      </c>
      <c r="B418" s="2"/>
      <c r="C418" s="2" t="s">
        <v>111</v>
      </c>
    </row>
    <row r="419" spans="1:39" ht="13.05" customHeight="1">
      <c r="B419" s="2"/>
      <c r="C419" s="2"/>
      <c r="D419" s="2" t="s">
        <v>1203</v>
      </c>
      <c r="I419" s="1736" t="s">
        <v>2756</v>
      </c>
      <c r="J419" s="1736"/>
      <c r="K419" s="1736"/>
      <c r="L419" s="1736"/>
      <c r="M419" s="1736"/>
      <c r="N419" s="1736"/>
      <c r="O419" s="1736"/>
      <c r="P419" s="1736"/>
      <c r="Q419" s="1736"/>
      <c r="R419" s="1736"/>
      <c r="S419" s="1736"/>
      <c r="T419" s="1736"/>
      <c r="U419" s="1736"/>
      <c r="V419" s="1736"/>
      <c r="W419" s="1736"/>
      <c r="X419" s="1736"/>
      <c r="Y419" s="1736"/>
      <c r="Z419" s="1736"/>
      <c r="AA419" s="1736"/>
      <c r="AB419" s="1736"/>
      <c r="AC419" s="1736"/>
      <c r="AD419" s="1736"/>
      <c r="AE419" s="1736"/>
    </row>
    <row r="420" spans="1:39" ht="13.05" customHeight="1">
      <c r="E420" t="s">
        <v>106</v>
      </c>
      <c r="R420" s="1599" t="s">
        <v>545</v>
      </c>
      <c r="S420" s="1599"/>
      <c r="AC420" s="27" t="s">
        <v>570</v>
      </c>
      <c r="AD420" s="1760">
        <v>8</v>
      </c>
      <c r="AE420" s="1760"/>
    </row>
    <row r="421" spans="1:39" ht="13.05" customHeight="1">
      <c r="E421" t="s">
        <v>107</v>
      </c>
      <c r="R421" s="1599" t="s">
        <v>591</v>
      </c>
      <c r="S421" s="1599"/>
      <c r="AC421" s="27" t="s">
        <v>570</v>
      </c>
      <c r="AD421" s="1760"/>
      <c r="AE421" s="1760"/>
    </row>
    <row r="422" spans="1:39" ht="13.05" customHeight="1">
      <c r="E422" t="s">
        <v>108</v>
      </c>
      <c r="S422" s="1599" t="s">
        <v>591</v>
      </c>
      <c r="T422" s="1599"/>
    </row>
    <row r="423" spans="1:39" ht="13.05" customHeight="1">
      <c r="E423" t="s">
        <v>170</v>
      </c>
      <c r="H423" s="2077" t="s">
        <v>2757</v>
      </c>
      <c r="I423" s="2077"/>
      <c r="J423" s="2077"/>
      <c r="K423" s="2077"/>
      <c r="L423" s="2077"/>
      <c r="M423" s="2077"/>
      <c r="N423" s="2077"/>
      <c r="O423" s="2077"/>
      <c r="P423" s="2077"/>
      <c r="Q423" s="2077"/>
      <c r="R423" s="2077"/>
      <c r="S423" s="2077"/>
      <c r="T423" s="2077"/>
      <c r="U423" s="2077"/>
      <c r="V423" s="2077"/>
      <c r="W423" s="2077"/>
      <c r="X423" s="2077"/>
      <c r="Y423" s="2077"/>
      <c r="Z423" s="2077"/>
      <c r="AA423" s="2077"/>
      <c r="AB423" s="2077"/>
      <c r="AC423" s="2077"/>
      <c r="AD423" s="2077"/>
      <c r="AE423" s="2077"/>
    </row>
    <row r="424" spans="1:39" ht="13.05" customHeight="1">
      <c r="H424" s="2078"/>
      <c r="I424" s="2078"/>
      <c r="J424" s="2078"/>
      <c r="K424" s="2078"/>
      <c r="L424" s="2078"/>
      <c r="M424" s="2078"/>
      <c r="N424" s="2078"/>
      <c r="O424" s="2078"/>
      <c r="P424" s="2078"/>
      <c r="Q424" s="2078"/>
      <c r="R424" s="2078"/>
      <c r="S424" s="2078"/>
      <c r="T424" s="2078"/>
      <c r="U424" s="2078"/>
      <c r="V424" s="2078"/>
      <c r="W424" s="2078"/>
      <c r="X424" s="2078"/>
      <c r="Y424" s="2078"/>
      <c r="Z424" s="2078"/>
      <c r="AA424" s="2078"/>
      <c r="AB424" s="2078"/>
      <c r="AC424" s="2078"/>
      <c r="AD424" s="2078"/>
      <c r="AE424" s="2078"/>
    </row>
    <row r="425" spans="1:39" ht="13.05" customHeight="1"/>
    <row r="426" spans="1:39" ht="13.05" customHeight="1">
      <c r="A426" s="2" t="s">
        <v>590</v>
      </c>
      <c r="B426" s="2"/>
      <c r="C426" s="2"/>
      <c r="D426" s="2" t="s">
        <v>114</v>
      </c>
      <c r="AF426" s="2" t="s">
        <v>957</v>
      </c>
    </row>
    <row r="427" spans="1:39" ht="13.05" customHeight="1">
      <c r="E427" s="1998"/>
      <c r="F427" s="1998"/>
      <c r="G427" s="1998"/>
      <c r="H427" s="13" t="s">
        <v>115</v>
      </c>
      <c r="I427" s="1998"/>
      <c r="J427" s="1998"/>
      <c r="K427" s="1998"/>
      <c r="L427" t="s">
        <v>116</v>
      </c>
      <c r="N427" s="27" t="s">
        <v>575</v>
      </c>
      <c r="P427" s="2009">
        <v>0.61</v>
      </c>
      <c r="Q427" s="2009"/>
      <c r="R427" s="2009"/>
      <c r="S427" t="s">
        <v>117</v>
      </c>
      <c r="W427" s="1999">
        <f>IF(E427&gt;0,(E427*I427),(P427*43560))</f>
        <v>26571.599999999999</v>
      </c>
      <c r="X427" s="1999"/>
      <c r="Y427" s="1999"/>
      <c r="Z427" t="s">
        <v>118</v>
      </c>
      <c r="AF427" s="2027">
        <f>IFERROR(IF(P427&gt;0,(AG446/P427),(AG446/(W427/43560))),0)</f>
        <v>167.21311475409837</v>
      </c>
      <c r="AG427" s="2027"/>
      <c r="AH427" s="2027"/>
      <c r="AM427" s="3"/>
    </row>
    <row r="428" spans="1:39" ht="13.05" customHeight="1">
      <c r="E428" t="s">
        <v>51</v>
      </c>
    </row>
    <row r="429" spans="1:39" ht="13.05" customHeight="1">
      <c r="E429" s="2090"/>
      <c r="F429" s="2090"/>
      <c r="G429" s="2090"/>
      <c r="H429" s="2090"/>
      <c r="I429" s="2090"/>
      <c r="J429" s="2090"/>
      <c r="K429" s="2090"/>
      <c r="L429" s="2090"/>
      <c r="M429" s="2090"/>
      <c r="N429" s="2090"/>
      <c r="O429" s="2090"/>
      <c r="P429" s="2090"/>
      <c r="Q429" s="2090"/>
      <c r="R429" s="2090"/>
      <c r="S429" s="2090"/>
      <c r="T429" s="2090"/>
      <c r="U429" s="2090"/>
      <c r="V429" s="2090"/>
      <c r="W429" s="2090"/>
      <c r="X429" s="2090"/>
      <c r="Y429" s="2090"/>
      <c r="Z429" s="2090"/>
      <c r="AA429" s="2090"/>
      <c r="AB429" s="2090"/>
      <c r="AC429" s="2090"/>
      <c r="AD429" s="2090"/>
      <c r="AE429" s="2090"/>
      <c r="AF429" s="2090"/>
      <c r="AG429" s="2090"/>
      <c r="AH429" s="2090"/>
      <c r="AI429" s="2090"/>
      <c r="AJ429" s="2090"/>
    </row>
    <row r="430" spans="1:39" ht="13.05" customHeight="1">
      <c r="E430" s="118" t="s">
        <v>1723</v>
      </c>
      <c r="F430" s="1008"/>
      <c r="G430" s="1008"/>
      <c r="H430" s="1008"/>
      <c r="I430" s="2092">
        <v>0.61</v>
      </c>
      <c r="J430" s="2092"/>
      <c r="K430" s="2092"/>
      <c r="L430" s="1008"/>
      <c r="M430" s="118"/>
      <c r="N430" s="1008"/>
      <c r="O430" s="1008"/>
      <c r="P430" s="1773">
        <f>(DU763+DU786+DU808)/I430</f>
        <v>445.90163934426232</v>
      </c>
      <c r="Q430" s="1773"/>
      <c r="R430" s="1773"/>
      <c r="S430" s="118" t="s">
        <v>1724</v>
      </c>
      <c r="T430" s="1008"/>
      <c r="U430" s="1008"/>
      <c r="V430" s="1008"/>
      <c r="W430" s="1008"/>
      <c r="X430" s="1008"/>
      <c r="Y430" s="1008"/>
      <c r="Z430" s="1008"/>
      <c r="AA430" s="1008"/>
      <c r="AB430" s="1008"/>
      <c r="AC430" s="1008"/>
      <c r="AD430" s="1008"/>
      <c r="AE430" s="1008"/>
      <c r="AF430" s="1008"/>
      <c r="AG430" s="1008"/>
      <c r="AH430" s="1008"/>
      <c r="AI430" s="1008"/>
      <c r="AJ430" s="1008"/>
    </row>
    <row r="431" spans="1:39" ht="13.05" customHeight="1"/>
    <row r="432" spans="1:39" ht="13.05" customHeight="1">
      <c r="A432" s="2" t="s">
        <v>592</v>
      </c>
      <c r="B432" s="2"/>
      <c r="C432" s="2"/>
      <c r="D432" s="2" t="s">
        <v>120</v>
      </c>
    </row>
    <row r="433" spans="1:36" ht="13.05" customHeight="1">
      <c r="E433" t="s">
        <v>121</v>
      </c>
      <c r="P433" s="1599">
        <v>1</v>
      </c>
      <c r="Q433" s="1599"/>
      <c r="S433" t="s">
        <v>189</v>
      </c>
      <c r="AE433" s="1599">
        <v>1</v>
      </c>
      <c r="AF433" s="1599"/>
    </row>
    <row r="434" spans="1:36" ht="13.05" customHeight="1">
      <c r="E434" t="s">
        <v>190</v>
      </c>
      <c r="P434" s="1599">
        <v>0</v>
      </c>
      <c r="Q434" s="1599"/>
      <c r="S434" t="s">
        <v>131</v>
      </c>
      <c r="AE434" s="1599" t="s">
        <v>591</v>
      </c>
      <c r="AF434" s="1599"/>
    </row>
    <row r="435" spans="1:36" ht="13.05" customHeight="1">
      <c r="F435" s="28" t="s">
        <v>132</v>
      </c>
    </row>
    <row r="436" spans="1:36" ht="13.05" customHeight="1">
      <c r="F436" s="2054"/>
      <c r="G436" s="2054"/>
      <c r="H436" s="2054"/>
      <c r="I436" s="2054"/>
      <c r="J436" s="2054"/>
      <c r="K436" s="2054"/>
      <c r="L436" s="2054"/>
      <c r="M436" s="2054"/>
      <c r="N436" s="2054"/>
      <c r="O436" s="2054"/>
      <c r="P436" s="2054"/>
      <c r="Q436" s="2054"/>
      <c r="R436" s="2054"/>
      <c r="S436" s="2054"/>
      <c r="T436" s="2054"/>
      <c r="U436" s="2054"/>
      <c r="V436" s="2054"/>
      <c r="W436" s="2054"/>
      <c r="X436" s="2054"/>
      <c r="Y436" s="2054"/>
      <c r="Z436" s="2054"/>
      <c r="AA436" s="2054"/>
      <c r="AB436" s="2054"/>
      <c r="AC436" s="2054"/>
      <c r="AD436" s="2054"/>
      <c r="AE436" s="2054"/>
      <c r="AF436" s="2054"/>
      <c r="AG436" s="2054"/>
      <c r="AH436" s="2054"/>
    </row>
    <row r="437" spans="1:36" ht="13.05" customHeight="1">
      <c r="F437" s="2055"/>
      <c r="G437" s="2055"/>
      <c r="H437" s="2055"/>
      <c r="I437" s="2055"/>
      <c r="J437" s="2055"/>
      <c r="K437" s="2055"/>
      <c r="L437" s="2055"/>
      <c r="M437" s="2055"/>
      <c r="N437" s="2055"/>
      <c r="O437" s="2055"/>
      <c r="P437" s="2055"/>
      <c r="Q437" s="2055"/>
      <c r="R437" s="2055"/>
      <c r="S437" s="2055"/>
      <c r="T437" s="2055"/>
      <c r="U437" s="2055"/>
      <c r="V437" s="2055"/>
      <c r="W437" s="2055"/>
      <c r="X437" s="2055"/>
      <c r="Y437" s="2055"/>
      <c r="Z437" s="2055"/>
      <c r="AA437" s="2055"/>
      <c r="AB437" s="2055"/>
      <c r="AC437" s="2055"/>
      <c r="AD437" s="2055"/>
      <c r="AE437" s="2055"/>
      <c r="AF437" s="2055"/>
      <c r="AG437" s="2055"/>
      <c r="AH437" s="2055"/>
    </row>
    <row r="438" spans="1:36" ht="13.05" customHeight="1">
      <c r="E438" t="s">
        <v>608</v>
      </c>
      <c r="P438" s="1"/>
      <c r="Q438" s="1599" t="s">
        <v>545</v>
      </c>
      <c r="R438" s="1599"/>
    </row>
    <row r="439" spans="1:36" ht="13.05" customHeight="1">
      <c r="F439" t="s">
        <v>609</v>
      </c>
      <c r="P439" s="1"/>
      <c r="Q439" s="1"/>
      <c r="AF439" s="1599" t="s">
        <v>591</v>
      </c>
      <c r="AG439" s="2091"/>
    </row>
    <row r="440" spans="1:36" ht="13.05" customHeight="1"/>
    <row r="441" spans="1:36" ht="13.05" customHeight="1">
      <c r="A441" s="2"/>
      <c r="B441" s="2"/>
      <c r="C441" s="2"/>
      <c r="E441" s="4" t="s">
        <v>308</v>
      </c>
      <c r="Z441" s="1599" t="s">
        <v>669</v>
      </c>
      <c r="AA441" s="1599"/>
    </row>
    <row r="442" spans="1:36" ht="13.0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3.05" customHeight="1">
      <c r="F443" t="s">
        <v>707</v>
      </c>
      <c r="G443" s="40"/>
      <c r="I443" s="40"/>
      <c r="J443" s="40"/>
      <c r="K443" s="40"/>
      <c r="L443" s="40"/>
      <c r="M443" s="40"/>
      <c r="N443" s="40"/>
      <c r="O443" s="28"/>
      <c r="P443" s="40"/>
      <c r="Q443" s="40"/>
      <c r="R443" s="40"/>
      <c r="S443" s="40"/>
      <c r="T443" s="40"/>
      <c r="U443" s="40"/>
      <c r="V443" s="40"/>
      <c r="W443" s="40"/>
      <c r="Z443" s="1599" t="s">
        <v>591</v>
      </c>
      <c r="AA443" s="1599"/>
    </row>
    <row r="444" spans="1:36" ht="13.05" customHeight="1"/>
    <row r="445" spans="1:36" ht="13.05" customHeight="1">
      <c r="A445" s="2" t="s">
        <v>467</v>
      </c>
      <c r="B445" s="2"/>
      <c r="C445" s="2"/>
      <c r="D445" s="2" t="s">
        <v>764</v>
      </c>
      <c r="AF445" s="48"/>
    </row>
    <row r="446" spans="1:36" ht="13.05" customHeight="1">
      <c r="D446" s="1894" t="s">
        <v>43</v>
      </c>
      <c r="E446" s="1892"/>
      <c r="F446" s="1892"/>
      <c r="G446" s="1892"/>
      <c r="H446" s="1892"/>
      <c r="I446" s="1892"/>
      <c r="J446" s="1892"/>
      <c r="K446" s="1892"/>
      <c r="L446" s="1892"/>
      <c r="M446" s="1892"/>
      <c r="N446" s="1892"/>
      <c r="O446" s="1892"/>
      <c r="P446" s="1892"/>
      <c r="Q446" s="1892"/>
      <c r="R446" s="1892"/>
      <c r="S446" s="1892"/>
      <c r="T446" s="1892"/>
      <c r="U446" s="1892"/>
      <c r="V446" s="1892"/>
      <c r="W446" s="1892"/>
      <c r="X446" s="1892"/>
      <c r="Y446" s="1892"/>
      <c r="Z446" s="1892"/>
      <c r="AA446" s="1892"/>
      <c r="AB446" s="1892"/>
      <c r="AC446" s="1892"/>
      <c r="AD446" s="1892"/>
      <c r="AE446" s="1892"/>
      <c r="AF446" s="2003"/>
      <c r="AG446" s="2005">
        <v>102</v>
      </c>
      <c r="AH446" s="2005"/>
      <c r="AI446" s="2005"/>
      <c r="AJ446" s="2005"/>
    </row>
    <row r="447" spans="1:36" ht="13.05" customHeight="1">
      <c r="D447" s="2000" t="s">
        <v>1221</v>
      </c>
      <c r="E447" s="2001"/>
      <c r="F447" s="2001"/>
      <c r="G447" s="2001"/>
      <c r="H447" s="2001"/>
      <c r="I447" s="2001"/>
      <c r="J447" s="2001"/>
      <c r="K447" s="2001"/>
      <c r="L447" s="2001"/>
      <c r="M447" s="2001"/>
      <c r="N447" s="2001"/>
      <c r="O447" s="2001"/>
      <c r="P447" s="2001"/>
      <c r="Q447" s="2001"/>
      <c r="R447" s="2001"/>
      <c r="S447" s="2001"/>
      <c r="T447" s="2001"/>
      <c r="U447" s="2001"/>
      <c r="V447" s="2001"/>
      <c r="W447" s="2001"/>
      <c r="X447" s="2001"/>
      <c r="Y447" s="2001"/>
      <c r="Z447" s="2001"/>
      <c r="AA447" s="2001"/>
      <c r="AB447" s="2001"/>
      <c r="AC447" s="2001"/>
      <c r="AD447" s="2001"/>
      <c r="AE447" s="2001"/>
      <c r="AF447" s="2002"/>
      <c r="AG447" s="2011">
        <v>0</v>
      </c>
      <c r="AH447" s="1703"/>
      <c r="AI447" s="1703"/>
      <c r="AJ447" s="1703"/>
    </row>
    <row r="448" spans="1:36" ht="13.05" customHeight="1">
      <c r="D448" s="2000" t="s">
        <v>1030</v>
      </c>
      <c r="E448" s="2001"/>
      <c r="F448" s="2001"/>
      <c r="G448" s="2001"/>
      <c r="H448" s="2001"/>
      <c r="I448" s="2001"/>
      <c r="J448" s="2001"/>
      <c r="K448" s="2001"/>
      <c r="L448" s="2001"/>
      <c r="M448" s="2001"/>
      <c r="N448" s="2001"/>
      <c r="O448" s="2001"/>
      <c r="P448" s="2001"/>
      <c r="Q448" s="2001"/>
      <c r="R448" s="2001"/>
      <c r="S448" s="2001"/>
      <c r="T448" s="2001"/>
      <c r="U448" s="2001"/>
      <c r="V448" s="2001"/>
      <c r="W448" s="2001"/>
      <c r="X448" s="2001"/>
      <c r="Y448" s="2001"/>
      <c r="Z448" s="2001"/>
      <c r="AA448" s="2001"/>
      <c r="AB448" s="2001"/>
      <c r="AC448" s="2001"/>
      <c r="AD448" s="2001"/>
      <c r="AE448" s="2001"/>
      <c r="AF448" s="2002"/>
      <c r="AG448" s="2005">
        <v>101</v>
      </c>
      <c r="AH448" s="2005"/>
      <c r="AI448" s="2005"/>
      <c r="AJ448" s="2005"/>
    </row>
    <row r="449" spans="4:55" ht="13.05" customHeight="1">
      <c r="D449" s="2000" t="s">
        <v>1031</v>
      </c>
      <c r="E449" s="2001"/>
      <c r="F449" s="2001"/>
      <c r="G449" s="2001"/>
      <c r="H449" s="2001"/>
      <c r="I449" s="2001"/>
      <c r="J449" s="2001"/>
      <c r="K449" s="2001"/>
      <c r="L449" s="2001"/>
      <c r="M449" s="2001"/>
      <c r="N449" s="2001"/>
      <c r="O449" s="2001"/>
      <c r="P449" s="2001"/>
      <c r="Q449" s="2001"/>
      <c r="R449" s="2001"/>
      <c r="S449" s="2001"/>
      <c r="T449" s="2001"/>
      <c r="U449" s="2001"/>
      <c r="V449" s="2001"/>
      <c r="W449" s="2001"/>
      <c r="X449" s="2001"/>
      <c r="Y449" s="2001"/>
      <c r="Z449" s="2001"/>
      <c r="AA449" s="2001"/>
      <c r="AB449" s="2001"/>
      <c r="AC449" s="2001"/>
      <c r="AD449" s="2001"/>
      <c r="AE449" s="2001"/>
      <c r="AF449" s="2002"/>
      <c r="AG449" s="2005">
        <v>101</v>
      </c>
      <c r="AH449" s="2005"/>
      <c r="AI449" s="2005"/>
      <c r="AJ449" s="2005"/>
    </row>
    <row r="450" spans="4:55" ht="13.05" customHeight="1">
      <c r="D450" s="2000" t="s">
        <v>1033</v>
      </c>
      <c r="E450" s="2001"/>
      <c r="F450" s="2001"/>
      <c r="G450" s="2001"/>
      <c r="H450" s="2001"/>
      <c r="I450" s="2001"/>
      <c r="J450" s="2001"/>
      <c r="K450" s="2001"/>
      <c r="L450" s="2001"/>
      <c r="M450" s="2001"/>
      <c r="N450" s="2001"/>
      <c r="O450" s="2001"/>
      <c r="P450" s="2001"/>
      <c r="Q450" s="2001"/>
      <c r="R450" s="2001"/>
      <c r="S450" s="2001"/>
      <c r="T450" s="2001"/>
      <c r="U450" s="2001"/>
      <c r="V450" s="2001"/>
      <c r="W450" s="2001"/>
      <c r="X450" s="2001"/>
      <c r="Y450" s="2001"/>
      <c r="Z450" s="2001"/>
      <c r="AA450" s="2001"/>
      <c r="AB450" s="2001"/>
      <c r="AC450" s="2001"/>
      <c r="AD450" s="2001"/>
      <c r="AE450" s="2001"/>
      <c r="AF450" s="2002"/>
      <c r="AG450" s="2004">
        <f>IF(ISERROR(AG449/AG448),0,AG449/AG448)</f>
        <v>1</v>
      </c>
      <c r="AH450" s="2004"/>
      <c r="AI450" s="2004"/>
      <c r="AJ450" s="2004"/>
    </row>
    <row r="451" spans="4:55" ht="13.05" customHeight="1">
      <c r="D451" s="2000" t="s">
        <v>1032</v>
      </c>
      <c r="E451" s="2001"/>
      <c r="F451" s="2001"/>
      <c r="G451" s="2001"/>
      <c r="H451" s="2001"/>
      <c r="I451" s="2001"/>
      <c r="J451" s="2001"/>
      <c r="K451" s="2001"/>
      <c r="L451" s="2001"/>
      <c r="M451" s="2001"/>
      <c r="N451" s="2001"/>
      <c r="O451" s="2001"/>
      <c r="P451" s="2001"/>
      <c r="Q451" s="2001"/>
      <c r="R451" s="2001"/>
      <c r="S451" s="2001"/>
      <c r="T451" s="2001"/>
      <c r="U451" s="2001"/>
      <c r="V451" s="2001"/>
      <c r="W451" s="2001"/>
      <c r="X451" s="2001"/>
      <c r="Y451" s="2001"/>
      <c r="Z451" s="2001"/>
      <c r="AA451" s="2001"/>
      <c r="AB451" s="2001"/>
      <c r="AC451" s="2001"/>
      <c r="AD451" s="2001"/>
      <c r="AE451" s="2001"/>
      <c r="AF451" s="2002"/>
      <c r="AG451" s="2026">
        <v>95683</v>
      </c>
      <c r="AH451" s="2026"/>
      <c r="AI451" s="2026"/>
      <c r="AJ451" s="2026"/>
    </row>
    <row r="452" spans="4:55" ht="13.05" customHeight="1">
      <c r="D452" s="2000" t="s">
        <v>1034</v>
      </c>
      <c r="E452" s="2001"/>
      <c r="F452" s="2001"/>
      <c r="G452" s="2001"/>
      <c r="H452" s="2001"/>
      <c r="I452" s="2001"/>
      <c r="J452" s="2001"/>
      <c r="K452" s="2001"/>
      <c r="L452" s="2001"/>
      <c r="M452" s="2001"/>
      <c r="N452" s="2001"/>
      <c r="O452" s="2001"/>
      <c r="P452" s="2001"/>
      <c r="Q452" s="2001"/>
      <c r="R452" s="2001"/>
      <c r="S452" s="2001"/>
      <c r="T452" s="2001"/>
      <c r="U452" s="2001"/>
      <c r="V452" s="2001"/>
      <c r="W452" s="2001"/>
      <c r="X452" s="2001"/>
      <c r="Y452" s="2001"/>
      <c r="Z452" s="2001"/>
      <c r="AA452" s="2001"/>
      <c r="AB452" s="2001"/>
      <c r="AC452" s="2001"/>
      <c r="AD452" s="2001"/>
      <c r="AE452" s="2001"/>
      <c r="AF452" s="2002"/>
      <c r="AG452" s="2026">
        <v>95683</v>
      </c>
      <c r="AH452" s="2026"/>
      <c r="AI452" s="2026"/>
      <c r="AJ452" s="2026"/>
    </row>
    <row r="453" spans="4:55" ht="13.05" customHeight="1">
      <c r="D453" s="2000" t="s">
        <v>1035</v>
      </c>
      <c r="E453" s="2001"/>
      <c r="F453" s="2001"/>
      <c r="G453" s="2001"/>
      <c r="H453" s="2001"/>
      <c r="I453" s="2001"/>
      <c r="J453" s="2001"/>
      <c r="K453" s="2001"/>
      <c r="L453" s="2001"/>
      <c r="M453" s="2001"/>
      <c r="N453" s="2001"/>
      <c r="O453" s="2001"/>
      <c r="P453" s="2001"/>
      <c r="Q453" s="2001"/>
      <c r="R453" s="2001"/>
      <c r="S453" s="2001"/>
      <c r="T453" s="2001"/>
      <c r="U453" s="2001"/>
      <c r="V453" s="2001"/>
      <c r="W453" s="2001"/>
      <c r="X453" s="2001"/>
      <c r="Y453" s="2001"/>
      <c r="Z453" s="2001"/>
      <c r="AA453" s="2001"/>
      <c r="AB453" s="2001"/>
      <c r="AC453" s="2001"/>
      <c r="AD453" s="2001"/>
      <c r="AE453" s="2001"/>
      <c r="AF453" s="2002"/>
      <c r="AG453" s="2004">
        <f>IF(ISERROR(AG452/AG451),0,AG452/AG451)</f>
        <v>1</v>
      </c>
      <c r="AH453" s="2004"/>
      <c r="AI453" s="2004"/>
      <c r="AJ453" s="2004"/>
    </row>
    <row r="454" spans="4:55" ht="13.05" customHeight="1">
      <c r="D454" s="2000" t="s">
        <v>1036</v>
      </c>
      <c r="E454" s="2001"/>
      <c r="F454" s="2001"/>
      <c r="G454" s="2001"/>
      <c r="H454" s="2001"/>
      <c r="I454" s="2001"/>
      <c r="J454" s="2001"/>
      <c r="K454" s="2001"/>
      <c r="L454" s="2001"/>
      <c r="M454" s="2001"/>
      <c r="N454" s="2001"/>
      <c r="O454" s="2001"/>
      <c r="P454" s="2001"/>
      <c r="Q454" s="2001"/>
      <c r="R454" s="2001"/>
      <c r="S454" s="2001"/>
      <c r="T454" s="2001"/>
      <c r="U454" s="2001"/>
      <c r="V454" s="2001"/>
      <c r="W454" s="2001"/>
      <c r="X454" s="2001"/>
      <c r="Y454" s="2001"/>
      <c r="Z454" s="2001"/>
      <c r="AA454" s="2001"/>
      <c r="AB454" s="2001"/>
      <c r="AC454" s="2001"/>
      <c r="AD454" s="2001"/>
      <c r="AE454" s="2001"/>
      <c r="AF454" s="2002"/>
      <c r="AG454" s="2004">
        <f>MIN(IF(AG450&gt;AG453,AG453,AG450),1)</f>
        <v>1</v>
      </c>
      <c r="AH454" s="2004"/>
      <c r="AI454" s="2004"/>
      <c r="AJ454" s="2004"/>
    </row>
    <row r="455" spans="4:55" ht="13.05" customHeight="1">
      <c r="D455" s="2000" t="s">
        <v>2041</v>
      </c>
      <c r="E455" s="1892"/>
      <c r="F455" s="1892"/>
      <c r="G455" s="1892"/>
      <c r="H455" s="1892"/>
      <c r="I455" s="1892"/>
      <c r="J455" s="1892"/>
      <c r="K455" s="1892"/>
      <c r="L455" s="1892"/>
      <c r="M455" s="1892"/>
      <c r="N455" s="1892"/>
      <c r="O455" s="1892"/>
      <c r="P455" s="1892"/>
      <c r="Q455" s="1892"/>
      <c r="R455" s="1892"/>
      <c r="S455" s="1892"/>
      <c r="T455" s="1892"/>
      <c r="U455" s="1892"/>
      <c r="V455" s="1892"/>
      <c r="W455" s="1892"/>
      <c r="X455" s="1892"/>
      <c r="Y455" s="1892"/>
      <c r="Z455" s="1892"/>
      <c r="AA455" s="1892"/>
      <c r="AB455" s="1892"/>
      <c r="AC455" s="1892"/>
      <c r="AD455" s="1892"/>
      <c r="AE455" s="1892"/>
      <c r="AF455" s="2003"/>
      <c r="AG455" s="2026">
        <f>1806+1330</f>
        <v>3136</v>
      </c>
      <c r="AH455" s="2026"/>
      <c r="AI455" s="2026"/>
      <c r="AJ455" s="2026"/>
      <c r="AZ455" s="34"/>
      <c r="BA455" s="34"/>
      <c r="BB455" s="34"/>
      <c r="BC455" s="34"/>
    </row>
    <row r="456" spans="4:55" ht="13.05" customHeight="1">
      <c r="D456" s="1894" t="s">
        <v>569</v>
      </c>
      <c r="E456" s="1892"/>
      <c r="F456" s="1892"/>
      <c r="G456" s="1892"/>
      <c r="H456" s="1892"/>
      <c r="I456" s="1892"/>
      <c r="J456" s="1892"/>
      <c r="K456" s="1892"/>
      <c r="L456" s="1892"/>
      <c r="M456" s="1892"/>
      <c r="N456" s="1892"/>
      <c r="O456" s="1892"/>
      <c r="P456" s="1892"/>
      <c r="Q456" s="1892"/>
      <c r="R456" s="1892"/>
      <c r="S456" s="1892"/>
      <c r="T456" s="1892"/>
      <c r="U456" s="1892"/>
      <c r="V456" s="1892"/>
      <c r="W456" s="1892"/>
      <c r="X456" s="1892"/>
      <c r="Y456" s="1892"/>
      <c r="Z456" s="1892"/>
      <c r="AA456" s="1892"/>
      <c r="AB456" s="1892"/>
      <c r="AC456" s="1892"/>
      <c r="AD456" s="1892"/>
      <c r="AE456" s="1892"/>
      <c r="AF456" s="2003"/>
      <c r="AG456" s="2026"/>
      <c r="AH456" s="2026"/>
      <c r="AI456" s="2026"/>
      <c r="AJ456" s="2026"/>
      <c r="AZ456" s="3"/>
      <c r="BA456" s="3"/>
      <c r="BB456" s="3"/>
      <c r="BC456" s="3"/>
    </row>
    <row r="457" spans="4:55" ht="13.05" customHeight="1">
      <c r="D457" s="2000" t="s">
        <v>1204</v>
      </c>
      <c r="E457" s="1892"/>
      <c r="F457" s="1892"/>
      <c r="G457" s="1892"/>
      <c r="H457" s="1892"/>
      <c r="I457" s="1892"/>
      <c r="J457" s="1892"/>
      <c r="K457" s="1892"/>
      <c r="L457" s="1892"/>
      <c r="M457" s="1892"/>
      <c r="N457" s="1892"/>
      <c r="O457" s="1892"/>
      <c r="P457" s="1892"/>
      <c r="Q457" s="1892"/>
      <c r="R457" s="1892"/>
      <c r="S457" s="1892"/>
      <c r="T457" s="1892"/>
      <c r="U457" s="1892"/>
      <c r="V457" s="1892"/>
      <c r="W457" s="1892"/>
      <c r="X457" s="1892"/>
      <c r="Y457" s="1892"/>
      <c r="Z457" s="1892"/>
      <c r="AA457" s="1892"/>
      <c r="AB457" s="1892"/>
      <c r="AC457" s="1892"/>
      <c r="AD457" s="1892"/>
      <c r="AE457" s="1892"/>
      <c r="AF457" s="2003"/>
      <c r="AG457" s="2026">
        <f>142939-98819</f>
        <v>44120</v>
      </c>
      <c r="AH457" s="2026"/>
      <c r="AI457" s="2026"/>
      <c r="AJ457" s="2026"/>
      <c r="AZ457" s="3"/>
      <c r="BA457" s="3"/>
      <c r="BB457" s="3"/>
      <c r="BC457" s="3"/>
    </row>
    <row r="458" spans="4:55" ht="13.05" customHeight="1">
      <c r="D458" s="2000" t="s">
        <v>1037</v>
      </c>
      <c r="E458" s="1892"/>
      <c r="F458" s="1892"/>
      <c r="G458" s="1892"/>
      <c r="H458" s="1892"/>
      <c r="I458" s="1892"/>
      <c r="J458" s="1892"/>
      <c r="K458" s="1892"/>
      <c r="L458" s="1892"/>
      <c r="M458" s="1892"/>
      <c r="N458" s="1892"/>
      <c r="O458" s="1892"/>
      <c r="P458" s="1892"/>
      <c r="Q458" s="1892"/>
      <c r="R458" s="1892"/>
      <c r="S458" s="1892"/>
      <c r="T458" s="1892"/>
      <c r="U458" s="1892"/>
      <c r="V458" s="1892"/>
      <c r="W458" s="1892"/>
      <c r="X458" s="1892"/>
      <c r="Y458" s="1892"/>
      <c r="Z458" s="1892"/>
      <c r="AA458" s="1892"/>
      <c r="AB458" s="1892"/>
      <c r="AC458" s="1892"/>
      <c r="AD458" s="1892"/>
      <c r="AE458" s="1892"/>
      <c r="AF458" s="2003"/>
      <c r="AG458" s="2026">
        <v>0</v>
      </c>
      <c r="AH458" s="2026"/>
      <c r="AI458" s="2026"/>
      <c r="AJ458" s="2026"/>
      <c r="BB458" s="3"/>
      <c r="BC458" s="3"/>
    </row>
    <row r="459" spans="4:55" ht="13.05" customHeight="1">
      <c r="D459" s="2016" t="s">
        <v>1038</v>
      </c>
      <c r="E459" s="2017"/>
      <c r="F459" s="2017"/>
      <c r="G459" s="2017"/>
      <c r="H459" s="2017"/>
      <c r="I459" s="2017"/>
      <c r="J459" s="2017"/>
      <c r="K459" s="2017"/>
      <c r="L459" s="2017"/>
      <c r="M459" s="2017"/>
      <c r="N459" s="2017"/>
      <c r="O459" s="2017"/>
      <c r="P459" s="2017"/>
      <c r="Q459" s="2017"/>
      <c r="R459" s="2017"/>
      <c r="S459" s="2017"/>
      <c r="T459" s="2017"/>
      <c r="U459" s="2017"/>
      <c r="V459" s="2017"/>
      <c r="W459" s="2017"/>
      <c r="X459" s="2017"/>
      <c r="Y459" s="2017"/>
      <c r="Z459" s="2017"/>
      <c r="AA459" s="2017"/>
      <c r="AB459" s="2017"/>
      <c r="AC459" s="2017"/>
      <c r="AD459" s="2017"/>
      <c r="AE459" s="2017"/>
      <c r="AF459" s="2018"/>
      <c r="AG459" s="2093">
        <f>AG451+AG455+AG457+AG458</f>
        <v>142939</v>
      </c>
      <c r="AH459" s="2093"/>
      <c r="AI459" s="2093"/>
      <c r="AJ459" s="2093"/>
      <c r="AZ459" s="3"/>
      <c r="BA459" s="3"/>
      <c r="BB459" s="3"/>
      <c r="BC459" s="3"/>
    </row>
    <row r="460" spans="4:55" ht="13.05" customHeight="1">
      <c r="D460" s="2023" t="s">
        <v>1205</v>
      </c>
      <c r="E460" s="2023"/>
      <c r="F460" s="2023"/>
      <c r="G460" s="2023"/>
      <c r="H460" s="2023"/>
      <c r="I460" s="2023"/>
      <c r="J460" s="2023"/>
      <c r="K460" s="2023"/>
      <c r="L460" s="2023"/>
      <c r="M460" s="2023"/>
      <c r="N460" s="2023"/>
      <c r="O460" s="2023"/>
      <c r="P460" s="2023"/>
      <c r="Q460" s="2023"/>
      <c r="R460" s="2023"/>
      <c r="S460" s="2023"/>
      <c r="T460" s="2023"/>
      <c r="U460" s="2023"/>
      <c r="V460" s="2023"/>
      <c r="W460" s="2023"/>
      <c r="X460" s="2023"/>
      <c r="Y460" s="2023"/>
      <c r="Z460" s="2023"/>
      <c r="AA460" s="2023"/>
      <c r="AB460" s="2023"/>
      <c r="AC460" s="2023"/>
      <c r="AD460" s="2023"/>
      <c r="AE460" s="2023"/>
      <c r="AF460" s="2023"/>
      <c r="AG460" s="2023"/>
      <c r="AH460" s="2023"/>
      <c r="AI460" s="2023"/>
      <c r="AJ460" s="2023"/>
      <c r="AZ460" s="3"/>
      <c r="BA460" s="3"/>
      <c r="BB460" s="3"/>
      <c r="BC460" s="3"/>
    </row>
    <row r="461" spans="4:55" ht="13.05" customHeight="1">
      <c r="D461" s="2024"/>
      <c r="E461" s="2024"/>
      <c r="F461" s="2024"/>
      <c r="G461" s="2024"/>
      <c r="H461" s="2024"/>
      <c r="I461" s="2024"/>
      <c r="J461" s="2024"/>
      <c r="K461" s="2024"/>
      <c r="L461" s="2024"/>
      <c r="M461" s="2024"/>
      <c r="N461" s="2024"/>
      <c r="O461" s="2024"/>
      <c r="P461" s="2024"/>
      <c r="Q461" s="2024"/>
      <c r="R461" s="2024"/>
      <c r="S461" s="2024"/>
      <c r="T461" s="2024"/>
      <c r="U461" s="2024"/>
      <c r="V461" s="2024"/>
      <c r="W461" s="2024"/>
      <c r="X461" s="2024"/>
      <c r="Y461" s="2024"/>
      <c r="Z461" s="2024"/>
      <c r="AA461" s="2024"/>
      <c r="AB461" s="2024"/>
      <c r="AC461" s="2024"/>
      <c r="AD461" s="2024"/>
      <c r="AE461" s="2024"/>
      <c r="AF461" s="2024"/>
      <c r="AG461" s="2024"/>
      <c r="AH461" s="2024"/>
      <c r="AI461" s="2024"/>
      <c r="AJ461" s="2024"/>
      <c r="AZ461" s="3"/>
      <c r="BA461" s="3"/>
      <c r="BB461" s="3"/>
      <c r="BC461" s="3"/>
    </row>
    <row r="462" spans="4:55" ht="13.0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3.05"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2063">
        <f>IF(AG446=0,"",'Sources and Uses Budget'!B105/Application!AG446)</f>
        <v>780459.9117647059</v>
      </c>
      <c r="AD463" s="2063"/>
      <c r="AE463" s="2063"/>
      <c r="AF463" s="2063"/>
      <c r="AG463" s="177"/>
      <c r="AH463" s="177"/>
      <c r="AI463" s="177"/>
      <c r="AJ463" s="183"/>
      <c r="AZ463" s="3"/>
      <c r="BA463" s="3" t="str">
        <f>AG583</f>
        <v>Yes</v>
      </c>
      <c r="BB463" s="3"/>
      <c r="BC463" s="3"/>
    </row>
    <row r="464" spans="4:55" ht="13.05"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2063">
        <f>IF(AG446=0,"",'Sources and Uses Budget'!C105/Application!AG446)</f>
        <v>780459.9117647059</v>
      </c>
      <c r="AD464" s="2063"/>
      <c r="AE464" s="2063"/>
      <c r="AF464" s="2063"/>
      <c r="AG464" s="177"/>
      <c r="AH464" s="177"/>
      <c r="AI464" s="177"/>
      <c r="AJ464" s="183"/>
      <c r="AZ464" s="3"/>
      <c r="BA464" s="3"/>
      <c r="BB464" s="3"/>
      <c r="BC464" s="3"/>
    </row>
    <row r="465" spans="1:55" ht="13.05"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2063">
        <f>IF(AG446=0,"",('Sources and Uses Budget'!$S$107+'Sources and Uses Budget'!$T$107)/Application!AG446)</f>
        <v>689984.60784313723</v>
      </c>
      <c r="AD465" s="2063"/>
      <c r="AE465" s="2063"/>
      <c r="AF465" s="2063"/>
      <c r="AG465" s="177"/>
      <c r="AH465" s="177"/>
      <c r="AI465" s="177"/>
      <c r="AJ465" s="183"/>
      <c r="AZ465" s="3"/>
      <c r="BA465" s="3"/>
      <c r="BB465" s="3"/>
      <c r="BC465" s="3"/>
    </row>
    <row r="466" spans="1:55" ht="13.0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3.05"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3.05" customHeight="1">
      <c r="D468" s="184" t="s">
        <v>1848</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3.05" customHeight="1">
      <c r="D469" s="184" t="s">
        <v>1849</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3.05" customHeight="1">
      <c r="D470" s="184" t="s">
        <v>1850</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3.0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3.05"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3.05" customHeight="1">
      <c r="A473" s="3"/>
      <c r="B473" s="3"/>
      <c r="C473" s="3"/>
      <c r="D473" s="2022" t="s">
        <v>2053</v>
      </c>
      <c r="E473" s="2020"/>
      <c r="F473" s="2020"/>
      <c r="G473" s="2020"/>
      <c r="H473" s="2020"/>
      <c r="I473" s="2020"/>
      <c r="J473" s="2020"/>
      <c r="K473" s="2020"/>
      <c r="L473" s="2020"/>
      <c r="M473" s="2020"/>
      <c r="N473" s="2020"/>
      <c r="O473" s="2020"/>
      <c r="P473" s="2020"/>
      <c r="Q473" s="2020"/>
      <c r="R473" s="2020"/>
      <c r="S473" s="2020"/>
      <c r="T473" s="2020"/>
      <c r="U473" s="2020"/>
      <c r="V473" s="2021"/>
      <c r="W473" s="1753">
        <v>0</v>
      </c>
      <c r="X473" s="1754"/>
      <c r="Y473" s="1755"/>
      <c r="Z473" s="184"/>
      <c r="AA473" s="184"/>
      <c r="AB473" s="184"/>
      <c r="AC473" s="184"/>
      <c r="AD473" s="177"/>
      <c r="AE473" s="177"/>
      <c r="AF473" s="177"/>
      <c r="AG473" s="177"/>
      <c r="AH473" s="177"/>
      <c r="AI473" s="177"/>
      <c r="AJ473" s="183"/>
      <c r="AZ473" s="3"/>
      <c r="BA473" s="3"/>
      <c r="BB473" s="3"/>
      <c r="BC473" s="3"/>
    </row>
    <row r="474" spans="1:55" ht="13.05" customHeight="1">
      <c r="A474" s="3"/>
      <c r="B474" s="3"/>
      <c r="C474" s="3"/>
      <c r="D474" s="2019" t="s">
        <v>693</v>
      </c>
      <c r="E474" s="2020"/>
      <c r="F474" s="2020"/>
      <c r="G474" s="2020"/>
      <c r="H474" s="2020"/>
      <c r="I474" s="2020"/>
      <c r="J474" s="2020"/>
      <c r="K474" s="2020"/>
      <c r="L474" s="2020"/>
      <c r="M474" s="2020"/>
      <c r="N474" s="2020"/>
      <c r="O474" s="2020"/>
      <c r="P474" s="2020"/>
      <c r="Q474" s="2020"/>
      <c r="R474" s="2020"/>
      <c r="S474" s="2020"/>
      <c r="T474" s="2020"/>
      <c r="U474" s="2020"/>
      <c r="V474" s="2021"/>
      <c r="W474" s="1753">
        <v>0</v>
      </c>
      <c r="X474" s="1754"/>
      <c r="Y474" s="1755"/>
      <c r="Z474" s="184"/>
      <c r="AA474" s="184"/>
      <c r="AB474" s="184"/>
      <c r="AC474" s="184"/>
      <c r="AD474" s="177"/>
      <c r="AE474" s="177"/>
      <c r="AF474" s="177"/>
      <c r="AG474" s="177"/>
      <c r="AH474" s="177"/>
      <c r="AI474" s="177"/>
      <c r="AJ474" s="183"/>
      <c r="AZ474" s="3"/>
      <c r="BA474" s="3"/>
      <c r="BB474" s="3"/>
      <c r="BC474" s="3"/>
    </row>
    <row r="475" spans="1:55" ht="13.05" customHeight="1">
      <c r="A475" s="3"/>
      <c r="B475" s="3"/>
      <c r="C475" s="3"/>
      <c r="D475" s="2019" t="s">
        <v>694</v>
      </c>
      <c r="E475" s="2020"/>
      <c r="F475" s="2020"/>
      <c r="G475" s="2020"/>
      <c r="H475" s="2020"/>
      <c r="I475" s="2020"/>
      <c r="J475" s="2020"/>
      <c r="K475" s="2020"/>
      <c r="L475" s="2020"/>
      <c r="M475" s="2020"/>
      <c r="N475" s="2020"/>
      <c r="O475" s="2020"/>
      <c r="P475" s="2020"/>
      <c r="Q475" s="2020"/>
      <c r="R475" s="2020"/>
      <c r="S475" s="2020"/>
      <c r="T475" s="2020"/>
      <c r="U475" s="2020"/>
      <c r="V475" s="2021"/>
      <c r="W475" s="1753">
        <v>0</v>
      </c>
      <c r="X475" s="1754"/>
      <c r="Y475" s="1755"/>
      <c r="Z475" s="184"/>
      <c r="AA475" s="184"/>
      <c r="AB475" s="184"/>
      <c r="AC475" s="184"/>
      <c r="AD475" s="177"/>
      <c r="AE475" s="177"/>
      <c r="AF475" s="177"/>
      <c r="AG475" s="177"/>
      <c r="AH475" s="177"/>
      <c r="AI475" s="177"/>
      <c r="AJ475" s="183"/>
      <c r="AZ475" s="3"/>
      <c r="BA475" s="3"/>
      <c r="BB475" s="3"/>
      <c r="BC475" s="3"/>
    </row>
    <row r="476" spans="1:55" ht="13.05" customHeight="1">
      <c r="A476" s="3"/>
      <c r="B476" s="3"/>
      <c r="C476" s="3"/>
      <c r="D476" s="2019" t="s">
        <v>695</v>
      </c>
      <c r="E476" s="2020"/>
      <c r="F476" s="2020"/>
      <c r="G476" s="2020"/>
      <c r="H476" s="2020"/>
      <c r="I476" s="2020"/>
      <c r="J476" s="2020"/>
      <c r="K476" s="2020"/>
      <c r="L476" s="2020"/>
      <c r="M476" s="2020"/>
      <c r="N476" s="2020"/>
      <c r="O476" s="2020"/>
      <c r="P476" s="2020"/>
      <c r="Q476" s="2020"/>
      <c r="R476" s="2020"/>
      <c r="S476" s="2020"/>
      <c r="T476" s="2020"/>
      <c r="U476" s="2020"/>
      <c r="V476" s="2021"/>
      <c r="W476" s="1753">
        <v>0</v>
      </c>
      <c r="X476" s="1754"/>
      <c r="Y476" s="1755"/>
      <c r="Z476" s="184"/>
      <c r="AA476" s="184"/>
      <c r="AB476" s="184"/>
      <c r="AC476" s="184"/>
      <c r="AD476" s="177"/>
      <c r="AE476" s="177"/>
      <c r="AF476" s="177"/>
      <c r="AG476" s="177"/>
      <c r="AH476" s="177"/>
      <c r="AI476" s="177"/>
      <c r="AJ476" s="183"/>
      <c r="AZ476" s="3"/>
      <c r="BA476" s="3"/>
      <c r="BB476" s="3"/>
      <c r="BC476" s="3"/>
    </row>
    <row r="477" spans="1:55" ht="13.05" customHeight="1">
      <c r="A477" s="3"/>
      <c r="B477" s="3"/>
      <c r="C477" s="3"/>
      <c r="D477" s="2019" t="s">
        <v>881</v>
      </c>
      <c r="E477" s="2020"/>
      <c r="F477" s="2020"/>
      <c r="G477" s="2020"/>
      <c r="H477" s="2020"/>
      <c r="I477" s="2020"/>
      <c r="J477" s="2020"/>
      <c r="K477" s="2020"/>
      <c r="L477" s="2020"/>
      <c r="M477" s="2020"/>
      <c r="N477" s="2020"/>
      <c r="O477" s="2020"/>
      <c r="P477" s="2020"/>
      <c r="Q477" s="2020"/>
      <c r="R477" s="2020"/>
      <c r="S477" s="2020"/>
      <c r="T477" s="2020"/>
      <c r="U477" s="2020"/>
      <c r="V477" s="2021"/>
      <c r="W477" s="1753">
        <v>0</v>
      </c>
      <c r="X477" s="1754"/>
      <c r="Y477" s="1755"/>
      <c r="Z477" s="184"/>
      <c r="AA477" s="184"/>
      <c r="AB477" s="184"/>
      <c r="AC477" s="184"/>
      <c r="AD477" s="177"/>
      <c r="AE477" s="177"/>
      <c r="AF477" s="177"/>
      <c r="AG477" s="177"/>
      <c r="AH477" s="177"/>
      <c r="AI477" s="177"/>
      <c r="AJ477" s="183"/>
      <c r="AZ477" s="3"/>
      <c r="BA477" s="3" t="str">
        <f>N599</f>
        <v>Yes</v>
      </c>
      <c r="BB477" s="3"/>
      <c r="BC477" s="3"/>
    </row>
    <row r="478" spans="1:55" ht="13.05" customHeight="1">
      <c r="A478" s="3"/>
      <c r="B478" s="3"/>
      <c r="C478" s="3"/>
      <c r="D478" s="2019" t="s">
        <v>696</v>
      </c>
      <c r="E478" s="2020"/>
      <c r="F478" s="2020"/>
      <c r="G478" s="2020"/>
      <c r="H478" s="2020"/>
      <c r="I478" s="2020"/>
      <c r="J478" s="2020"/>
      <c r="K478" s="2020"/>
      <c r="L478" s="2020"/>
      <c r="M478" s="2020"/>
      <c r="N478" s="2020"/>
      <c r="O478" s="2020"/>
      <c r="P478" s="2020"/>
      <c r="Q478" s="2020"/>
      <c r="R478" s="2020"/>
      <c r="S478" s="2020"/>
      <c r="T478" s="2020"/>
      <c r="U478" s="2020"/>
      <c r="V478" s="2021"/>
      <c r="W478" s="1753">
        <v>0</v>
      </c>
      <c r="X478" s="1754"/>
      <c r="Y478" s="1755"/>
      <c r="Z478" s="184"/>
      <c r="AA478" s="184"/>
      <c r="AB478" s="184"/>
      <c r="AC478" s="184"/>
      <c r="AD478" s="177"/>
      <c r="AE478" s="177"/>
      <c r="AF478" s="177"/>
      <c r="AG478" s="177"/>
      <c r="AH478" s="177"/>
      <c r="AI478" s="177"/>
      <c r="AJ478" s="183"/>
      <c r="AZ478" s="3"/>
      <c r="BA478" s="3" t="str">
        <f>AG599</f>
        <v>No</v>
      </c>
      <c r="BB478" s="3"/>
      <c r="BC478" s="3"/>
    </row>
    <row r="479" spans="1:55" ht="13.05" customHeight="1">
      <c r="A479" s="3"/>
      <c r="B479" s="3"/>
      <c r="C479" s="3"/>
      <c r="D479" s="2019" t="s">
        <v>1011</v>
      </c>
      <c r="E479" s="2020"/>
      <c r="F479" s="2020"/>
      <c r="G479" s="2020"/>
      <c r="H479" s="2020"/>
      <c r="I479" s="2020"/>
      <c r="J479" s="2020"/>
      <c r="K479" s="2020"/>
      <c r="L479" s="2020"/>
      <c r="M479" s="2020"/>
      <c r="N479" s="2020"/>
      <c r="O479" s="2020"/>
      <c r="P479" s="2020"/>
      <c r="Q479" s="2020"/>
      <c r="R479" s="2020"/>
      <c r="S479" s="2020"/>
      <c r="T479" s="2020"/>
      <c r="U479" s="2020"/>
      <c r="V479" s="2021"/>
      <c r="W479" s="1753">
        <v>0</v>
      </c>
      <c r="X479" s="1754"/>
      <c r="Y479" s="1755"/>
      <c r="Z479" s="184"/>
      <c r="AA479" s="184"/>
      <c r="AB479" s="184"/>
      <c r="AC479" s="184"/>
      <c r="AD479" s="177"/>
      <c r="AE479" s="177"/>
      <c r="AF479" s="177"/>
      <c r="AG479" s="177"/>
      <c r="AH479" s="177"/>
      <c r="AI479" s="177"/>
      <c r="AJ479" s="183"/>
      <c r="AZ479" s="3"/>
      <c r="BA479" s="3"/>
      <c r="BB479" s="3"/>
      <c r="BC479" s="3"/>
    </row>
    <row r="480" spans="1:55" ht="13.05" customHeight="1">
      <c r="A480" s="3"/>
      <c r="B480" s="3"/>
      <c r="C480" s="3"/>
      <c r="D480" s="2022" t="s">
        <v>2143</v>
      </c>
      <c r="E480" s="2070"/>
      <c r="F480" s="2070"/>
      <c r="G480" s="2070"/>
      <c r="H480" s="2070"/>
      <c r="I480" s="2070"/>
      <c r="J480" s="2070"/>
      <c r="K480" s="2070"/>
      <c r="L480" s="2070"/>
      <c r="M480" s="2070"/>
      <c r="N480" s="2070"/>
      <c r="O480" s="2070"/>
      <c r="P480" s="2070"/>
      <c r="Q480" s="2070"/>
      <c r="R480" s="2070"/>
      <c r="S480" s="2070"/>
      <c r="T480" s="2070"/>
      <c r="U480" s="2070"/>
      <c r="V480" s="2071"/>
      <c r="W480" s="1753">
        <v>0</v>
      </c>
      <c r="X480" s="1754"/>
      <c r="Y480" s="1755"/>
      <c r="Z480" s="184"/>
      <c r="AA480" s="184"/>
      <c r="AB480" s="184"/>
      <c r="AC480" s="184"/>
      <c r="AD480" s="177"/>
      <c r="AE480" s="177"/>
      <c r="AF480" s="177"/>
      <c r="AG480" s="177"/>
      <c r="AH480" s="177"/>
      <c r="AI480" s="177"/>
      <c r="AJ480" s="183"/>
      <c r="AZ480" s="3"/>
      <c r="BA480" s="3"/>
      <c r="BB480" s="3"/>
      <c r="BC480" s="3"/>
    </row>
    <row r="481" spans="1:55" ht="13.05" customHeight="1">
      <c r="A481" s="3"/>
      <c r="B481" s="3"/>
      <c r="C481" s="3"/>
      <c r="D481" s="2022" t="s">
        <v>1642</v>
      </c>
      <c r="E481" s="2020"/>
      <c r="F481" s="2020"/>
      <c r="G481" s="2020"/>
      <c r="H481" s="2020"/>
      <c r="I481" s="2020"/>
      <c r="J481" s="2020"/>
      <c r="K481" s="2020"/>
      <c r="L481" s="2020"/>
      <c r="M481" s="2020"/>
      <c r="N481" s="2020"/>
      <c r="O481" s="2020"/>
      <c r="P481" s="2020"/>
      <c r="Q481" s="2020"/>
      <c r="R481" s="2020"/>
      <c r="S481" s="2020"/>
      <c r="T481" s="2020"/>
      <c r="U481" s="2020"/>
      <c r="V481" s="2021"/>
      <c r="W481" s="1753">
        <v>16</v>
      </c>
      <c r="X481" s="1754"/>
      <c r="Y481" s="1755"/>
      <c r="Z481" s="184"/>
      <c r="AA481" s="184"/>
      <c r="AB481" s="184"/>
      <c r="AC481" s="184"/>
      <c r="AD481" s="177"/>
      <c r="AE481" s="177"/>
      <c r="AF481" s="177"/>
      <c r="AG481" s="177"/>
      <c r="AH481" s="177"/>
      <c r="AI481" s="177"/>
      <c r="AJ481" s="183"/>
      <c r="AZ481" s="3"/>
      <c r="BA481" s="3"/>
      <c r="BB481" s="3"/>
      <c r="BC481" s="3"/>
    </row>
    <row r="482" spans="1:55" ht="13.05" customHeight="1">
      <c r="A482" s="3"/>
      <c r="B482" s="3"/>
      <c r="C482" s="3"/>
      <c r="D482" s="243" t="s">
        <v>170</v>
      </c>
      <c r="E482" s="244"/>
      <c r="F482" s="245"/>
      <c r="G482" s="2067" t="s">
        <v>1040</v>
      </c>
      <c r="H482" s="2068"/>
      <c r="I482" s="2068"/>
      <c r="J482" s="2068"/>
      <c r="K482" s="2068"/>
      <c r="L482" s="2068"/>
      <c r="M482" s="2068"/>
      <c r="N482" s="2068"/>
      <c r="O482" s="2068"/>
      <c r="P482" s="2068"/>
      <c r="Q482" s="2068"/>
      <c r="R482" s="2068"/>
      <c r="S482" s="2068"/>
      <c r="T482" s="2068"/>
      <c r="U482" s="2068"/>
      <c r="V482" s="2069"/>
      <c r="W482" s="1753">
        <v>101</v>
      </c>
      <c r="X482" s="1754"/>
      <c r="Y482" s="1755"/>
      <c r="Z482" s="184"/>
      <c r="AA482" s="184"/>
      <c r="AB482" s="184"/>
      <c r="AC482" s="184"/>
      <c r="AD482" s="177"/>
      <c r="AE482" s="177"/>
      <c r="AF482" s="177"/>
      <c r="AG482" s="177"/>
      <c r="AH482" s="177"/>
      <c r="AI482" s="177"/>
      <c r="AJ482" s="183"/>
      <c r="AZ482" s="3"/>
      <c r="BA482" s="3"/>
      <c r="BB482" s="3"/>
      <c r="BC482" s="3"/>
    </row>
    <row r="483" spans="1:55" ht="13.05"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3.0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3.0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3.0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3.05" customHeight="1">
      <c r="AU487" s="95"/>
      <c r="AV487" s="95"/>
      <c r="AW487" s="95"/>
      <c r="AX487" s="95"/>
      <c r="AY487" s="95"/>
      <c r="AZ487" s="3"/>
      <c r="BA487" s="3" t="str">
        <f>AG607</f>
        <v>No</v>
      </c>
      <c r="BB487" s="3"/>
      <c r="BC487" s="3"/>
    </row>
    <row r="488" spans="1:55" ht="13.05" customHeight="1">
      <c r="A488" s="1741" t="s">
        <v>810</v>
      </c>
      <c r="B488" s="1741"/>
      <c r="C488" s="1741"/>
      <c r="D488" s="1741"/>
      <c r="E488" s="1741"/>
      <c r="F488" s="1741"/>
      <c r="G488" s="1741"/>
      <c r="H488" s="1741"/>
      <c r="I488" s="1741"/>
      <c r="J488" s="1741"/>
      <c r="K488" s="1741"/>
      <c r="L488" s="1741"/>
      <c r="M488" s="1741"/>
      <c r="N488" s="1741"/>
      <c r="O488" s="1741"/>
      <c r="P488" s="1741"/>
      <c r="Q488" s="1741"/>
      <c r="R488" s="1741"/>
      <c r="S488" s="1741"/>
      <c r="T488" s="1741"/>
      <c r="U488" s="1741"/>
      <c r="V488" s="1741"/>
      <c r="W488" s="1741"/>
      <c r="X488" s="1741"/>
      <c r="Y488" s="1741"/>
      <c r="Z488" s="1741"/>
      <c r="AA488" s="1741"/>
      <c r="AB488" s="1741"/>
      <c r="AC488" s="1741"/>
      <c r="AD488" s="1741"/>
      <c r="AE488" s="1741"/>
      <c r="AF488" s="1741"/>
      <c r="AG488" s="1741"/>
      <c r="AH488" s="1741"/>
      <c r="AI488" s="1741"/>
      <c r="AJ488" s="1741"/>
      <c r="AK488" s="1741"/>
      <c r="AL488" s="1741"/>
      <c r="AM488" s="1741"/>
      <c r="AN488" s="1741"/>
      <c r="AO488" s="1741"/>
      <c r="AP488" s="1741"/>
      <c r="AQ488" s="1741"/>
      <c r="AR488" s="1741"/>
      <c r="AS488" s="1741"/>
      <c r="AT488" s="1741"/>
      <c r="AU488" s="95"/>
      <c r="AV488" s="95"/>
      <c r="AW488" s="95"/>
      <c r="AX488" s="95"/>
      <c r="AY488" s="95"/>
      <c r="AZ488" s="3"/>
      <c r="BB488" s="3"/>
      <c r="BC488" s="3"/>
    </row>
    <row r="489" spans="1:55" ht="13.05" customHeight="1">
      <c r="A489" s="1741"/>
      <c r="B489" s="1741"/>
      <c r="C489" s="1741"/>
      <c r="D489" s="1741"/>
      <c r="E489" s="1741"/>
      <c r="F489" s="1741"/>
      <c r="G489" s="1741"/>
      <c r="H489" s="1741"/>
      <c r="I489" s="1741"/>
      <c r="J489" s="1741"/>
      <c r="K489" s="1741"/>
      <c r="L489" s="1741"/>
      <c r="M489" s="1741"/>
      <c r="N489" s="1741"/>
      <c r="O489" s="1741"/>
      <c r="P489" s="1741"/>
      <c r="Q489" s="1741"/>
      <c r="R489" s="1741"/>
      <c r="S489" s="1741"/>
      <c r="T489" s="1741"/>
      <c r="U489" s="1741"/>
      <c r="V489" s="1741"/>
      <c r="W489" s="1741"/>
      <c r="X489" s="1741"/>
      <c r="Y489" s="1741"/>
      <c r="Z489" s="1741"/>
      <c r="AA489" s="1741"/>
      <c r="AB489" s="1741"/>
      <c r="AC489" s="1741"/>
      <c r="AD489" s="1741"/>
      <c r="AE489" s="1741"/>
      <c r="AF489" s="1741"/>
      <c r="AG489" s="1741"/>
      <c r="AH489" s="1741"/>
      <c r="AI489" s="1741"/>
      <c r="AJ489" s="1741"/>
      <c r="AK489" s="1741"/>
      <c r="AL489" s="1741"/>
      <c r="AM489" s="1741"/>
      <c r="AN489" s="1741"/>
      <c r="AO489" s="1741"/>
      <c r="AP489" s="1741"/>
      <c r="AQ489" s="1741"/>
      <c r="AR489" s="1741"/>
      <c r="AS489" s="1741"/>
      <c r="AT489" s="1741"/>
      <c r="AZ489" s="3"/>
      <c r="BB489" s="3"/>
      <c r="BC489" s="3"/>
    </row>
    <row r="490" spans="1:55" ht="13.05" customHeight="1">
      <c r="AZ490" s="3"/>
      <c r="BB490" s="3"/>
      <c r="BC490" s="3"/>
    </row>
    <row r="491" spans="1:55" ht="13.05" customHeight="1">
      <c r="A491" s="2" t="s">
        <v>319</v>
      </c>
      <c r="C491" s="2" t="s">
        <v>808</v>
      </c>
      <c r="AZ491" s="3"/>
      <c r="BB491" s="3"/>
      <c r="BC491" s="3"/>
    </row>
    <row r="492" spans="1:55" ht="13.05" customHeight="1">
      <c r="AZ492" s="3"/>
      <c r="BB492" s="3"/>
      <c r="BC492" s="3"/>
    </row>
    <row r="493" spans="1:55" ht="13.05" customHeight="1">
      <c r="B493" s="45"/>
      <c r="C493" s="5"/>
      <c r="D493" s="5"/>
      <c r="E493" s="5"/>
      <c r="F493" s="5"/>
      <c r="G493" s="5"/>
      <c r="H493" s="5"/>
      <c r="I493" s="5"/>
      <c r="J493" s="5"/>
      <c r="K493" s="5"/>
      <c r="L493" s="5"/>
      <c r="M493" s="5"/>
      <c r="N493" s="5"/>
      <c r="O493" s="5"/>
      <c r="P493" s="46"/>
      <c r="Q493" s="2013" t="s">
        <v>393</v>
      </c>
      <c r="R493" s="2014"/>
      <c r="S493" s="2014"/>
      <c r="T493" s="2014"/>
      <c r="U493" s="2014"/>
      <c r="V493" s="2014"/>
      <c r="W493" s="2014"/>
      <c r="X493" s="2014"/>
      <c r="Y493" s="2014"/>
      <c r="Z493" s="2014"/>
      <c r="AA493" s="2014"/>
      <c r="AB493" s="2014"/>
      <c r="AC493" s="2014"/>
      <c r="AD493" s="2014"/>
      <c r="AE493" s="2014"/>
      <c r="AF493" s="2014"/>
      <c r="AG493" s="2014"/>
      <c r="AH493" s="2014"/>
      <c r="AI493" s="2014"/>
      <c r="AJ493" s="2014"/>
      <c r="AK493" s="2015"/>
      <c r="AZ493" s="3"/>
      <c r="BB493" s="3"/>
      <c r="BC493" s="3"/>
    </row>
    <row r="494" spans="1:55" ht="13.05" customHeight="1">
      <c r="B494" s="45" t="s">
        <v>394</v>
      </c>
      <c r="C494" s="5"/>
      <c r="D494" s="5"/>
      <c r="E494" s="5"/>
      <c r="F494" s="5"/>
      <c r="G494" s="5"/>
      <c r="H494" s="5"/>
      <c r="I494" s="5"/>
      <c r="J494" s="5"/>
      <c r="K494" s="5"/>
      <c r="L494" s="5"/>
      <c r="M494" s="5"/>
      <c r="N494" s="5"/>
      <c r="O494" s="5"/>
      <c r="P494" s="5"/>
      <c r="Q494" s="1795" t="s">
        <v>2720</v>
      </c>
      <c r="R494" s="1710"/>
      <c r="S494" s="1710"/>
      <c r="T494" s="1710"/>
      <c r="U494" s="1710"/>
      <c r="V494" s="1710"/>
      <c r="W494" s="1710"/>
      <c r="X494" s="1710"/>
      <c r="Y494" s="1710"/>
      <c r="Z494" s="1710"/>
      <c r="AA494" s="1710"/>
      <c r="AB494" s="1710"/>
      <c r="AC494" s="1710"/>
      <c r="AD494" s="1710"/>
      <c r="AE494" s="1710"/>
      <c r="AF494" s="1710"/>
      <c r="AG494" s="1710"/>
      <c r="AH494" s="1710"/>
      <c r="AI494" s="1710"/>
      <c r="AJ494" s="1710"/>
      <c r="AK494" s="1796"/>
      <c r="AZ494" s="3"/>
      <c r="BB494" s="3"/>
      <c r="BC494" s="3"/>
    </row>
    <row r="495" spans="1:55" ht="13.05" customHeight="1">
      <c r="B495" s="45" t="s">
        <v>395</v>
      </c>
      <c r="C495" s="5"/>
      <c r="D495" s="5"/>
      <c r="E495" s="5"/>
      <c r="F495" s="5"/>
      <c r="G495" s="5"/>
      <c r="H495" s="5"/>
      <c r="I495" s="5"/>
      <c r="J495" s="5"/>
      <c r="K495" s="5"/>
      <c r="L495" s="5"/>
      <c r="M495" s="5"/>
      <c r="N495" s="5"/>
      <c r="O495" s="5"/>
      <c r="P495" s="5"/>
      <c r="Q495" s="1795" t="s">
        <v>2721</v>
      </c>
      <c r="R495" s="1710"/>
      <c r="S495" s="1710"/>
      <c r="T495" s="1710"/>
      <c r="U495" s="1710"/>
      <c r="V495" s="1710"/>
      <c r="W495" s="1710"/>
      <c r="X495" s="1710"/>
      <c r="Y495" s="1710"/>
      <c r="Z495" s="1710"/>
      <c r="AA495" s="1710"/>
      <c r="AB495" s="1710"/>
      <c r="AC495" s="1710"/>
      <c r="AD495" s="1710"/>
      <c r="AE495" s="1710"/>
      <c r="AF495" s="1710"/>
      <c r="AG495" s="1710"/>
      <c r="AH495" s="1710"/>
      <c r="AI495" s="1710"/>
      <c r="AJ495" s="1710"/>
      <c r="AK495" s="1796"/>
      <c r="AZ495" s="3"/>
      <c r="BB495" s="3"/>
      <c r="BC495" s="3"/>
    </row>
    <row r="496" spans="1:55" ht="13.05" customHeight="1">
      <c r="B496" s="45" t="s">
        <v>396</v>
      </c>
      <c r="C496" s="5"/>
      <c r="D496" s="5"/>
      <c r="E496" s="5"/>
      <c r="F496" s="5"/>
      <c r="G496" s="5"/>
      <c r="H496" s="5"/>
      <c r="I496" s="5"/>
      <c r="J496" s="5"/>
      <c r="K496" s="5"/>
      <c r="L496" s="5"/>
      <c r="M496" s="5"/>
      <c r="N496" s="5"/>
      <c r="O496" s="5"/>
      <c r="P496" s="5"/>
      <c r="Q496" s="1795" t="s">
        <v>2721</v>
      </c>
      <c r="R496" s="1710"/>
      <c r="S496" s="1710"/>
      <c r="T496" s="1710"/>
      <c r="U496" s="1710"/>
      <c r="V496" s="1710"/>
      <c r="W496" s="1710"/>
      <c r="X496" s="1710"/>
      <c r="Y496" s="1710"/>
      <c r="Z496" s="1710"/>
      <c r="AA496" s="1710"/>
      <c r="AB496" s="1710"/>
      <c r="AC496" s="1710"/>
      <c r="AD496" s="1710"/>
      <c r="AE496" s="1710"/>
      <c r="AF496" s="1710"/>
      <c r="AG496" s="1710"/>
      <c r="AH496" s="1710"/>
      <c r="AI496" s="1710"/>
      <c r="AJ496" s="1710"/>
      <c r="AK496" s="1796"/>
      <c r="AZ496" s="3"/>
      <c r="BA496" s="3"/>
      <c r="BB496" s="3"/>
      <c r="BC496" s="3"/>
    </row>
    <row r="497" spans="1:66" ht="13.05" customHeight="1">
      <c r="B497" s="2094" t="s">
        <v>397</v>
      </c>
      <c r="C497" s="2095"/>
      <c r="D497" s="2095"/>
      <c r="E497" s="2095"/>
      <c r="F497" s="2095"/>
      <c r="G497" s="2095"/>
      <c r="H497" s="2095"/>
      <c r="I497" s="2095"/>
      <c r="J497" s="2095"/>
      <c r="K497" s="2095"/>
      <c r="L497" s="2095"/>
      <c r="M497" s="2095"/>
      <c r="N497" s="2095"/>
      <c r="O497" s="2095"/>
      <c r="P497" s="2096"/>
      <c r="Q497" s="2100" t="s">
        <v>669</v>
      </c>
      <c r="R497" s="2101"/>
      <c r="S497" s="2083" t="s">
        <v>166</v>
      </c>
      <c r="T497" s="2084"/>
      <c r="U497" s="2084"/>
      <c r="V497" s="2084"/>
      <c r="W497" s="2084"/>
      <c r="X497" s="2084"/>
      <c r="Y497" s="2084"/>
      <c r="Z497" s="2084"/>
      <c r="AA497" s="2084"/>
      <c r="AB497" s="2084"/>
      <c r="AC497" s="2084"/>
      <c r="AD497" s="2084"/>
      <c r="AE497" s="2084"/>
      <c r="AF497" s="2084"/>
      <c r="AG497" s="2084"/>
      <c r="AH497" s="2084"/>
      <c r="AI497" s="2084"/>
      <c r="AJ497" s="2084"/>
      <c r="AK497" s="2085"/>
      <c r="AZ497" s="3"/>
      <c r="BA497" s="3"/>
      <c r="BB497" s="3"/>
      <c r="BC497" s="3"/>
    </row>
    <row r="498" spans="1:66" ht="13.05" customHeight="1">
      <c r="B498" s="2097"/>
      <c r="C498" s="2098"/>
      <c r="D498" s="2098"/>
      <c r="E498" s="2098"/>
      <c r="F498" s="2098"/>
      <c r="G498" s="2098"/>
      <c r="H498" s="2098"/>
      <c r="I498" s="2098"/>
      <c r="J498" s="2098"/>
      <c r="K498" s="2098"/>
      <c r="L498" s="2098"/>
      <c r="M498" s="2098"/>
      <c r="N498" s="2098"/>
      <c r="O498" s="2098"/>
      <c r="P498" s="2099"/>
      <c r="Q498" s="2102"/>
      <c r="R498" s="2103"/>
      <c r="S498" s="2086"/>
      <c r="T498" s="2055"/>
      <c r="U498" s="2055"/>
      <c r="V498" s="2055"/>
      <c r="W498" s="2055"/>
      <c r="X498" s="2055"/>
      <c r="Y498" s="2055"/>
      <c r="Z498" s="2055"/>
      <c r="AA498" s="2055"/>
      <c r="AB498" s="2055"/>
      <c r="AC498" s="2055"/>
      <c r="AD498" s="2055"/>
      <c r="AE498" s="2055"/>
      <c r="AF498" s="2055"/>
      <c r="AG498" s="2055"/>
      <c r="AH498" s="2055"/>
      <c r="AI498" s="2055"/>
      <c r="AJ498" s="2055"/>
      <c r="AK498" s="2087"/>
      <c r="AZ498" s="3"/>
      <c r="BA498" s="3"/>
      <c r="BB498" s="3"/>
      <c r="BC498" s="3"/>
    </row>
    <row r="499" spans="1:66" ht="13.05" customHeight="1">
      <c r="B499" s="891" t="s">
        <v>1659</v>
      </c>
      <c r="C499" s="869"/>
      <c r="D499" s="869"/>
      <c r="E499" s="869"/>
      <c r="F499" s="869"/>
      <c r="G499" s="869"/>
      <c r="H499" s="869"/>
      <c r="I499" s="869"/>
      <c r="J499" s="869"/>
      <c r="K499" s="869"/>
      <c r="L499" s="869"/>
      <c r="M499" s="869"/>
      <c r="N499" s="869"/>
      <c r="O499" s="869"/>
      <c r="P499" s="869"/>
      <c r="Q499" s="2106" t="s">
        <v>591</v>
      </c>
      <c r="R499" s="2107"/>
      <c r="S499" s="2107"/>
      <c r="T499" s="2107"/>
      <c r="U499" s="2107"/>
      <c r="V499" s="2107"/>
      <c r="W499" s="2107"/>
      <c r="X499" s="2107"/>
      <c r="Y499" s="2107"/>
      <c r="Z499" s="2107"/>
      <c r="AA499" s="2107"/>
      <c r="AB499" s="2107"/>
      <c r="AC499" s="2107"/>
      <c r="AD499" s="2107"/>
      <c r="AE499" s="2107"/>
      <c r="AF499" s="2107"/>
      <c r="AG499" s="2107"/>
      <c r="AH499" s="2107"/>
      <c r="AI499" s="2107"/>
      <c r="AJ499" s="2107"/>
      <c r="AK499" s="2108"/>
      <c r="AZ499" s="3"/>
      <c r="BA499" s="3"/>
      <c r="BB499" s="3"/>
      <c r="BC499" s="3"/>
    </row>
    <row r="500" spans="1:66" ht="13.05" customHeight="1">
      <c r="B500" s="45" t="s">
        <v>398</v>
      </c>
      <c r="C500" s="5"/>
      <c r="D500" s="5"/>
      <c r="E500" s="5"/>
      <c r="F500" s="5"/>
      <c r="G500" s="5"/>
      <c r="H500" s="5"/>
      <c r="I500" s="5"/>
      <c r="J500" s="5"/>
      <c r="K500" s="5"/>
      <c r="L500" s="5"/>
      <c r="M500" s="5"/>
      <c r="N500" s="5"/>
      <c r="O500" s="5"/>
      <c r="P500" s="5"/>
      <c r="Q500" s="1795" t="s">
        <v>2722</v>
      </c>
      <c r="R500" s="1710"/>
      <c r="S500" s="1710"/>
      <c r="T500" s="1710"/>
      <c r="U500" s="1710"/>
      <c r="V500" s="1710"/>
      <c r="W500" s="1710"/>
      <c r="X500" s="1710"/>
      <c r="Y500" s="1710"/>
      <c r="Z500" s="1710"/>
      <c r="AA500" s="1710"/>
      <c r="AB500" s="1710"/>
      <c r="AC500" s="1710"/>
      <c r="AD500" s="1710"/>
      <c r="AE500" s="1710"/>
      <c r="AF500" s="1710"/>
      <c r="AG500" s="1710"/>
      <c r="AH500" s="1710"/>
      <c r="AI500" s="1710"/>
      <c r="AJ500" s="1710"/>
      <c r="AK500" s="1796"/>
      <c r="AZ500" s="3"/>
      <c r="BA500" s="3"/>
      <c r="BB500" s="3"/>
      <c r="BC500" s="3"/>
    </row>
    <row r="501" spans="1:66" ht="13.05" customHeight="1">
      <c r="B501" s="45" t="s">
        <v>399</v>
      </c>
      <c r="C501" s="5"/>
      <c r="D501" s="5"/>
      <c r="E501" s="5"/>
      <c r="F501" s="5"/>
      <c r="G501" s="5"/>
      <c r="H501" s="5"/>
      <c r="I501" s="5"/>
      <c r="J501" s="5"/>
      <c r="K501" s="5"/>
      <c r="L501" s="5"/>
      <c r="M501" s="5"/>
      <c r="N501" s="5"/>
      <c r="O501" s="5"/>
      <c r="P501" s="5"/>
      <c r="Q501" s="1795"/>
      <c r="R501" s="1710"/>
      <c r="S501" s="1710"/>
      <c r="T501" s="1710"/>
      <c r="U501" s="1710"/>
      <c r="V501" s="1710"/>
      <c r="W501" s="1710"/>
      <c r="X501" s="1710"/>
      <c r="Y501" s="1710"/>
      <c r="Z501" s="1710"/>
      <c r="AA501" s="1710"/>
      <c r="AB501" s="1710"/>
      <c r="AC501" s="1710"/>
      <c r="AD501" s="1710"/>
      <c r="AE501" s="1710"/>
      <c r="AF501" s="1710"/>
      <c r="AG501" s="1710"/>
      <c r="AH501" s="1710"/>
      <c r="AI501" s="1710"/>
      <c r="AJ501" s="1710"/>
      <c r="AK501" s="1796"/>
      <c r="AZ501" s="3"/>
      <c r="BA501" s="3"/>
      <c r="BB501" s="3"/>
      <c r="BC501" s="3"/>
    </row>
    <row r="502" spans="1:66" ht="13.05" customHeight="1">
      <c r="B502" s="121" t="s">
        <v>1656</v>
      </c>
      <c r="C502" s="5"/>
      <c r="D502" s="5"/>
      <c r="E502" s="5"/>
      <c r="F502" s="5"/>
      <c r="G502" s="5"/>
      <c r="H502" s="5"/>
      <c r="I502" s="5"/>
      <c r="J502" s="5"/>
      <c r="K502" s="5"/>
      <c r="L502" s="5"/>
      <c r="M502" s="5"/>
      <c r="N502" s="5"/>
      <c r="O502" s="5"/>
      <c r="P502" s="5"/>
      <c r="Q502" s="1795">
        <v>33</v>
      </c>
      <c r="R502" s="1710"/>
      <c r="S502" s="1710"/>
      <c r="T502" s="1710"/>
      <c r="U502" s="1710"/>
      <c r="V502" s="1710"/>
      <c r="W502" s="1710"/>
      <c r="X502" s="1710"/>
      <c r="Y502" s="1710"/>
      <c r="Z502" s="1710"/>
      <c r="AA502" s="1710"/>
      <c r="AB502" s="1710"/>
      <c r="AC502" s="1710"/>
      <c r="AD502" s="1710"/>
      <c r="AE502" s="1710"/>
      <c r="AF502" s="1710"/>
      <c r="AG502" s="1710"/>
      <c r="AH502" s="1710"/>
      <c r="AI502" s="1710"/>
      <c r="AJ502" s="1710"/>
      <c r="AK502" s="1796"/>
      <c r="AZ502" s="3"/>
      <c r="BA502" s="3"/>
      <c r="BB502" s="3"/>
      <c r="BC502" s="3"/>
    </row>
    <row r="503" spans="1:66" ht="13.05" customHeight="1">
      <c r="B503" s="121" t="s">
        <v>1657</v>
      </c>
      <c r="C503" s="5"/>
      <c r="D503" s="5"/>
      <c r="E503" s="5"/>
      <c r="F503" s="5"/>
      <c r="G503" s="5"/>
      <c r="H503" s="5"/>
      <c r="I503" s="5"/>
      <c r="J503" s="5"/>
      <c r="K503" s="5"/>
      <c r="L503" s="5"/>
      <c r="M503" s="1718">
        <v>33</v>
      </c>
      <c r="N503" s="1719"/>
      <c r="O503" s="1719"/>
      <c r="P503" s="1720"/>
      <c r="Q503" s="121" t="s">
        <v>1658</v>
      </c>
      <c r="R503" s="5"/>
      <c r="S503" s="5"/>
      <c r="T503" s="5"/>
      <c r="U503" s="5"/>
      <c r="V503" s="5"/>
      <c r="W503" s="5"/>
      <c r="X503" s="5"/>
      <c r="Y503" s="5"/>
      <c r="Z503" s="5"/>
      <c r="AA503" s="5"/>
      <c r="AB503" s="5"/>
      <c r="AC503" s="5"/>
      <c r="AD503" s="5"/>
      <c r="AE503" s="5"/>
      <c r="AF503" s="5"/>
      <c r="AG503" s="5"/>
      <c r="AH503" s="1718"/>
      <c r="AI503" s="1719"/>
      <c r="AJ503" s="1719"/>
      <c r="AK503" s="1720"/>
      <c r="AZ503" s="3"/>
      <c r="BA503" s="3"/>
      <c r="BB503" s="3"/>
      <c r="BC503" s="3"/>
    </row>
    <row r="504" spans="1:66" ht="13.0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3.05"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3.0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3.0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2013" t="s">
        <v>401</v>
      </c>
      <c r="AD507" s="2014"/>
      <c r="AE507" s="2014"/>
      <c r="AF507" s="2014"/>
      <c r="AG507" s="2014"/>
      <c r="AH507" s="2014"/>
      <c r="AI507" s="2014"/>
      <c r="AJ507" s="2014"/>
      <c r="AK507" s="2015"/>
      <c r="AZ507" s="3"/>
      <c r="BA507" s="3"/>
      <c r="BB507" s="3"/>
      <c r="BC507" s="3"/>
      <c r="BD507" s="3"/>
      <c r="BE507" s="3"/>
      <c r="BF507" s="3"/>
      <c r="BG507" s="3"/>
      <c r="BH507" s="3"/>
      <c r="BI507" s="3"/>
      <c r="BJ507" s="3"/>
      <c r="BK507" s="3"/>
      <c r="BL507" s="3"/>
      <c r="BM507" s="3"/>
      <c r="BN507" s="3"/>
    </row>
    <row r="508" spans="1:66" ht="13.0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2013" t="s">
        <v>402</v>
      </c>
      <c r="AD508" s="2014"/>
      <c r="AE508" s="2014"/>
      <c r="AF508" s="2014"/>
      <c r="AG508" s="50" t="s">
        <v>403</v>
      </c>
      <c r="AH508" s="2014" t="s">
        <v>404</v>
      </c>
      <c r="AI508" s="2014"/>
      <c r="AJ508" s="2014"/>
      <c r="AK508" s="2015"/>
      <c r="AZ508" s="3"/>
      <c r="BA508" s="3"/>
      <c r="BB508" s="3"/>
      <c r="BC508" s="3"/>
      <c r="BD508" s="3"/>
      <c r="BE508" s="3"/>
      <c r="BF508" s="3"/>
      <c r="BG508" s="3"/>
      <c r="BH508" s="3"/>
      <c r="BI508" s="3"/>
      <c r="BJ508" s="3"/>
      <c r="BK508" s="3"/>
      <c r="BL508" s="3"/>
      <c r="BM508" s="3"/>
      <c r="BN508" s="3"/>
    </row>
    <row r="509" spans="1:66" ht="13.05" customHeight="1">
      <c r="B509" s="1964" t="s">
        <v>405</v>
      </c>
      <c r="C509" s="1743"/>
      <c r="D509" s="1743"/>
      <c r="E509" s="1743"/>
      <c r="F509" s="1743"/>
      <c r="G509" s="1743"/>
      <c r="H509" s="1744"/>
      <c r="I509" s="42" t="s">
        <v>406</v>
      </c>
      <c r="J509" s="42"/>
      <c r="K509" s="42"/>
      <c r="L509" s="42"/>
      <c r="M509" s="42"/>
      <c r="N509" s="42"/>
      <c r="O509" s="42"/>
      <c r="P509" s="42"/>
      <c r="Q509" s="42"/>
      <c r="R509" s="42"/>
      <c r="S509" s="42"/>
      <c r="T509" s="42"/>
      <c r="U509" s="42"/>
      <c r="V509" s="42"/>
      <c r="W509" s="42"/>
      <c r="AC509" s="1759" t="s">
        <v>591</v>
      </c>
      <c r="AD509" s="1760"/>
      <c r="AE509" s="1760"/>
      <c r="AF509" s="1760"/>
      <c r="AG509" s="13" t="s">
        <v>403</v>
      </c>
      <c r="AH509" s="1636"/>
      <c r="AI509" s="1636"/>
      <c r="AJ509" s="1636"/>
      <c r="AK509" s="1637"/>
      <c r="AZ509" s="3"/>
      <c r="BA509" s="3"/>
      <c r="BB509" s="3"/>
      <c r="BC509" s="3"/>
      <c r="BD509" s="3"/>
      <c r="BE509" s="3"/>
      <c r="BF509" s="3"/>
      <c r="BG509" s="3"/>
      <c r="BH509" s="3"/>
      <c r="BI509" s="3"/>
      <c r="BJ509" s="3"/>
      <c r="BK509" s="3"/>
      <c r="BL509" s="3"/>
      <c r="BM509" s="3"/>
      <c r="BN509" s="3"/>
    </row>
    <row r="510" spans="1:66" ht="13.05" customHeight="1">
      <c r="B510" s="1965"/>
      <c r="C510" s="1745"/>
      <c r="D510" s="1745"/>
      <c r="E510" s="1745"/>
      <c r="F510" s="1745"/>
      <c r="G510" s="1745"/>
      <c r="H510" s="1746"/>
      <c r="I510" s="48" t="s">
        <v>407</v>
      </c>
      <c r="J510" s="48"/>
      <c r="K510" s="48"/>
      <c r="L510" s="48"/>
      <c r="M510" s="48"/>
      <c r="N510" s="48"/>
      <c r="O510" s="48"/>
      <c r="P510" s="48"/>
      <c r="Q510" s="48"/>
      <c r="R510" s="48"/>
      <c r="S510" s="48"/>
      <c r="T510" s="48"/>
      <c r="U510" s="48"/>
      <c r="V510" s="48"/>
      <c r="W510" s="48"/>
      <c r="X510" s="48"/>
      <c r="Y510" s="48"/>
      <c r="Z510" s="48"/>
      <c r="AA510" s="48"/>
      <c r="AB510" s="48"/>
      <c r="AC510" s="1759">
        <v>6</v>
      </c>
      <c r="AD510" s="1760"/>
      <c r="AE510" s="1760"/>
      <c r="AF510" s="1760"/>
      <c r="AG510" s="38" t="s">
        <v>403</v>
      </c>
      <c r="AH510" s="1636">
        <v>2025</v>
      </c>
      <c r="AI510" s="1636"/>
      <c r="AJ510" s="1636"/>
      <c r="AK510" s="1637"/>
      <c r="AZ510" s="3"/>
      <c r="BA510" s="3"/>
      <c r="BB510" s="3"/>
      <c r="BC510" s="3"/>
      <c r="BD510" s="3"/>
      <c r="BE510" s="3"/>
      <c r="BF510" s="3"/>
      <c r="BG510" s="3"/>
      <c r="BH510" s="3"/>
      <c r="BI510" s="3"/>
      <c r="BJ510" s="3"/>
      <c r="BK510" s="3"/>
      <c r="BL510" s="3"/>
      <c r="BM510" s="3"/>
      <c r="BN510" s="3"/>
    </row>
    <row r="511" spans="1:66" ht="13.05" customHeight="1">
      <c r="B511" s="1964" t="s">
        <v>408</v>
      </c>
      <c r="C511" s="1743"/>
      <c r="D511" s="1743"/>
      <c r="E511" s="1743"/>
      <c r="F511" s="1743"/>
      <c r="G511" s="1743"/>
      <c r="H511" s="1744"/>
      <c r="I511" s="42" t="s">
        <v>409</v>
      </c>
      <c r="J511" s="42"/>
      <c r="K511" s="42"/>
      <c r="L511" s="42"/>
      <c r="M511" s="42"/>
      <c r="N511" s="42"/>
      <c r="O511" s="42"/>
      <c r="P511" s="42"/>
      <c r="Q511" s="42"/>
      <c r="R511" s="42"/>
      <c r="S511" s="42"/>
      <c r="T511" s="42"/>
      <c r="U511" s="42"/>
      <c r="V511" s="42"/>
      <c r="W511" s="42"/>
      <c r="AC511" s="1759" t="s">
        <v>591</v>
      </c>
      <c r="AD511" s="1760"/>
      <c r="AE511" s="1760"/>
      <c r="AF511" s="1760"/>
      <c r="AG511" s="13" t="s">
        <v>403</v>
      </c>
      <c r="AH511" s="1636"/>
      <c r="AI511" s="1636"/>
      <c r="AJ511" s="1636"/>
      <c r="AK511" s="1637"/>
      <c r="AZ511" s="3"/>
      <c r="BA511" s="3"/>
      <c r="BB511" s="3"/>
      <c r="BC511" s="3"/>
      <c r="BD511" s="3"/>
      <c r="BE511" s="3"/>
      <c r="BF511" s="3"/>
      <c r="BG511" s="3"/>
      <c r="BH511" s="3"/>
      <c r="BI511" s="3"/>
      <c r="BJ511" s="3"/>
      <c r="BK511" s="3"/>
      <c r="BL511" s="3"/>
      <c r="BM511" s="3"/>
      <c r="BN511" s="3"/>
    </row>
    <row r="512" spans="1:66" ht="13.05" customHeight="1">
      <c r="B512" s="1965"/>
      <c r="C512" s="1745"/>
      <c r="D512" s="1745"/>
      <c r="E512" s="1745"/>
      <c r="F512" s="1745"/>
      <c r="G512" s="1745"/>
      <c r="H512" s="1746"/>
      <c r="I512" t="s">
        <v>410</v>
      </c>
      <c r="AC512" s="1759" t="s">
        <v>591</v>
      </c>
      <c r="AD512" s="1760"/>
      <c r="AE512" s="1760"/>
      <c r="AF512" s="1760"/>
      <c r="AG512" s="13" t="s">
        <v>403</v>
      </c>
      <c r="AH512" s="1636"/>
      <c r="AI512" s="1636"/>
      <c r="AJ512" s="1636"/>
      <c r="AK512" s="1637"/>
      <c r="AZ512" s="3"/>
      <c r="BA512" s="3"/>
      <c r="BB512" s="3"/>
      <c r="BC512" s="3"/>
      <c r="BD512" s="3"/>
      <c r="BE512" s="3"/>
      <c r="BF512" s="3"/>
      <c r="BG512" s="3"/>
      <c r="BH512" s="3"/>
      <c r="BI512" s="3"/>
      <c r="BJ512" s="3"/>
      <c r="BK512" s="3"/>
      <c r="BL512" s="3"/>
      <c r="BM512" s="3"/>
      <c r="BN512" s="3"/>
    </row>
    <row r="513" spans="2:66" ht="13.05" customHeight="1">
      <c r="B513" s="1965"/>
      <c r="C513" s="1745"/>
      <c r="D513" s="1745"/>
      <c r="E513" s="1745"/>
      <c r="F513" s="1745"/>
      <c r="G513" s="1745"/>
      <c r="H513" s="1746"/>
      <c r="I513" t="s">
        <v>411</v>
      </c>
      <c r="AC513" s="1759">
        <v>5</v>
      </c>
      <c r="AD513" s="1760"/>
      <c r="AE513" s="1760"/>
      <c r="AF513" s="1760"/>
      <c r="AG513" s="13" t="s">
        <v>403</v>
      </c>
      <c r="AH513" s="1636">
        <v>2026</v>
      </c>
      <c r="AI513" s="1636"/>
      <c r="AJ513" s="1636"/>
      <c r="AK513" s="1637"/>
      <c r="AZ513" s="3"/>
      <c r="BA513" s="3"/>
      <c r="BB513" s="3"/>
      <c r="BC513" s="3"/>
      <c r="BD513" s="3"/>
      <c r="BE513" s="3"/>
      <c r="BF513" s="3"/>
      <c r="BG513" s="3"/>
      <c r="BH513" s="3"/>
      <c r="BI513" s="3"/>
      <c r="BJ513" s="3"/>
      <c r="BK513" s="3"/>
      <c r="BL513" s="3"/>
      <c r="BM513" s="3"/>
      <c r="BN513" s="3"/>
    </row>
    <row r="514" spans="2:66" ht="13.05" customHeight="1">
      <c r="B514" s="1965"/>
      <c r="C514" s="1745"/>
      <c r="D514" s="1745"/>
      <c r="E514" s="1745"/>
      <c r="F514" s="1745"/>
      <c r="G514" s="1745"/>
      <c r="H514" s="1746"/>
      <c r="I514" t="s">
        <v>412</v>
      </c>
      <c r="AC514" s="1759">
        <v>11</v>
      </c>
      <c r="AD514" s="1760"/>
      <c r="AE514" s="1760"/>
      <c r="AF514" s="1760"/>
      <c r="AG514" s="13" t="s">
        <v>403</v>
      </c>
      <c r="AH514" s="1636">
        <v>2026</v>
      </c>
      <c r="AI514" s="1636"/>
      <c r="AJ514" s="1636"/>
      <c r="AK514" s="1637"/>
      <c r="AZ514" s="3"/>
      <c r="BA514" s="3"/>
      <c r="BB514" s="3"/>
      <c r="BC514" s="3"/>
      <c r="BD514" s="3"/>
      <c r="BE514" s="3"/>
      <c r="BF514" s="3"/>
      <c r="BG514" s="3"/>
      <c r="BH514" s="3"/>
      <c r="BI514" s="3"/>
      <c r="BJ514" s="3"/>
      <c r="BK514" s="3"/>
      <c r="BL514" s="3"/>
      <c r="BM514" s="3"/>
      <c r="BN514" s="3"/>
    </row>
    <row r="515" spans="2:66" ht="13.05" customHeight="1">
      <c r="B515" s="1965"/>
      <c r="C515" s="1745"/>
      <c r="D515" s="1745"/>
      <c r="E515" s="1745"/>
      <c r="F515" s="1745"/>
      <c r="G515" s="1745"/>
      <c r="H515" s="1746"/>
      <c r="I515" s="3" t="s">
        <v>413</v>
      </c>
      <c r="AC515" s="1623">
        <v>11</v>
      </c>
      <c r="AD515" s="1624"/>
      <c r="AE515" s="1624"/>
      <c r="AF515" s="1624"/>
      <c r="AG515" s="13" t="s">
        <v>403</v>
      </c>
      <c r="AH515" s="1636">
        <v>2026</v>
      </c>
      <c r="AI515" s="1636"/>
      <c r="AJ515" s="1636"/>
      <c r="AK515" s="1637"/>
      <c r="AZ515" s="3"/>
      <c r="BA515" s="3"/>
      <c r="BB515" s="3"/>
      <c r="BC515" s="3"/>
      <c r="BD515" s="3"/>
      <c r="BE515" s="3"/>
      <c r="BF515" s="3"/>
      <c r="BG515" s="3"/>
      <c r="BH515" s="3"/>
      <c r="BI515" s="3"/>
      <c r="BJ515" s="3"/>
      <c r="BK515" s="3"/>
      <c r="BL515" s="3"/>
      <c r="BM515" s="3"/>
      <c r="BN515" s="3"/>
    </row>
    <row r="516" spans="2:66" ht="13.05" customHeight="1">
      <c r="B516" s="1965"/>
      <c r="C516" s="1745"/>
      <c r="D516" s="1745"/>
      <c r="E516" s="1745"/>
      <c r="F516" s="1745"/>
      <c r="G516" s="1745"/>
      <c r="H516" s="1746"/>
      <c r="I516" s="892" t="s">
        <v>170</v>
      </c>
      <c r="J516" s="48"/>
      <c r="K516" s="48"/>
      <c r="L516" s="2012" t="s">
        <v>334</v>
      </c>
      <c r="M516" s="2007"/>
      <c r="N516" s="2007"/>
      <c r="O516" s="2007"/>
      <c r="P516" s="2007"/>
      <c r="Q516" s="2007"/>
      <c r="R516" s="2007"/>
      <c r="S516" s="2007"/>
      <c r="T516" s="2007"/>
      <c r="U516" s="2007"/>
      <c r="V516" s="2007"/>
      <c r="W516" s="2007"/>
      <c r="X516" s="2007"/>
      <c r="Y516" s="2007"/>
      <c r="Z516" s="2007"/>
      <c r="AA516" s="2007"/>
      <c r="AB516" s="2104"/>
      <c r="AC516" s="1759" t="s">
        <v>591</v>
      </c>
      <c r="AD516" s="1760"/>
      <c r="AE516" s="1760"/>
      <c r="AF516" s="1760"/>
      <c r="AG516" s="38" t="s">
        <v>403</v>
      </c>
      <c r="AH516" s="1636"/>
      <c r="AI516" s="1636"/>
      <c r="AJ516" s="1636"/>
      <c r="AK516" s="1637"/>
      <c r="AZ516" s="3"/>
      <c r="BA516" s="3"/>
      <c r="BB516" s="3"/>
      <c r="BC516" s="3"/>
      <c r="BD516" s="3"/>
      <c r="BE516" s="3"/>
      <c r="BF516" s="3"/>
      <c r="BG516" s="3"/>
      <c r="BH516" s="3"/>
      <c r="BI516" s="3"/>
      <c r="BJ516" s="3"/>
      <c r="BK516" s="3"/>
      <c r="BL516" s="3"/>
      <c r="BM516" s="3"/>
      <c r="BN516" s="3"/>
    </row>
    <row r="517" spans="2:66" ht="13.05" customHeight="1">
      <c r="B517" s="867"/>
      <c r="C517" s="130"/>
      <c r="D517" s="130"/>
      <c r="E517" s="130"/>
      <c r="F517" s="130"/>
      <c r="G517" s="130"/>
      <c r="H517" s="868"/>
      <c r="I517" s="3" t="s">
        <v>1663</v>
      </c>
      <c r="AC517" s="2005" t="s">
        <v>1183</v>
      </c>
      <c r="AD517" s="2005"/>
      <c r="AE517" s="2005"/>
      <c r="AF517" s="2005"/>
      <c r="AG517" s="13"/>
      <c r="AH517" s="1601"/>
      <c r="AI517" s="1601"/>
      <c r="AJ517" s="1601"/>
      <c r="AK517" s="2076"/>
      <c r="AZ517" s="3"/>
      <c r="BA517" s="3"/>
      <c r="BB517" s="3"/>
      <c r="BC517" s="3"/>
      <c r="BD517" s="3"/>
      <c r="BE517" s="3"/>
      <c r="BF517" s="3"/>
      <c r="BG517" s="3"/>
      <c r="BH517" s="3"/>
      <c r="BI517" s="3"/>
      <c r="BJ517" s="3"/>
      <c r="BK517" s="3"/>
      <c r="BL517" s="3"/>
      <c r="BM517" s="3"/>
      <c r="BN517" s="3"/>
    </row>
    <row r="518" spans="2:66" ht="13.05" customHeight="1">
      <c r="B518" s="867"/>
      <c r="C518" s="130"/>
      <c r="D518" s="130"/>
      <c r="E518" s="130"/>
      <c r="F518" s="130"/>
      <c r="G518" s="130"/>
      <c r="H518" s="868"/>
      <c r="I518" t="s">
        <v>1660</v>
      </c>
      <c r="AC518" s="1623"/>
      <c r="AD518" s="1624"/>
      <c r="AE518" s="1624"/>
      <c r="AF518" s="1625"/>
      <c r="AG518" s="13"/>
      <c r="AH518" s="1601"/>
      <c r="AI518" s="1601"/>
      <c r="AJ518" s="1601"/>
      <c r="AK518" s="2076"/>
      <c r="AZ518" s="3"/>
      <c r="BA518" s="3"/>
      <c r="BB518" s="3"/>
      <c r="BC518" s="3"/>
      <c r="BD518" s="3"/>
      <c r="BE518" s="3"/>
      <c r="BF518" s="3"/>
      <c r="BG518" s="3"/>
      <c r="BH518" s="3"/>
      <c r="BI518" s="3"/>
      <c r="BJ518" s="3"/>
      <c r="BK518" s="3"/>
      <c r="BL518" s="3"/>
      <c r="BM518" s="3"/>
      <c r="BN518" s="3"/>
    </row>
    <row r="519" spans="2:66" ht="13.05" customHeight="1">
      <c r="B519" s="867"/>
      <c r="C519" s="130"/>
      <c r="D519" s="130"/>
      <c r="E519" s="130"/>
      <c r="F519" s="130"/>
      <c r="G519" s="130"/>
      <c r="H519" s="868"/>
      <c r="I519" t="s">
        <v>1661</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3.05" customHeight="1">
      <c r="B520" s="867"/>
      <c r="C520" s="130"/>
      <c r="D520" s="130"/>
      <c r="E520" s="130"/>
      <c r="F520" s="130"/>
      <c r="G520" s="130"/>
      <c r="H520" s="868"/>
      <c r="I520" s="893" t="s">
        <v>1662</v>
      </c>
      <c r="J520" s="48"/>
      <c r="K520" s="48"/>
      <c r="L520" s="48"/>
      <c r="M520" s="48"/>
      <c r="N520" s="48"/>
      <c r="O520" s="48"/>
      <c r="P520" s="48"/>
      <c r="Q520" s="48"/>
      <c r="R520" s="48"/>
      <c r="S520" s="48"/>
      <c r="T520" s="48"/>
      <c r="U520" s="48"/>
      <c r="V520" s="48"/>
      <c r="W520" s="48"/>
      <c r="X520" s="48"/>
      <c r="Y520" s="48"/>
      <c r="Z520" s="48"/>
      <c r="AA520" s="48"/>
      <c r="AB520" s="48"/>
      <c r="AC520" s="2079"/>
      <c r="AD520" s="2080"/>
      <c r="AE520" s="2080"/>
      <c r="AF520" s="2081"/>
      <c r="AG520" s="38"/>
      <c r="AH520" s="2088"/>
      <c r="AI520" s="2088"/>
      <c r="AJ520" s="2088"/>
      <c r="AK520" s="2089"/>
      <c r="AZ520" s="3"/>
      <c r="BA520" s="3"/>
      <c r="BB520" s="3"/>
      <c r="BC520" s="3"/>
      <c r="BD520" s="3"/>
      <c r="BE520" s="3"/>
      <c r="BF520" s="3"/>
      <c r="BG520" s="3"/>
      <c r="BH520" s="3"/>
      <c r="BI520" s="3"/>
      <c r="BJ520" s="3"/>
      <c r="BK520" s="3"/>
      <c r="BL520" s="3"/>
      <c r="BM520" s="3"/>
      <c r="BN520" s="3" t="s">
        <v>1183</v>
      </c>
    </row>
    <row r="521" spans="2:66" ht="13.0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2105" t="s">
        <v>402</v>
      </c>
      <c r="AD521" s="1912"/>
      <c r="AE521" s="1912"/>
      <c r="AF521" s="1912"/>
      <c r="AG521" s="38" t="s">
        <v>403</v>
      </c>
      <c r="AH521" s="1912" t="s">
        <v>404</v>
      </c>
      <c r="AI521" s="1912"/>
      <c r="AJ521" s="1912"/>
      <c r="AK521" s="2109"/>
      <c r="AZ521" s="3"/>
      <c r="BA521" s="3"/>
      <c r="BB521" s="3"/>
      <c r="BC521" s="3"/>
      <c r="BD521" s="3"/>
      <c r="BE521" s="3"/>
      <c r="BF521" s="3"/>
      <c r="BG521" s="3"/>
      <c r="BH521" s="3"/>
      <c r="BI521" s="3"/>
      <c r="BJ521" s="3"/>
      <c r="BK521" s="3"/>
      <c r="BL521" s="3"/>
      <c r="BM521" s="3"/>
      <c r="BN521" s="3" t="s">
        <v>2058</v>
      </c>
    </row>
    <row r="522" spans="2:66" ht="13.05" customHeight="1">
      <c r="B522" s="1964" t="s">
        <v>414</v>
      </c>
      <c r="C522" s="1743"/>
      <c r="D522" s="1743"/>
      <c r="E522" s="1743"/>
      <c r="F522" s="1743"/>
      <c r="G522" s="1743"/>
      <c r="H522" s="1744"/>
      <c r="I522" s="42" t="s">
        <v>415</v>
      </c>
      <c r="J522" s="42"/>
      <c r="K522" s="42"/>
      <c r="L522" s="42"/>
      <c r="M522" s="42"/>
      <c r="N522" s="42"/>
      <c r="O522" s="42"/>
      <c r="P522" s="42"/>
      <c r="Q522" s="42"/>
      <c r="R522" s="42"/>
      <c r="S522" s="42"/>
      <c r="T522" s="42"/>
      <c r="U522" s="42"/>
      <c r="V522" s="42"/>
      <c r="W522" s="42"/>
      <c r="AC522" s="1759">
        <v>5</v>
      </c>
      <c r="AD522" s="1760"/>
      <c r="AE522" s="1760"/>
      <c r="AF522" s="1760"/>
      <c r="AG522" s="13" t="s">
        <v>403</v>
      </c>
      <c r="AH522" s="1636">
        <v>2026</v>
      </c>
      <c r="AI522" s="1636"/>
      <c r="AJ522" s="1636"/>
      <c r="AK522" s="1637"/>
      <c r="AZ522" s="3"/>
      <c r="BA522" s="3"/>
      <c r="BB522" s="3"/>
      <c r="BC522" s="3"/>
      <c r="BD522" s="3"/>
      <c r="BE522" s="3"/>
      <c r="BF522" s="3"/>
      <c r="BG522" s="3"/>
      <c r="BH522" s="3"/>
      <c r="BI522" s="3"/>
      <c r="BJ522" s="3"/>
      <c r="BK522" s="3"/>
      <c r="BL522" s="3"/>
      <c r="BM522" s="3"/>
      <c r="BN522" s="3" t="s">
        <v>2059</v>
      </c>
    </row>
    <row r="523" spans="2:66" ht="13.05" customHeight="1">
      <c r="B523" s="1965"/>
      <c r="C523" s="1745"/>
      <c r="D523" s="1745"/>
      <c r="E523" s="1745"/>
      <c r="F523" s="1745"/>
      <c r="G523" s="1745"/>
      <c r="H523" s="1746"/>
      <c r="I523" t="s">
        <v>416</v>
      </c>
      <c r="AC523" s="1759">
        <v>5</v>
      </c>
      <c r="AD523" s="1760"/>
      <c r="AE523" s="1760"/>
      <c r="AF523" s="1760"/>
      <c r="AG523" s="13" t="s">
        <v>403</v>
      </c>
      <c r="AH523" s="1636">
        <v>2026</v>
      </c>
      <c r="AI523" s="1636"/>
      <c r="AJ523" s="1636"/>
      <c r="AK523" s="1637"/>
      <c r="AZ523" s="3"/>
      <c r="BA523" s="3"/>
      <c r="BB523" s="3"/>
      <c r="BC523" s="3"/>
      <c r="BD523" s="3"/>
      <c r="BE523" s="3"/>
      <c r="BF523" s="3"/>
      <c r="BG523" s="3"/>
      <c r="BH523" s="3"/>
      <c r="BI523" s="3"/>
      <c r="BJ523" s="3"/>
      <c r="BK523" s="3"/>
      <c r="BL523" s="3"/>
      <c r="BM523" s="3"/>
      <c r="BN523" s="3" t="s">
        <v>2060</v>
      </c>
    </row>
    <row r="524" spans="2:66" ht="13.05" customHeight="1">
      <c r="B524" s="1965"/>
      <c r="C524" s="1745"/>
      <c r="D524" s="1745"/>
      <c r="E524" s="1745"/>
      <c r="F524" s="1745"/>
      <c r="G524" s="1745"/>
      <c r="H524" s="1746"/>
      <c r="I524" s="48" t="s">
        <v>417</v>
      </c>
      <c r="J524" s="48"/>
      <c r="K524" s="48"/>
      <c r="L524" s="48"/>
      <c r="M524" s="48"/>
      <c r="N524" s="48"/>
      <c r="O524" s="48"/>
      <c r="P524" s="48"/>
      <c r="Q524" s="48"/>
      <c r="R524" s="48"/>
      <c r="S524" s="48"/>
      <c r="T524" s="48"/>
      <c r="U524" s="48"/>
      <c r="V524" s="48"/>
      <c r="W524" s="48"/>
      <c r="X524" s="48"/>
      <c r="Y524" s="48"/>
      <c r="Z524" s="48"/>
      <c r="AA524" s="48"/>
      <c r="AB524" s="48"/>
      <c r="AC524" s="1759">
        <v>2</v>
      </c>
      <c r="AD524" s="1760"/>
      <c r="AE524" s="1760"/>
      <c r="AF524" s="1760"/>
      <c r="AG524" s="38" t="s">
        <v>403</v>
      </c>
      <c r="AH524" s="1636">
        <v>2027</v>
      </c>
      <c r="AI524" s="1636"/>
      <c r="AJ524" s="1636"/>
      <c r="AK524" s="1637"/>
      <c r="AZ524" s="3"/>
      <c r="BA524" s="3"/>
      <c r="BB524" s="3"/>
      <c r="BC524" s="3"/>
      <c r="BD524" s="3"/>
      <c r="BE524" s="3"/>
      <c r="BF524" s="3"/>
      <c r="BG524" s="3"/>
      <c r="BH524" s="3"/>
      <c r="BI524" s="3"/>
      <c r="BJ524" s="3"/>
      <c r="BK524" s="3"/>
      <c r="BL524" s="3"/>
      <c r="BM524" s="3"/>
      <c r="BN524" s="3" t="s">
        <v>2061</v>
      </c>
    </row>
    <row r="525" spans="2:66" ht="13.05" customHeight="1">
      <c r="B525" s="1964" t="s">
        <v>418</v>
      </c>
      <c r="C525" s="1743"/>
      <c r="D525" s="1743"/>
      <c r="E525" s="1743"/>
      <c r="F525" s="1743"/>
      <c r="G525" s="1743"/>
      <c r="H525" s="1744"/>
      <c r="I525" s="42" t="s">
        <v>415</v>
      </c>
      <c r="J525" s="42"/>
      <c r="K525" s="42"/>
      <c r="L525" s="42"/>
      <c r="M525" s="42"/>
      <c r="N525" s="42"/>
      <c r="O525" s="42"/>
      <c r="P525" s="42"/>
      <c r="Q525" s="42"/>
      <c r="R525" s="42"/>
      <c r="S525" s="42"/>
      <c r="T525" s="42"/>
      <c r="U525" s="42"/>
      <c r="V525" s="42"/>
      <c r="W525" s="42"/>
      <c r="X525" s="42"/>
      <c r="Y525" s="42"/>
      <c r="Z525" s="42"/>
      <c r="AA525" s="42"/>
      <c r="AB525" s="42"/>
      <c r="AC525" s="1623">
        <v>5</v>
      </c>
      <c r="AD525" s="1624"/>
      <c r="AE525" s="1624"/>
      <c r="AF525" s="1624"/>
      <c r="AG525" s="129" t="s">
        <v>403</v>
      </c>
      <c r="AH525" s="1636">
        <v>2026</v>
      </c>
      <c r="AI525" s="1636"/>
      <c r="AJ525" s="1636"/>
      <c r="AK525" s="1637"/>
      <c r="AZ525" s="3"/>
      <c r="BB525" s="3"/>
      <c r="BC525" s="3"/>
      <c r="BD525" s="3"/>
      <c r="BE525" s="3"/>
      <c r="BF525" s="3"/>
      <c r="BG525" s="3"/>
      <c r="BH525" s="3"/>
      <c r="BI525" s="3"/>
      <c r="BJ525" s="3"/>
      <c r="BK525" s="3"/>
      <c r="BL525" s="3"/>
      <c r="BM525" s="3"/>
      <c r="BN525" s="3" t="s">
        <v>2062</v>
      </c>
    </row>
    <row r="526" spans="2:66" ht="13.05" customHeight="1">
      <c r="B526" s="1965"/>
      <c r="C526" s="1745"/>
      <c r="D526" s="1745"/>
      <c r="E526" s="1745"/>
      <c r="F526" s="1745"/>
      <c r="G526" s="1745"/>
      <c r="H526" s="1746"/>
      <c r="I526" t="s">
        <v>416</v>
      </c>
      <c r="AC526" s="1759">
        <v>5</v>
      </c>
      <c r="AD526" s="1760"/>
      <c r="AE526" s="1760"/>
      <c r="AF526" s="1760"/>
      <c r="AG526" s="13" t="s">
        <v>403</v>
      </c>
      <c r="AH526" s="1636">
        <v>2026</v>
      </c>
      <c r="AI526" s="1636"/>
      <c r="AJ526" s="1636"/>
      <c r="AK526" s="1637"/>
      <c r="BB526" s="3"/>
      <c r="BC526" s="3"/>
      <c r="BD526" s="3"/>
      <c r="BE526" s="3"/>
      <c r="BF526" s="3"/>
      <c r="BG526" s="3"/>
      <c r="BH526" s="3"/>
      <c r="BI526" s="3"/>
      <c r="BJ526" s="3"/>
      <c r="BK526" s="3"/>
      <c r="BL526" s="3"/>
      <c r="BM526" s="3"/>
      <c r="BN526" s="3" t="s">
        <v>2063</v>
      </c>
    </row>
    <row r="527" spans="2:66" ht="13.05" customHeight="1">
      <c r="B527" s="1966"/>
      <c r="C527" s="1747"/>
      <c r="D527" s="1747"/>
      <c r="E527" s="1747"/>
      <c r="F527" s="1747"/>
      <c r="G527" s="1747"/>
      <c r="H527" s="1748"/>
      <c r="I527" s="48" t="s">
        <v>417</v>
      </c>
      <c r="J527" s="48"/>
      <c r="K527" s="48"/>
      <c r="L527" s="48"/>
      <c r="M527" s="48"/>
      <c r="N527" s="48"/>
      <c r="O527" s="48"/>
      <c r="P527" s="48"/>
      <c r="Q527" s="48"/>
      <c r="R527" s="48"/>
      <c r="S527" s="48"/>
      <c r="T527" s="48"/>
      <c r="U527" s="48"/>
      <c r="V527" s="48"/>
      <c r="W527" s="48"/>
      <c r="X527" s="48"/>
      <c r="Y527" s="48"/>
      <c r="Z527" s="48"/>
      <c r="AA527" s="48"/>
      <c r="AB527" s="48"/>
      <c r="AC527" s="1759">
        <v>8</v>
      </c>
      <c r="AD527" s="1760"/>
      <c r="AE527" s="1760"/>
      <c r="AF527" s="1760"/>
      <c r="AG527" s="38" t="s">
        <v>403</v>
      </c>
      <c r="AH527" s="1636">
        <v>2029</v>
      </c>
      <c r="AI527" s="1636"/>
      <c r="AJ527" s="1636"/>
      <c r="AK527" s="1637"/>
      <c r="BB527" s="3"/>
      <c r="BC527" s="3"/>
      <c r="BD527" s="3"/>
      <c r="BE527" s="3"/>
      <c r="BF527" s="3"/>
      <c r="BG527" s="3"/>
      <c r="BH527" s="3"/>
      <c r="BI527" s="3"/>
      <c r="BJ527" s="3"/>
      <c r="BK527" s="3"/>
      <c r="BL527" s="3"/>
      <c r="BM527" s="3"/>
      <c r="BN527" s="3" t="s">
        <v>2064</v>
      </c>
    </row>
    <row r="528" spans="2:66" ht="13.05" customHeight="1">
      <c r="B528" s="1964" t="s">
        <v>419</v>
      </c>
      <c r="C528" s="1743"/>
      <c r="D528" s="1743"/>
      <c r="E528" s="1743"/>
      <c r="F528" s="1743"/>
      <c r="G528" s="1743"/>
      <c r="H528" s="1744"/>
      <c r="I528" s="41" t="s">
        <v>420</v>
      </c>
      <c r="J528" s="42"/>
      <c r="K528" s="42"/>
      <c r="L528" s="42"/>
      <c r="M528" s="42"/>
      <c r="N528" s="42"/>
      <c r="O528" s="2012" t="s">
        <v>2343</v>
      </c>
      <c r="P528" s="2007"/>
      <c r="Q528" s="2007"/>
      <c r="R528" s="2007"/>
      <c r="S528" s="2007"/>
      <c r="T528" s="2007"/>
      <c r="U528" s="2007"/>
      <c r="V528" s="2007"/>
      <c r="W528" s="2007"/>
      <c r="X528" s="2007"/>
      <c r="Y528" s="2007"/>
      <c r="Z528" s="2007"/>
      <c r="AA528" s="2007"/>
      <c r="AB528" s="58"/>
      <c r="AC528" s="1623" t="s">
        <v>591</v>
      </c>
      <c r="AD528" s="1624"/>
      <c r="AE528" s="1624"/>
      <c r="AF528" s="1624"/>
      <c r="AG528" s="129" t="s">
        <v>403</v>
      </c>
      <c r="AH528" s="1636"/>
      <c r="AI528" s="1636"/>
      <c r="AJ528" s="1636"/>
      <c r="AK528" s="1637"/>
      <c r="AZ528" s="3"/>
      <c r="BB528" s="3"/>
      <c r="BC528" s="3"/>
      <c r="BD528" s="3"/>
      <c r="BE528" s="3"/>
      <c r="BF528" s="3"/>
      <c r="BG528" s="3"/>
      <c r="BH528" s="3"/>
      <c r="BI528" s="3"/>
      <c r="BJ528" s="3"/>
      <c r="BK528" s="3"/>
      <c r="BL528" s="3"/>
      <c r="BM528" s="3"/>
      <c r="BN528" s="3" t="s">
        <v>2065</v>
      </c>
    </row>
    <row r="529" spans="2:66" ht="13.05" customHeight="1">
      <c r="B529" s="1965"/>
      <c r="C529" s="1745"/>
      <c r="D529" s="1745"/>
      <c r="E529" s="1745"/>
      <c r="F529" s="1745"/>
      <c r="G529" s="1745"/>
      <c r="H529" s="1746"/>
      <c r="I529" s="114" t="s">
        <v>421</v>
      </c>
      <c r="AB529" s="65"/>
      <c r="AC529" s="1759">
        <v>3</v>
      </c>
      <c r="AD529" s="1760"/>
      <c r="AE529" s="1760"/>
      <c r="AF529" s="1760"/>
      <c r="AG529" s="13" t="s">
        <v>403</v>
      </c>
      <c r="AH529" s="1636">
        <v>2026</v>
      </c>
      <c r="AI529" s="1636"/>
      <c r="AJ529" s="1636"/>
      <c r="AK529" s="1637"/>
      <c r="AZ529" s="3"/>
      <c r="BB529" s="3"/>
      <c r="BC529" s="3"/>
      <c r="BD529" s="3"/>
      <c r="BE529" s="3"/>
      <c r="BF529" s="3"/>
      <c r="BG529" s="3"/>
      <c r="BH529" s="3"/>
      <c r="BI529" s="3"/>
      <c r="BJ529" s="3"/>
      <c r="BK529" s="3"/>
      <c r="BL529" s="3"/>
      <c r="BM529" s="3"/>
      <c r="BN529" s="3" t="s">
        <v>2066</v>
      </c>
    </row>
    <row r="530" spans="2:66" ht="13.05" customHeight="1">
      <c r="B530" s="1965"/>
      <c r="C530" s="1745"/>
      <c r="D530" s="1745"/>
      <c r="E530" s="1745"/>
      <c r="F530" s="1745"/>
      <c r="G530" s="1745"/>
      <c r="H530" s="1746"/>
      <c r="I530" s="47" t="s">
        <v>422</v>
      </c>
      <c r="J530" s="48"/>
      <c r="K530" s="48"/>
      <c r="L530" s="48"/>
      <c r="M530" s="48"/>
      <c r="N530" s="48"/>
      <c r="O530" s="48"/>
      <c r="P530" s="48"/>
      <c r="Q530" s="48"/>
      <c r="R530" s="48"/>
      <c r="S530" s="48"/>
      <c r="T530" s="48"/>
      <c r="U530" s="48"/>
      <c r="V530" s="48"/>
      <c r="W530" s="48"/>
      <c r="X530" s="48"/>
      <c r="Y530" s="48"/>
      <c r="Z530" s="48"/>
      <c r="AA530" s="48"/>
      <c r="AB530" s="49"/>
      <c r="AC530" s="1759">
        <v>5</v>
      </c>
      <c r="AD530" s="1760"/>
      <c r="AE530" s="1760"/>
      <c r="AF530" s="1760"/>
      <c r="AG530" s="38" t="s">
        <v>403</v>
      </c>
      <c r="AH530" s="1636">
        <v>2026</v>
      </c>
      <c r="AI530" s="1636"/>
      <c r="AJ530" s="1636"/>
      <c r="AK530" s="1637"/>
      <c r="AZ530" s="3"/>
      <c r="BA530" s="3"/>
      <c r="BB530" s="3"/>
      <c r="BC530" s="3"/>
      <c r="BD530" s="3"/>
      <c r="BE530" s="3"/>
      <c r="BF530" s="3"/>
      <c r="BG530" s="3"/>
      <c r="BH530" s="3"/>
      <c r="BI530" s="3"/>
      <c r="BJ530" s="3"/>
      <c r="BK530" s="3"/>
      <c r="BL530" s="3"/>
      <c r="BM530" s="3"/>
      <c r="BN530" s="3" t="s">
        <v>2067</v>
      </c>
    </row>
    <row r="531" spans="2:66" ht="13.05" customHeight="1">
      <c r="B531" s="1965"/>
      <c r="C531" s="1745"/>
      <c r="D531" s="1745"/>
      <c r="E531" s="1745"/>
      <c r="F531" s="1745"/>
      <c r="G531" s="1745"/>
      <c r="H531" s="1746"/>
      <c r="I531" s="42" t="s">
        <v>423</v>
      </c>
      <c r="J531" s="42"/>
      <c r="K531" s="42"/>
      <c r="L531" s="42"/>
      <c r="M531" s="42"/>
      <c r="N531" s="42"/>
      <c r="O531" s="2012" t="s">
        <v>334</v>
      </c>
      <c r="P531" s="2007"/>
      <c r="Q531" s="2007"/>
      <c r="R531" s="2007"/>
      <c r="S531" s="2007"/>
      <c r="T531" s="2007"/>
      <c r="U531" s="2007"/>
      <c r="V531" s="2007"/>
      <c r="W531" s="2007"/>
      <c r="X531" s="2007"/>
      <c r="Y531" s="2007"/>
      <c r="Z531" s="2007"/>
      <c r="AA531" s="2007"/>
      <c r="AC531" s="1759" t="s">
        <v>591</v>
      </c>
      <c r="AD531" s="1760"/>
      <c r="AE531" s="1760"/>
      <c r="AF531" s="1760"/>
      <c r="AG531" s="13" t="s">
        <v>403</v>
      </c>
      <c r="AH531" s="1636"/>
      <c r="AI531" s="1636"/>
      <c r="AJ531" s="1636"/>
      <c r="AK531" s="1637"/>
      <c r="AZ531" s="3"/>
      <c r="BA531" s="3"/>
      <c r="BB531" s="3"/>
      <c r="BC531" s="3"/>
      <c r="BD531" s="3"/>
      <c r="BE531" s="3"/>
      <c r="BF531" s="3"/>
      <c r="BG531" s="3"/>
      <c r="BH531" s="3"/>
      <c r="BI531" s="3"/>
      <c r="BJ531" s="3"/>
      <c r="BK531" s="3"/>
      <c r="BL531" s="3"/>
      <c r="BM531" s="3"/>
      <c r="BN531" s="3" t="s">
        <v>2068</v>
      </c>
    </row>
    <row r="532" spans="2:66" ht="13.05" customHeight="1">
      <c r="B532" s="1965"/>
      <c r="C532" s="1745"/>
      <c r="D532" s="1745"/>
      <c r="E532" s="1745"/>
      <c r="F532" s="1745"/>
      <c r="G532" s="1745"/>
      <c r="H532" s="1746"/>
      <c r="I532" t="s">
        <v>421</v>
      </c>
      <c r="AC532" s="1759" t="s">
        <v>591</v>
      </c>
      <c r="AD532" s="1760"/>
      <c r="AE532" s="1760"/>
      <c r="AF532" s="1760"/>
      <c r="AG532" s="13" t="s">
        <v>403</v>
      </c>
      <c r="AH532" s="1636"/>
      <c r="AI532" s="1636"/>
      <c r="AJ532" s="1636"/>
      <c r="AK532" s="1637"/>
      <c r="AZ532" s="3"/>
      <c r="BA532" s="3"/>
      <c r="BB532" s="3"/>
      <c r="BC532" s="3"/>
      <c r="BD532" s="3"/>
      <c r="BE532" s="3"/>
      <c r="BF532" s="3"/>
      <c r="BG532" s="3"/>
      <c r="BH532" s="3"/>
      <c r="BI532" s="3"/>
      <c r="BJ532" s="3"/>
      <c r="BK532" s="3"/>
      <c r="BL532" s="3"/>
      <c r="BM532" s="3"/>
      <c r="BN532" s="3" t="s">
        <v>2069</v>
      </c>
    </row>
    <row r="533" spans="2:66" ht="13.05" customHeight="1">
      <c r="B533" s="1965"/>
      <c r="C533" s="1745"/>
      <c r="D533" s="1745"/>
      <c r="E533" s="1745"/>
      <c r="F533" s="1745"/>
      <c r="G533" s="1745"/>
      <c r="H533" s="1746"/>
      <c r="I533" s="48" t="s">
        <v>422</v>
      </c>
      <c r="J533" s="48"/>
      <c r="K533" s="48"/>
      <c r="L533" s="48"/>
      <c r="M533" s="48"/>
      <c r="N533" s="48"/>
      <c r="O533" s="48"/>
      <c r="P533" s="48"/>
      <c r="Q533" s="48"/>
      <c r="R533" s="48"/>
      <c r="S533" s="48"/>
      <c r="T533" s="48"/>
      <c r="U533" s="48"/>
      <c r="V533" s="48"/>
      <c r="W533" s="48"/>
      <c r="X533" s="48"/>
      <c r="Y533" s="48"/>
      <c r="Z533" s="48"/>
      <c r="AA533" s="48"/>
      <c r="AB533" s="48"/>
      <c r="AC533" s="1759" t="s">
        <v>591</v>
      </c>
      <c r="AD533" s="1760"/>
      <c r="AE533" s="1760"/>
      <c r="AF533" s="1760"/>
      <c r="AG533" s="38" t="s">
        <v>403</v>
      </c>
      <c r="AH533" s="1636"/>
      <c r="AI533" s="1636"/>
      <c r="AJ533" s="1636"/>
      <c r="AK533" s="1637"/>
      <c r="AZ533" s="3"/>
      <c r="BA533" s="3"/>
      <c r="BB533" s="3"/>
      <c r="BC533" s="3"/>
      <c r="BD533" s="3"/>
      <c r="BE533" s="3"/>
      <c r="BF533" s="3"/>
      <c r="BG533" s="3"/>
      <c r="BH533" s="3"/>
      <c r="BI533" s="3"/>
      <c r="BJ533" s="3"/>
      <c r="BK533" s="3"/>
      <c r="BL533" s="3"/>
      <c r="BM533" s="3"/>
      <c r="BN533" s="3" t="s">
        <v>2070</v>
      </c>
    </row>
    <row r="534" spans="2:66" ht="13.05" customHeight="1">
      <c r="B534" s="1965"/>
      <c r="C534" s="1745"/>
      <c r="D534" s="1745"/>
      <c r="E534" s="1745"/>
      <c r="F534" s="1745"/>
      <c r="G534" s="1745"/>
      <c r="H534" s="1746"/>
      <c r="I534" s="42" t="s">
        <v>423</v>
      </c>
      <c r="J534" s="42"/>
      <c r="K534" s="42"/>
      <c r="L534" s="42"/>
      <c r="M534" s="42"/>
      <c r="N534" s="42"/>
      <c r="O534" s="2012" t="s">
        <v>334</v>
      </c>
      <c r="P534" s="2007"/>
      <c r="Q534" s="2007"/>
      <c r="R534" s="2007"/>
      <c r="S534" s="2007"/>
      <c r="T534" s="2007"/>
      <c r="U534" s="2007"/>
      <c r="V534" s="2007"/>
      <c r="W534" s="2007"/>
      <c r="X534" s="2007"/>
      <c r="Y534" s="2007"/>
      <c r="Z534" s="2007"/>
      <c r="AA534" s="2007"/>
      <c r="AC534" s="1759" t="s">
        <v>591</v>
      </c>
      <c r="AD534" s="1760"/>
      <c r="AE534" s="1760"/>
      <c r="AF534" s="1760"/>
      <c r="AG534" s="13" t="s">
        <v>403</v>
      </c>
      <c r="AH534" s="1636"/>
      <c r="AI534" s="1636"/>
      <c r="AJ534" s="1636"/>
      <c r="AK534" s="1637"/>
      <c r="AZ534" s="3"/>
      <c r="BA534" s="3"/>
      <c r="BB534" s="3"/>
      <c r="BC534" s="3"/>
      <c r="BD534" s="3"/>
      <c r="BE534" s="3"/>
      <c r="BF534" s="3"/>
      <c r="BG534" s="3"/>
      <c r="BH534" s="3"/>
      <c r="BI534" s="3"/>
      <c r="BJ534" s="3"/>
      <c r="BK534" s="3"/>
      <c r="BL534" s="3"/>
      <c r="BM534" s="3"/>
      <c r="BN534" s="3" t="s">
        <v>2071</v>
      </c>
    </row>
    <row r="535" spans="2:66" ht="13.05" customHeight="1">
      <c r="B535" s="1965"/>
      <c r="C535" s="1745"/>
      <c r="D535" s="1745"/>
      <c r="E535" s="1745"/>
      <c r="F535" s="1745"/>
      <c r="G535" s="1745"/>
      <c r="H535" s="1746"/>
      <c r="I535" t="s">
        <v>421</v>
      </c>
      <c r="AC535" s="1759" t="s">
        <v>591</v>
      </c>
      <c r="AD535" s="1760"/>
      <c r="AE535" s="1760"/>
      <c r="AF535" s="1760"/>
      <c r="AG535" s="13" t="s">
        <v>403</v>
      </c>
      <c r="AH535" s="1636"/>
      <c r="AI535" s="1636"/>
      <c r="AJ535" s="1636"/>
      <c r="AK535" s="1637"/>
      <c r="AZ535" s="3"/>
      <c r="BA535" s="3"/>
      <c r="BB535" s="3"/>
      <c r="BC535" s="3"/>
      <c r="BD535" s="3"/>
      <c r="BE535" s="3"/>
      <c r="BF535" s="3"/>
      <c r="BG535" s="3"/>
      <c r="BH535" s="3"/>
      <c r="BI535" s="3"/>
      <c r="BJ535" s="3"/>
      <c r="BK535" s="3"/>
      <c r="BL535" s="3"/>
      <c r="BM535" s="3"/>
      <c r="BN535" s="3" t="s">
        <v>2072</v>
      </c>
    </row>
    <row r="536" spans="2:66" ht="13.05" customHeight="1">
      <c r="B536" s="1965"/>
      <c r="C536" s="1745"/>
      <c r="D536" s="1745"/>
      <c r="E536" s="1745"/>
      <c r="F536" s="1745"/>
      <c r="G536" s="1745"/>
      <c r="H536" s="1746"/>
      <c r="I536" s="48" t="s">
        <v>422</v>
      </c>
      <c r="J536" s="48"/>
      <c r="K536" s="48"/>
      <c r="L536" s="48"/>
      <c r="M536" s="48"/>
      <c r="N536" s="48"/>
      <c r="O536" s="48"/>
      <c r="P536" s="48"/>
      <c r="Q536" s="48"/>
      <c r="R536" s="48"/>
      <c r="S536" s="48"/>
      <c r="T536" s="48"/>
      <c r="U536" s="48"/>
      <c r="V536" s="48"/>
      <c r="W536" s="48"/>
      <c r="X536" s="48"/>
      <c r="Y536" s="48"/>
      <c r="Z536" s="48"/>
      <c r="AA536" s="48"/>
      <c r="AB536" s="48"/>
      <c r="AC536" s="1759" t="s">
        <v>591</v>
      </c>
      <c r="AD536" s="1760"/>
      <c r="AE536" s="1760"/>
      <c r="AF536" s="1760"/>
      <c r="AG536" s="38" t="s">
        <v>403</v>
      </c>
      <c r="AH536" s="1636"/>
      <c r="AI536" s="1636"/>
      <c r="AJ536" s="1636"/>
      <c r="AK536" s="1637"/>
      <c r="AZ536" s="3"/>
      <c r="BA536" s="3"/>
      <c r="BB536" s="3"/>
      <c r="BC536" s="3"/>
      <c r="BD536" s="3"/>
      <c r="BE536" s="3"/>
      <c r="BF536" s="3"/>
      <c r="BG536" s="3"/>
      <c r="BH536" s="3"/>
      <c r="BI536" s="3"/>
      <c r="BJ536" s="3"/>
      <c r="BK536" s="3"/>
      <c r="BL536" s="3"/>
      <c r="BM536" s="3"/>
      <c r="BN536" s="3" t="s">
        <v>2073</v>
      </c>
    </row>
    <row r="537" spans="2:66" ht="13.05" customHeight="1">
      <c r="B537" s="1965"/>
      <c r="C537" s="1745"/>
      <c r="D537" s="1745"/>
      <c r="E537" s="1745"/>
      <c r="F537" s="1745"/>
      <c r="G537" s="1745"/>
      <c r="H537" s="1746"/>
      <c r="I537" s="42" t="s">
        <v>423</v>
      </c>
      <c r="J537" s="42"/>
      <c r="K537" s="42"/>
      <c r="L537" s="42"/>
      <c r="M537" s="42"/>
      <c r="N537" s="42"/>
      <c r="O537" s="2012" t="s">
        <v>334</v>
      </c>
      <c r="P537" s="2007"/>
      <c r="Q537" s="2007"/>
      <c r="R537" s="2007"/>
      <c r="S537" s="2007"/>
      <c r="T537" s="2007"/>
      <c r="U537" s="2007"/>
      <c r="V537" s="2007"/>
      <c r="W537" s="2007"/>
      <c r="X537" s="2007"/>
      <c r="Y537" s="2007"/>
      <c r="Z537" s="2007"/>
      <c r="AA537" s="2007"/>
      <c r="AC537" s="1759" t="s">
        <v>591</v>
      </c>
      <c r="AD537" s="1760"/>
      <c r="AE537" s="1760"/>
      <c r="AF537" s="1760"/>
      <c r="AG537" s="13" t="s">
        <v>403</v>
      </c>
      <c r="AH537" s="1636"/>
      <c r="AI537" s="1636"/>
      <c r="AJ537" s="1636"/>
      <c r="AK537" s="1637"/>
      <c r="AZ537" s="3"/>
      <c r="BA537" s="3"/>
      <c r="BB537" s="3"/>
      <c r="BC537" s="3"/>
      <c r="BD537" s="3"/>
      <c r="BE537" s="3"/>
      <c r="BF537" s="3"/>
      <c r="BG537" s="3"/>
      <c r="BH537" s="3"/>
      <c r="BI537" s="3"/>
      <c r="BJ537" s="3"/>
      <c r="BK537" s="3"/>
      <c r="BL537" s="3"/>
      <c r="BM537" s="3"/>
      <c r="BN537" s="3" t="s">
        <v>2074</v>
      </c>
    </row>
    <row r="538" spans="2:66" ht="13.05" customHeight="1">
      <c r="B538" s="1965"/>
      <c r="C538" s="1745"/>
      <c r="D538" s="1745"/>
      <c r="E538" s="1745"/>
      <c r="F538" s="1745"/>
      <c r="G538" s="1745"/>
      <c r="H538" s="1746"/>
      <c r="I538" t="s">
        <v>421</v>
      </c>
      <c r="AC538" s="1759" t="s">
        <v>591</v>
      </c>
      <c r="AD538" s="1760"/>
      <c r="AE538" s="1760"/>
      <c r="AF538" s="1760"/>
      <c r="AG538" s="13" t="s">
        <v>403</v>
      </c>
      <c r="AH538" s="1636"/>
      <c r="AI538" s="1636"/>
      <c r="AJ538" s="1636"/>
      <c r="AK538" s="1637"/>
      <c r="AZ538" s="3"/>
      <c r="BA538" s="3"/>
      <c r="BB538" s="3"/>
      <c r="BC538" s="3"/>
      <c r="BD538" s="3"/>
      <c r="BE538" s="3"/>
      <c r="BF538" s="3"/>
      <c r="BG538" s="3"/>
      <c r="BH538" s="3"/>
      <c r="BI538" s="3"/>
      <c r="BJ538" s="3"/>
      <c r="BK538" s="3"/>
      <c r="BL538" s="3"/>
      <c r="BM538" s="3"/>
      <c r="BN538" s="3" t="s">
        <v>2075</v>
      </c>
    </row>
    <row r="539" spans="2:66" ht="13.05" customHeight="1">
      <c r="B539" s="1965"/>
      <c r="C539" s="1745"/>
      <c r="D539" s="1745"/>
      <c r="E539" s="1745"/>
      <c r="F539" s="1745"/>
      <c r="G539" s="1745"/>
      <c r="H539" s="1746"/>
      <c r="I539" s="48" t="s">
        <v>422</v>
      </c>
      <c r="J539" s="48"/>
      <c r="K539" s="48"/>
      <c r="L539" s="48"/>
      <c r="M539" s="48"/>
      <c r="N539" s="48"/>
      <c r="O539" s="48"/>
      <c r="P539" s="48"/>
      <c r="Q539" s="48"/>
      <c r="R539" s="48"/>
      <c r="S539" s="48"/>
      <c r="T539" s="48"/>
      <c r="U539" s="48"/>
      <c r="V539" s="48"/>
      <c r="W539" s="48"/>
      <c r="X539" s="48"/>
      <c r="Y539" s="48"/>
      <c r="Z539" s="48"/>
      <c r="AA539" s="48"/>
      <c r="AB539" s="48"/>
      <c r="AC539" s="1759" t="s">
        <v>591</v>
      </c>
      <c r="AD539" s="1760"/>
      <c r="AE539" s="1760"/>
      <c r="AF539" s="1760"/>
      <c r="AG539" s="38" t="s">
        <v>403</v>
      </c>
      <c r="AH539" s="1636"/>
      <c r="AI539" s="1636"/>
      <c r="AJ539" s="1636"/>
      <c r="AK539" s="1637"/>
      <c r="AZ539" s="3"/>
      <c r="BA539" s="3"/>
      <c r="BB539" s="3"/>
      <c r="BC539" s="3"/>
      <c r="BD539" s="3"/>
      <c r="BE539" s="3"/>
      <c r="BF539" s="3"/>
      <c r="BG539" s="3"/>
      <c r="BH539" s="3"/>
      <c r="BI539" s="3"/>
      <c r="BJ539" s="3"/>
      <c r="BK539" s="3"/>
      <c r="BL539" s="3"/>
      <c r="BM539" s="3"/>
      <c r="BN539" s="3" t="s">
        <v>2076</v>
      </c>
    </row>
    <row r="540" spans="2:66" ht="13.05" customHeight="1">
      <c r="B540" s="1965"/>
      <c r="C540" s="1745"/>
      <c r="D540" s="1745"/>
      <c r="E540" s="1745"/>
      <c r="F540" s="1745"/>
      <c r="G540" s="1745"/>
      <c r="H540" s="1746"/>
      <c r="I540" s="42" t="s">
        <v>423</v>
      </c>
      <c r="J540" s="42"/>
      <c r="K540" s="42"/>
      <c r="L540" s="42"/>
      <c r="M540" s="42"/>
      <c r="N540" s="42"/>
      <c r="O540" s="2012" t="s">
        <v>334</v>
      </c>
      <c r="P540" s="2007"/>
      <c r="Q540" s="2007"/>
      <c r="R540" s="2007"/>
      <c r="S540" s="2007"/>
      <c r="T540" s="2007"/>
      <c r="U540" s="2007"/>
      <c r="V540" s="2007"/>
      <c r="W540" s="2007"/>
      <c r="X540" s="2007"/>
      <c r="Y540" s="2007"/>
      <c r="Z540" s="2007"/>
      <c r="AA540" s="2007"/>
      <c r="AC540" s="1759" t="s">
        <v>591</v>
      </c>
      <c r="AD540" s="1760"/>
      <c r="AE540" s="1760"/>
      <c r="AF540" s="1760"/>
      <c r="AG540" s="13" t="s">
        <v>403</v>
      </c>
      <c r="AH540" s="1636"/>
      <c r="AI540" s="1636"/>
      <c r="AJ540" s="1636"/>
      <c r="AK540" s="1637"/>
      <c r="AZ540" s="3"/>
      <c r="BA540" s="3"/>
      <c r="BB540" s="3"/>
      <c r="BC540" s="3"/>
      <c r="BD540" s="3"/>
      <c r="BE540" s="3"/>
      <c r="BF540" s="3"/>
      <c r="BG540" s="3"/>
      <c r="BH540" s="3"/>
      <c r="BI540" s="3"/>
      <c r="BJ540" s="3"/>
      <c r="BK540" s="3"/>
      <c r="BL540" s="3"/>
      <c r="BM540" s="3"/>
      <c r="BN540" s="3" t="s">
        <v>2077</v>
      </c>
    </row>
    <row r="541" spans="2:66" ht="13.05" customHeight="1">
      <c r="B541" s="1965"/>
      <c r="C541" s="1745"/>
      <c r="D541" s="1745"/>
      <c r="E541" s="1745"/>
      <c r="F541" s="1745"/>
      <c r="G541" s="1745"/>
      <c r="H541" s="1746"/>
      <c r="I541" t="s">
        <v>421</v>
      </c>
      <c r="AC541" s="1759" t="s">
        <v>591</v>
      </c>
      <c r="AD541" s="1760"/>
      <c r="AE541" s="1760"/>
      <c r="AF541" s="1760"/>
      <c r="AG541" s="38" t="s">
        <v>403</v>
      </c>
      <c r="AH541" s="1636"/>
      <c r="AI541" s="1636"/>
      <c r="AJ541" s="1636"/>
      <c r="AK541" s="1637"/>
      <c r="AZ541" s="3"/>
      <c r="BA541" s="3"/>
      <c r="BB541" s="3"/>
      <c r="BC541" s="3"/>
      <c r="BD541" s="3"/>
      <c r="BE541" s="3"/>
      <c r="BF541" s="3"/>
      <c r="BG541" s="3"/>
      <c r="BH541" s="3"/>
      <c r="BI541" s="3"/>
      <c r="BJ541" s="3"/>
      <c r="BK541" s="3"/>
      <c r="BL541" s="3"/>
      <c r="BM541" s="3"/>
      <c r="BN541" s="3" t="s">
        <v>2078</v>
      </c>
    </row>
    <row r="542" spans="2:66" ht="13.05" customHeight="1">
      <c r="B542" s="1965"/>
      <c r="C542" s="1745"/>
      <c r="D542" s="1745"/>
      <c r="E542" s="1745"/>
      <c r="F542" s="1745"/>
      <c r="G542" s="1745"/>
      <c r="H542" s="1746"/>
      <c r="I542" s="48" t="s">
        <v>422</v>
      </c>
      <c r="J542" s="48"/>
      <c r="K542" s="48"/>
      <c r="L542" s="48"/>
      <c r="M542" s="48"/>
      <c r="N542" s="48"/>
      <c r="O542" s="48"/>
      <c r="P542" s="48"/>
      <c r="Q542" s="48"/>
      <c r="R542" s="48"/>
      <c r="S542" s="48"/>
      <c r="T542" s="48"/>
      <c r="U542" s="48"/>
      <c r="V542" s="48"/>
      <c r="W542" s="48"/>
      <c r="X542" s="48"/>
      <c r="Y542" s="48"/>
      <c r="Z542" s="48"/>
      <c r="AA542" s="48"/>
      <c r="AB542" s="48"/>
      <c r="AC542" s="1759" t="s">
        <v>591</v>
      </c>
      <c r="AD542" s="1760"/>
      <c r="AE542" s="1760"/>
      <c r="AF542" s="1760"/>
      <c r="AG542" s="13" t="s">
        <v>403</v>
      </c>
      <c r="AH542" s="1636"/>
      <c r="AI542" s="1636"/>
      <c r="AJ542" s="1636"/>
      <c r="AK542" s="1637"/>
      <c r="AZ542" s="3"/>
      <c r="BA542" s="3"/>
      <c r="BB542" s="3"/>
      <c r="BC542" s="3"/>
      <c r="BD542" s="3"/>
      <c r="BE542" s="3"/>
      <c r="BF542" s="3"/>
      <c r="BG542" s="3"/>
      <c r="BH542" s="3"/>
      <c r="BI542" s="3"/>
      <c r="BJ542" s="3"/>
      <c r="BK542" s="3"/>
      <c r="BL542" s="3"/>
      <c r="BM542" s="3"/>
      <c r="BN542" s="3" t="s">
        <v>2079</v>
      </c>
    </row>
    <row r="543" spans="2:66" ht="13.05" customHeight="1">
      <c r="B543" s="1965"/>
      <c r="C543" s="1745"/>
      <c r="D543" s="1745"/>
      <c r="E543" s="1745"/>
      <c r="F543" s="1745"/>
      <c r="G543" s="1745"/>
      <c r="H543" s="1746"/>
      <c r="I543" s="42" t="s">
        <v>423</v>
      </c>
      <c r="J543" s="42"/>
      <c r="K543" s="42"/>
      <c r="L543" s="42"/>
      <c r="M543" s="42"/>
      <c r="N543" s="42"/>
      <c r="O543" s="2012" t="s">
        <v>334</v>
      </c>
      <c r="P543" s="2007"/>
      <c r="Q543" s="2007"/>
      <c r="R543" s="2007"/>
      <c r="S543" s="2007"/>
      <c r="T543" s="2007"/>
      <c r="U543" s="2007"/>
      <c r="V543" s="2007"/>
      <c r="W543" s="2007"/>
      <c r="X543" s="2007"/>
      <c r="Y543" s="2007"/>
      <c r="Z543" s="2007"/>
      <c r="AA543" s="2007"/>
      <c r="AC543" s="1759" t="s">
        <v>591</v>
      </c>
      <c r="AD543" s="1760"/>
      <c r="AE543" s="1760"/>
      <c r="AF543" s="1760"/>
      <c r="AG543" s="38" t="s">
        <v>403</v>
      </c>
      <c r="AH543" s="1636"/>
      <c r="AI543" s="1636"/>
      <c r="AJ543" s="1636"/>
      <c r="AK543" s="1637"/>
      <c r="AZ543" s="3"/>
      <c r="BA543" s="3"/>
      <c r="BB543" s="3"/>
      <c r="BC543" s="3"/>
      <c r="BD543" s="3"/>
      <c r="BE543" s="3"/>
      <c r="BF543" s="3"/>
      <c r="BG543" s="3"/>
      <c r="BH543" s="3"/>
      <c r="BI543" s="3"/>
      <c r="BJ543" s="3"/>
      <c r="BK543" s="3"/>
      <c r="BL543" s="3"/>
      <c r="BM543" s="3"/>
      <c r="BN543" s="3" t="s">
        <v>2080</v>
      </c>
    </row>
    <row r="544" spans="2:66" ht="13.05" customHeight="1">
      <c r="B544" s="1965"/>
      <c r="C544" s="1745"/>
      <c r="D544" s="1745"/>
      <c r="E544" s="1745"/>
      <c r="F544" s="1745"/>
      <c r="G544" s="1745"/>
      <c r="H544" s="1746"/>
      <c r="I544" t="s">
        <v>421</v>
      </c>
      <c r="AC544" s="1759" t="s">
        <v>591</v>
      </c>
      <c r="AD544" s="1760"/>
      <c r="AE544" s="1760"/>
      <c r="AF544" s="1760"/>
      <c r="AG544" s="13" t="s">
        <v>403</v>
      </c>
      <c r="AH544" s="1636"/>
      <c r="AI544" s="1636"/>
      <c r="AJ544" s="1636"/>
      <c r="AK544" s="1637"/>
      <c r="AZ544" s="3"/>
      <c r="BA544" s="3"/>
      <c r="BB544" s="3"/>
      <c r="BC544" s="3"/>
      <c r="BD544" s="3"/>
      <c r="BE544" s="3"/>
      <c r="BF544" s="3"/>
      <c r="BG544" s="3"/>
      <c r="BH544" s="3"/>
      <c r="BI544" s="3"/>
      <c r="BJ544" s="3"/>
      <c r="BK544" s="3"/>
      <c r="BL544" s="3"/>
      <c r="BM544" s="3"/>
      <c r="BN544" s="3" t="s">
        <v>2081</v>
      </c>
    </row>
    <row r="545" spans="1:66" ht="13.05" customHeight="1">
      <c r="B545" s="1965"/>
      <c r="C545" s="1745"/>
      <c r="D545" s="1745"/>
      <c r="E545" s="1745"/>
      <c r="F545" s="1745"/>
      <c r="G545" s="1745"/>
      <c r="H545" s="1746"/>
      <c r="I545" s="48" t="s">
        <v>422</v>
      </c>
      <c r="J545" s="48"/>
      <c r="K545" s="48"/>
      <c r="L545" s="48"/>
      <c r="M545" s="48"/>
      <c r="N545" s="48"/>
      <c r="O545" s="48"/>
      <c r="P545" s="48"/>
      <c r="Q545" s="48"/>
      <c r="R545" s="48"/>
      <c r="S545" s="48"/>
      <c r="T545" s="48"/>
      <c r="U545" s="48"/>
      <c r="V545" s="48"/>
      <c r="W545" s="48"/>
      <c r="X545" s="48"/>
      <c r="Y545" s="48"/>
      <c r="Z545" s="48"/>
      <c r="AA545" s="48"/>
      <c r="AB545" s="48"/>
      <c r="AC545" s="1759" t="s">
        <v>591</v>
      </c>
      <c r="AD545" s="1760"/>
      <c r="AE545" s="1760"/>
      <c r="AF545" s="1760"/>
      <c r="AG545" s="38" t="s">
        <v>403</v>
      </c>
      <c r="AH545" s="1636"/>
      <c r="AI545" s="1636"/>
      <c r="AJ545" s="1636"/>
      <c r="AK545" s="1637"/>
      <c r="AZ545" s="3"/>
      <c r="BA545" s="3"/>
      <c r="BB545" s="3"/>
      <c r="BC545" s="3"/>
      <c r="BD545" s="3"/>
      <c r="BE545" s="3"/>
      <c r="BF545" s="3"/>
      <c r="BG545" s="3"/>
      <c r="BH545" s="3"/>
      <c r="BI545" s="3"/>
      <c r="BJ545" s="3"/>
      <c r="BK545" s="3"/>
      <c r="BL545" s="3"/>
      <c r="BM545" s="3"/>
      <c r="BN545" s="3" t="s">
        <v>2082</v>
      </c>
    </row>
    <row r="546" spans="1:66" ht="13.05" customHeight="1">
      <c r="B546" s="1965"/>
      <c r="C546" s="1745"/>
      <c r="D546" s="1745"/>
      <c r="E546" s="1745"/>
      <c r="F546" s="1745"/>
      <c r="G546" s="1745"/>
      <c r="H546" s="1746"/>
      <c r="I546" s="42" t="s">
        <v>562</v>
      </c>
      <c r="J546" s="42"/>
      <c r="K546" s="42"/>
      <c r="L546" s="42"/>
      <c r="M546" s="42"/>
      <c r="N546" s="42"/>
      <c r="O546" s="42"/>
      <c r="P546" s="42"/>
      <c r="Q546" s="42"/>
      <c r="R546" s="42"/>
      <c r="S546" s="42"/>
      <c r="T546" s="42"/>
      <c r="U546" s="42"/>
      <c r="V546" s="42"/>
      <c r="W546" s="42"/>
      <c r="AC546" s="1759" t="s">
        <v>591</v>
      </c>
      <c r="AD546" s="1760"/>
      <c r="AE546" s="1760"/>
      <c r="AF546" s="1760"/>
      <c r="AG546" s="38" t="s">
        <v>403</v>
      </c>
      <c r="AH546" s="1636"/>
      <c r="AI546" s="1636"/>
      <c r="AJ546" s="1636"/>
      <c r="AK546" s="1637"/>
      <c r="AZ546" s="3"/>
      <c r="BA546" s="3"/>
      <c r="BB546" s="3"/>
      <c r="BC546" s="3"/>
      <c r="BD546" s="3"/>
      <c r="BE546" s="3"/>
      <c r="BF546" s="3"/>
      <c r="BG546" s="3"/>
      <c r="BH546" s="3"/>
      <c r="BI546" s="3"/>
      <c r="BJ546" s="3"/>
      <c r="BK546" s="3"/>
      <c r="BL546" s="3"/>
      <c r="BM546" s="3"/>
      <c r="BN546" s="3"/>
    </row>
    <row r="547" spans="1:66" ht="13.05" customHeight="1">
      <c r="B547" s="1965"/>
      <c r="C547" s="1745"/>
      <c r="D547" s="1745"/>
      <c r="E547" s="1745"/>
      <c r="F547" s="1745"/>
      <c r="G547" s="1745"/>
      <c r="H547" s="1746"/>
      <c r="I547" t="s">
        <v>563</v>
      </c>
      <c r="AC547" s="1759">
        <v>2</v>
      </c>
      <c r="AD547" s="1760"/>
      <c r="AE547" s="1760"/>
      <c r="AF547" s="1760"/>
      <c r="AG547" s="13" t="s">
        <v>403</v>
      </c>
      <c r="AH547" s="1636">
        <v>2027</v>
      </c>
      <c r="AI547" s="1636"/>
      <c r="AJ547" s="1636"/>
      <c r="AK547" s="1637"/>
      <c r="AZ547" s="3"/>
      <c r="BA547" s="3"/>
      <c r="BB547" s="3"/>
      <c r="BC547" s="3"/>
      <c r="BD547" s="3"/>
      <c r="BE547" s="3"/>
      <c r="BF547" s="3"/>
      <c r="BG547" s="3"/>
      <c r="BH547" s="3"/>
      <c r="BI547" s="3"/>
      <c r="BJ547" s="3"/>
      <c r="BK547" s="3"/>
      <c r="BL547" s="3"/>
      <c r="BM547" s="3"/>
      <c r="BN547" s="3"/>
    </row>
    <row r="548" spans="1:66" ht="13.05" customHeight="1">
      <c r="B548" s="1965"/>
      <c r="C548" s="1745"/>
      <c r="D548" s="1745"/>
      <c r="E548" s="1745"/>
      <c r="F548" s="1745"/>
      <c r="G548" s="1745"/>
      <c r="H548" s="1746"/>
      <c r="I548" t="s">
        <v>564</v>
      </c>
      <c r="AC548" s="1759">
        <v>2</v>
      </c>
      <c r="AD548" s="1760"/>
      <c r="AE548" s="1760"/>
      <c r="AF548" s="1760"/>
      <c r="AG548" s="38" t="s">
        <v>403</v>
      </c>
      <c r="AH548" s="1636">
        <v>2029</v>
      </c>
      <c r="AI548" s="1636"/>
      <c r="AJ548" s="1636"/>
      <c r="AK548" s="1637"/>
      <c r="AZ548" s="3"/>
      <c r="BA548" s="3"/>
      <c r="BB548" s="3"/>
      <c r="BC548" s="3"/>
      <c r="BD548" s="3"/>
      <c r="BE548" s="3"/>
      <c r="BF548" s="3"/>
      <c r="BG548" s="3"/>
      <c r="BH548" s="3"/>
      <c r="BI548" s="3"/>
      <c r="BJ548" s="3"/>
      <c r="BK548" s="3"/>
      <c r="BL548" s="3"/>
      <c r="BM548" s="3"/>
      <c r="BN548" s="3"/>
    </row>
    <row r="549" spans="1:66" ht="13.05" customHeight="1">
      <c r="B549" s="1965"/>
      <c r="C549" s="1745"/>
      <c r="D549" s="1745"/>
      <c r="E549" s="1745"/>
      <c r="F549" s="1745"/>
      <c r="G549" s="1745"/>
      <c r="H549" s="1746"/>
      <c r="I549" t="s">
        <v>565</v>
      </c>
      <c r="AC549" s="1759">
        <v>2</v>
      </c>
      <c r="AD549" s="1760"/>
      <c r="AE549" s="1760"/>
      <c r="AF549" s="1760"/>
      <c r="AG549" s="38" t="s">
        <v>403</v>
      </c>
      <c r="AH549" s="1636">
        <v>2029</v>
      </c>
      <c r="AI549" s="1636"/>
      <c r="AJ549" s="1636"/>
      <c r="AK549" s="1637"/>
      <c r="AZ549" s="3"/>
      <c r="BA549" s="3"/>
      <c r="BB549" s="3"/>
      <c r="BC549" s="3"/>
      <c r="BD549" s="3"/>
      <c r="BE549" s="3"/>
      <c r="BF549" s="3"/>
      <c r="BG549" s="3"/>
      <c r="BH549" s="3"/>
      <c r="BI549" s="3"/>
      <c r="BJ549" s="3"/>
      <c r="BK549" s="3"/>
      <c r="BL549" s="3"/>
      <c r="BM549" s="3"/>
      <c r="BN549" s="3"/>
    </row>
    <row r="550" spans="1:66" ht="13.05" customHeight="1">
      <c r="B550" s="1966"/>
      <c r="C550" s="1747"/>
      <c r="D550" s="1747"/>
      <c r="E550" s="1747"/>
      <c r="F550" s="1747"/>
      <c r="G550" s="1747"/>
      <c r="H550" s="1748"/>
      <c r="I550" s="48" t="s">
        <v>451</v>
      </c>
      <c r="J550" s="48"/>
      <c r="K550" s="48"/>
      <c r="L550" s="48"/>
      <c r="M550" s="48"/>
      <c r="N550" s="48"/>
      <c r="O550" s="48"/>
      <c r="P550" s="48"/>
      <c r="Q550" s="48"/>
      <c r="R550" s="48"/>
      <c r="S550" s="48"/>
      <c r="T550" s="48"/>
      <c r="U550" s="48"/>
      <c r="V550" s="48"/>
      <c r="W550" s="48"/>
      <c r="X550" s="48"/>
      <c r="Y550" s="48"/>
      <c r="Z550" s="48"/>
      <c r="AA550" s="48"/>
      <c r="AB550" s="48"/>
      <c r="AC550" s="1759">
        <v>5</v>
      </c>
      <c r="AD550" s="1760"/>
      <c r="AE550" s="1760"/>
      <c r="AF550" s="1760"/>
      <c r="AG550" s="38" t="s">
        <v>403</v>
      </c>
      <c r="AH550" s="1636">
        <v>2029</v>
      </c>
      <c r="AI550" s="1636"/>
      <c r="AJ550" s="1636"/>
      <c r="AK550" s="1637"/>
      <c r="BB550" s="3"/>
      <c r="BC550" s="3"/>
      <c r="BD550" s="3"/>
      <c r="BE550" s="3"/>
      <c r="BF550" s="3"/>
      <c r="BG550" s="3"/>
      <c r="BH550" s="3" t="s">
        <v>112</v>
      </c>
      <c r="BI550" s="3" t="str">
        <f>N657</f>
        <v>Yes</v>
      </c>
      <c r="BJ550" s="3"/>
      <c r="BK550" s="3"/>
      <c r="BL550" s="3"/>
      <c r="BM550" s="3"/>
      <c r="BN550" s="3"/>
    </row>
    <row r="551" spans="1:66" ht="13.0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3.05" customHeight="1">
      <c r="A552" s="1522" t="s">
        <v>543</v>
      </c>
      <c r="B552" s="1522"/>
      <c r="C552" s="1522"/>
      <c r="D552" s="1522"/>
      <c r="E552" s="1522"/>
      <c r="F552" s="1522"/>
      <c r="G552" s="1522"/>
      <c r="H552" s="1522"/>
      <c r="I552" s="1522"/>
      <c r="J552" s="1522"/>
      <c r="K552" s="1522"/>
      <c r="L552" s="1522"/>
      <c r="M552" s="1522"/>
      <c r="N552" s="1522"/>
      <c r="O552" s="1522"/>
      <c r="P552" s="1522"/>
      <c r="Q552" s="1522"/>
      <c r="R552" s="1522"/>
      <c r="S552" s="1522"/>
      <c r="T552" s="1522"/>
      <c r="U552" s="1522"/>
      <c r="V552" s="1522"/>
      <c r="W552" s="1522"/>
      <c r="X552" s="1522"/>
      <c r="Y552" s="1522"/>
      <c r="Z552" s="1522"/>
      <c r="AA552" s="1522"/>
      <c r="AB552" s="1522"/>
      <c r="AC552" s="1522"/>
      <c r="AD552" s="1522"/>
      <c r="AE552" s="1522"/>
      <c r="AF552" s="1522"/>
      <c r="AG552" s="1522"/>
      <c r="AH552" s="1522"/>
      <c r="AI552" s="1522"/>
      <c r="AJ552" s="1522"/>
      <c r="AK552" s="1522"/>
      <c r="AL552" s="1522"/>
      <c r="AM552" s="1522"/>
      <c r="AN552" s="1522"/>
      <c r="AO552" s="1522"/>
      <c r="AP552" s="1522"/>
      <c r="AQ552" s="1522"/>
      <c r="AR552" s="1522"/>
      <c r="AS552" s="1522"/>
      <c r="AT552" s="1522"/>
      <c r="AU552" s="895"/>
      <c r="AV552" s="895"/>
      <c r="AW552" s="895"/>
      <c r="AX552" s="895"/>
      <c r="AY552" s="895"/>
      <c r="BB552" s="3"/>
      <c r="BC552" s="3"/>
      <c r="BD552" s="3"/>
      <c r="BE552" s="3"/>
      <c r="BF552" s="3"/>
      <c r="BG552" s="3"/>
      <c r="BH552" s="3"/>
      <c r="BI552" s="3"/>
      <c r="BJ552" s="3"/>
      <c r="BK552" s="3"/>
      <c r="BL552" s="3"/>
      <c r="BM552" s="3"/>
      <c r="BN552" s="3"/>
    </row>
    <row r="553" spans="1:66" ht="13.05" customHeight="1">
      <c r="A553" s="1522"/>
      <c r="B553" s="1522"/>
      <c r="C553" s="1522"/>
      <c r="D553" s="1522"/>
      <c r="E553" s="1522"/>
      <c r="F553" s="1522"/>
      <c r="G553" s="1522"/>
      <c r="H553" s="1522"/>
      <c r="I553" s="1522"/>
      <c r="J553" s="1522"/>
      <c r="K553" s="1522"/>
      <c r="L553" s="1522"/>
      <c r="M553" s="1522"/>
      <c r="N553" s="1522"/>
      <c r="O553" s="1522"/>
      <c r="P553" s="1522"/>
      <c r="Q553" s="1522"/>
      <c r="R553" s="1522"/>
      <c r="S553" s="1522"/>
      <c r="T553" s="1522"/>
      <c r="U553" s="1522"/>
      <c r="V553" s="1522"/>
      <c r="W553" s="1522"/>
      <c r="X553" s="1522"/>
      <c r="Y553" s="1522"/>
      <c r="Z553" s="1522"/>
      <c r="AA553" s="1522"/>
      <c r="AB553" s="1522"/>
      <c r="AC553" s="1522"/>
      <c r="AD553" s="1522"/>
      <c r="AE553" s="1522"/>
      <c r="AF553" s="1522"/>
      <c r="AG553" s="1522"/>
      <c r="AH553" s="1522"/>
      <c r="AI553" s="1522"/>
      <c r="AJ553" s="1522"/>
      <c r="AK553" s="1522"/>
      <c r="AL553" s="1522"/>
      <c r="AM553" s="1522"/>
      <c r="AN553" s="1522"/>
      <c r="AO553" s="1522"/>
      <c r="AP553" s="1522"/>
      <c r="AQ553" s="1522"/>
      <c r="AR553" s="1522"/>
      <c r="AS553" s="1522"/>
      <c r="AT553" s="1522"/>
      <c r="BB553" s="3"/>
      <c r="BC553" s="3"/>
      <c r="BD553" s="3"/>
      <c r="BE553" s="3"/>
      <c r="BF553" s="3"/>
      <c r="BG553" s="3"/>
      <c r="BH553" s="3"/>
      <c r="BI553" s="3"/>
    </row>
    <row r="554" spans="1:66" ht="13.05" customHeight="1">
      <c r="BB554" s="3"/>
      <c r="BC554" s="3"/>
      <c r="BD554" s="3"/>
      <c r="BE554" s="3"/>
      <c r="BF554" s="3"/>
      <c r="BG554" s="3"/>
      <c r="BH554" s="3"/>
      <c r="BI554" s="3"/>
    </row>
    <row r="555" spans="1:66" ht="13.05" customHeight="1">
      <c r="A555" s="2" t="s">
        <v>319</v>
      </c>
      <c r="B555" s="2"/>
      <c r="C555" s="2" t="s">
        <v>452</v>
      </c>
      <c r="BB555" s="3"/>
      <c r="BC555" s="3"/>
      <c r="BD555" s="3"/>
      <c r="BE555" s="3"/>
      <c r="BF555" s="3"/>
      <c r="BG555" s="3"/>
      <c r="BH555" s="3"/>
      <c r="BI555" s="3"/>
    </row>
    <row r="556" spans="1:66" ht="13.05" customHeight="1">
      <c r="A556" s="2"/>
      <c r="B556" s="2"/>
      <c r="C556" s="2"/>
      <c r="BB556" s="3"/>
      <c r="BC556" s="3"/>
      <c r="BD556" s="3"/>
      <c r="BE556" s="3"/>
      <c r="BF556" s="3"/>
      <c r="BG556" s="3"/>
      <c r="BH556" s="3"/>
      <c r="BI556" s="3"/>
    </row>
    <row r="557" spans="1:66" ht="13.05" customHeight="1">
      <c r="A557" s="2"/>
      <c r="B557" s="2"/>
      <c r="C557" s="2"/>
      <c r="D557" s="2" t="s">
        <v>2054</v>
      </c>
      <c r="AC557" s="98"/>
      <c r="BB557" s="3"/>
      <c r="BC557" s="3"/>
      <c r="BD557" s="3"/>
      <c r="BE557" s="3"/>
      <c r="BF557" s="3"/>
      <c r="BG557" s="3"/>
      <c r="BH557" s="3"/>
      <c r="BI557" s="3"/>
    </row>
    <row r="558" spans="1:66" ht="13.05" customHeight="1">
      <c r="B558" s="512"/>
      <c r="BB558" s="3"/>
      <c r="BC558" s="3"/>
      <c r="BD558" s="3"/>
      <c r="BE558" s="3"/>
      <c r="BF558" s="3"/>
      <c r="BG558" s="3"/>
      <c r="BH558" s="3" t="s">
        <v>119</v>
      </c>
      <c r="BI558" s="3" t="str">
        <f>N665</f>
        <v>Yes</v>
      </c>
    </row>
    <row r="559" spans="1:66" ht="13.05" customHeight="1">
      <c r="B559" s="1964" t="s">
        <v>2056</v>
      </c>
      <c r="C559" s="1743"/>
      <c r="D559" s="1743"/>
      <c r="E559" s="1743"/>
      <c r="F559" s="1743"/>
      <c r="G559" s="1743"/>
      <c r="H559" s="1743"/>
      <c r="I559" s="1743"/>
      <c r="J559" s="1743"/>
      <c r="K559" s="1743"/>
      <c r="L559" s="1744"/>
      <c r="M559" s="1964" t="s">
        <v>2057</v>
      </c>
      <c r="N559" s="1743"/>
      <c r="O559" s="1743"/>
      <c r="P559" s="1744"/>
      <c r="Q559" s="1964" t="s">
        <v>2083</v>
      </c>
      <c r="R559" s="1743"/>
      <c r="S559" s="1744"/>
      <c r="T559" s="1964" t="s">
        <v>2084</v>
      </c>
      <c r="U559" s="1743"/>
      <c r="V559" s="1744"/>
      <c r="W559" s="1964" t="s">
        <v>453</v>
      </c>
      <c r="X559" s="1743"/>
      <c r="Y559" s="1744"/>
      <c r="Z559" s="1964" t="s">
        <v>1826</v>
      </c>
      <c r="AA559" s="1743"/>
      <c r="AB559" s="1743"/>
      <c r="AC559" s="1743"/>
      <c r="AD559" s="1744"/>
      <c r="AE559" s="1964" t="s">
        <v>1664</v>
      </c>
      <c r="AF559" s="1743"/>
      <c r="AG559" s="1743"/>
      <c r="AH559" s="1744"/>
      <c r="AI559" s="1964" t="s">
        <v>1665</v>
      </c>
      <c r="AJ559" s="1743"/>
      <c r="AK559" s="1743"/>
      <c r="AL559" s="1744"/>
      <c r="AM559" s="1964" t="s">
        <v>454</v>
      </c>
      <c r="AN559" s="1743"/>
      <c r="AO559" s="1743"/>
      <c r="AP559" s="1743"/>
      <c r="AQ559" s="1743"/>
      <c r="AR559" s="1743"/>
      <c r="AS559" s="1744"/>
      <c r="BB559" s="3"/>
      <c r="BC559" s="3"/>
      <c r="BD559" s="3"/>
      <c r="BE559" s="3"/>
      <c r="BF559" s="3"/>
      <c r="BG559" s="3"/>
      <c r="BH559" s="3" t="s">
        <v>581</v>
      </c>
      <c r="BI559" s="3" t="str">
        <f>AG665</f>
        <v>No</v>
      </c>
    </row>
    <row r="560" spans="1:66" ht="13.05" customHeight="1">
      <c r="B560" s="1965"/>
      <c r="C560" s="1745"/>
      <c r="D560" s="1745"/>
      <c r="E560" s="1745"/>
      <c r="F560" s="1745"/>
      <c r="G560" s="1745"/>
      <c r="H560" s="1745"/>
      <c r="I560" s="1745"/>
      <c r="J560" s="1745"/>
      <c r="K560" s="1745"/>
      <c r="L560" s="1746"/>
      <c r="M560" s="1965"/>
      <c r="N560" s="1745"/>
      <c r="O560" s="1745"/>
      <c r="P560" s="1746"/>
      <c r="Q560" s="1965"/>
      <c r="R560" s="1745"/>
      <c r="S560" s="1746"/>
      <c r="T560" s="1965"/>
      <c r="U560" s="1745"/>
      <c r="V560" s="1746"/>
      <c r="W560" s="1965"/>
      <c r="X560" s="1745"/>
      <c r="Y560" s="1746"/>
      <c r="Z560" s="1965"/>
      <c r="AA560" s="1745"/>
      <c r="AB560" s="1745"/>
      <c r="AC560" s="1745"/>
      <c r="AD560" s="1746"/>
      <c r="AE560" s="1965"/>
      <c r="AF560" s="1745"/>
      <c r="AG560" s="1745"/>
      <c r="AH560" s="1746"/>
      <c r="AI560" s="1965"/>
      <c r="AJ560" s="1745"/>
      <c r="AK560" s="1745"/>
      <c r="AL560" s="1746"/>
      <c r="AM560" s="1965"/>
      <c r="AN560" s="1745"/>
      <c r="AO560" s="1745"/>
      <c r="AP560" s="1745"/>
      <c r="AQ560" s="1745"/>
      <c r="AR560" s="1745"/>
      <c r="AS560" s="1746"/>
      <c r="AU560" s="1141"/>
      <c r="BB560" s="3"/>
      <c r="BC560" s="3"/>
      <c r="BD560" s="3"/>
      <c r="BE560" s="3"/>
      <c r="BF560" s="3"/>
      <c r="BG560" s="3"/>
      <c r="BH560" s="3"/>
      <c r="BI560" s="3"/>
    </row>
    <row r="561" spans="1:61" ht="13.05" customHeight="1">
      <c r="B561" s="1966"/>
      <c r="C561" s="1747"/>
      <c r="D561" s="1747"/>
      <c r="E561" s="1747"/>
      <c r="F561" s="1747"/>
      <c r="G561" s="1747"/>
      <c r="H561" s="1747"/>
      <c r="I561" s="1747"/>
      <c r="J561" s="1747"/>
      <c r="K561" s="1747"/>
      <c r="L561" s="1748"/>
      <c r="M561" s="1966"/>
      <c r="N561" s="1747"/>
      <c r="O561" s="1747"/>
      <c r="P561" s="1748"/>
      <c r="Q561" s="1966"/>
      <c r="R561" s="1747"/>
      <c r="S561" s="1748"/>
      <c r="T561" s="1966"/>
      <c r="U561" s="1747"/>
      <c r="V561" s="1748"/>
      <c r="W561" s="1966"/>
      <c r="X561" s="1747"/>
      <c r="Y561" s="1748"/>
      <c r="Z561" s="1966"/>
      <c r="AA561" s="1747"/>
      <c r="AB561" s="1747"/>
      <c r="AC561" s="1747"/>
      <c r="AD561" s="1748"/>
      <c r="AE561" s="1966"/>
      <c r="AF561" s="1747"/>
      <c r="AG561" s="1747"/>
      <c r="AH561" s="1748"/>
      <c r="AI561" s="1966"/>
      <c r="AJ561" s="1747"/>
      <c r="AK561" s="1747"/>
      <c r="AL561" s="1748"/>
      <c r="AM561" s="1966"/>
      <c r="AN561" s="1747"/>
      <c r="AO561" s="1747"/>
      <c r="AP561" s="1747"/>
      <c r="AQ561" s="1747"/>
      <c r="AR561" s="1747"/>
      <c r="AS561" s="1748"/>
      <c r="AU561" s="1141"/>
      <c r="BB561" s="3"/>
      <c r="BC561" s="3"/>
      <c r="BD561" s="3"/>
      <c r="BE561" s="3"/>
      <c r="BF561" s="3"/>
      <c r="BG561" s="3"/>
      <c r="BH561" s="3"/>
      <c r="BI561" s="3"/>
    </row>
    <row r="562" spans="1:61" ht="13.05" customHeight="1">
      <c r="B562" s="51" t="s">
        <v>112</v>
      </c>
      <c r="C562" s="1767" t="s">
        <v>2723</v>
      </c>
      <c r="D562" s="1767"/>
      <c r="E562" s="1767"/>
      <c r="F562" s="1767"/>
      <c r="G562" s="1767"/>
      <c r="H562" s="1767"/>
      <c r="I562" s="1767"/>
      <c r="J562" s="1767"/>
      <c r="K562" s="1767"/>
      <c r="L562" s="1767"/>
      <c r="M562" s="1767" t="s">
        <v>2073</v>
      </c>
      <c r="N562" s="1767"/>
      <c r="O562" s="1767"/>
      <c r="P562" s="1767"/>
      <c r="Q562" s="1762">
        <v>30</v>
      </c>
      <c r="R562" s="1762"/>
      <c r="S562" s="1763"/>
      <c r="T562" s="1761"/>
      <c r="U562" s="1762"/>
      <c r="V562" s="1763"/>
      <c r="W562" s="1764">
        <v>5.4199999999999998E-2</v>
      </c>
      <c r="X562" s="1765"/>
      <c r="Y562" s="1766"/>
      <c r="Z562" s="1952" t="s">
        <v>2728</v>
      </c>
      <c r="AA562" s="1952"/>
      <c r="AB562" s="1952"/>
      <c r="AC562" s="1952"/>
      <c r="AD562" s="1952"/>
      <c r="AE562" s="1949">
        <v>1</v>
      </c>
      <c r="AF562" s="1950"/>
      <c r="AG562" s="1950"/>
      <c r="AH562" s="1951"/>
      <c r="AI562" s="1756"/>
      <c r="AJ562" s="1757"/>
      <c r="AK562" s="1757"/>
      <c r="AL562" s="1758"/>
      <c r="AM562" s="1775">
        <v>21000000</v>
      </c>
      <c r="AN562" s="1776"/>
      <c r="AO562" s="1776"/>
      <c r="AP562" s="1776"/>
      <c r="AQ562" s="1776"/>
      <c r="AR562" s="1776"/>
      <c r="AS562" s="1777"/>
      <c r="AT562" s="1142"/>
      <c r="AU562" s="1141"/>
      <c r="BB562" s="3"/>
      <c r="BC562" s="3"/>
      <c r="BD562" s="3"/>
      <c r="BE562" s="3"/>
      <c r="BF562" s="3"/>
      <c r="BG562" s="3"/>
      <c r="BH562" s="3"/>
      <c r="BI562" s="3"/>
    </row>
    <row r="563" spans="1:61" ht="13.05" customHeight="1">
      <c r="B563" s="52" t="s">
        <v>113</v>
      </c>
      <c r="C563" s="1967" t="s">
        <v>2724</v>
      </c>
      <c r="D563" s="1967"/>
      <c r="E563" s="1967"/>
      <c r="F563" s="1967"/>
      <c r="G563" s="1967"/>
      <c r="H563" s="1967"/>
      <c r="I563" s="1967"/>
      <c r="J563" s="1967"/>
      <c r="K563" s="1967"/>
      <c r="L563" s="1967"/>
      <c r="M563" s="1767" t="s">
        <v>2072</v>
      </c>
      <c r="N563" s="1767"/>
      <c r="O563" s="1767"/>
      <c r="P563" s="1767"/>
      <c r="Q563" s="1761">
        <v>30</v>
      </c>
      <c r="R563" s="1762"/>
      <c r="S563" s="1763"/>
      <c r="T563" s="1761"/>
      <c r="U563" s="1762"/>
      <c r="V563" s="1763"/>
      <c r="W563" s="1764">
        <v>6.1699999999999998E-2</v>
      </c>
      <c r="X563" s="1765"/>
      <c r="Y563" s="1766"/>
      <c r="Z563" s="1952" t="s">
        <v>2728</v>
      </c>
      <c r="AA563" s="1952"/>
      <c r="AB563" s="1952"/>
      <c r="AC563" s="1952"/>
      <c r="AD563" s="1952"/>
      <c r="AE563" s="1949">
        <v>1</v>
      </c>
      <c r="AF563" s="1950"/>
      <c r="AG563" s="1950"/>
      <c r="AH563" s="1951"/>
      <c r="AI563" s="1756"/>
      <c r="AJ563" s="1757"/>
      <c r="AK563" s="1757"/>
      <c r="AL563" s="1758"/>
      <c r="AM563" s="1775">
        <v>12733522</v>
      </c>
      <c r="AN563" s="1776"/>
      <c r="AO563" s="1776"/>
      <c r="AP563" s="1776"/>
      <c r="AQ563" s="1776"/>
      <c r="AR563" s="1776"/>
      <c r="AS563" s="1777"/>
      <c r="AT563" s="1142" t="str">
        <f>IF(AND(NOT(C562=""),C563="",NOT(C564="")),"!","")</f>
        <v/>
      </c>
      <c r="AU563" s="1141"/>
      <c r="BB563" s="3"/>
      <c r="BC563" s="3"/>
      <c r="BD563" s="3"/>
      <c r="BE563" s="3"/>
      <c r="BF563" s="3"/>
      <c r="BG563" s="3"/>
      <c r="BH563" s="3"/>
      <c r="BI563" s="3"/>
    </row>
    <row r="564" spans="1:61" ht="13.05" customHeight="1">
      <c r="B564" s="52" t="s">
        <v>119</v>
      </c>
      <c r="C564" s="1967" t="s">
        <v>2725</v>
      </c>
      <c r="D564" s="1967"/>
      <c r="E564" s="1967"/>
      <c r="F564" s="1967"/>
      <c r="G564" s="1967"/>
      <c r="H564" s="1967"/>
      <c r="I564" s="1967"/>
      <c r="J564" s="1967"/>
      <c r="K564" s="1967"/>
      <c r="L564" s="1967"/>
      <c r="M564" s="1767" t="s">
        <v>2064</v>
      </c>
      <c r="N564" s="1767"/>
      <c r="O564" s="1767"/>
      <c r="P564" s="1767"/>
      <c r="Q564" s="1761"/>
      <c r="R564" s="1762"/>
      <c r="S564" s="1763"/>
      <c r="T564" s="1761"/>
      <c r="U564" s="1762"/>
      <c r="V564" s="1763"/>
      <c r="W564" s="1764"/>
      <c r="X564" s="1765"/>
      <c r="Y564" s="1766"/>
      <c r="Z564" s="1952" t="s">
        <v>1183</v>
      </c>
      <c r="AA564" s="1952"/>
      <c r="AB564" s="1952"/>
      <c r="AC564" s="1952"/>
      <c r="AD564" s="1952"/>
      <c r="AE564" s="1949"/>
      <c r="AF564" s="1950"/>
      <c r="AG564" s="1950"/>
      <c r="AH564" s="1951"/>
      <c r="AI564" s="1756"/>
      <c r="AJ564" s="1757"/>
      <c r="AK564" s="1757"/>
      <c r="AL564" s="1758"/>
      <c r="AM564" s="1775">
        <v>6074459</v>
      </c>
      <c r="AN564" s="1776"/>
      <c r="AO564" s="1776"/>
      <c r="AP564" s="1776"/>
      <c r="AQ564" s="1776"/>
      <c r="AR564" s="1776"/>
      <c r="AS564" s="1777"/>
      <c r="AT564" s="1142" t="str">
        <f>IF(AND(NOT(C563=""),C564="",NOT(C565="")),"!","")</f>
        <v/>
      </c>
      <c r="AU564" s="1141"/>
      <c r="BB564" s="3"/>
      <c r="BC564" s="3"/>
      <c r="BD564" s="3"/>
      <c r="BE564" s="3"/>
      <c r="BF564" s="3"/>
      <c r="BG564" s="3"/>
      <c r="BH564" s="3"/>
      <c r="BI564" s="3"/>
    </row>
    <row r="565" spans="1:61" ht="13.05" customHeight="1">
      <c r="B565" s="52" t="s">
        <v>581</v>
      </c>
      <c r="C565" s="1967" t="s">
        <v>2726</v>
      </c>
      <c r="D565" s="1967"/>
      <c r="E565" s="1967"/>
      <c r="F565" s="1967"/>
      <c r="G565" s="1967"/>
      <c r="H565" s="1967"/>
      <c r="I565" s="1967"/>
      <c r="J565" s="1967"/>
      <c r="K565" s="1967"/>
      <c r="L565" s="1967"/>
      <c r="M565" s="1767" t="s">
        <v>2064</v>
      </c>
      <c r="N565" s="1767"/>
      <c r="O565" s="1767"/>
      <c r="P565" s="1767"/>
      <c r="Q565" s="1761"/>
      <c r="R565" s="1762"/>
      <c r="S565" s="1763"/>
      <c r="T565" s="1761"/>
      <c r="U565" s="1762"/>
      <c r="V565" s="1763"/>
      <c r="W565" s="1764"/>
      <c r="X565" s="1765"/>
      <c r="Y565" s="1766"/>
      <c r="Z565" s="1952" t="s">
        <v>1183</v>
      </c>
      <c r="AA565" s="1952"/>
      <c r="AB565" s="1952"/>
      <c r="AC565" s="1952"/>
      <c r="AD565" s="1952"/>
      <c r="AE565" s="1949"/>
      <c r="AF565" s="1950"/>
      <c r="AG565" s="1950"/>
      <c r="AH565" s="1951"/>
      <c r="AI565" s="1756"/>
      <c r="AJ565" s="1757"/>
      <c r="AK565" s="1757"/>
      <c r="AL565" s="1758"/>
      <c r="AM565" s="1775">
        <v>890000</v>
      </c>
      <c r="AN565" s="1776"/>
      <c r="AO565" s="1776"/>
      <c r="AP565" s="1776"/>
      <c r="AQ565" s="1776"/>
      <c r="AR565" s="1776"/>
      <c r="AS565" s="1777"/>
      <c r="AT565" s="1142" t="str">
        <f>IF(AND(NOT(C564=""),C565="",NOT(C566="")),"!","")</f>
        <v/>
      </c>
      <c r="AU565" s="1141"/>
      <c r="BB565" s="3"/>
      <c r="BC565" s="3"/>
      <c r="BD565" s="3"/>
      <c r="BE565" s="3"/>
      <c r="BF565" s="3"/>
      <c r="BG565" s="3"/>
      <c r="BH565" s="3"/>
      <c r="BI565" s="3"/>
    </row>
    <row r="566" spans="1:61" ht="13.05" customHeight="1">
      <c r="B566" s="52" t="s">
        <v>763</v>
      </c>
      <c r="C566" s="1967" t="s">
        <v>2790</v>
      </c>
      <c r="D566" s="1967"/>
      <c r="E566" s="1967"/>
      <c r="F566" s="1967"/>
      <c r="G566" s="1967"/>
      <c r="H566" s="1967"/>
      <c r="I566" s="1967"/>
      <c r="J566" s="1967"/>
      <c r="K566" s="1967"/>
      <c r="L566" s="1967"/>
      <c r="M566" s="1767" t="s">
        <v>2080</v>
      </c>
      <c r="N566" s="1767"/>
      <c r="O566" s="1767"/>
      <c r="P566" s="1767"/>
      <c r="Q566" s="1761"/>
      <c r="R566" s="1762"/>
      <c r="S566" s="1763"/>
      <c r="T566" s="1761"/>
      <c r="U566" s="1762"/>
      <c r="V566" s="1763"/>
      <c r="W566" s="1764"/>
      <c r="X566" s="1765"/>
      <c r="Y566" s="1766"/>
      <c r="Z566" s="1952" t="s">
        <v>1183</v>
      </c>
      <c r="AA566" s="1952"/>
      <c r="AB566" s="1952"/>
      <c r="AC566" s="1952"/>
      <c r="AD566" s="1952"/>
      <c r="AE566" s="1949"/>
      <c r="AF566" s="1950"/>
      <c r="AG566" s="1950"/>
      <c r="AH566" s="1951"/>
      <c r="AI566" s="1756"/>
      <c r="AJ566" s="1757"/>
      <c r="AK566" s="1757"/>
      <c r="AL566" s="1758"/>
      <c r="AM566" s="1775">
        <v>4250000</v>
      </c>
      <c r="AN566" s="1776"/>
      <c r="AO566" s="1776"/>
      <c r="AP566" s="1776"/>
      <c r="AQ566" s="1776"/>
      <c r="AR566" s="1776"/>
      <c r="AS566" s="1777"/>
      <c r="AT566" s="1142" t="str">
        <f t="shared" ref="AT566:AT573" si="2">IF(AND(NOT(C565=""),C566="",NOT(C567="")),"!","")</f>
        <v/>
      </c>
      <c r="AU566" s="1141"/>
      <c r="BB566" s="3"/>
      <c r="BC566" s="3"/>
      <c r="BD566" s="3"/>
      <c r="BE566" s="3"/>
      <c r="BF566" s="3"/>
      <c r="BG566" s="3"/>
      <c r="BH566" s="3" t="s">
        <v>763</v>
      </c>
      <c r="BI566" s="3" t="str">
        <f>N673</f>
        <v>Yes</v>
      </c>
    </row>
    <row r="567" spans="1:61" ht="13.05" customHeight="1">
      <c r="B567" s="52" t="s">
        <v>584</v>
      </c>
      <c r="C567" s="1967" t="s">
        <v>2727</v>
      </c>
      <c r="D567" s="1967"/>
      <c r="E567" s="1967"/>
      <c r="F567" s="1967"/>
      <c r="G567" s="1967"/>
      <c r="H567" s="1967"/>
      <c r="I567" s="1967"/>
      <c r="J567" s="1967"/>
      <c r="K567" s="1967"/>
      <c r="L567" s="1967"/>
      <c r="M567" s="1767" t="s">
        <v>2059</v>
      </c>
      <c r="N567" s="1767"/>
      <c r="O567" s="1767"/>
      <c r="P567" s="1767"/>
      <c r="Q567" s="1761"/>
      <c r="R567" s="1762"/>
      <c r="S567" s="1763"/>
      <c r="T567" s="1761"/>
      <c r="U567" s="1762"/>
      <c r="V567" s="1763"/>
      <c r="W567" s="1764"/>
      <c r="X567" s="1765"/>
      <c r="Y567" s="1766"/>
      <c r="Z567" s="1952" t="s">
        <v>1183</v>
      </c>
      <c r="AA567" s="1952"/>
      <c r="AB567" s="1952"/>
      <c r="AC567" s="1952"/>
      <c r="AD567" s="1952"/>
      <c r="AE567" s="1949"/>
      <c r="AF567" s="1950"/>
      <c r="AG567" s="1950"/>
      <c r="AH567" s="1951"/>
      <c r="AI567" s="1756"/>
      <c r="AJ567" s="1757"/>
      <c r="AK567" s="1757"/>
      <c r="AL567" s="1758"/>
      <c r="AM567" s="1775">
        <f>AO649-SUM(AM562:AS566)</f>
        <v>34658930</v>
      </c>
      <c r="AN567" s="1776"/>
      <c r="AO567" s="1776"/>
      <c r="AP567" s="1776"/>
      <c r="AQ567" s="1776"/>
      <c r="AR567" s="1776"/>
      <c r="AS567" s="1777"/>
      <c r="AT567" s="1142" t="str">
        <f t="shared" si="2"/>
        <v/>
      </c>
      <c r="AU567" s="1141"/>
      <c r="BB567" s="3"/>
      <c r="BC567" s="3"/>
      <c r="BD567" s="3"/>
      <c r="BE567" s="3"/>
      <c r="BF567" s="3"/>
      <c r="BG567" s="3"/>
      <c r="BH567" s="3" t="s">
        <v>584</v>
      </c>
      <c r="BI567" s="3" t="str">
        <f>AG673</f>
        <v>No</v>
      </c>
    </row>
    <row r="568" spans="1:61" ht="13.05" customHeight="1">
      <c r="B568" s="52" t="s">
        <v>455</v>
      </c>
      <c r="C568" s="1967"/>
      <c r="D568" s="1967"/>
      <c r="E568" s="1967"/>
      <c r="F568" s="1967"/>
      <c r="G568" s="1967"/>
      <c r="H568" s="1967"/>
      <c r="I568" s="1967"/>
      <c r="J568" s="1967"/>
      <c r="K568" s="1967"/>
      <c r="L568" s="1967"/>
      <c r="M568" s="1767" t="s">
        <v>1183</v>
      </c>
      <c r="N568" s="1767"/>
      <c r="O568" s="1767"/>
      <c r="P568" s="1767"/>
      <c r="Q568" s="1761"/>
      <c r="R568" s="1762"/>
      <c r="S568" s="1763"/>
      <c r="T568" s="1761"/>
      <c r="U568" s="1762"/>
      <c r="V568" s="1763"/>
      <c r="W568" s="1764"/>
      <c r="X568" s="1765"/>
      <c r="Y568" s="1766"/>
      <c r="Z568" s="1952" t="s">
        <v>1183</v>
      </c>
      <c r="AA568" s="1952"/>
      <c r="AB568" s="1952"/>
      <c r="AC568" s="1952"/>
      <c r="AD568" s="1952"/>
      <c r="AE568" s="1949"/>
      <c r="AF568" s="1950"/>
      <c r="AG568" s="1950"/>
      <c r="AH568" s="1951"/>
      <c r="AI568" s="1756"/>
      <c r="AJ568" s="1757"/>
      <c r="AK568" s="1757"/>
      <c r="AL568" s="1758"/>
      <c r="AM568" s="1775"/>
      <c r="AN568" s="1776"/>
      <c r="AO568" s="1776"/>
      <c r="AP568" s="1776"/>
      <c r="AQ568" s="1776"/>
      <c r="AR568" s="1776"/>
      <c r="AS568" s="1777"/>
      <c r="AT568" s="1142" t="str">
        <f t="shared" si="2"/>
        <v/>
      </c>
      <c r="AU568" s="1141"/>
      <c r="BB568" s="3"/>
      <c r="BC568" s="3"/>
      <c r="BD568" s="3"/>
      <c r="BE568" s="3"/>
      <c r="BF568" s="3"/>
      <c r="BG568" s="3"/>
      <c r="BH568" s="3"/>
      <c r="BI568" s="3"/>
    </row>
    <row r="569" spans="1:61" ht="13.05" customHeight="1">
      <c r="B569" s="52" t="s">
        <v>456</v>
      </c>
      <c r="C569" s="1967"/>
      <c r="D569" s="1967"/>
      <c r="E569" s="1967"/>
      <c r="F569" s="1967"/>
      <c r="G569" s="1967"/>
      <c r="H569" s="1967"/>
      <c r="I569" s="1967"/>
      <c r="J569" s="1967"/>
      <c r="K569" s="1967"/>
      <c r="L569" s="1967"/>
      <c r="M569" s="1767" t="s">
        <v>1183</v>
      </c>
      <c r="N569" s="1767"/>
      <c r="O569" s="1767"/>
      <c r="P569" s="1767"/>
      <c r="Q569" s="1761"/>
      <c r="R569" s="1762"/>
      <c r="S569" s="1763"/>
      <c r="T569" s="1761"/>
      <c r="U569" s="1762"/>
      <c r="V569" s="1763"/>
      <c r="W569" s="1764"/>
      <c r="X569" s="1765"/>
      <c r="Y569" s="1766"/>
      <c r="Z569" s="1952" t="s">
        <v>1183</v>
      </c>
      <c r="AA569" s="1952"/>
      <c r="AB569" s="1952"/>
      <c r="AC569" s="1952"/>
      <c r="AD569" s="1952"/>
      <c r="AE569" s="1949"/>
      <c r="AF569" s="1950"/>
      <c r="AG569" s="1950"/>
      <c r="AH569" s="1951"/>
      <c r="AI569" s="1756"/>
      <c r="AJ569" s="1757"/>
      <c r="AK569" s="1757"/>
      <c r="AL569" s="1758"/>
      <c r="AM569" s="1775"/>
      <c r="AN569" s="1776"/>
      <c r="AO569" s="1776"/>
      <c r="AP569" s="1776"/>
      <c r="AQ569" s="1776"/>
      <c r="AR569" s="1776"/>
      <c r="AS569" s="1777"/>
      <c r="AT569" s="1142" t="str">
        <f t="shared" si="2"/>
        <v/>
      </c>
      <c r="AU569" s="1141"/>
      <c r="BB569" s="3"/>
      <c r="BC569" s="3"/>
      <c r="BD569" s="3"/>
      <c r="BE569" s="3"/>
      <c r="BF569" s="3"/>
      <c r="BG569" s="3"/>
      <c r="BH569" s="3"/>
      <c r="BI569" s="3"/>
    </row>
    <row r="570" spans="1:61" ht="13.05" customHeight="1">
      <c r="B570" s="52" t="s">
        <v>461</v>
      </c>
      <c r="C570" s="1967"/>
      <c r="D570" s="1967"/>
      <c r="E570" s="1967"/>
      <c r="F570" s="1967"/>
      <c r="G570" s="1967"/>
      <c r="H570" s="1967"/>
      <c r="I570" s="1967"/>
      <c r="J570" s="1967"/>
      <c r="K570" s="1967"/>
      <c r="L570" s="1967"/>
      <c r="M570" s="1767" t="s">
        <v>1183</v>
      </c>
      <c r="N570" s="1767"/>
      <c r="O570" s="1767"/>
      <c r="P570" s="1767"/>
      <c r="Q570" s="1761"/>
      <c r="R570" s="1762"/>
      <c r="S570" s="1763"/>
      <c r="T570" s="1761"/>
      <c r="U570" s="1762"/>
      <c r="V570" s="1763"/>
      <c r="W570" s="1764"/>
      <c r="X570" s="1765"/>
      <c r="Y570" s="1766"/>
      <c r="Z570" s="1952" t="s">
        <v>1183</v>
      </c>
      <c r="AA570" s="1952"/>
      <c r="AB570" s="1952"/>
      <c r="AC570" s="1952"/>
      <c r="AD570" s="1952"/>
      <c r="AE570" s="1949"/>
      <c r="AF570" s="1950"/>
      <c r="AG570" s="1950"/>
      <c r="AH570" s="1951"/>
      <c r="AI570" s="1756"/>
      <c r="AJ570" s="1757"/>
      <c r="AK570" s="1757"/>
      <c r="AL570" s="1758"/>
      <c r="AM570" s="1775"/>
      <c r="AN570" s="1776"/>
      <c r="AO570" s="1776"/>
      <c r="AP570" s="1776"/>
      <c r="AQ570" s="1776"/>
      <c r="AR570" s="1776"/>
      <c r="AS570" s="1777"/>
      <c r="AT570" s="1142" t="str">
        <f t="shared" si="2"/>
        <v/>
      </c>
      <c r="AU570" s="1141"/>
      <c r="BB570" s="3"/>
      <c r="BC570" s="3"/>
      <c r="BD570" s="3"/>
      <c r="BE570" s="3"/>
      <c r="BF570" s="3"/>
      <c r="BG570" s="3"/>
      <c r="BH570" s="3"/>
      <c r="BI570" s="3"/>
    </row>
    <row r="571" spans="1:61" ht="13.05" customHeight="1">
      <c r="B571" s="52" t="s">
        <v>646</v>
      </c>
      <c r="C571" s="1967"/>
      <c r="D571" s="1967"/>
      <c r="E571" s="1967"/>
      <c r="F571" s="1967"/>
      <c r="G571" s="1967"/>
      <c r="H571" s="1967"/>
      <c r="I571" s="1967"/>
      <c r="J571" s="1967"/>
      <c r="K571" s="1967"/>
      <c r="L571" s="1967"/>
      <c r="M571" s="1767" t="s">
        <v>1183</v>
      </c>
      <c r="N571" s="1767"/>
      <c r="O571" s="1767"/>
      <c r="P571" s="1767"/>
      <c r="Q571" s="1761"/>
      <c r="R571" s="1762"/>
      <c r="S571" s="1763"/>
      <c r="T571" s="1761"/>
      <c r="U571" s="1762"/>
      <c r="V571" s="1763"/>
      <c r="W571" s="1764"/>
      <c r="X571" s="1765"/>
      <c r="Y571" s="1766"/>
      <c r="Z571" s="1952" t="s">
        <v>1183</v>
      </c>
      <c r="AA571" s="1952"/>
      <c r="AB571" s="1952"/>
      <c r="AC571" s="1952"/>
      <c r="AD571" s="1952"/>
      <c r="AE571" s="1949"/>
      <c r="AF571" s="1950"/>
      <c r="AG571" s="1950"/>
      <c r="AH571" s="1951"/>
      <c r="AI571" s="1756"/>
      <c r="AJ571" s="1757"/>
      <c r="AK571" s="1757"/>
      <c r="AL571" s="1758"/>
      <c r="AM571" s="1775"/>
      <c r="AN571" s="1776"/>
      <c r="AO571" s="1776"/>
      <c r="AP571" s="1776"/>
      <c r="AQ571" s="1776"/>
      <c r="AR571" s="1776"/>
      <c r="AS571" s="1777"/>
      <c r="AT571" s="1142" t="str">
        <f t="shared" si="2"/>
        <v/>
      </c>
      <c r="BB571" s="3"/>
      <c r="BC571" s="3"/>
      <c r="BD571" s="3"/>
      <c r="BE571" s="3"/>
      <c r="BF571" s="3"/>
      <c r="BG571" s="3"/>
      <c r="BH571" s="3"/>
      <c r="BI571" s="3"/>
    </row>
    <row r="572" spans="1:61" ht="13.05" customHeight="1">
      <c r="B572" s="52" t="s">
        <v>362</v>
      </c>
      <c r="C572" s="1967"/>
      <c r="D572" s="1967"/>
      <c r="E572" s="1967"/>
      <c r="F572" s="1967"/>
      <c r="G572" s="1967"/>
      <c r="H572" s="1967"/>
      <c r="I572" s="1967"/>
      <c r="J572" s="1967"/>
      <c r="K572" s="1967"/>
      <c r="L572" s="1967"/>
      <c r="M572" s="1767" t="s">
        <v>1183</v>
      </c>
      <c r="N572" s="1767"/>
      <c r="O572" s="1767"/>
      <c r="P572" s="1767"/>
      <c r="Q572" s="1761"/>
      <c r="R572" s="1762"/>
      <c r="S572" s="1763"/>
      <c r="T572" s="1761"/>
      <c r="U572" s="1762"/>
      <c r="V572" s="1763"/>
      <c r="W572" s="1764"/>
      <c r="X572" s="1765"/>
      <c r="Y572" s="1766"/>
      <c r="Z572" s="1952" t="s">
        <v>1183</v>
      </c>
      <c r="AA572" s="1952"/>
      <c r="AB572" s="1952"/>
      <c r="AC572" s="1952"/>
      <c r="AD572" s="1952"/>
      <c r="AE572" s="1949"/>
      <c r="AF572" s="1950"/>
      <c r="AG572" s="1950"/>
      <c r="AH572" s="1951"/>
      <c r="AI572" s="1756"/>
      <c r="AJ572" s="1757"/>
      <c r="AK572" s="1757"/>
      <c r="AL572" s="1758"/>
      <c r="AM572" s="1775"/>
      <c r="AN572" s="1776"/>
      <c r="AO572" s="1776"/>
      <c r="AP572" s="1776"/>
      <c r="AQ572" s="1776"/>
      <c r="AR572" s="1776"/>
      <c r="AS572" s="1777"/>
      <c r="AT572" s="1142" t="str">
        <f t="shared" si="2"/>
        <v/>
      </c>
      <c r="BB572" s="3"/>
      <c r="BC572" s="3"/>
      <c r="BD572" s="3"/>
      <c r="BE572" s="3"/>
      <c r="BF572" s="3"/>
      <c r="BG572" s="3"/>
      <c r="BH572" s="3"/>
      <c r="BI572" s="3"/>
    </row>
    <row r="573" spans="1:61" ht="13.05" customHeight="1">
      <c r="B573" s="52" t="s">
        <v>363</v>
      </c>
      <c r="C573" s="1967"/>
      <c r="D573" s="1967"/>
      <c r="E573" s="1967"/>
      <c r="F573" s="1967"/>
      <c r="G573" s="1967"/>
      <c r="H573" s="1967"/>
      <c r="I573" s="1967"/>
      <c r="J573" s="1967"/>
      <c r="K573" s="1967"/>
      <c r="L573" s="1967"/>
      <c r="M573" s="1767" t="s">
        <v>1183</v>
      </c>
      <c r="N573" s="1767"/>
      <c r="O573" s="1767"/>
      <c r="P573" s="1767"/>
      <c r="Q573" s="1761"/>
      <c r="R573" s="1762"/>
      <c r="S573" s="1763"/>
      <c r="T573" s="1761"/>
      <c r="U573" s="1762"/>
      <c r="V573" s="1763"/>
      <c r="W573" s="1764"/>
      <c r="X573" s="1765"/>
      <c r="Y573" s="1766"/>
      <c r="Z573" s="1952" t="s">
        <v>1183</v>
      </c>
      <c r="AA573" s="1952"/>
      <c r="AB573" s="1952"/>
      <c r="AC573" s="1952"/>
      <c r="AD573" s="1952"/>
      <c r="AE573" s="1949"/>
      <c r="AF573" s="1950"/>
      <c r="AG573" s="1950"/>
      <c r="AH573" s="1951"/>
      <c r="AI573" s="1756"/>
      <c r="AJ573" s="1757"/>
      <c r="AK573" s="1757"/>
      <c r="AL573" s="1758"/>
      <c r="AM573" s="1775"/>
      <c r="AN573" s="1776"/>
      <c r="AO573" s="1776"/>
      <c r="AP573" s="1776"/>
      <c r="AQ573" s="1776"/>
      <c r="AR573" s="1776"/>
      <c r="AS573" s="1777"/>
      <c r="AT573" s="1142" t="str">
        <f t="shared" si="2"/>
        <v/>
      </c>
      <c r="BB573" s="3"/>
      <c r="BC573" s="3"/>
      <c r="BD573" s="3"/>
      <c r="BE573" s="3"/>
      <c r="BF573" s="3"/>
      <c r="BG573" s="3"/>
      <c r="BH573" s="3"/>
      <c r="BI573" s="3"/>
    </row>
    <row r="574" spans="1:61" ht="13.05" customHeight="1">
      <c r="B574" s="1770" t="s">
        <v>127</v>
      </c>
      <c r="C574" s="1771"/>
      <c r="D574" s="1771"/>
      <c r="E574" s="1771"/>
      <c r="F574" s="1771"/>
      <c r="G574" s="1771"/>
      <c r="H574" s="1771"/>
      <c r="I574" s="1771"/>
      <c r="J574" s="1771"/>
      <c r="K574" s="1771"/>
      <c r="L574" s="1771"/>
      <c r="M574" s="1771"/>
      <c r="N574" s="1771"/>
      <c r="O574" s="1771"/>
      <c r="P574" s="1771"/>
      <c r="Q574" s="1771"/>
      <c r="R574" s="1771"/>
      <c r="S574" s="1771"/>
      <c r="T574" s="1771"/>
      <c r="U574" s="1945"/>
      <c r="V574" s="1771"/>
      <c r="W574" s="1771"/>
      <c r="X574" s="1771"/>
      <c r="Y574" s="1771"/>
      <c r="Z574" s="1771"/>
      <c r="AA574" s="1771"/>
      <c r="AB574" s="1771"/>
      <c r="AC574" s="1771"/>
      <c r="AD574" s="1771"/>
      <c r="AE574" s="1771"/>
      <c r="AF574" s="1771"/>
      <c r="AG574" s="1771"/>
      <c r="AH574" s="1771"/>
      <c r="AI574" s="1771"/>
      <c r="AJ574" s="1771"/>
      <c r="AK574" s="1771"/>
      <c r="AL574" s="1772"/>
      <c r="AM574" s="1909">
        <f>SUM(AM562:AS573)</f>
        <v>79606911</v>
      </c>
      <c r="AN574" s="1910"/>
      <c r="AO574" s="1910"/>
      <c r="AP574" s="1910"/>
      <c r="AQ574" s="1910"/>
      <c r="AR574" s="1910"/>
      <c r="AS574" s="1911"/>
      <c r="BB574" s="3"/>
      <c r="BC574" s="3"/>
      <c r="BD574" s="3"/>
      <c r="BE574" s="3"/>
      <c r="BF574" s="3"/>
      <c r="BG574" s="3"/>
      <c r="BH574" s="3" t="s">
        <v>455</v>
      </c>
      <c r="BI574" s="3" t="str">
        <f>N681</f>
        <v>No</v>
      </c>
    </row>
    <row r="575" spans="1:61" ht="13.0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3.05" customHeight="1">
      <c r="A576" s="55" t="s">
        <v>112</v>
      </c>
      <c r="B576" t="s">
        <v>463</v>
      </c>
      <c r="G576" s="1709" t="str">
        <f>C562</f>
        <v>Construction Loan (Tax- Exempt)</v>
      </c>
      <c r="H576" s="1709"/>
      <c r="I576" s="1709"/>
      <c r="J576" s="1709"/>
      <c r="K576" s="1709"/>
      <c r="L576" s="1709"/>
      <c r="M576" s="1709"/>
      <c r="N576" s="1709"/>
      <c r="O576" s="1709"/>
      <c r="P576" s="1709"/>
      <c r="Q576" s="1709"/>
      <c r="R576" s="1709"/>
      <c r="S576" s="8"/>
      <c r="T576" s="55" t="s">
        <v>113</v>
      </c>
      <c r="U576" t="s">
        <v>463</v>
      </c>
      <c r="Z576" s="1709" t="str">
        <f>C563</f>
        <v>Construction Loan (Taxable)</v>
      </c>
      <c r="AA576" s="1709"/>
      <c r="AB576" s="1709"/>
      <c r="AC576" s="1709"/>
      <c r="AD576" s="1709"/>
      <c r="AE576" s="1709"/>
      <c r="AF576" s="1709"/>
      <c r="AG576" s="1709"/>
      <c r="AH576" s="1709"/>
      <c r="AI576" s="1709"/>
      <c r="AJ576" s="1709"/>
      <c r="AK576" s="1709"/>
      <c r="BB576" s="3"/>
      <c r="BC576" s="3"/>
      <c r="BD576" s="3"/>
      <c r="BE576" s="3"/>
      <c r="BF576" s="3"/>
      <c r="BG576" s="3"/>
      <c r="BH576" s="3"/>
      <c r="BI576" s="3"/>
    </row>
    <row r="577" spans="1:61" ht="13.05" customHeight="1">
      <c r="A577" s="22"/>
      <c r="B577" t="s">
        <v>85</v>
      </c>
      <c r="G577" s="1705" t="s">
        <v>2798</v>
      </c>
      <c r="H577" s="1705"/>
      <c r="I577" s="1705"/>
      <c r="J577" s="1705"/>
      <c r="K577" s="1705"/>
      <c r="L577" s="1705"/>
      <c r="M577" s="1705"/>
      <c r="N577" s="1705"/>
      <c r="O577" s="1705"/>
      <c r="P577" s="1705"/>
      <c r="Q577" s="1705"/>
      <c r="R577" s="1705"/>
      <c r="S577" s="8"/>
      <c r="T577" s="22"/>
      <c r="U577" t="s">
        <v>85</v>
      </c>
      <c r="Z577" s="1267" t="s">
        <v>2801</v>
      </c>
      <c r="AA577" s="1267"/>
      <c r="AB577" s="1267"/>
      <c r="AC577" s="1267"/>
      <c r="AD577" s="1267"/>
      <c r="AE577" s="1267"/>
      <c r="AF577" s="1267"/>
      <c r="AG577" s="1267"/>
      <c r="AH577" s="1267"/>
      <c r="AI577" s="1267"/>
      <c r="AJ577" s="1267"/>
      <c r="AK577" s="1267"/>
      <c r="BB577" s="3"/>
      <c r="BC577" s="3"/>
      <c r="BD577" s="3"/>
      <c r="BE577" s="3"/>
      <c r="BF577" s="3"/>
      <c r="BG577" s="3"/>
      <c r="BH577" s="3"/>
      <c r="BI577" s="3"/>
    </row>
    <row r="578" spans="1:61" ht="13.05" customHeight="1">
      <c r="A578" s="22"/>
      <c r="B578" t="s">
        <v>580</v>
      </c>
      <c r="G578" s="1705" t="s">
        <v>2799</v>
      </c>
      <c r="H578" s="1705"/>
      <c r="I578" s="1705"/>
      <c r="J578" s="1705"/>
      <c r="K578" s="1705"/>
      <c r="L578" s="1705"/>
      <c r="M578" s="1705"/>
      <c r="N578" s="1705"/>
      <c r="O578" s="1705"/>
      <c r="P578" s="1705"/>
      <c r="Q578" s="1705"/>
      <c r="R578" s="1705"/>
      <c r="T578" s="22"/>
      <c r="U578" t="s">
        <v>580</v>
      </c>
      <c r="Z578" s="251" t="s">
        <v>2802</v>
      </c>
      <c r="AA578" s="251"/>
      <c r="AB578" s="251"/>
      <c r="AC578" s="251"/>
      <c r="AD578" s="251"/>
      <c r="AE578" s="251"/>
      <c r="AF578" s="251"/>
      <c r="AG578" s="251"/>
      <c r="AH578" s="251"/>
      <c r="AI578" s="251"/>
      <c r="AJ578" s="251"/>
      <c r="AK578" s="251"/>
      <c r="BB578" s="3"/>
      <c r="BC578" s="3"/>
      <c r="BD578" s="3"/>
      <c r="BE578" s="3"/>
      <c r="BF578" s="3"/>
      <c r="BG578" s="3"/>
      <c r="BH578" s="3"/>
      <c r="BI578" s="3"/>
    </row>
    <row r="579" spans="1:61" ht="13.05" customHeight="1">
      <c r="A579" s="22"/>
      <c r="B579" t="s">
        <v>17</v>
      </c>
      <c r="G579" s="1705" t="s">
        <v>2800</v>
      </c>
      <c r="H579" s="1705"/>
      <c r="I579" s="1705"/>
      <c r="J579" s="1705"/>
      <c r="K579" s="1705"/>
      <c r="L579" s="1705"/>
      <c r="M579" s="1705"/>
      <c r="N579" s="1705"/>
      <c r="O579" s="1705"/>
      <c r="P579" s="1705"/>
      <c r="Q579" s="1705"/>
      <c r="R579" s="1705"/>
      <c r="S579" s="8"/>
      <c r="T579" s="22"/>
      <c r="U579" t="s">
        <v>17</v>
      </c>
      <c r="Z579" s="251" t="s">
        <v>2800</v>
      </c>
      <c r="AA579" s="251"/>
      <c r="AB579" s="251"/>
      <c r="AC579" s="251"/>
      <c r="AD579" s="251"/>
      <c r="AE579" s="251"/>
      <c r="AF579" s="251"/>
      <c r="AG579" s="251"/>
      <c r="AH579" s="251"/>
      <c r="AI579" s="251"/>
      <c r="AJ579" s="251"/>
      <c r="AK579" s="251"/>
      <c r="BB579" s="3"/>
      <c r="BC579" s="3"/>
      <c r="BD579" s="3"/>
      <c r="BE579" s="3"/>
      <c r="BF579" s="3"/>
      <c r="BG579" s="3"/>
      <c r="BH579" s="3"/>
      <c r="BI579" s="3"/>
    </row>
    <row r="580" spans="1:61" ht="13.05" customHeight="1">
      <c r="A580" s="22"/>
      <c r="B580" t="s">
        <v>316</v>
      </c>
      <c r="G580" s="1268" t="s">
        <v>2803</v>
      </c>
      <c r="H580" s="1266"/>
      <c r="I580" s="1266"/>
      <c r="J580" s="1266"/>
      <c r="K580" s="1266"/>
      <c r="L580" s="1266"/>
      <c r="O580" s="33" t="s">
        <v>206</v>
      </c>
      <c r="P580" s="1749"/>
      <c r="Q580" s="1749"/>
      <c r="R580" s="1749"/>
      <c r="S580" s="10"/>
      <c r="T580" s="22"/>
      <c r="U580" t="s">
        <v>316</v>
      </c>
      <c r="Z580" s="1953" t="s">
        <v>2803</v>
      </c>
      <c r="AA580" s="1714"/>
      <c r="AB580" s="1714"/>
      <c r="AC580" s="1714"/>
      <c r="AD580" s="1714"/>
      <c r="AE580" s="1714"/>
      <c r="AH580" s="33" t="s">
        <v>206</v>
      </c>
      <c r="AI580" s="1749"/>
      <c r="AJ580" s="1749"/>
      <c r="AK580" s="1749"/>
      <c r="BB580" s="3"/>
      <c r="BC580" s="3"/>
      <c r="BD580" s="3"/>
      <c r="BE580" s="3"/>
      <c r="BF580" s="3"/>
      <c r="BG580" s="3"/>
      <c r="BH580" s="3"/>
      <c r="BI580" s="3"/>
    </row>
    <row r="581" spans="1:61" ht="13.05" customHeight="1">
      <c r="A581" s="22"/>
      <c r="B581" t="s">
        <v>18</v>
      </c>
      <c r="H581" s="1705" t="s">
        <v>2729</v>
      </c>
      <c r="I581" s="1705"/>
      <c r="J581" s="1705"/>
      <c r="K581" s="1705"/>
      <c r="L581" s="1705"/>
      <c r="M581" s="1705"/>
      <c r="N581" s="1705"/>
      <c r="O581" s="1705"/>
      <c r="P581" s="1705"/>
      <c r="Q581" s="1705"/>
      <c r="R581" s="1705"/>
      <c r="S581" s="8"/>
      <c r="T581" s="22"/>
      <c r="U581" t="s">
        <v>18</v>
      </c>
      <c r="AA581" s="1705" t="s">
        <v>2730</v>
      </c>
      <c r="AB581" s="1705"/>
      <c r="AC581" s="1705"/>
      <c r="AD581" s="1705"/>
      <c r="AE581" s="1705"/>
      <c r="AF581" s="1705"/>
      <c r="AG581" s="1705"/>
      <c r="AH581" s="1705"/>
      <c r="AI581" s="1705"/>
      <c r="AJ581" s="1705"/>
      <c r="AK581" s="1705"/>
      <c r="BB581" s="3"/>
      <c r="BC581" s="3"/>
      <c r="BD581" s="3"/>
      <c r="BE581" s="3"/>
      <c r="BF581" s="3"/>
      <c r="BG581" s="3"/>
      <c r="BH581" s="3"/>
      <c r="BI581" s="3"/>
    </row>
    <row r="582" spans="1:61" ht="13.05" customHeight="1">
      <c r="A582" s="22"/>
      <c r="B582" s="320" t="s">
        <v>1184</v>
      </c>
      <c r="H582" s="8"/>
      <c r="I582" s="8"/>
      <c r="J582" s="8"/>
      <c r="K582" s="8"/>
      <c r="L582" s="8"/>
      <c r="M582" s="1925"/>
      <c r="N582" s="1925"/>
      <c r="O582" s="1925"/>
      <c r="P582" s="1925"/>
      <c r="Q582" s="1925"/>
      <c r="R582" s="1925"/>
      <c r="S582" s="8"/>
      <c r="T582" s="22"/>
      <c r="U582" s="320" t="s">
        <v>1184</v>
      </c>
      <c r="AA582" s="8"/>
      <c r="AB582" s="8"/>
      <c r="AC582" s="8"/>
      <c r="AD582" s="8"/>
      <c r="AE582" s="8"/>
      <c r="AF582" s="1925"/>
      <c r="AG582" s="1925"/>
      <c r="AH582" s="1925"/>
      <c r="AI582" s="1925"/>
      <c r="AJ582" s="1925"/>
      <c r="AK582" s="1925"/>
      <c r="BB582" s="3"/>
      <c r="BC582" s="3"/>
      <c r="BD582" s="3"/>
      <c r="BE582" s="3"/>
      <c r="BF582" s="3"/>
      <c r="BG582" s="3"/>
      <c r="BH582" s="3"/>
      <c r="BI582" s="3"/>
    </row>
    <row r="583" spans="1:61" ht="13.05" customHeight="1">
      <c r="A583" s="22"/>
      <c r="B583" t="s">
        <v>20</v>
      </c>
      <c r="N583" s="1599" t="s">
        <v>545</v>
      </c>
      <c r="O583" s="1599"/>
      <c r="T583" s="22"/>
      <c r="U583" t="s">
        <v>20</v>
      </c>
      <c r="AG583" s="1599" t="s">
        <v>545</v>
      </c>
      <c r="AH583" s="1599"/>
      <c r="BB583" s="3"/>
      <c r="BC583" s="3"/>
      <c r="BD583" s="3"/>
      <c r="BE583" s="3"/>
      <c r="BF583" s="3"/>
      <c r="BG583" s="3"/>
      <c r="BH583" s="3"/>
      <c r="BI583" s="3"/>
    </row>
    <row r="584" spans="1:61" ht="13.05" customHeight="1">
      <c r="A584" s="22"/>
      <c r="T584" s="22"/>
      <c r="BB584" s="3"/>
      <c r="BC584" s="3"/>
      <c r="BD584" s="3"/>
      <c r="BE584" s="3"/>
      <c r="BF584" s="3"/>
      <c r="BG584" s="3"/>
      <c r="BH584" s="3"/>
      <c r="BI584" s="3"/>
    </row>
    <row r="585" spans="1:61" ht="13.05" customHeight="1">
      <c r="A585" s="55" t="s">
        <v>119</v>
      </c>
      <c r="B585" t="s">
        <v>463</v>
      </c>
      <c r="G585" s="1709" t="str">
        <f>C564</f>
        <v>Federal LIHTC Equity</v>
      </c>
      <c r="H585" s="1709"/>
      <c r="I585" s="1709"/>
      <c r="J585" s="1709"/>
      <c r="K585" s="1709"/>
      <c r="L585" s="1709"/>
      <c r="M585" s="1709"/>
      <c r="N585" s="1709"/>
      <c r="O585" s="1709"/>
      <c r="P585" s="1709"/>
      <c r="Q585" s="1709"/>
      <c r="R585" s="1709"/>
      <c r="T585" s="55" t="s">
        <v>581</v>
      </c>
      <c r="U585" t="s">
        <v>463</v>
      </c>
      <c r="Z585" s="1709" t="str">
        <f>C565</f>
        <v>State LIHTC Equity</v>
      </c>
      <c r="AA585" s="1709"/>
      <c r="AB585" s="1709"/>
      <c r="AC585" s="1709"/>
      <c r="AD585" s="1709"/>
      <c r="AE585" s="1709"/>
      <c r="AF585" s="1709"/>
      <c r="AG585" s="1709"/>
      <c r="AH585" s="1709"/>
      <c r="AI585" s="1709"/>
      <c r="AJ585" s="1709"/>
      <c r="AK585" s="1709"/>
      <c r="BB585" s="3"/>
      <c r="BC585" s="3"/>
    </row>
    <row r="586" spans="1:61" ht="13.05" customHeight="1">
      <c r="A586" s="22"/>
      <c r="B586" t="s">
        <v>85</v>
      </c>
      <c r="G586" s="1705" t="s">
        <v>2705</v>
      </c>
      <c r="H586" s="1705"/>
      <c r="I586" s="1705"/>
      <c r="J586" s="1705"/>
      <c r="K586" s="1705"/>
      <c r="L586" s="1705"/>
      <c r="M586" s="1705"/>
      <c r="N586" s="1705"/>
      <c r="O586" s="1705"/>
      <c r="P586" s="1705"/>
      <c r="Q586" s="1705"/>
      <c r="R586" s="1705"/>
      <c r="T586" s="22"/>
      <c r="U586" t="s">
        <v>85</v>
      </c>
      <c r="Z586" s="1705" t="s">
        <v>2705</v>
      </c>
      <c r="AA586" s="1705"/>
      <c r="AB586" s="1705"/>
      <c r="AC586" s="1705"/>
      <c r="AD586" s="1705"/>
      <c r="AE586" s="1705"/>
      <c r="AF586" s="1705"/>
      <c r="AG586" s="1705"/>
      <c r="AH586" s="1705"/>
      <c r="AI586" s="1705"/>
      <c r="AJ586" s="1705"/>
      <c r="AK586" s="1705"/>
      <c r="BB586" s="3"/>
      <c r="BC586" s="3"/>
    </row>
    <row r="587" spans="1:61" ht="13.05" customHeight="1">
      <c r="A587" s="22"/>
      <c r="B587" t="s">
        <v>580</v>
      </c>
      <c r="G587" s="1710" t="s">
        <v>2784</v>
      </c>
      <c r="H587" s="1710"/>
      <c r="I587" s="1710"/>
      <c r="J587" s="1710"/>
      <c r="K587" s="1710"/>
      <c r="L587" s="1710"/>
      <c r="M587" s="1710"/>
      <c r="N587" s="1710"/>
      <c r="O587" s="1710"/>
      <c r="P587" s="1710"/>
      <c r="Q587" s="1710"/>
      <c r="R587" s="1710"/>
      <c r="T587" s="22"/>
      <c r="U587" t="s">
        <v>580</v>
      </c>
      <c r="Z587" s="1710" t="s">
        <v>2784</v>
      </c>
      <c r="AA587" s="1710"/>
      <c r="AB587" s="1710"/>
      <c r="AC587" s="1710"/>
      <c r="AD587" s="1710"/>
      <c r="AE587" s="1710"/>
      <c r="AF587" s="1710"/>
      <c r="AG587" s="1710"/>
      <c r="AH587" s="1710"/>
      <c r="AI587" s="1710"/>
      <c r="AJ587" s="1710"/>
      <c r="AK587" s="1710"/>
      <c r="BB587" s="3"/>
      <c r="BC587" s="3"/>
    </row>
    <row r="588" spans="1:61" ht="13.05" customHeight="1">
      <c r="A588" s="22"/>
      <c r="B588" t="s">
        <v>17</v>
      </c>
      <c r="G588" s="1710" t="s">
        <v>2707</v>
      </c>
      <c r="H588" s="1710"/>
      <c r="I588" s="1710"/>
      <c r="J588" s="1710"/>
      <c r="K588" s="1710"/>
      <c r="L588" s="1710"/>
      <c r="M588" s="1710"/>
      <c r="N588" s="1710"/>
      <c r="O588" s="1710"/>
      <c r="P588" s="1710"/>
      <c r="Q588" s="1710"/>
      <c r="R588" s="1710"/>
      <c r="T588" s="22"/>
      <c r="U588" t="s">
        <v>17</v>
      </c>
      <c r="Z588" s="1710" t="s">
        <v>2707</v>
      </c>
      <c r="AA588" s="1710"/>
      <c r="AB588" s="1710"/>
      <c r="AC588" s="1710"/>
      <c r="AD588" s="1710"/>
      <c r="AE588" s="1710"/>
      <c r="AF588" s="1710"/>
      <c r="AG588" s="1710"/>
      <c r="AH588" s="1710"/>
      <c r="AI588" s="1710"/>
      <c r="AJ588" s="1710"/>
      <c r="AK588" s="1710"/>
      <c r="BB588" s="3"/>
      <c r="BC588" s="3"/>
    </row>
    <row r="589" spans="1:61" ht="13.05" customHeight="1">
      <c r="A589" s="22"/>
      <c r="B589" t="s">
        <v>316</v>
      </c>
      <c r="G589" s="1714" t="s">
        <v>2708</v>
      </c>
      <c r="H589" s="1714"/>
      <c r="I589" s="1714"/>
      <c r="J589" s="1714"/>
      <c r="K589" s="1714"/>
      <c r="L589" s="1714"/>
      <c r="O589" s="33" t="s">
        <v>206</v>
      </c>
      <c r="P589" s="1749"/>
      <c r="Q589" s="1749"/>
      <c r="R589" s="1749"/>
      <c r="T589" s="22"/>
      <c r="U589" t="s">
        <v>316</v>
      </c>
      <c r="Z589" s="1714" t="s">
        <v>2708</v>
      </c>
      <c r="AA589" s="1714"/>
      <c r="AB589" s="1714"/>
      <c r="AC589" s="1714"/>
      <c r="AD589" s="1714"/>
      <c r="AE589" s="1714"/>
      <c r="AH589" s="33" t="s">
        <v>206</v>
      </c>
      <c r="AI589" s="1749"/>
      <c r="AJ589" s="1749"/>
      <c r="AK589" s="1749"/>
      <c r="BB589" s="3"/>
      <c r="BC589" s="3"/>
    </row>
    <row r="590" spans="1:61" ht="13.05" customHeight="1">
      <c r="A590" s="22"/>
      <c r="B590" t="s">
        <v>18</v>
      </c>
      <c r="H590" s="1705" t="s">
        <v>2731</v>
      </c>
      <c r="I590" s="1705"/>
      <c r="J590" s="1705"/>
      <c r="K590" s="1705"/>
      <c r="L590" s="1705"/>
      <c r="M590" s="1705"/>
      <c r="N590" s="1705"/>
      <c r="O590" s="1705"/>
      <c r="P590" s="1705"/>
      <c r="Q590" s="1705"/>
      <c r="R590" s="1705"/>
      <c r="T590" s="22"/>
      <c r="U590" t="s">
        <v>18</v>
      </c>
      <c r="AA590" s="1705" t="s">
        <v>2731</v>
      </c>
      <c r="AB590" s="1705"/>
      <c r="AC590" s="1705"/>
      <c r="AD590" s="1705"/>
      <c r="AE590" s="1705"/>
      <c r="AF590" s="1705"/>
      <c r="AG590" s="1705"/>
      <c r="AH590" s="1705"/>
      <c r="AI590" s="1705"/>
      <c r="AJ590" s="1705"/>
      <c r="AK590" s="1705"/>
      <c r="BB590" s="3"/>
      <c r="BC590" s="3"/>
    </row>
    <row r="591" spans="1:61" ht="13.05" customHeight="1">
      <c r="A591" s="22"/>
      <c r="B591" t="s">
        <v>20</v>
      </c>
      <c r="N591" s="1599" t="s">
        <v>545</v>
      </c>
      <c r="O591" s="1599"/>
      <c r="T591" s="22"/>
      <c r="U591" t="s">
        <v>20</v>
      </c>
      <c r="AG591" s="1599" t="s">
        <v>545</v>
      </c>
      <c r="AH591" s="1599"/>
      <c r="BB591" s="3"/>
      <c r="BC591" s="3"/>
    </row>
    <row r="592" spans="1:61" ht="13.05" customHeight="1">
      <c r="A592" s="22"/>
      <c r="T592" s="22"/>
      <c r="BB592" s="3"/>
      <c r="BC592" s="3"/>
    </row>
    <row r="593" spans="1:55" ht="13.05" customHeight="1">
      <c r="A593" s="55" t="s">
        <v>763</v>
      </c>
      <c r="B593" t="s">
        <v>463</v>
      </c>
      <c r="G593" s="1709" t="str">
        <f>C566</f>
        <v>MGP Contribution</v>
      </c>
      <c r="H593" s="1709"/>
      <c r="I593" s="1709"/>
      <c r="J593" s="1709"/>
      <c r="K593" s="1709"/>
      <c r="L593" s="1709"/>
      <c r="M593" s="1709"/>
      <c r="N593" s="1709"/>
      <c r="O593" s="1709"/>
      <c r="P593" s="1709"/>
      <c r="Q593" s="1709"/>
      <c r="R593" s="1709"/>
      <c r="T593" s="55" t="s">
        <v>584</v>
      </c>
      <c r="U593" t="s">
        <v>463</v>
      </c>
      <c r="Z593" s="1709" t="str">
        <f>C567</f>
        <v>Deferred Costs</v>
      </c>
      <c r="AA593" s="1709"/>
      <c r="AB593" s="1709"/>
      <c r="AC593" s="1709"/>
      <c r="AD593" s="1709"/>
      <c r="AE593" s="1709"/>
      <c r="AF593" s="1709"/>
      <c r="AG593" s="1709"/>
      <c r="AH593" s="1709"/>
      <c r="AI593" s="1709"/>
      <c r="AJ593" s="1709"/>
      <c r="AK593" s="1709"/>
      <c r="BB593" s="3"/>
      <c r="BC593" s="3"/>
    </row>
    <row r="594" spans="1:55" ht="13.05" customHeight="1">
      <c r="A594" s="22"/>
      <c r="B594" t="s">
        <v>85</v>
      </c>
      <c r="G594" s="1705" t="s">
        <v>2771</v>
      </c>
      <c r="H594" s="1705"/>
      <c r="I594" s="1705"/>
      <c r="J594" s="1705"/>
      <c r="K594" s="1705"/>
      <c r="L594" s="1705"/>
      <c r="M594" s="1705"/>
      <c r="N594" s="1705"/>
      <c r="O594" s="1705"/>
      <c r="P594" s="1705"/>
      <c r="Q594" s="1705"/>
      <c r="R594" s="1705"/>
      <c r="T594" s="22"/>
      <c r="U594" t="s">
        <v>85</v>
      </c>
      <c r="Z594" s="1705" t="s">
        <v>2732</v>
      </c>
      <c r="AA594" s="1705"/>
      <c r="AB594" s="1705"/>
      <c r="AC594" s="1705"/>
      <c r="AD594" s="1705"/>
      <c r="AE594" s="1705"/>
      <c r="AF594" s="1705"/>
      <c r="AG594" s="1705"/>
      <c r="AH594" s="1705"/>
      <c r="AI594" s="1705"/>
      <c r="AJ594" s="1705"/>
      <c r="AK594" s="1705"/>
      <c r="BB594" s="3"/>
      <c r="BC594" s="3"/>
    </row>
    <row r="595" spans="1:55" ht="13.05" customHeight="1">
      <c r="A595" s="22"/>
      <c r="B595" t="s">
        <v>580</v>
      </c>
      <c r="G595" s="1705" t="s">
        <v>2777</v>
      </c>
      <c r="H595" s="1705"/>
      <c r="I595" s="1705"/>
      <c r="J595" s="1705"/>
      <c r="K595" s="1705"/>
      <c r="L595" s="1705"/>
      <c r="M595" s="1705"/>
      <c r="N595" s="1705"/>
      <c r="O595" s="1705"/>
      <c r="P595" s="1705"/>
      <c r="Q595" s="1705"/>
      <c r="R595" s="1705"/>
      <c r="T595" s="22"/>
      <c r="U595" t="s">
        <v>580</v>
      </c>
      <c r="Z595" s="1705" t="s">
        <v>2733</v>
      </c>
      <c r="AA595" s="1705"/>
      <c r="AB595" s="1705"/>
      <c r="AC595" s="1705"/>
      <c r="AD595" s="1705"/>
      <c r="AE595" s="1705"/>
      <c r="AF595" s="1705"/>
      <c r="AG595" s="1705"/>
      <c r="AH595" s="1705"/>
      <c r="AI595" s="1705"/>
      <c r="AJ595" s="1705"/>
      <c r="AK595" s="1705"/>
      <c r="BB595" s="3"/>
      <c r="BC595" s="3"/>
    </row>
    <row r="596" spans="1:55" ht="13.05" customHeight="1">
      <c r="A596" s="22"/>
      <c r="B596" t="s">
        <v>17</v>
      </c>
      <c r="G596" s="1705" t="s">
        <v>2657</v>
      </c>
      <c r="H596" s="1705"/>
      <c r="I596" s="1705"/>
      <c r="J596" s="1705"/>
      <c r="K596" s="1705"/>
      <c r="L596" s="1705"/>
      <c r="M596" s="1705"/>
      <c r="N596" s="1705"/>
      <c r="O596" s="1705"/>
      <c r="P596" s="1705"/>
      <c r="Q596" s="1705"/>
      <c r="R596" s="1705"/>
      <c r="T596" s="22"/>
      <c r="U596" t="s">
        <v>17</v>
      </c>
      <c r="Z596" s="1705" t="s">
        <v>2651</v>
      </c>
      <c r="AA596" s="1705"/>
      <c r="AB596" s="1705"/>
      <c r="AC596" s="1705"/>
      <c r="AD596" s="1705"/>
      <c r="AE596" s="1705"/>
      <c r="AF596" s="1705"/>
      <c r="AG596" s="1705"/>
      <c r="AH596" s="1705"/>
      <c r="AI596" s="1705"/>
      <c r="AJ596" s="1705"/>
      <c r="AK596" s="1705"/>
    </row>
    <row r="597" spans="1:55" ht="13.05" customHeight="1">
      <c r="A597" s="22"/>
      <c r="B597" t="s">
        <v>316</v>
      </c>
      <c r="G597" s="1714" t="s">
        <v>2658</v>
      </c>
      <c r="H597" s="1714"/>
      <c r="I597" s="1714"/>
      <c r="J597" s="1714"/>
      <c r="K597" s="1714"/>
      <c r="L597" s="1714"/>
      <c r="O597" s="33" t="s">
        <v>206</v>
      </c>
      <c r="P597" s="1749"/>
      <c r="Q597" s="1749"/>
      <c r="R597" s="1749"/>
      <c r="T597" s="22"/>
      <c r="U597" t="s">
        <v>316</v>
      </c>
      <c r="Z597" s="1714" t="s">
        <v>2653</v>
      </c>
      <c r="AA597" s="1714"/>
      <c r="AB597" s="1714"/>
      <c r="AC597" s="1714"/>
      <c r="AD597" s="1714"/>
      <c r="AE597" s="1714"/>
      <c r="AH597" s="33" t="s">
        <v>206</v>
      </c>
      <c r="AI597" s="1749"/>
      <c r="AJ597" s="1749"/>
      <c r="AK597" s="1749"/>
      <c r="AZ597" s="3"/>
      <c r="BA597" s="3"/>
      <c r="BB597" s="3"/>
      <c r="BC597" s="3"/>
    </row>
    <row r="598" spans="1:55" ht="13.05" customHeight="1">
      <c r="A598" s="22"/>
      <c r="B598" t="s">
        <v>18</v>
      </c>
      <c r="H598" s="1705" t="s">
        <v>2790</v>
      </c>
      <c r="I598" s="1705"/>
      <c r="J598" s="1705"/>
      <c r="K598" s="1705"/>
      <c r="L598" s="1705"/>
      <c r="M598" s="1705"/>
      <c r="N598" s="1705"/>
      <c r="O598" s="1705"/>
      <c r="P598" s="1705"/>
      <c r="Q598" s="1705"/>
      <c r="R598" s="1705"/>
      <c r="T598" s="22"/>
      <c r="U598" t="s">
        <v>18</v>
      </c>
      <c r="AA598" s="1705" t="s">
        <v>2734</v>
      </c>
      <c r="AB598" s="1705"/>
      <c r="AC598" s="1705"/>
      <c r="AD598" s="1705"/>
      <c r="AE598" s="1705"/>
      <c r="AF598" s="1705"/>
      <c r="AG598" s="1705"/>
      <c r="AH598" s="1705"/>
      <c r="AI598" s="1705"/>
      <c r="AJ598" s="1705"/>
      <c r="AK598" s="1705"/>
      <c r="AZ598" s="3"/>
      <c r="BA598" s="3"/>
      <c r="BB598" s="3"/>
      <c r="BC598" s="3"/>
    </row>
    <row r="599" spans="1:55" ht="13.05" customHeight="1">
      <c r="A599" s="22"/>
      <c r="B599" t="s">
        <v>20</v>
      </c>
      <c r="N599" s="1599" t="s">
        <v>545</v>
      </c>
      <c r="O599" s="1599"/>
      <c r="T599" s="22"/>
      <c r="U599" t="s">
        <v>20</v>
      </c>
      <c r="AG599" s="1599" t="s">
        <v>669</v>
      </c>
      <c r="AH599" s="1599"/>
      <c r="AZ599" s="3"/>
      <c r="BA599" s="3"/>
      <c r="BB599" s="3"/>
      <c r="BC599" s="3"/>
    </row>
    <row r="600" spans="1:55" ht="13.05" customHeight="1">
      <c r="A600" s="22"/>
      <c r="T600" s="22"/>
      <c r="AZ600" s="3"/>
      <c r="BA600" s="3"/>
      <c r="BB600" s="3"/>
      <c r="BC600" s="3"/>
    </row>
    <row r="601" spans="1:55" ht="13.05" customHeight="1">
      <c r="A601" s="55" t="s">
        <v>455</v>
      </c>
      <c r="B601" t="s">
        <v>463</v>
      </c>
      <c r="G601" s="1709">
        <f>C568</f>
        <v>0</v>
      </c>
      <c r="H601" s="1709"/>
      <c r="I601" s="1709"/>
      <c r="J601" s="1709"/>
      <c r="K601" s="1709"/>
      <c r="L601" s="1709"/>
      <c r="M601" s="1709"/>
      <c r="N601" s="1709"/>
      <c r="O601" s="1709"/>
      <c r="P601" s="1709"/>
      <c r="Q601" s="1709"/>
      <c r="R601" s="1709"/>
      <c r="T601" s="55" t="s">
        <v>456</v>
      </c>
      <c r="U601" t="s">
        <v>463</v>
      </c>
      <c r="Z601" s="1709">
        <f>C569</f>
        <v>0</v>
      </c>
      <c r="AA601" s="1709"/>
      <c r="AB601" s="1709"/>
      <c r="AC601" s="1709"/>
      <c r="AD601" s="1709"/>
      <c r="AE601" s="1709"/>
      <c r="AF601" s="1709"/>
      <c r="AG601" s="1709"/>
      <c r="AH601" s="1709"/>
      <c r="AI601" s="1709"/>
      <c r="AJ601" s="1709"/>
      <c r="AK601" s="1709"/>
      <c r="AZ601" s="3"/>
      <c r="BA601" s="3"/>
      <c r="BB601" s="3"/>
      <c r="BC601" s="3"/>
    </row>
    <row r="602" spans="1:55" s="4" customFormat="1" ht="13.05" customHeight="1">
      <c r="A602" s="22"/>
      <c r="B602" t="s">
        <v>85</v>
      </c>
      <c r="C602"/>
      <c r="D602"/>
      <c r="E602"/>
      <c r="F602"/>
      <c r="G602" s="1705"/>
      <c r="H602" s="1705"/>
      <c r="I602" s="1705"/>
      <c r="J602" s="1705"/>
      <c r="K602" s="1705"/>
      <c r="L602" s="1705"/>
      <c r="M602" s="1705"/>
      <c r="N602" s="1705"/>
      <c r="O602" s="1705"/>
      <c r="P602" s="1705"/>
      <c r="Q602" s="1705"/>
      <c r="R602" s="1705"/>
      <c r="S602"/>
      <c r="T602" s="22"/>
      <c r="U602" t="s">
        <v>85</v>
      </c>
      <c r="V602"/>
      <c r="W602"/>
      <c r="X602"/>
      <c r="Y602"/>
      <c r="Z602" s="1705"/>
      <c r="AA602" s="1705"/>
      <c r="AB602" s="1705"/>
      <c r="AC602" s="1705"/>
      <c r="AD602" s="1705"/>
      <c r="AE602" s="1705"/>
      <c r="AF602" s="1705"/>
      <c r="AG602" s="1705"/>
      <c r="AH602" s="1705"/>
      <c r="AI602" s="1705"/>
      <c r="AJ602" s="1705"/>
      <c r="AK602" s="1705"/>
      <c r="AL602"/>
      <c r="AM602"/>
      <c r="AN602"/>
      <c r="AO602"/>
      <c r="AP602"/>
      <c r="AQ602"/>
      <c r="AR602"/>
      <c r="AS602"/>
      <c r="AT602"/>
      <c r="AU602"/>
      <c r="AV602"/>
      <c r="AW602"/>
      <c r="AX602"/>
      <c r="AY602"/>
      <c r="AZ602" s="3"/>
      <c r="BA602" s="3"/>
      <c r="BB602" s="3"/>
      <c r="BC602" s="3"/>
    </row>
    <row r="603" spans="1:55" s="4" customFormat="1" ht="13.05" customHeight="1">
      <c r="A603" s="22"/>
      <c r="B603" t="s">
        <v>580</v>
      </c>
      <c r="C603"/>
      <c r="D603"/>
      <c r="E603"/>
      <c r="F603"/>
      <c r="G603" s="1705"/>
      <c r="H603" s="1705"/>
      <c r="I603" s="1705"/>
      <c r="J603" s="1705"/>
      <c r="K603" s="1705"/>
      <c r="L603" s="1705"/>
      <c r="M603" s="1705"/>
      <c r="N603" s="1705"/>
      <c r="O603" s="1705"/>
      <c r="P603" s="1705"/>
      <c r="Q603" s="1705"/>
      <c r="R603" s="1705"/>
      <c r="S603"/>
      <c r="T603" s="22"/>
      <c r="U603" t="s">
        <v>580</v>
      </c>
      <c r="V603"/>
      <c r="W603"/>
      <c r="X603"/>
      <c r="Y603"/>
      <c r="Z603" s="1710"/>
      <c r="AA603" s="1710"/>
      <c r="AB603" s="1710"/>
      <c r="AC603" s="1710"/>
      <c r="AD603" s="1710"/>
      <c r="AE603" s="1710"/>
      <c r="AF603" s="1710"/>
      <c r="AG603" s="1710"/>
      <c r="AH603" s="1710"/>
      <c r="AI603" s="1710"/>
      <c r="AJ603" s="1710"/>
      <c r="AK603" s="1710"/>
      <c r="AL603"/>
      <c r="AM603"/>
      <c r="AN603"/>
      <c r="AO603"/>
      <c r="AP603"/>
      <c r="AQ603"/>
      <c r="AR603"/>
      <c r="AS603"/>
      <c r="AT603"/>
      <c r="AU603"/>
      <c r="AV603"/>
      <c r="AW603"/>
      <c r="AX603"/>
      <c r="AY603"/>
      <c r="AZ603" s="3"/>
      <c r="BA603" s="3"/>
      <c r="BB603" s="3"/>
      <c r="BC603" s="3"/>
    </row>
    <row r="604" spans="1:55" s="4" customFormat="1" ht="13.05" customHeight="1">
      <c r="A604" s="22"/>
      <c r="B604" t="s">
        <v>17</v>
      </c>
      <c r="C604"/>
      <c r="D604"/>
      <c r="E604"/>
      <c r="F604"/>
      <c r="G604" s="1705"/>
      <c r="H604" s="1705"/>
      <c r="I604" s="1705"/>
      <c r="J604" s="1705"/>
      <c r="K604" s="1705"/>
      <c r="L604" s="1705"/>
      <c r="M604" s="1705"/>
      <c r="N604" s="1705"/>
      <c r="O604" s="1705"/>
      <c r="P604" s="1705"/>
      <c r="Q604" s="1705"/>
      <c r="R604" s="1705"/>
      <c r="S604"/>
      <c r="T604" s="22"/>
      <c r="U604" t="s">
        <v>17</v>
      </c>
      <c r="V604"/>
      <c r="W604"/>
      <c r="X604"/>
      <c r="Y604"/>
      <c r="Z604" s="1710"/>
      <c r="AA604" s="1710"/>
      <c r="AB604" s="1710"/>
      <c r="AC604" s="1710"/>
      <c r="AD604" s="1710"/>
      <c r="AE604" s="1710"/>
      <c r="AF604" s="1710"/>
      <c r="AG604" s="1710"/>
      <c r="AH604" s="1710"/>
      <c r="AI604" s="1710"/>
      <c r="AJ604" s="1710"/>
      <c r="AK604" s="1710"/>
      <c r="AL604"/>
      <c r="AM604"/>
      <c r="AN604"/>
      <c r="AO604"/>
      <c r="AP604"/>
      <c r="AQ604"/>
      <c r="AR604"/>
      <c r="AS604"/>
      <c r="AT604"/>
      <c r="AU604"/>
      <c r="AV604"/>
      <c r="AW604"/>
      <c r="AX604"/>
      <c r="AY604"/>
      <c r="BB604" s="3"/>
      <c r="BC604" s="3"/>
    </row>
    <row r="605" spans="1:55" s="4" customFormat="1" ht="13.05" customHeight="1">
      <c r="A605" s="22"/>
      <c r="B605" t="s">
        <v>316</v>
      </c>
      <c r="C605"/>
      <c r="D605"/>
      <c r="E605"/>
      <c r="F605"/>
      <c r="G605" s="1714"/>
      <c r="H605" s="1714"/>
      <c r="I605" s="1714"/>
      <c r="J605" s="1714"/>
      <c r="K605" s="1714"/>
      <c r="L605" s="1714"/>
      <c r="M605"/>
      <c r="N605"/>
      <c r="O605" s="33" t="s">
        <v>206</v>
      </c>
      <c r="P605" s="1749"/>
      <c r="Q605" s="1749"/>
      <c r="R605" s="1749"/>
      <c r="S605"/>
      <c r="T605" s="22"/>
      <c r="U605" t="s">
        <v>316</v>
      </c>
      <c r="V605"/>
      <c r="W605"/>
      <c r="X605"/>
      <c r="Y605"/>
      <c r="Z605" s="1714"/>
      <c r="AA605" s="1714"/>
      <c r="AB605" s="1714"/>
      <c r="AC605" s="1714"/>
      <c r="AD605" s="1714"/>
      <c r="AE605" s="1714"/>
      <c r="AF605"/>
      <c r="AG605"/>
      <c r="AH605" s="33" t="s">
        <v>206</v>
      </c>
      <c r="AI605" s="1749"/>
      <c r="AJ605" s="1749"/>
      <c r="AK605" s="1749"/>
      <c r="AL605"/>
      <c r="AM605"/>
      <c r="AN605"/>
      <c r="AO605"/>
      <c r="AP605"/>
      <c r="AQ605"/>
      <c r="AR605"/>
      <c r="AS605"/>
      <c r="AT605"/>
      <c r="AU605"/>
      <c r="AV605"/>
      <c r="AW605"/>
      <c r="AX605"/>
      <c r="AY605"/>
      <c r="BB605" s="3"/>
      <c r="BC605" s="3"/>
    </row>
    <row r="606" spans="1:55" s="4" customFormat="1" ht="13.05" customHeight="1">
      <c r="A606" s="22"/>
      <c r="B606" t="s">
        <v>18</v>
      </c>
      <c r="C606"/>
      <c r="D606"/>
      <c r="E606"/>
      <c r="F606"/>
      <c r="G606"/>
      <c r="H606" s="1705"/>
      <c r="I606" s="1705"/>
      <c r="J606" s="1705"/>
      <c r="K606" s="1705"/>
      <c r="L606" s="1705"/>
      <c r="M606" s="1705"/>
      <c r="N606" s="1705"/>
      <c r="O606" s="1705"/>
      <c r="P606" s="1705"/>
      <c r="Q606" s="1705"/>
      <c r="R606" s="1705"/>
      <c r="S606"/>
      <c r="T606" s="22"/>
      <c r="U606" t="s">
        <v>18</v>
      </c>
      <c r="V606"/>
      <c r="W606"/>
      <c r="X606"/>
      <c r="Y606"/>
      <c r="Z606"/>
      <c r="AA606" s="1705"/>
      <c r="AB606" s="1705"/>
      <c r="AC606" s="1705"/>
      <c r="AD606" s="1705"/>
      <c r="AE606" s="1705"/>
      <c r="AF606" s="1705"/>
      <c r="AG606" s="1705"/>
      <c r="AH606" s="1705"/>
      <c r="AI606" s="1705"/>
      <c r="AJ606" s="1705"/>
      <c r="AK606" s="1705"/>
      <c r="AL606"/>
      <c r="AM606"/>
      <c r="AN606"/>
      <c r="AO606"/>
      <c r="AP606"/>
      <c r="AQ606"/>
      <c r="AR606"/>
      <c r="AS606"/>
      <c r="AT606"/>
      <c r="AU606"/>
      <c r="AV606"/>
      <c r="AW606"/>
      <c r="AX606"/>
      <c r="AY606"/>
      <c r="BB606" s="3"/>
      <c r="BC606" s="3"/>
    </row>
    <row r="607" spans="1:55" ht="13.05" customHeight="1">
      <c r="A607" s="22"/>
      <c r="B607" t="s">
        <v>20</v>
      </c>
      <c r="N607" s="1599" t="s">
        <v>669</v>
      </c>
      <c r="O607" s="1599"/>
      <c r="T607" s="22"/>
      <c r="U607" t="s">
        <v>20</v>
      </c>
      <c r="AG607" s="1599" t="s">
        <v>669</v>
      </c>
      <c r="AH607" s="1599"/>
      <c r="BB607" s="3"/>
      <c r="BC607" s="3"/>
    </row>
    <row r="608" spans="1:55" ht="13.05" customHeight="1">
      <c r="A608" s="22"/>
      <c r="T608" s="22"/>
      <c r="BB608" s="3"/>
      <c r="BC608" s="3"/>
    </row>
    <row r="609" spans="1:55" ht="13.05" customHeight="1">
      <c r="A609" s="55" t="s">
        <v>461</v>
      </c>
      <c r="B609" t="s">
        <v>463</v>
      </c>
      <c r="G609" s="1709">
        <f>C570</f>
        <v>0</v>
      </c>
      <c r="H609" s="1709"/>
      <c r="I609" s="1709"/>
      <c r="J609" s="1709"/>
      <c r="K609" s="1709"/>
      <c r="L609" s="1709"/>
      <c r="M609" s="1709"/>
      <c r="N609" s="1709"/>
      <c r="O609" s="1709"/>
      <c r="P609" s="1709"/>
      <c r="Q609" s="1709"/>
      <c r="R609" s="1709"/>
      <c r="T609" s="55" t="s">
        <v>646</v>
      </c>
      <c r="U609" t="s">
        <v>463</v>
      </c>
      <c r="Z609" s="1709">
        <f>C571</f>
        <v>0</v>
      </c>
      <c r="AA609" s="1709"/>
      <c r="AB609" s="1709"/>
      <c r="AC609" s="1709"/>
      <c r="AD609" s="1709"/>
      <c r="AE609" s="1709"/>
      <c r="AF609" s="1709"/>
      <c r="AG609" s="1709"/>
      <c r="AH609" s="1709"/>
      <c r="AI609" s="1709"/>
      <c r="AJ609" s="1709"/>
      <c r="AK609" s="1709"/>
      <c r="BB609" s="3"/>
      <c r="BC609" s="3"/>
    </row>
    <row r="610" spans="1:55" ht="13.05" customHeight="1">
      <c r="A610" s="22"/>
      <c r="B610" t="s">
        <v>85</v>
      </c>
      <c r="G610" s="1705"/>
      <c r="H610" s="1705"/>
      <c r="I610" s="1705"/>
      <c r="J610" s="1705"/>
      <c r="K610" s="1705"/>
      <c r="L610" s="1705"/>
      <c r="M610" s="1705"/>
      <c r="N610" s="1705"/>
      <c r="O610" s="1705"/>
      <c r="P610" s="1705"/>
      <c r="Q610" s="1705"/>
      <c r="R610" s="1705"/>
      <c r="T610" s="22"/>
      <c r="U610" t="s">
        <v>85</v>
      </c>
      <c r="Z610" s="1705"/>
      <c r="AA610" s="1705"/>
      <c r="AB610" s="1705"/>
      <c r="AC610" s="1705"/>
      <c r="AD610" s="1705"/>
      <c r="AE610" s="1705"/>
      <c r="AF610" s="1705"/>
      <c r="AG610" s="1705"/>
      <c r="AH610" s="1705"/>
      <c r="AI610" s="1705"/>
      <c r="AJ610" s="1705"/>
      <c r="AK610" s="1705"/>
      <c r="AZ610" s="3"/>
      <c r="BA610" s="3"/>
      <c r="BB610" s="3"/>
      <c r="BC610" s="3"/>
    </row>
    <row r="611" spans="1:55" ht="13.05" customHeight="1">
      <c r="A611" s="22"/>
      <c r="B611" t="s">
        <v>580</v>
      </c>
      <c r="G611" s="1705"/>
      <c r="H611" s="1705"/>
      <c r="I611" s="1705"/>
      <c r="J611" s="1705"/>
      <c r="K611" s="1705"/>
      <c r="L611" s="1705"/>
      <c r="M611" s="1705"/>
      <c r="N611" s="1705"/>
      <c r="O611" s="1705"/>
      <c r="P611" s="1705"/>
      <c r="Q611" s="1705"/>
      <c r="R611" s="1705"/>
      <c r="T611" s="22"/>
      <c r="U611" t="s">
        <v>580</v>
      </c>
      <c r="Z611" s="1710"/>
      <c r="AA611" s="1710"/>
      <c r="AB611" s="1710"/>
      <c r="AC611" s="1710"/>
      <c r="AD611" s="1710"/>
      <c r="AE611" s="1710"/>
      <c r="AF611" s="1710"/>
      <c r="AG611" s="1710"/>
      <c r="AH611" s="1710"/>
      <c r="AI611" s="1710"/>
      <c r="AJ611" s="1710"/>
      <c r="AK611" s="1710"/>
      <c r="AZ611" s="3"/>
      <c r="BA611" s="3"/>
      <c r="BB611" s="3"/>
      <c r="BC611" s="3"/>
    </row>
    <row r="612" spans="1:55" ht="13.05" customHeight="1">
      <c r="A612" s="22"/>
      <c r="B612" t="s">
        <v>17</v>
      </c>
      <c r="G612" s="1705"/>
      <c r="H612" s="1705"/>
      <c r="I612" s="1705"/>
      <c r="J612" s="1705"/>
      <c r="K612" s="1705"/>
      <c r="L612" s="1705"/>
      <c r="M612" s="1705"/>
      <c r="N612" s="1705"/>
      <c r="O612" s="1705"/>
      <c r="P612" s="1705"/>
      <c r="Q612" s="1705"/>
      <c r="R612" s="1705"/>
      <c r="T612" s="22"/>
      <c r="U612" t="s">
        <v>17</v>
      </c>
      <c r="Z612" s="1710"/>
      <c r="AA612" s="1710"/>
      <c r="AB612" s="1710"/>
      <c r="AC612" s="1710"/>
      <c r="AD612" s="1710"/>
      <c r="AE612" s="1710"/>
      <c r="AF612" s="1710"/>
      <c r="AG612" s="1710"/>
      <c r="AH612" s="1710"/>
      <c r="AI612" s="1710"/>
      <c r="AJ612" s="1710"/>
      <c r="AK612" s="1710"/>
      <c r="AZ612" s="3"/>
      <c r="BA612" s="3"/>
      <c r="BB612" s="3"/>
      <c r="BC612" s="3"/>
    </row>
    <row r="613" spans="1:55" s="4" customFormat="1" ht="13.05" customHeight="1">
      <c r="A613" s="22"/>
      <c r="B613" t="s">
        <v>316</v>
      </c>
      <c r="C613"/>
      <c r="D613"/>
      <c r="E613"/>
      <c r="F613"/>
      <c r="G613" s="1714"/>
      <c r="H613" s="1714"/>
      <c r="I613" s="1714"/>
      <c r="J613" s="1714"/>
      <c r="K613" s="1714"/>
      <c r="L613" s="1714"/>
      <c r="M613"/>
      <c r="N613"/>
      <c r="O613" s="33" t="s">
        <v>206</v>
      </c>
      <c r="P613" s="1749"/>
      <c r="Q613" s="1749"/>
      <c r="R613" s="1749"/>
      <c r="S613"/>
      <c r="T613" s="22"/>
      <c r="U613" t="s">
        <v>316</v>
      </c>
      <c r="V613"/>
      <c r="W613"/>
      <c r="X613"/>
      <c r="Y613"/>
      <c r="Z613" s="1714"/>
      <c r="AA613" s="1714"/>
      <c r="AB613" s="1714"/>
      <c r="AC613" s="1714"/>
      <c r="AD613" s="1714"/>
      <c r="AE613" s="1714"/>
      <c r="AF613"/>
      <c r="AG613"/>
      <c r="AH613" s="33" t="s">
        <v>206</v>
      </c>
      <c r="AI613" s="1749"/>
      <c r="AJ613" s="1749"/>
      <c r="AK613" s="1749"/>
      <c r="AL613"/>
      <c r="AM613"/>
      <c r="AN613"/>
      <c r="AO613"/>
      <c r="AP613"/>
      <c r="AQ613"/>
      <c r="AR613"/>
      <c r="AS613"/>
      <c r="AT613"/>
      <c r="AU613"/>
      <c r="AV613"/>
      <c r="AW613"/>
      <c r="AX613"/>
      <c r="AY613"/>
      <c r="AZ613" s="3"/>
      <c r="BA613" s="3"/>
      <c r="BB613" s="3"/>
      <c r="BC613" s="3"/>
    </row>
    <row r="614" spans="1:55" s="4" customFormat="1" ht="13.05" customHeight="1">
      <c r="A614" s="22"/>
      <c r="B614" t="s">
        <v>18</v>
      </c>
      <c r="C614"/>
      <c r="D614"/>
      <c r="E614"/>
      <c r="F614"/>
      <c r="G614"/>
      <c r="H614" s="1705"/>
      <c r="I614" s="1705"/>
      <c r="J614" s="1705"/>
      <c r="K614" s="1705"/>
      <c r="L614" s="1705"/>
      <c r="M614" s="1705"/>
      <c r="N614" s="1705"/>
      <c r="O614" s="1705"/>
      <c r="P614" s="1705"/>
      <c r="Q614" s="1705"/>
      <c r="R614" s="1705"/>
      <c r="S614"/>
      <c r="T614" s="22"/>
      <c r="U614" t="s">
        <v>18</v>
      </c>
      <c r="V614"/>
      <c r="W614"/>
      <c r="X614"/>
      <c r="Y614"/>
      <c r="Z614"/>
      <c r="AA614" s="1705"/>
      <c r="AB614" s="1705"/>
      <c r="AC614" s="1705"/>
      <c r="AD614" s="1705"/>
      <c r="AE614" s="1705"/>
      <c r="AF614" s="1705"/>
      <c r="AG614" s="1705"/>
      <c r="AH614" s="1705"/>
      <c r="AI614" s="1705"/>
      <c r="AJ614" s="1705"/>
      <c r="AK614" s="1705"/>
      <c r="AL614"/>
      <c r="AM614"/>
      <c r="AN614"/>
      <c r="AO614"/>
      <c r="AP614"/>
      <c r="AQ614"/>
      <c r="AR614"/>
      <c r="AS614"/>
      <c r="AT614"/>
      <c r="AU614"/>
      <c r="AV614"/>
      <c r="AW614"/>
      <c r="AX614"/>
      <c r="AY614"/>
      <c r="AZ614" s="3"/>
      <c r="BA614" s="3"/>
      <c r="BB614" s="3"/>
      <c r="BC614" s="3"/>
    </row>
    <row r="615" spans="1:55" s="4" customFormat="1" ht="13.05" customHeight="1">
      <c r="A615" s="22"/>
      <c r="B615" t="s">
        <v>20</v>
      </c>
      <c r="C615"/>
      <c r="D615"/>
      <c r="E615"/>
      <c r="F615"/>
      <c r="G615"/>
      <c r="H615"/>
      <c r="I615"/>
      <c r="J615"/>
      <c r="K615"/>
      <c r="L615"/>
      <c r="M615"/>
      <c r="N615" s="1599" t="s">
        <v>669</v>
      </c>
      <c r="O615" s="1599"/>
      <c r="P615"/>
      <c r="Q615"/>
      <c r="R615"/>
      <c r="S615"/>
      <c r="T615" s="22"/>
      <c r="U615" t="s">
        <v>20</v>
      </c>
      <c r="V615"/>
      <c r="W615"/>
      <c r="X615"/>
      <c r="Y615"/>
      <c r="Z615"/>
      <c r="AA615"/>
      <c r="AB615"/>
      <c r="AC615"/>
      <c r="AD615"/>
      <c r="AE615"/>
      <c r="AF615"/>
      <c r="AG615" s="1599" t="s">
        <v>669</v>
      </c>
      <c r="AH615" s="1599"/>
      <c r="AI615"/>
      <c r="AJ615"/>
      <c r="AK615"/>
      <c r="AL615"/>
      <c r="AM615"/>
      <c r="AN615"/>
      <c r="AO615"/>
      <c r="AP615"/>
      <c r="AQ615"/>
      <c r="AR615"/>
      <c r="AS615"/>
      <c r="AT615"/>
      <c r="AU615"/>
      <c r="AV615"/>
      <c r="AW615"/>
      <c r="AX615"/>
      <c r="AY615"/>
      <c r="AZ615" s="3"/>
      <c r="BA615" s="3"/>
      <c r="BB615" s="3"/>
      <c r="BC615" s="3"/>
    </row>
    <row r="616" spans="1:55" ht="13.05" customHeight="1">
      <c r="A616" s="22"/>
      <c r="T616" s="22"/>
      <c r="AZ616" s="3"/>
      <c r="BA616" s="3"/>
      <c r="BB616" s="3"/>
      <c r="BC616" s="3"/>
    </row>
    <row r="617" spans="1:55" ht="13.05" customHeight="1">
      <c r="A617" s="55" t="s">
        <v>362</v>
      </c>
      <c r="B617" t="s">
        <v>463</v>
      </c>
      <c r="G617" s="1709">
        <f>C572</f>
        <v>0</v>
      </c>
      <c r="H617" s="1709"/>
      <c r="I617" s="1709"/>
      <c r="J617" s="1709"/>
      <c r="K617" s="1709"/>
      <c r="L617" s="1709"/>
      <c r="M617" s="1709"/>
      <c r="N617" s="1709"/>
      <c r="O617" s="1709"/>
      <c r="P617" s="1709"/>
      <c r="Q617" s="1709"/>
      <c r="R617" s="1709"/>
      <c r="T617" s="55" t="s">
        <v>363</v>
      </c>
      <c r="U617" t="s">
        <v>463</v>
      </c>
      <c r="Z617" s="1709">
        <f>C573</f>
        <v>0</v>
      </c>
      <c r="AA617" s="1709"/>
      <c r="AB617" s="1709"/>
      <c r="AC617" s="1709"/>
      <c r="AD617" s="1709"/>
      <c r="AE617" s="1709"/>
      <c r="AF617" s="1709"/>
      <c r="AG617" s="1709"/>
      <c r="AH617" s="1709"/>
      <c r="AI617" s="1709"/>
      <c r="AJ617" s="1709"/>
      <c r="AK617" s="1709"/>
      <c r="AZ617" s="3"/>
      <c r="BA617" s="3"/>
      <c r="BB617" s="3"/>
      <c r="BC617" s="3"/>
    </row>
    <row r="618" spans="1:55" ht="13.05" customHeight="1">
      <c r="B618" t="s">
        <v>85</v>
      </c>
      <c r="G618" s="1705"/>
      <c r="H618" s="1705"/>
      <c r="I618" s="1705"/>
      <c r="J618" s="1705"/>
      <c r="K618" s="1705"/>
      <c r="L618" s="1705"/>
      <c r="M618" s="1705"/>
      <c r="N618" s="1705"/>
      <c r="O618" s="1705"/>
      <c r="P618" s="1705"/>
      <c r="Q618" s="1705"/>
      <c r="R618" s="1705"/>
      <c r="U618" t="s">
        <v>85</v>
      </c>
      <c r="Z618" s="1705"/>
      <c r="AA618" s="1705"/>
      <c r="AB618" s="1705"/>
      <c r="AC618" s="1705"/>
      <c r="AD618" s="1705"/>
      <c r="AE618" s="1705"/>
      <c r="AF618" s="1705"/>
      <c r="AG618" s="1705"/>
      <c r="AH618" s="1705"/>
      <c r="AI618" s="1705"/>
      <c r="AJ618" s="1705"/>
      <c r="AK618" s="1705"/>
      <c r="AZ618" s="3"/>
      <c r="BA618" s="3"/>
      <c r="BB618" s="3"/>
      <c r="BC618" s="3"/>
    </row>
    <row r="619" spans="1:55" ht="13.05" customHeight="1">
      <c r="B619" t="s">
        <v>580</v>
      </c>
      <c r="G619" s="1705"/>
      <c r="H619" s="1705"/>
      <c r="I619" s="1705"/>
      <c r="J619" s="1705"/>
      <c r="K619" s="1705"/>
      <c r="L619" s="1705"/>
      <c r="M619" s="1705"/>
      <c r="N619" s="1705"/>
      <c r="O619" s="1705"/>
      <c r="P619" s="1705"/>
      <c r="Q619" s="1705"/>
      <c r="R619" s="1705"/>
      <c r="U619" t="s">
        <v>580</v>
      </c>
      <c r="Z619" s="1710"/>
      <c r="AA619" s="1710"/>
      <c r="AB619" s="1710"/>
      <c r="AC619" s="1710"/>
      <c r="AD619" s="1710"/>
      <c r="AE619" s="1710"/>
      <c r="AF619" s="1710"/>
      <c r="AG619" s="1710"/>
      <c r="AH619" s="1710"/>
      <c r="AI619" s="1710"/>
      <c r="AJ619" s="1710"/>
      <c r="AK619" s="1710"/>
      <c r="AZ619" s="3"/>
      <c r="BA619" s="3"/>
      <c r="BB619" s="3"/>
      <c r="BC619" s="3"/>
    </row>
    <row r="620" spans="1:55" ht="13.05" customHeight="1">
      <c r="B620" t="s">
        <v>17</v>
      </c>
      <c r="G620" s="1705"/>
      <c r="H620" s="1705"/>
      <c r="I620" s="1705"/>
      <c r="J620" s="1705"/>
      <c r="K620" s="1705"/>
      <c r="L620" s="1705"/>
      <c r="M620" s="1705"/>
      <c r="N620" s="1705"/>
      <c r="O620" s="1705"/>
      <c r="P620" s="1705"/>
      <c r="Q620" s="1705"/>
      <c r="R620" s="1705"/>
      <c r="U620" t="s">
        <v>17</v>
      </c>
      <c r="Z620" s="1710"/>
      <c r="AA620" s="1710"/>
      <c r="AB620" s="1710"/>
      <c r="AC620" s="1710"/>
      <c r="AD620" s="1710"/>
      <c r="AE620" s="1710"/>
      <c r="AF620" s="1710"/>
      <c r="AG620" s="1710"/>
      <c r="AH620" s="1710"/>
      <c r="AI620" s="1710"/>
      <c r="AJ620" s="1710"/>
      <c r="AK620" s="1710"/>
      <c r="AZ620" s="3"/>
      <c r="BA620" s="3"/>
      <c r="BB620" s="3"/>
      <c r="BC620" s="3"/>
    </row>
    <row r="621" spans="1:55" ht="13.05" customHeight="1">
      <c r="B621" t="s">
        <v>316</v>
      </c>
      <c r="G621" s="1714"/>
      <c r="H621" s="1714"/>
      <c r="I621" s="1714"/>
      <c r="J621" s="1714"/>
      <c r="K621" s="1714"/>
      <c r="L621" s="1714"/>
      <c r="O621" s="33" t="s">
        <v>206</v>
      </c>
      <c r="P621" s="1749"/>
      <c r="Q621" s="1749"/>
      <c r="R621" s="1749"/>
      <c r="U621" t="s">
        <v>316</v>
      </c>
      <c r="Z621" s="1714"/>
      <c r="AA621" s="1714"/>
      <c r="AB621" s="1714"/>
      <c r="AC621" s="1714"/>
      <c r="AD621" s="1714"/>
      <c r="AE621" s="1714"/>
      <c r="AH621" s="33" t="s">
        <v>206</v>
      </c>
      <c r="AI621" s="1749"/>
      <c r="AJ621" s="1749"/>
      <c r="AK621" s="1749"/>
      <c r="AZ621" s="3"/>
      <c r="BA621" s="3"/>
      <c r="BB621" s="3"/>
      <c r="BC621" s="3"/>
    </row>
    <row r="622" spans="1:55" ht="13.05" customHeight="1">
      <c r="B622" t="s">
        <v>18</v>
      </c>
      <c r="H622" s="1705"/>
      <c r="I622" s="1705"/>
      <c r="J622" s="1705"/>
      <c r="K622" s="1705"/>
      <c r="L622" s="1705"/>
      <c r="M622" s="1705"/>
      <c r="N622" s="1705"/>
      <c r="O622" s="1705"/>
      <c r="P622" s="1705"/>
      <c r="Q622" s="1705"/>
      <c r="R622" s="1705"/>
      <c r="U622" t="s">
        <v>18</v>
      </c>
      <c r="AA622" s="1705"/>
      <c r="AB622" s="1705"/>
      <c r="AC622" s="1705"/>
      <c r="AD622" s="1705"/>
      <c r="AE622" s="1705"/>
      <c r="AF622" s="1705"/>
      <c r="AG622" s="1705"/>
      <c r="AH622" s="1705"/>
      <c r="AI622" s="1705"/>
      <c r="AJ622" s="1705"/>
      <c r="AK622" s="1705"/>
      <c r="AU622" s="895"/>
      <c r="AV622" s="895"/>
      <c r="AW622" s="895"/>
      <c r="AX622" s="895"/>
      <c r="AY622" s="895"/>
      <c r="AZ622" s="3"/>
      <c r="BA622" s="3"/>
      <c r="BB622" s="3"/>
      <c r="BC622" s="3"/>
    </row>
    <row r="623" spans="1:55" ht="13.05" customHeight="1">
      <c r="B623" t="s">
        <v>20</v>
      </c>
      <c r="N623" s="1599" t="s">
        <v>669</v>
      </c>
      <c r="O623" s="1599"/>
      <c r="U623" t="s">
        <v>20</v>
      </c>
      <c r="AG623" s="1599" t="s">
        <v>669</v>
      </c>
      <c r="AH623" s="1599"/>
      <c r="AU623" s="895"/>
      <c r="AV623" s="895"/>
      <c r="AW623" s="895"/>
      <c r="AX623" s="895"/>
      <c r="AY623" s="895"/>
      <c r="AZ623" s="3"/>
      <c r="BA623" s="3"/>
      <c r="BB623" s="3"/>
      <c r="BC623" s="3"/>
    </row>
    <row r="624" spans="1:55" ht="13.05" customHeight="1">
      <c r="AZ624" s="3"/>
      <c r="BA624" s="3"/>
      <c r="BB624" s="3"/>
      <c r="BC624" s="3"/>
    </row>
    <row r="625" spans="1:56" ht="13.05" customHeight="1">
      <c r="A625" s="1522" t="s">
        <v>544</v>
      </c>
      <c r="B625" s="1522"/>
      <c r="C625" s="1522"/>
      <c r="D625" s="1522"/>
      <c r="E625" s="1522"/>
      <c r="F625" s="1522"/>
      <c r="G625" s="1522"/>
      <c r="H625" s="1522"/>
      <c r="I625" s="1522"/>
      <c r="J625" s="1522"/>
      <c r="K625" s="1522"/>
      <c r="L625" s="1522"/>
      <c r="M625" s="1522"/>
      <c r="N625" s="1522"/>
      <c r="O625" s="1522"/>
      <c r="P625" s="1522"/>
      <c r="Q625" s="1522"/>
      <c r="R625" s="1522"/>
      <c r="S625" s="1522"/>
      <c r="T625" s="1522"/>
      <c r="U625" s="1522"/>
      <c r="V625" s="1522"/>
      <c r="W625" s="1522"/>
      <c r="X625" s="1522"/>
      <c r="Y625" s="1522"/>
      <c r="Z625" s="1522"/>
      <c r="AA625" s="1522"/>
      <c r="AB625" s="1522"/>
      <c r="AC625" s="1522"/>
      <c r="AD625" s="1522"/>
      <c r="AE625" s="1522"/>
      <c r="AF625" s="1522"/>
      <c r="AG625" s="1522"/>
      <c r="AH625" s="1522"/>
      <c r="AI625" s="1522"/>
      <c r="AJ625" s="1522"/>
      <c r="AK625" s="1522"/>
      <c r="AL625" s="1522"/>
      <c r="AM625" s="1522"/>
      <c r="AN625" s="1522"/>
      <c r="AO625" s="1522"/>
      <c r="AP625" s="1522"/>
      <c r="AQ625" s="1522"/>
      <c r="AR625" s="1522"/>
      <c r="AS625" s="1522"/>
      <c r="AT625" s="1522"/>
      <c r="AZ625" s="3"/>
      <c r="BA625" s="3"/>
      <c r="BB625" s="3"/>
      <c r="BC625" s="3"/>
    </row>
    <row r="626" spans="1:56" ht="13.05" customHeight="1">
      <c r="A626" s="1522"/>
      <c r="B626" s="1522"/>
      <c r="C626" s="1522"/>
      <c r="D626" s="1522"/>
      <c r="E626" s="1522"/>
      <c r="F626" s="1522"/>
      <c r="G626" s="1522"/>
      <c r="H626" s="1522"/>
      <c r="I626" s="1522"/>
      <c r="J626" s="1522"/>
      <c r="K626" s="1522"/>
      <c r="L626" s="1522"/>
      <c r="M626" s="1522"/>
      <c r="N626" s="1522"/>
      <c r="O626" s="1522"/>
      <c r="P626" s="1522"/>
      <c r="Q626" s="1522"/>
      <c r="R626" s="1522"/>
      <c r="S626" s="1522"/>
      <c r="T626" s="1522"/>
      <c r="U626" s="1522"/>
      <c r="V626" s="1522"/>
      <c r="W626" s="1522"/>
      <c r="X626" s="1522"/>
      <c r="Y626" s="1522"/>
      <c r="Z626" s="1522"/>
      <c r="AA626" s="1522"/>
      <c r="AB626" s="1522"/>
      <c r="AC626" s="1522"/>
      <c r="AD626" s="1522"/>
      <c r="AE626" s="1522"/>
      <c r="AF626" s="1522"/>
      <c r="AG626" s="1522"/>
      <c r="AH626" s="1522"/>
      <c r="AI626" s="1522"/>
      <c r="AJ626" s="1522"/>
      <c r="AK626" s="1522"/>
      <c r="AL626" s="1522"/>
      <c r="AM626" s="1522"/>
      <c r="AN626" s="1522"/>
      <c r="AO626" s="1522"/>
      <c r="AP626" s="1522"/>
      <c r="AQ626" s="1522"/>
      <c r="AR626" s="1522"/>
      <c r="AS626" s="1522"/>
      <c r="AT626" s="1522"/>
      <c r="AZ626" s="3"/>
      <c r="BA626" s="3"/>
      <c r="BB626" s="3"/>
      <c r="BC626" s="3"/>
    </row>
    <row r="627" spans="1:56" ht="13.05" customHeight="1">
      <c r="AZ627" s="3"/>
      <c r="BA627" s="3"/>
      <c r="BB627" s="3"/>
      <c r="BC627" s="3"/>
    </row>
    <row r="628" spans="1:56" ht="13.05" customHeight="1">
      <c r="A628" s="2" t="s">
        <v>319</v>
      </c>
      <c r="B628" s="2"/>
      <c r="C628" s="2" t="s">
        <v>21</v>
      </c>
      <c r="AZ628" s="3"/>
      <c r="BA628" s="3"/>
      <c r="BB628" s="3"/>
      <c r="BC628" s="3"/>
    </row>
    <row r="629" spans="1:56" ht="13.05" customHeight="1">
      <c r="A629" s="2"/>
      <c r="B629" s="2"/>
      <c r="C629" s="2"/>
      <c r="AZ629" s="3"/>
      <c r="BA629" s="3"/>
      <c r="BB629" s="3"/>
      <c r="BC629" s="3"/>
    </row>
    <row r="630" spans="1:56" ht="13.05" customHeight="1">
      <c r="C630" s="2" t="s">
        <v>2054</v>
      </c>
      <c r="AZ630" s="3"/>
      <c r="BA630" s="3"/>
      <c r="BB630" s="3"/>
      <c r="BC630" s="3"/>
    </row>
    <row r="631" spans="1:56" ht="13.05" customHeight="1">
      <c r="B631" s="512"/>
      <c r="C631" s="2"/>
      <c r="AU631" s="3"/>
      <c r="AZ631" s="3"/>
      <c r="BA631" s="3"/>
      <c r="BB631" s="3"/>
      <c r="BC631" s="3"/>
    </row>
    <row r="632" spans="1:56" ht="13.05" customHeight="1">
      <c r="B632" s="1963" t="s">
        <v>2056</v>
      </c>
      <c r="C632" s="1963"/>
      <c r="D632" s="1963"/>
      <c r="E632" s="1963"/>
      <c r="F632" s="1963"/>
      <c r="G632" s="1963"/>
      <c r="H632" s="1963"/>
      <c r="I632" s="1963"/>
      <c r="J632" s="1963"/>
      <c r="K632" s="1963"/>
      <c r="L632" s="1963"/>
      <c r="M632" s="1778" t="s">
        <v>2057</v>
      </c>
      <c r="N632" s="1778"/>
      <c r="O632" s="1778"/>
      <c r="P632" s="1778"/>
      <c r="Q632" s="1778" t="s">
        <v>1827</v>
      </c>
      <c r="R632" s="1778"/>
      <c r="S632" s="1778"/>
      <c r="T632" s="1778" t="s">
        <v>1825</v>
      </c>
      <c r="U632" s="1778"/>
      <c r="V632" s="1778"/>
      <c r="W632" s="1968" t="s">
        <v>453</v>
      </c>
      <c r="X632" s="1968"/>
      <c r="Y632" s="1968"/>
      <c r="Z632" s="1743" t="s">
        <v>2086</v>
      </c>
      <c r="AA632" s="1743"/>
      <c r="AB632" s="1744"/>
      <c r="AC632" s="1954" t="s">
        <v>1664</v>
      </c>
      <c r="AD632" s="1955"/>
      <c r="AE632" s="1956"/>
      <c r="AF632" s="1964" t="s">
        <v>1902</v>
      </c>
      <c r="AG632" s="1743"/>
      <c r="AH632" s="1743"/>
      <c r="AI632" s="1743"/>
      <c r="AJ632" s="1744"/>
      <c r="AK632" s="1969" t="s">
        <v>1903</v>
      </c>
      <c r="AL632" s="1970"/>
      <c r="AM632" s="1970"/>
      <c r="AN632" s="1971"/>
      <c r="AO632" s="1778" t="s">
        <v>454</v>
      </c>
      <c r="AP632" s="1778"/>
      <c r="AQ632" s="1778"/>
      <c r="AR632" s="1778"/>
      <c r="AS632" s="1778"/>
      <c r="AU632" s="3"/>
      <c r="AZ632" s="3"/>
      <c r="BA632" s="3"/>
      <c r="BB632" s="3"/>
      <c r="BC632" s="3"/>
    </row>
    <row r="633" spans="1:56" ht="13.05" customHeight="1">
      <c r="B633" s="1963"/>
      <c r="C633" s="1963"/>
      <c r="D633" s="1963"/>
      <c r="E633" s="1963"/>
      <c r="F633" s="1963"/>
      <c r="G633" s="1963"/>
      <c r="H633" s="1963"/>
      <c r="I633" s="1963"/>
      <c r="J633" s="1963"/>
      <c r="K633" s="1963"/>
      <c r="L633" s="1963"/>
      <c r="M633" s="1778"/>
      <c r="N633" s="1778"/>
      <c r="O633" s="1778"/>
      <c r="P633" s="1778"/>
      <c r="Q633" s="1778"/>
      <c r="R633" s="1778"/>
      <c r="S633" s="1778"/>
      <c r="T633" s="1778"/>
      <c r="U633" s="1778"/>
      <c r="V633" s="1778"/>
      <c r="W633" s="1968"/>
      <c r="X633" s="1968"/>
      <c r="Y633" s="1968"/>
      <c r="Z633" s="1745"/>
      <c r="AA633" s="1745"/>
      <c r="AB633" s="1746"/>
      <c r="AC633" s="1957"/>
      <c r="AD633" s="1958"/>
      <c r="AE633" s="1959"/>
      <c r="AF633" s="1965"/>
      <c r="AG633" s="1745"/>
      <c r="AH633" s="1745"/>
      <c r="AI633" s="1745"/>
      <c r="AJ633" s="1746"/>
      <c r="AK633" s="1972"/>
      <c r="AL633" s="1973"/>
      <c r="AM633" s="1973"/>
      <c r="AN633" s="1974"/>
      <c r="AO633" s="1778"/>
      <c r="AP633" s="1778"/>
      <c r="AQ633" s="1778"/>
      <c r="AR633" s="1778"/>
      <c r="AS633" s="1778"/>
      <c r="AU633" s="3"/>
      <c r="AZ633" s="3"/>
      <c r="BA633" s="3"/>
      <c r="BB633" s="3"/>
      <c r="BC633" s="3"/>
      <c r="BD633" s="3"/>
    </row>
    <row r="634" spans="1:56" ht="13.05" customHeight="1">
      <c r="B634" s="1963"/>
      <c r="C634" s="1963"/>
      <c r="D634" s="1963"/>
      <c r="E634" s="1963"/>
      <c r="F634" s="1963"/>
      <c r="G634" s="1963"/>
      <c r="H634" s="1963"/>
      <c r="I634" s="1963"/>
      <c r="J634" s="1963"/>
      <c r="K634" s="1963"/>
      <c r="L634" s="1963"/>
      <c r="M634" s="1778"/>
      <c r="N634" s="1778"/>
      <c r="O634" s="1778"/>
      <c r="P634" s="1778"/>
      <c r="Q634" s="1778"/>
      <c r="R634" s="1778"/>
      <c r="S634" s="1778"/>
      <c r="T634" s="1778"/>
      <c r="U634" s="1778"/>
      <c r="V634" s="1778"/>
      <c r="W634" s="1968"/>
      <c r="X634" s="1968"/>
      <c r="Y634" s="1968"/>
      <c r="Z634" s="1747"/>
      <c r="AA634" s="1747"/>
      <c r="AB634" s="1748"/>
      <c r="AC634" s="1960"/>
      <c r="AD634" s="1961"/>
      <c r="AE634" s="1962"/>
      <c r="AF634" s="1966"/>
      <c r="AG634" s="1747"/>
      <c r="AH634" s="1747"/>
      <c r="AI634" s="1747"/>
      <c r="AJ634" s="1748"/>
      <c r="AK634" s="1975"/>
      <c r="AL634" s="1976"/>
      <c r="AM634" s="1976"/>
      <c r="AN634" s="1977"/>
      <c r="AO634" s="1778"/>
      <c r="AP634" s="1778"/>
      <c r="AQ634" s="1778"/>
      <c r="AR634" s="1778"/>
      <c r="AS634" s="1778"/>
      <c r="AT634" s="3"/>
      <c r="AU634" s="3"/>
      <c r="AZ634" s="3"/>
      <c r="BA634" s="3"/>
      <c r="BB634" s="3"/>
      <c r="BC634" s="3"/>
      <c r="BD634" s="3"/>
    </row>
    <row r="635" spans="1:56" ht="13.05" customHeight="1">
      <c r="B635" s="51" t="s">
        <v>112</v>
      </c>
      <c r="C635" s="1948" t="s">
        <v>2735</v>
      </c>
      <c r="D635" s="1948"/>
      <c r="E635" s="1948"/>
      <c r="F635" s="1948"/>
      <c r="G635" s="1948"/>
      <c r="H635" s="1948"/>
      <c r="I635" s="1948"/>
      <c r="J635" s="1948"/>
      <c r="K635" s="1948"/>
      <c r="L635" s="1948"/>
      <c r="M635" s="1947" t="s">
        <v>2067</v>
      </c>
      <c r="N635" s="1947"/>
      <c r="O635" s="1947"/>
      <c r="P635" s="1947"/>
      <c r="Q635" s="1725">
        <v>204</v>
      </c>
      <c r="R635" s="1725"/>
      <c r="S635" s="1726"/>
      <c r="T635" s="1724">
        <v>480</v>
      </c>
      <c r="U635" s="1725"/>
      <c r="V635" s="1726"/>
      <c r="W635" s="1750">
        <v>6.7000000000000004E-2</v>
      </c>
      <c r="X635" s="1751"/>
      <c r="Y635" s="1752"/>
      <c r="Z635" s="1721" t="s">
        <v>2085</v>
      </c>
      <c r="AA635" s="1722"/>
      <c r="AB635" s="1723"/>
      <c r="AC635" s="1718">
        <v>1</v>
      </c>
      <c r="AD635" s="1719"/>
      <c r="AE635" s="1720"/>
      <c r="AF635" s="1715">
        <v>1511402</v>
      </c>
      <c r="AG635" s="1716"/>
      <c r="AH635" s="1716"/>
      <c r="AI635" s="1716"/>
      <c r="AJ635" s="1717"/>
      <c r="AK635" s="1727">
        <v>0</v>
      </c>
      <c r="AL635" s="1728"/>
      <c r="AM635" s="1728"/>
      <c r="AN635" s="1729"/>
      <c r="AO635" s="1768">
        <v>21000000</v>
      </c>
      <c r="AP635" s="1768"/>
      <c r="AQ635" s="1768"/>
      <c r="AR635" s="1768"/>
      <c r="AS635" s="1768"/>
      <c r="AT635" s="3"/>
      <c r="AU635" s="3"/>
      <c r="AZ635" s="3"/>
      <c r="BA635" s="3"/>
      <c r="BB635" s="3"/>
      <c r="BC635" s="3"/>
      <c r="BD635" s="3"/>
    </row>
    <row r="636" spans="1:56" ht="13.05" customHeight="1">
      <c r="B636" s="52" t="s">
        <v>113</v>
      </c>
      <c r="C636" s="1948" t="s">
        <v>2736</v>
      </c>
      <c r="D636" s="1948"/>
      <c r="E636" s="1948"/>
      <c r="F636" s="1948"/>
      <c r="G636" s="1948"/>
      <c r="H636" s="1948"/>
      <c r="I636" s="1948"/>
      <c r="J636" s="1948"/>
      <c r="K636" s="1948"/>
      <c r="L636" s="1948"/>
      <c r="M636" s="1947" t="s">
        <v>2067</v>
      </c>
      <c r="N636" s="1947"/>
      <c r="O636" s="1947"/>
      <c r="P636" s="1947"/>
      <c r="Q636" s="1724">
        <v>204</v>
      </c>
      <c r="R636" s="1725"/>
      <c r="S636" s="1726"/>
      <c r="T636" s="1724">
        <v>480</v>
      </c>
      <c r="U636" s="1725"/>
      <c r="V636" s="1726"/>
      <c r="W636" s="1750">
        <v>7.7600000000000002E-2</v>
      </c>
      <c r="X636" s="1751"/>
      <c r="Y636" s="1752"/>
      <c r="Z636" s="1721" t="s">
        <v>2085</v>
      </c>
      <c r="AA636" s="1722"/>
      <c r="AB636" s="1723"/>
      <c r="AC636" s="1718">
        <v>1</v>
      </c>
      <c r="AD636" s="1719"/>
      <c r="AE636" s="1720"/>
      <c r="AF636" s="1715">
        <v>601659</v>
      </c>
      <c r="AG636" s="1716"/>
      <c r="AH636" s="1716"/>
      <c r="AI636" s="1716"/>
      <c r="AJ636" s="1717"/>
      <c r="AK636" s="1727">
        <v>0</v>
      </c>
      <c r="AL636" s="1728"/>
      <c r="AM636" s="1728"/>
      <c r="AN636" s="1729"/>
      <c r="AO636" s="1711">
        <v>7401955</v>
      </c>
      <c r="AP636" s="1712"/>
      <c r="AQ636" s="1712"/>
      <c r="AR636" s="1712"/>
      <c r="AS636" s="1713"/>
      <c r="AT636" s="1142" t="str">
        <f>IF(AND(NOT(C635=""),C636="",NOT(C637="")),"!","")</f>
        <v/>
      </c>
      <c r="AU636" s="3"/>
      <c r="AZ636" s="3"/>
      <c r="BA636" s="3"/>
      <c r="BB636" s="3"/>
      <c r="BC636" s="3"/>
      <c r="BD636" s="3"/>
    </row>
    <row r="637" spans="1:56" ht="13.05" customHeight="1">
      <c r="B637" s="52" t="s">
        <v>119</v>
      </c>
      <c r="C637" s="1948" t="s">
        <v>2259</v>
      </c>
      <c r="D637" s="1948"/>
      <c r="E637" s="1948"/>
      <c r="F637" s="1948"/>
      <c r="G637" s="1948"/>
      <c r="H637" s="1948"/>
      <c r="I637" s="1948"/>
      <c r="J637" s="1948"/>
      <c r="K637" s="1948"/>
      <c r="L637" s="1948"/>
      <c r="M637" s="1947" t="s">
        <v>2060</v>
      </c>
      <c r="N637" s="1947"/>
      <c r="O637" s="1947"/>
      <c r="P637" s="1947"/>
      <c r="Q637" s="1724"/>
      <c r="R637" s="1725"/>
      <c r="S637" s="1726"/>
      <c r="T637" s="1724"/>
      <c r="U637" s="1725"/>
      <c r="V637" s="1726"/>
      <c r="W637" s="1750"/>
      <c r="X637" s="1751"/>
      <c r="Y637" s="1752"/>
      <c r="Z637" s="1721" t="s">
        <v>457</v>
      </c>
      <c r="AA637" s="1722"/>
      <c r="AB637" s="1723"/>
      <c r="AC637" s="1718"/>
      <c r="AD637" s="1719"/>
      <c r="AE637" s="1720"/>
      <c r="AF637" s="1715"/>
      <c r="AG637" s="1716"/>
      <c r="AH637" s="1716"/>
      <c r="AI637" s="1716"/>
      <c r="AJ637" s="1717"/>
      <c r="AK637" s="1727"/>
      <c r="AL637" s="1728"/>
      <c r="AM637" s="1728"/>
      <c r="AN637" s="1729"/>
      <c r="AO637" s="1711">
        <v>6132663</v>
      </c>
      <c r="AP637" s="1712"/>
      <c r="AQ637" s="1712"/>
      <c r="AR637" s="1712"/>
      <c r="AS637" s="1713"/>
      <c r="AT637" s="1142" t="str">
        <f t="shared" ref="AT637:AT646" si="3">IF(AND(NOT(C636=""),C637="",NOT(C638="")),"!","")</f>
        <v/>
      </c>
      <c r="AU637" s="3"/>
      <c r="AZ637" s="3"/>
      <c r="BA637" s="3"/>
      <c r="BB637" s="3"/>
      <c r="BC637" s="3"/>
      <c r="BD637" s="3"/>
    </row>
    <row r="638" spans="1:56" ht="13.05" customHeight="1">
      <c r="B638" s="52" t="s">
        <v>581</v>
      </c>
      <c r="C638" s="1948" t="s">
        <v>2343</v>
      </c>
      <c r="D638" s="1702"/>
      <c r="E638" s="1702"/>
      <c r="F638" s="1702"/>
      <c r="G638" s="1702"/>
      <c r="H638" s="1702"/>
      <c r="I638" s="1702"/>
      <c r="J638" s="1702"/>
      <c r="K638" s="1702"/>
      <c r="L638" s="1702"/>
      <c r="M638" s="1947" t="s">
        <v>2069</v>
      </c>
      <c r="N638" s="1947"/>
      <c r="O638" s="1947"/>
      <c r="P638" s="1947"/>
      <c r="Q638" s="1724">
        <f>55*12</f>
        <v>660</v>
      </c>
      <c r="R638" s="1725"/>
      <c r="S638" s="1726"/>
      <c r="T638" s="1724"/>
      <c r="U638" s="1725"/>
      <c r="V638" s="1726"/>
      <c r="W638" s="1750">
        <v>0.03</v>
      </c>
      <c r="X638" s="1751"/>
      <c r="Y638" s="1752"/>
      <c r="Z638" s="1721" t="s">
        <v>457</v>
      </c>
      <c r="AA638" s="1722"/>
      <c r="AB638" s="1723"/>
      <c r="AC638" s="1718">
        <v>2</v>
      </c>
      <c r="AD638" s="1719"/>
      <c r="AE638" s="1720"/>
      <c r="AF638" s="1715"/>
      <c r="AG638" s="1716"/>
      <c r="AH638" s="1716"/>
      <c r="AI638" s="1716"/>
      <c r="AJ638" s="1717"/>
      <c r="AK638" s="1727"/>
      <c r="AL638" s="1728"/>
      <c r="AM638" s="1728"/>
      <c r="AN638" s="1729"/>
      <c r="AO638" s="1711">
        <v>6000000</v>
      </c>
      <c r="AP638" s="1712"/>
      <c r="AQ638" s="1712"/>
      <c r="AR638" s="1712"/>
      <c r="AS638" s="1713"/>
      <c r="AT638" s="1142" t="str">
        <f t="shared" si="3"/>
        <v/>
      </c>
      <c r="AU638" s="3"/>
      <c r="AZ638" s="3"/>
      <c r="BA638" s="3"/>
      <c r="BB638" s="3"/>
      <c r="BC638" s="3"/>
      <c r="BD638" s="3"/>
    </row>
    <row r="639" spans="1:56" ht="13.05" customHeight="1">
      <c r="B639" s="52" t="s">
        <v>763</v>
      </c>
      <c r="C639" s="1948" t="s">
        <v>2790</v>
      </c>
      <c r="D639" s="1702"/>
      <c r="E639" s="1702"/>
      <c r="F639" s="1702"/>
      <c r="G639" s="1702"/>
      <c r="H639" s="1702"/>
      <c r="I639" s="1702"/>
      <c r="J639" s="1702"/>
      <c r="K639" s="1702"/>
      <c r="L639" s="1702"/>
      <c r="M639" s="1947" t="s">
        <v>2080</v>
      </c>
      <c r="N639" s="1947"/>
      <c r="O639" s="1947"/>
      <c r="P639" s="1947"/>
      <c r="Q639" s="1724"/>
      <c r="R639" s="1725"/>
      <c r="S639" s="1726"/>
      <c r="T639" s="1724"/>
      <c r="U639" s="1725"/>
      <c r="V639" s="1726"/>
      <c r="W639" s="1750"/>
      <c r="X639" s="1751"/>
      <c r="Y639" s="1752"/>
      <c r="Z639" s="1721" t="s">
        <v>1183</v>
      </c>
      <c r="AA639" s="1722"/>
      <c r="AB639" s="1723"/>
      <c r="AC639" s="1718"/>
      <c r="AD639" s="1719"/>
      <c r="AE639" s="1720"/>
      <c r="AF639" s="1715"/>
      <c r="AG639" s="1716"/>
      <c r="AH639" s="1716"/>
      <c r="AI639" s="1716"/>
      <c r="AJ639" s="1717"/>
      <c r="AK639" s="1727"/>
      <c r="AL639" s="1728"/>
      <c r="AM639" s="1728"/>
      <c r="AN639" s="1729"/>
      <c r="AO639" s="1711">
        <v>4250000</v>
      </c>
      <c r="AP639" s="1712"/>
      <c r="AQ639" s="1712"/>
      <c r="AR639" s="1712"/>
      <c r="AS639" s="1713"/>
      <c r="AT639" s="1142" t="str">
        <f t="shared" si="3"/>
        <v/>
      </c>
      <c r="AU639" s="3"/>
      <c r="AZ639" s="3"/>
      <c r="BA639" s="3"/>
      <c r="BB639" s="3"/>
      <c r="BC639" s="3"/>
      <c r="BD639" s="3"/>
    </row>
    <row r="640" spans="1:56" ht="13.05" customHeight="1">
      <c r="B640" s="52" t="s">
        <v>584</v>
      </c>
      <c r="C640" s="1702"/>
      <c r="D640" s="1702"/>
      <c r="E640" s="1702"/>
      <c r="F640" s="1702"/>
      <c r="G640" s="1702"/>
      <c r="H640" s="1702"/>
      <c r="I640" s="1702"/>
      <c r="J640" s="1702"/>
      <c r="K640" s="1702"/>
      <c r="L640" s="1702"/>
      <c r="M640" s="1947" t="s">
        <v>1183</v>
      </c>
      <c r="N640" s="1947"/>
      <c r="O640" s="1947"/>
      <c r="P640" s="1947"/>
      <c r="Q640" s="1724"/>
      <c r="R640" s="1725"/>
      <c r="S640" s="1726"/>
      <c r="T640" s="1724"/>
      <c r="U640" s="1725"/>
      <c r="V640" s="1726"/>
      <c r="W640" s="1750"/>
      <c r="X640" s="1751"/>
      <c r="Y640" s="1752"/>
      <c r="Z640" s="1721" t="s">
        <v>1183</v>
      </c>
      <c r="AA640" s="1722"/>
      <c r="AB640" s="1723"/>
      <c r="AC640" s="1718"/>
      <c r="AD640" s="1719"/>
      <c r="AE640" s="1720"/>
      <c r="AF640" s="1715"/>
      <c r="AG640" s="1716"/>
      <c r="AH640" s="1716"/>
      <c r="AI640" s="1716"/>
      <c r="AJ640" s="1717"/>
      <c r="AK640" s="1727"/>
      <c r="AL640" s="1728"/>
      <c r="AM640" s="1728"/>
      <c r="AN640" s="1729"/>
      <c r="AO640" s="1711"/>
      <c r="AP640" s="1712"/>
      <c r="AQ640" s="1712"/>
      <c r="AR640" s="1712"/>
      <c r="AS640" s="1713"/>
      <c r="AT640" s="1142" t="str">
        <f t="shared" si="3"/>
        <v/>
      </c>
      <c r="AU640" s="3"/>
      <c r="AZ640" s="3"/>
      <c r="BA640" s="3"/>
      <c r="BB640" s="3"/>
      <c r="BC640" s="3"/>
      <c r="BD640" s="3"/>
    </row>
    <row r="641" spans="1:157" ht="13.05" customHeight="1">
      <c r="B641" s="52" t="s">
        <v>455</v>
      </c>
      <c r="C641" s="1702"/>
      <c r="D641" s="1702"/>
      <c r="E641" s="1702"/>
      <c r="F641" s="1702"/>
      <c r="G641" s="1702"/>
      <c r="H641" s="1702"/>
      <c r="I641" s="1702"/>
      <c r="J641" s="1702"/>
      <c r="K641" s="1702"/>
      <c r="L641" s="1702"/>
      <c r="M641" s="1947" t="s">
        <v>1183</v>
      </c>
      <c r="N641" s="1947"/>
      <c r="O641" s="1947"/>
      <c r="P641" s="1947"/>
      <c r="Q641" s="1724"/>
      <c r="R641" s="1725"/>
      <c r="S641" s="1726"/>
      <c r="T641" s="1724"/>
      <c r="U641" s="1725"/>
      <c r="V641" s="1726"/>
      <c r="W641" s="1750"/>
      <c r="X641" s="1751"/>
      <c r="Y641" s="1752"/>
      <c r="Z641" s="1721" t="s">
        <v>1183</v>
      </c>
      <c r="AA641" s="1722"/>
      <c r="AB641" s="1723"/>
      <c r="AC641" s="1718"/>
      <c r="AD641" s="1719"/>
      <c r="AE641" s="1720"/>
      <c r="AF641" s="1715"/>
      <c r="AG641" s="1716"/>
      <c r="AH641" s="1716"/>
      <c r="AI641" s="1716"/>
      <c r="AJ641" s="1717"/>
      <c r="AK641" s="1727"/>
      <c r="AL641" s="1728"/>
      <c r="AM641" s="1728"/>
      <c r="AN641" s="1729"/>
      <c r="AO641" s="1711"/>
      <c r="AP641" s="1712"/>
      <c r="AQ641" s="1712"/>
      <c r="AR641" s="1712"/>
      <c r="AS641" s="1713"/>
      <c r="AT641" s="1142" t="str">
        <f t="shared" si="3"/>
        <v/>
      </c>
      <c r="AU641" s="3"/>
      <c r="AV641" s="3"/>
      <c r="AW641" s="3"/>
      <c r="AX641" s="3"/>
      <c r="AY641" s="3"/>
      <c r="AZ641" s="3"/>
      <c r="BA641" s="3"/>
      <c r="BB641" s="3"/>
      <c r="BC641" s="3"/>
      <c r="BD641" s="3"/>
    </row>
    <row r="642" spans="1:157" ht="13.05" customHeight="1">
      <c r="B642" s="52" t="s">
        <v>456</v>
      </c>
      <c r="C642" s="1702"/>
      <c r="D642" s="1702"/>
      <c r="E642" s="1702"/>
      <c r="F642" s="1702"/>
      <c r="G642" s="1702"/>
      <c r="H642" s="1702"/>
      <c r="I642" s="1702"/>
      <c r="J642" s="1702"/>
      <c r="K642" s="1702"/>
      <c r="L642" s="1702"/>
      <c r="M642" s="1947" t="s">
        <v>1183</v>
      </c>
      <c r="N642" s="1947"/>
      <c r="O642" s="1947"/>
      <c r="P642" s="1947"/>
      <c r="Q642" s="1724"/>
      <c r="R642" s="1725"/>
      <c r="S642" s="1726"/>
      <c r="T642" s="1724"/>
      <c r="U642" s="1725"/>
      <c r="V642" s="1726"/>
      <c r="W642" s="1750"/>
      <c r="X642" s="1751"/>
      <c r="Y642" s="1752"/>
      <c r="Z642" s="1721" t="s">
        <v>1183</v>
      </c>
      <c r="AA642" s="1722"/>
      <c r="AB642" s="1723"/>
      <c r="AC642" s="1718"/>
      <c r="AD642" s="1719"/>
      <c r="AE642" s="1720"/>
      <c r="AF642" s="1715"/>
      <c r="AG642" s="1716"/>
      <c r="AH642" s="1716"/>
      <c r="AI642" s="1716"/>
      <c r="AJ642" s="1717"/>
      <c r="AK642" s="1727"/>
      <c r="AL642" s="1728"/>
      <c r="AM642" s="1728"/>
      <c r="AN642" s="1729"/>
      <c r="AO642" s="1711"/>
      <c r="AP642" s="1712"/>
      <c r="AQ642" s="1712"/>
      <c r="AR642" s="1712"/>
      <c r="AS642" s="1713"/>
      <c r="AT642" s="1142" t="str">
        <f t="shared" si="3"/>
        <v/>
      </c>
      <c r="AU642" s="3"/>
      <c r="AV642" s="3"/>
      <c r="AW642" s="3"/>
      <c r="AX642" s="3"/>
      <c r="AY642" s="3"/>
      <c r="AZ642" s="3"/>
      <c r="BA642" s="3" t="s">
        <v>1183</v>
      </c>
      <c r="BB642" s="3"/>
      <c r="BC642" s="3"/>
      <c r="BD642" s="3"/>
    </row>
    <row r="643" spans="1:157" ht="13.05" customHeight="1">
      <c r="B643" s="52" t="s">
        <v>461</v>
      </c>
      <c r="C643" s="1702"/>
      <c r="D643" s="1702"/>
      <c r="E643" s="1702"/>
      <c r="F643" s="1702"/>
      <c r="G643" s="1702"/>
      <c r="H643" s="1702"/>
      <c r="I643" s="1702"/>
      <c r="J643" s="1702"/>
      <c r="K643" s="1702"/>
      <c r="L643" s="1702"/>
      <c r="M643" s="1947" t="s">
        <v>1183</v>
      </c>
      <c r="N643" s="1947"/>
      <c r="O643" s="1947"/>
      <c r="P643" s="1947"/>
      <c r="Q643" s="1724"/>
      <c r="R643" s="1725"/>
      <c r="S643" s="1726"/>
      <c r="T643" s="1724"/>
      <c r="U643" s="1725"/>
      <c r="V643" s="1726"/>
      <c r="W643" s="1750"/>
      <c r="X643" s="1751"/>
      <c r="Y643" s="1752"/>
      <c r="Z643" s="1721" t="s">
        <v>1183</v>
      </c>
      <c r="AA643" s="1722"/>
      <c r="AB643" s="1723"/>
      <c r="AC643" s="1718"/>
      <c r="AD643" s="1719"/>
      <c r="AE643" s="1720"/>
      <c r="AF643" s="1715"/>
      <c r="AG643" s="1716"/>
      <c r="AH643" s="1716"/>
      <c r="AI643" s="1716"/>
      <c r="AJ643" s="1717"/>
      <c r="AK643" s="1727"/>
      <c r="AL643" s="1728"/>
      <c r="AM643" s="1728"/>
      <c r="AN643" s="1729"/>
      <c r="AO643" s="1711"/>
      <c r="AP643" s="1712"/>
      <c r="AQ643" s="1712"/>
      <c r="AR643" s="1712"/>
      <c r="AS643" s="1713"/>
      <c r="AT643" s="1142"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769" t="e">
        <f t="shared" ref="DX643:DX677" si="4">EZ726*(CP726/$CP$761)</f>
        <v>#VALUE!</v>
      </c>
      <c r="DY643" s="1769"/>
      <c r="DZ643" s="1769"/>
      <c r="EA643" s="1769"/>
      <c r="EB643" s="1769"/>
      <c r="EC643" s="1769" t="e">
        <f t="shared" ref="EC643:EC677" si="5">FE726*(CU726/$CU$761)</f>
        <v>#VALUE!</v>
      </c>
      <c r="ED643" s="1769"/>
      <c r="EE643" s="1769"/>
      <c r="EF643" s="1769"/>
      <c r="EG643" s="1769"/>
      <c r="EH643" s="1769">
        <f t="shared" ref="EH643:EH677" si="6">FJ726*(CZ726/$CZ$761)</f>
        <v>1725.2941176470588</v>
      </c>
      <c r="EI643" s="1769"/>
      <c r="EJ643" s="1769"/>
      <c r="EK643" s="1769"/>
      <c r="EL643" s="1769"/>
      <c r="EM643" s="1769" t="e">
        <f t="shared" ref="EM643:EM677" si="7">FO726*(DE726/$DE$761)</f>
        <v>#VALUE!</v>
      </c>
      <c r="EN643" s="1769"/>
      <c r="EO643" s="1769"/>
      <c r="EP643" s="1769"/>
      <c r="EQ643" s="1769"/>
      <c r="ER643" s="1769" t="e">
        <f t="shared" ref="ER643:ER677" si="8">FT726*(DJ726/$DJ$761)</f>
        <v>#VALUE!</v>
      </c>
      <c r="ES643" s="1769"/>
      <c r="ET643" s="1769"/>
      <c r="EU643" s="1769"/>
      <c r="EV643" s="1769"/>
      <c r="EW643" s="1769" t="e">
        <f t="shared" ref="EW643:EW677" si="9">FY726*(DO726/$DO$761)</f>
        <v>#VALUE!</v>
      </c>
      <c r="EX643" s="1769"/>
      <c r="EY643" s="1769"/>
      <c r="EZ643" s="1769"/>
      <c r="FA643" s="1769"/>
    </row>
    <row r="644" spans="1:157" ht="13.05" customHeight="1">
      <c r="B644" s="52" t="s">
        <v>646</v>
      </c>
      <c r="C644" s="1702"/>
      <c r="D644" s="1702"/>
      <c r="E644" s="1702"/>
      <c r="F644" s="1702"/>
      <c r="G644" s="1702"/>
      <c r="H644" s="1702"/>
      <c r="I644" s="1702"/>
      <c r="J644" s="1702"/>
      <c r="K644" s="1702"/>
      <c r="L644" s="1702"/>
      <c r="M644" s="1947" t="s">
        <v>1183</v>
      </c>
      <c r="N644" s="1947"/>
      <c r="O644" s="1947"/>
      <c r="P644" s="1947"/>
      <c r="Q644" s="1724"/>
      <c r="R644" s="1725"/>
      <c r="S644" s="1726"/>
      <c r="T644" s="1724"/>
      <c r="U644" s="1725"/>
      <c r="V644" s="1726"/>
      <c r="W644" s="1750"/>
      <c r="X644" s="1751"/>
      <c r="Y644" s="1752"/>
      <c r="Z644" s="1721" t="s">
        <v>1183</v>
      </c>
      <c r="AA644" s="1722"/>
      <c r="AB644" s="1723"/>
      <c r="AC644" s="1718"/>
      <c r="AD644" s="1719"/>
      <c r="AE644" s="1720"/>
      <c r="AF644" s="1715"/>
      <c r="AG644" s="1716"/>
      <c r="AH644" s="1716"/>
      <c r="AI644" s="1716"/>
      <c r="AJ644" s="1717"/>
      <c r="AK644" s="1727"/>
      <c r="AL644" s="1728"/>
      <c r="AM644" s="1728"/>
      <c r="AN644" s="1729"/>
      <c r="AO644" s="1711"/>
      <c r="AP644" s="1712"/>
      <c r="AQ644" s="1712"/>
      <c r="AR644" s="1712"/>
      <c r="AS644" s="1713"/>
      <c r="AT644" s="1142"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769" t="e">
        <f t="shared" si="4"/>
        <v>#VALUE!</v>
      </c>
      <c r="DY644" s="1769"/>
      <c r="DZ644" s="1769"/>
      <c r="EA644" s="1769"/>
      <c r="EB644" s="1769"/>
      <c r="EC644" s="1769" t="e">
        <f t="shared" si="5"/>
        <v>#VALUE!</v>
      </c>
      <c r="ED644" s="1769"/>
      <c r="EE644" s="1769"/>
      <c r="EF644" s="1769"/>
      <c r="EG644" s="1769"/>
      <c r="EH644" s="1769">
        <f t="shared" si="6"/>
        <v>146.35294117647058</v>
      </c>
      <c r="EI644" s="1769"/>
      <c r="EJ644" s="1769"/>
      <c r="EK644" s="1769"/>
      <c r="EL644" s="1769"/>
      <c r="EM644" s="1769" t="e">
        <f t="shared" si="7"/>
        <v>#VALUE!</v>
      </c>
      <c r="EN644" s="1769"/>
      <c r="EO644" s="1769"/>
      <c r="EP644" s="1769"/>
      <c r="EQ644" s="1769"/>
      <c r="ER644" s="1769" t="e">
        <f t="shared" si="8"/>
        <v>#VALUE!</v>
      </c>
      <c r="ES644" s="1769"/>
      <c r="ET644" s="1769"/>
      <c r="EU644" s="1769"/>
      <c r="EV644" s="1769"/>
      <c r="EW644" s="1769" t="e">
        <f t="shared" si="9"/>
        <v>#VALUE!</v>
      </c>
      <c r="EX644" s="1769"/>
      <c r="EY644" s="1769"/>
      <c r="EZ644" s="1769"/>
      <c r="FA644" s="1769"/>
    </row>
    <row r="645" spans="1:157" ht="13.05" customHeight="1">
      <c r="B645" s="52" t="s">
        <v>362</v>
      </c>
      <c r="C645" s="1702"/>
      <c r="D645" s="1702"/>
      <c r="E645" s="1702"/>
      <c r="F645" s="1702"/>
      <c r="G645" s="1702"/>
      <c r="H645" s="1702"/>
      <c r="I645" s="1702"/>
      <c r="J645" s="1702"/>
      <c r="K645" s="1702"/>
      <c r="L645" s="1702"/>
      <c r="M645" s="1947" t="s">
        <v>1183</v>
      </c>
      <c r="N645" s="1947"/>
      <c r="O645" s="1947"/>
      <c r="P645" s="1947"/>
      <c r="Q645" s="1724"/>
      <c r="R645" s="1725"/>
      <c r="S645" s="1726"/>
      <c r="T645" s="1724"/>
      <c r="U645" s="1725"/>
      <c r="V645" s="1726"/>
      <c r="W645" s="1750"/>
      <c r="X645" s="1751"/>
      <c r="Y645" s="1752"/>
      <c r="Z645" s="1721" t="s">
        <v>1183</v>
      </c>
      <c r="AA645" s="1722"/>
      <c r="AB645" s="1723"/>
      <c r="AC645" s="1718"/>
      <c r="AD645" s="1719"/>
      <c r="AE645" s="1720"/>
      <c r="AF645" s="1715"/>
      <c r="AG645" s="1716"/>
      <c r="AH645" s="1716"/>
      <c r="AI645" s="1716"/>
      <c r="AJ645" s="1717"/>
      <c r="AK645" s="1727"/>
      <c r="AL645" s="1728"/>
      <c r="AM645" s="1728"/>
      <c r="AN645" s="1729"/>
      <c r="AO645" s="1711"/>
      <c r="AP645" s="1712"/>
      <c r="AQ645" s="1712"/>
      <c r="AR645" s="1712"/>
      <c r="AS645" s="1713"/>
      <c r="AT645" s="1142" t="str">
        <f t="shared" si="3"/>
        <v/>
      </c>
      <c r="AV645" s="3"/>
      <c r="AW645" s="3"/>
      <c r="AX645" s="3"/>
      <c r="AY645" s="3"/>
      <c r="AZ645" s="34"/>
      <c r="BA645" s="3" t="s">
        <v>2085</v>
      </c>
      <c r="BB645" s="34"/>
      <c r="BC645" s="34"/>
      <c r="BD645" s="34"/>
      <c r="BE645" s="34"/>
      <c r="BF645" s="34"/>
      <c r="BG645" s="34"/>
      <c r="BH645" s="34"/>
      <c r="BI645" s="34"/>
      <c r="BJ645" s="34"/>
      <c r="BK645" s="34"/>
      <c r="BL645" s="34"/>
      <c r="BM645" s="34"/>
      <c r="DA645" s="3"/>
      <c r="DB645" s="3"/>
      <c r="DC645" s="3"/>
      <c r="DD645" s="3"/>
      <c r="DE645" s="3"/>
      <c r="DF645" s="3"/>
      <c r="DX645" s="1769" t="e">
        <f t="shared" si="4"/>
        <v>#VALUE!</v>
      </c>
      <c r="DY645" s="1769"/>
      <c r="DZ645" s="1769"/>
      <c r="EA645" s="1769"/>
      <c r="EB645" s="1769"/>
      <c r="EC645" s="1769" t="e">
        <f t="shared" si="5"/>
        <v>#VALUE!</v>
      </c>
      <c r="ED645" s="1769"/>
      <c r="EE645" s="1769"/>
      <c r="EF645" s="1769"/>
      <c r="EG645" s="1769"/>
      <c r="EH645" s="1769">
        <f t="shared" si="6"/>
        <v>480.70588235294116</v>
      </c>
      <c r="EI645" s="1769"/>
      <c r="EJ645" s="1769"/>
      <c r="EK645" s="1769"/>
      <c r="EL645" s="1769"/>
      <c r="EM645" s="1769" t="e">
        <f t="shared" si="7"/>
        <v>#VALUE!</v>
      </c>
      <c r="EN645" s="1769"/>
      <c r="EO645" s="1769"/>
      <c r="EP645" s="1769"/>
      <c r="EQ645" s="1769"/>
      <c r="ER645" s="1769" t="e">
        <f t="shared" si="8"/>
        <v>#VALUE!</v>
      </c>
      <c r="ES645" s="1769"/>
      <c r="ET645" s="1769"/>
      <c r="EU645" s="1769"/>
      <c r="EV645" s="1769"/>
      <c r="EW645" s="1769" t="e">
        <f t="shared" si="9"/>
        <v>#VALUE!</v>
      </c>
      <c r="EX645" s="1769"/>
      <c r="EY645" s="1769"/>
      <c r="EZ645" s="1769"/>
      <c r="FA645" s="1769"/>
    </row>
    <row r="646" spans="1:157" ht="13.05" customHeight="1">
      <c r="B646" s="52" t="s">
        <v>363</v>
      </c>
      <c r="C646" s="1702"/>
      <c r="D646" s="1702"/>
      <c r="E646" s="1702"/>
      <c r="F646" s="1702"/>
      <c r="G646" s="1702"/>
      <c r="H646" s="1702"/>
      <c r="I646" s="1702"/>
      <c r="J646" s="1702"/>
      <c r="K646" s="1702"/>
      <c r="L646" s="1702"/>
      <c r="M646" s="1947" t="s">
        <v>1183</v>
      </c>
      <c r="N646" s="1947"/>
      <c r="O646" s="1947"/>
      <c r="P646" s="1947"/>
      <c r="Q646" s="1724"/>
      <c r="R646" s="1725"/>
      <c r="S646" s="1726"/>
      <c r="T646" s="1724"/>
      <c r="U646" s="1725"/>
      <c r="V646" s="1726"/>
      <c r="W646" s="1750"/>
      <c r="X646" s="1751"/>
      <c r="Y646" s="1752"/>
      <c r="Z646" s="1721" t="s">
        <v>1183</v>
      </c>
      <c r="AA646" s="1722"/>
      <c r="AB646" s="1723"/>
      <c r="AC646" s="1718"/>
      <c r="AD646" s="1719"/>
      <c r="AE646" s="1720"/>
      <c r="AF646" s="1715"/>
      <c r="AG646" s="1716"/>
      <c r="AH646" s="1716"/>
      <c r="AI646" s="1716"/>
      <c r="AJ646" s="1717"/>
      <c r="AK646" s="1727"/>
      <c r="AL646" s="1728"/>
      <c r="AM646" s="1728"/>
      <c r="AN646" s="1729"/>
      <c r="AO646" s="1711"/>
      <c r="AP646" s="1712"/>
      <c r="AQ646" s="1712"/>
      <c r="AR646" s="1712"/>
      <c r="AS646" s="1713"/>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769" t="e">
        <f t="shared" si="4"/>
        <v>#VALUE!</v>
      </c>
      <c r="DY646" s="1769"/>
      <c r="DZ646" s="1769"/>
      <c r="EA646" s="1769"/>
      <c r="EB646" s="1769"/>
      <c r="EC646" s="1769" t="e">
        <f t="shared" si="5"/>
        <v>#VALUE!</v>
      </c>
      <c r="ED646" s="1769"/>
      <c r="EE646" s="1769"/>
      <c r="EF646" s="1769"/>
      <c r="EG646" s="1769"/>
      <c r="EH646" s="1769">
        <f t="shared" si="6"/>
        <v>135.64705882352942</v>
      </c>
      <c r="EI646" s="1769"/>
      <c r="EJ646" s="1769"/>
      <c r="EK646" s="1769"/>
      <c r="EL646" s="1769"/>
      <c r="EM646" s="1769" t="e">
        <f t="shared" si="7"/>
        <v>#VALUE!</v>
      </c>
      <c r="EN646" s="1769"/>
      <c r="EO646" s="1769"/>
      <c r="EP646" s="1769"/>
      <c r="EQ646" s="1769"/>
      <c r="ER646" s="1769" t="e">
        <f t="shared" si="8"/>
        <v>#VALUE!</v>
      </c>
      <c r="ES646" s="1769"/>
      <c r="ET646" s="1769"/>
      <c r="EU646" s="1769"/>
      <c r="EV646" s="1769"/>
      <c r="EW646" s="1769" t="e">
        <f t="shared" si="9"/>
        <v>#VALUE!</v>
      </c>
      <c r="EX646" s="1769"/>
      <c r="EY646" s="1769"/>
      <c r="EZ646" s="1769"/>
      <c r="FA646" s="1769"/>
    </row>
    <row r="647" spans="1:157" ht="13.05" customHeight="1">
      <c r="B647" s="1770" t="s">
        <v>128</v>
      </c>
      <c r="C647" s="1771"/>
      <c r="D647" s="1771"/>
      <c r="E647" s="1771"/>
      <c r="F647" s="1771"/>
      <c r="G647" s="1771"/>
      <c r="H647" s="1771"/>
      <c r="I647" s="1771"/>
      <c r="J647" s="1771"/>
      <c r="K647" s="1771"/>
      <c r="L647" s="1771"/>
      <c r="M647" s="1771"/>
      <c r="N647" s="1771"/>
      <c r="O647" s="1771"/>
      <c r="P647" s="1771"/>
      <c r="Q647" s="1771"/>
      <c r="R647" s="1771"/>
      <c r="S647" s="1771"/>
      <c r="T647" s="1771"/>
      <c r="U647" s="1771"/>
      <c r="V647" s="1771"/>
      <c r="W647" s="1771"/>
      <c r="X647" s="1771"/>
      <c r="Y647" s="1771"/>
      <c r="Z647" s="1771"/>
      <c r="AA647" s="1771"/>
      <c r="AB647" s="1771"/>
      <c r="AC647" s="1771"/>
      <c r="AD647" s="1771"/>
      <c r="AE647" s="1771"/>
      <c r="AF647" s="1771"/>
      <c r="AG647" s="1771"/>
      <c r="AH647" s="1771"/>
      <c r="AI647" s="1771"/>
      <c r="AJ647" s="1771"/>
      <c r="AK647" s="1771"/>
      <c r="AL647" s="1771"/>
      <c r="AM647" s="1771"/>
      <c r="AN647" s="1772"/>
      <c r="AO647" s="1909">
        <f>SUM(AO635:AR646)</f>
        <v>44784618</v>
      </c>
      <c r="AP647" s="1910"/>
      <c r="AQ647" s="1910"/>
      <c r="AR647" s="1910"/>
      <c r="AS647" s="1911"/>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769" t="e">
        <f t="shared" si="4"/>
        <v>#VALUE!</v>
      </c>
      <c r="DY647" s="1769"/>
      <c r="DZ647" s="1769"/>
      <c r="EA647" s="1769"/>
      <c r="EB647" s="1769"/>
      <c r="EC647" s="1769" t="e">
        <f t="shared" si="5"/>
        <v>#VALUE!</v>
      </c>
      <c r="ED647" s="1769"/>
      <c r="EE647" s="1769"/>
      <c r="EF647" s="1769"/>
      <c r="EG647" s="1769"/>
      <c r="EH647" s="1769" t="e">
        <f t="shared" si="6"/>
        <v>#VALUE!</v>
      </c>
      <c r="EI647" s="1769"/>
      <c r="EJ647" s="1769"/>
      <c r="EK647" s="1769"/>
      <c r="EL647" s="1769"/>
      <c r="EM647" s="1769">
        <f t="shared" si="7"/>
        <v>1756.7910447761192</v>
      </c>
      <c r="EN647" s="1769"/>
      <c r="EO647" s="1769"/>
      <c r="EP647" s="1769"/>
      <c r="EQ647" s="1769"/>
      <c r="ER647" s="1769" t="e">
        <f t="shared" si="8"/>
        <v>#VALUE!</v>
      </c>
      <c r="ES647" s="1769"/>
      <c r="ET647" s="1769"/>
      <c r="EU647" s="1769"/>
      <c r="EV647" s="1769"/>
      <c r="EW647" s="1769" t="e">
        <f t="shared" si="9"/>
        <v>#VALUE!</v>
      </c>
      <c r="EX647" s="1769"/>
      <c r="EY647" s="1769"/>
      <c r="EZ647" s="1769"/>
      <c r="FA647" s="1769"/>
    </row>
    <row r="648" spans="1:157" ht="13.05" customHeight="1">
      <c r="B648" s="1770" t="s">
        <v>267</v>
      </c>
      <c r="C648" s="1771"/>
      <c r="D648" s="1771"/>
      <c r="E648" s="1771"/>
      <c r="F648" s="1771"/>
      <c r="G648" s="1771"/>
      <c r="H648" s="1771"/>
      <c r="I648" s="1771"/>
      <c r="J648" s="1771"/>
      <c r="K648" s="1771"/>
      <c r="L648" s="1771"/>
      <c r="M648" s="1771"/>
      <c r="N648" s="1771"/>
      <c r="O648" s="1771"/>
      <c r="P648" s="1771"/>
      <c r="Q648" s="1771"/>
      <c r="R648" s="1771"/>
      <c r="S648" s="1771"/>
      <c r="T648" s="1771"/>
      <c r="U648" s="1771"/>
      <c r="V648" s="1771"/>
      <c r="W648" s="1771"/>
      <c r="X648" s="1771"/>
      <c r="Y648" s="1771"/>
      <c r="Z648" s="1771"/>
      <c r="AA648" s="1771"/>
      <c r="AB648" s="1771"/>
      <c r="AC648" s="1771"/>
      <c r="AD648" s="1771"/>
      <c r="AE648" s="1771"/>
      <c r="AF648" s="1771"/>
      <c r="AG648" s="1771"/>
      <c r="AH648" s="1771"/>
      <c r="AI648" s="1771"/>
      <c r="AJ648" s="1771"/>
      <c r="AK648" s="1771"/>
      <c r="AL648" s="1771"/>
      <c r="AM648" s="1771"/>
      <c r="AN648" s="1772"/>
      <c r="AO648" s="1711">
        <f>30372293+4450000</f>
        <v>34822293</v>
      </c>
      <c r="AP648" s="1712"/>
      <c r="AQ648" s="1712"/>
      <c r="AR648" s="1712"/>
      <c r="AS648" s="1713"/>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769" t="e">
        <f t="shared" si="4"/>
        <v>#VALUE!</v>
      </c>
      <c r="DY648" s="1769"/>
      <c r="DZ648" s="1769"/>
      <c r="EA648" s="1769"/>
      <c r="EB648" s="1769"/>
      <c r="EC648" s="1769" t="e">
        <f t="shared" si="5"/>
        <v>#VALUE!</v>
      </c>
      <c r="ED648" s="1769"/>
      <c r="EE648" s="1769"/>
      <c r="EF648" s="1769"/>
      <c r="EG648" s="1769"/>
      <c r="EH648" s="1769" t="e">
        <f t="shared" si="6"/>
        <v>#VALUE!</v>
      </c>
      <c r="EI648" s="1769"/>
      <c r="EJ648" s="1769"/>
      <c r="EK648" s="1769"/>
      <c r="EL648" s="1769"/>
      <c r="EM648" s="1769">
        <f t="shared" si="7"/>
        <v>467.74626865671644</v>
      </c>
      <c r="EN648" s="1769"/>
      <c r="EO648" s="1769"/>
      <c r="EP648" s="1769"/>
      <c r="EQ648" s="1769"/>
      <c r="ER648" s="1769" t="e">
        <f t="shared" si="8"/>
        <v>#VALUE!</v>
      </c>
      <c r="ES648" s="1769"/>
      <c r="ET648" s="1769"/>
      <c r="EU648" s="1769"/>
      <c r="EV648" s="1769"/>
      <c r="EW648" s="1769" t="e">
        <f t="shared" si="9"/>
        <v>#VALUE!</v>
      </c>
      <c r="EX648" s="1769"/>
      <c r="EY648" s="1769"/>
      <c r="EZ648" s="1769"/>
      <c r="FA648" s="1769"/>
    </row>
    <row r="649" spans="1:157" ht="13.05" customHeight="1">
      <c r="B649" s="1944" t="s">
        <v>268</v>
      </c>
      <c r="C649" s="1945"/>
      <c r="D649" s="1945"/>
      <c r="E649" s="1945"/>
      <c r="F649" s="1945"/>
      <c r="G649" s="1945"/>
      <c r="H649" s="1945"/>
      <c r="I649" s="1945"/>
      <c r="J649" s="1945"/>
      <c r="K649" s="1945"/>
      <c r="L649" s="1945"/>
      <c r="M649" s="1945"/>
      <c r="N649" s="1945"/>
      <c r="O649" s="1945"/>
      <c r="P649" s="1945"/>
      <c r="Q649" s="1945"/>
      <c r="R649" s="1945"/>
      <c r="S649" s="1945"/>
      <c r="T649" s="1945"/>
      <c r="U649" s="1945"/>
      <c r="V649" s="1945"/>
      <c r="W649" s="1945"/>
      <c r="X649" s="1945"/>
      <c r="Y649" s="1945"/>
      <c r="Z649" s="1945"/>
      <c r="AA649" s="1945"/>
      <c r="AB649" s="1945"/>
      <c r="AC649" s="1945"/>
      <c r="AD649" s="1945"/>
      <c r="AE649" s="1945"/>
      <c r="AF649" s="1945"/>
      <c r="AG649" s="1945"/>
      <c r="AH649" s="1945"/>
      <c r="AI649" s="1945"/>
      <c r="AJ649" s="1945"/>
      <c r="AK649" s="1945"/>
      <c r="AL649" s="1945"/>
      <c r="AM649" s="1945"/>
      <c r="AN649" s="1946"/>
      <c r="AO649" s="1909">
        <f>AO647+AO648</f>
        <v>79606911</v>
      </c>
      <c r="AP649" s="1910"/>
      <c r="AQ649" s="1910"/>
      <c r="AR649" s="1910"/>
      <c r="AS649" s="1911"/>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769" t="e">
        <f t="shared" si="4"/>
        <v>#VALUE!</v>
      </c>
      <c r="DY649" s="1769"/>
      <c r="DZ649" s="1769"/>
      <c r="EA649" s="1769"/>
      <c r="EB649" s="1769"/>
      <c r="EC649" s="1769" t="e">
        <f t="shared" si="5"/>
        <v>#VALUE!</v>
      </c>
      <c r="ED649" s="1769"/>
      <c r="EE649" s="1769"/>
      <c r="EF649" s="1769"/>
      <c r="EG649" s="1769"/>
      <c r="EH649" s="1769" t="e">
        <f t="shared" si="6"/>
        <v>#VALUE!</v>
      </c>
      <c r="EI649" s="1769"/>
      <c r="EJ649" s="1769"/>
      <c r="EK649" s="1769"/>
      <c r="EL649" s="1769"/>
      <c r="EM649" s="1769">
        <f t="shared" si="7"/>
        <v>487.91044776119401</v>
      </c>
      <c r="EN649" s="1769"/>
      <c r="EO649" s="1769"/>
      <c r="EP649" s="1769"/>
      <c r="EQ649" s="1769"/>
      <c r="ER649" s="1769" t="e">
        <f t="shared" si="8"/>
        <v>#VALUE!</v>
      </c>
      <c r="ES649" s="1769"/>
      <c r="ET649" s="1769"/>
      <c r="EU649" s="1769"/>
      <c r="EV649" s="1769"/>
      <c r="EW649" s="1769" t="e">
        <f t="shared" si="9"/>
        <v>#VALUE!</v>
      </c>
      <c r="EX649" s="1769"/>
      <c r="EY649" s="1769"/>
      <c r="EZ649" s="1769"/>
      <c r="FA649" s="1769"/>
    </row>
    <row r="650" spans="1:157" ht="13.0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769" t="e">
        <f t="shared" si="4"/>
        <v>#VALUE!</v>
      </c>
      <c r="DY650" s="1769"/>
      <c r="DZ650" s="1769"/>
      <c r="EA650" s="1769"/>
      <c r="EB650" s="1769"/>
      <c r="EC650" s="1769" t="e">
        <f t="shared" si="5"/>
        <v>#VALUE!</v>
      </c>
      <c r="ED650" s="1769"/>
      <c r="EE650" s="1769"/>
      <c r="EF650" s="1769"/>
      <c r="EG650" s="1769"/>
      <c r="EH650" s="1769" t="e">
        <f t="shared" si="6"/>
        <v>#VALUE!</v>
      </c>
      <c r="EI650" s="1769"/>
      <c r="EJ650" s="1769"/>
      <c r="EK650" s="1769"/>
      <c r="EL650" s="1769"/>
      <c r="EM650" s="1769">
        <f t="shared" si="7"/>
        <v>136.44776119402985</v>
      </c>
      <c r="EN650" s="1769"/>
      <c r="EO650" s="1769"/>
      <c r="EP650" s="1769"/>
      <c r="EQ650" s="1769"/>
      <c r="ER650" s="1769" t="e">
        <f t="shared" si="8"/>
        <v>#VALUE!</v>
      </c>
      <c r="ES650" s="1769"/>
      <c r="ET650" s="1769"/>
      <c r="EU650" s="1769"/>
      <c r="EV650" s="1769"/>
      <c r="EW650" s="1769" t="e">
        <f t="shared" si="9"/>
        <v>#VALUE!</v>
      </c>
      <c r="EX650" s="1769"/>
      <c r="EY650" s="1769"/>
      <c r="EZ650" s="1769"/>
      <c r="FA650" s="1769"/>
    </row>
    <row r="651" spans="1:157" ht="13.05" customHeight="1">
      <c r="A651" s="55" t="s">
        <v>112</v>
      </c>
      <c r="B651" t="s">
        <v>463</v>
      </c>
      <c r="G651" s="1709" t="str">
        <f>C635</f>
        <v>Permanent Loan (Tranche A)</v>
      </c>
      <c r="H651" s="1709"/>
      <c r="I651" s="1709"/>
      <c r="J651" s="1709"/>
      <c r="K651" s="1709"/>
      <c r="L651" s="1709"/>
      <c r="M651" s="1709"/>
      <c r="N651" s="1709"/>
      <c r="O651" s="1709"/>
      <c r="P651" s="1709"/>
      <c r="Q651" s="1709"/>
      <c r="R651" s="1709"/>
      <c r="S651" s="8"/>
      <c r="T651" s="55" t="s">
        <v>113</v>
      </c>
      <c r="U651" t="s">
        <v>463</v>
      </c>
      <c r="Z651" s="1709" t="str">
        <f>C636</f>
        <v>Permanent Loan (Tranche B)</v>
      </c>
      <c r="AA651" s="1709"/>
      <c r="AB651" s="1709"/>
      <c r="AC651" s="1709"/>
      <c r="AD651" s="1709"/>
      <c r="AE651" s="1709"/>
      <c r="AF651" s="1709"/>
      <c r="AG651" s="1709"/>
      <c r="AH651" s="1709"/>
      <c r="AI651" s="1709"/>
      <c r="AJ651" s="1709"/>
      <c r="AK651" s="1709"/>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769" t="e">
        <f t="shared" si="4"/>
        <v>#VALUE!</v>
      </c>
      <c r="DY651" s="1769"/>
      <c r="DZ651" s="1769"/>
      <c r="EA651" s="1769"/>
      <c r="EB651" s="1769"/>
      <c r="EC651" s="1769" t="e">
        <f t="shared" si="5"/>
        <v>#VALUE!</v>
      </c>
      <c r="ED651" s="1769"/>
      <c r="EE651" s="1769"/>
      <c r="EF651" s="1769"/>
      <c r="EG651" s="1769"/>
      <c r="EH651" s="1769" t="e">
        <f t="shared" si="6"/>
        <v>#VALUE!</v>
      </c>
      <c r="EI651" s="1769"/>
      <c r="EJ651" s="1769"/>
      <c r="EK651" s="1769"/>
      <c r="EL651" s="1769"/>
      <c r="EM651" s="1769" t="e">
        <f t="shared" si="7"/>
        <v>#VALUE!</v>
      </c>
      <c r="EN651" s="1769"/>
      <c r="EO651" s="1769"/>
      <c r="EP651" s="1769"/>
      <c r="EQ651" s="1769"/>
      <c r="ER651" s="1769" t="e">
        <f t="shared" si="8"/>
        <v>#VALUE!</v>
      </c>
      <c r="ES651" s="1769"/>
      <c r="ET651" s="1769"/>
      <c r="EU651" s="1769"/>
      <c r="EV651" s="1769"/>
      <c r="EW651" s="1769" t="e">
        <f t="shared" si="9"/>
        <v>#VALUE!</v>
      </c>
      <c r="EX651" s="1769"/>
      <c r="EY651" s="1769"/>
      <c r="EZ651" s="1769"/>
      <c r="FA651" s="1769"/>
    </row>
    <row r="652" spans="1:157" ht="13.05" customHeight="1">
      <c r="A652" s="22"/>
      <c r="B652" t="s">
        <v>85</v>
      </c>
      <c r="G652" s="1705" t="s">
        <v>2773</v>
      </c>
      <c r="H652" s="1705"/>
      <c r="I652" s="1705"/>
      <c r="J652" s="1705"/>
      <c r="K652" s="1705"/>
      <c r="L652" s="1705"/>
      <c r="M652" s="1705"/>
      <c r="N652" s="1705"/>
      <c r="O652" s="1705"/>
      <c r="P652" s="1705"/>
      <c r="Q652" s="1705"/>
      <c r="R652" s="1705"/>
      <c r="S652" s="8"/>
      <c r="T652" s="22"/>
      <c r="U652" t="s">
        <v>85</v>
      </c>
      <c r="Z652" s="1705" t="s">
        <v>2773</v>
      </c>
      <c r="AA652" s="1705"/>
      <c r="AB652" s="1705"/>
      <c r="AC652" s="1705"/>
      <c r="AD652" s="1705"/>
      <c r="AE652" s="1705"/>
      <c r="AF652" s="1705"/>
      <c r="AG652" s="1705"/>
      <c r="AH652" s="1705"/>
      <c r="AI652" s="1705"/>
      <c r="AJ652" s="1705"/>
      <c r="AK652" s="1705"/>
      <c r="AV652" s="3"/>
      <c r="AW652" s="3"/>
      <c r="AX652" s="3"/>
      <c r="AY652" s="3"/>
      <c r="AZ652" s="3"/>
      <c r="BA652" s="3"/>
      <c r="BB652" s="3"/>
      <c r="BC652" s="3"/>
      <c r="BD652" s="3"/>
      <c r="BE652" s="3"/>
      <c r="BF652" s="3"/>
      <c r="BG652" s="3"/>
      <c r="BH652" s="3"/>
      <c r="BI652" s="3"/>
      <c r="BJ652" s="3"/>
      <c r="BK652" s="3"/>
      <c r="BL652" s="3"/>
      <c r="BM652" s="3"/>
      <c r="DX652" s="1769" t="e">
        <f t="shared" si="4"/>
        <v>#VALUE!</v>
      </c>
      <c r="DY652" s="1769"/>
      <c r="DZ652" s="1769"/>
      <c r="EA652" s="1769"/>
      <c r="EB652" s="1769"/>
      <c r="EC652" s="1769" t="e">
        <f t="shared" si="5"/>
        <v>#VALUE!</v>
      </c>
      <c r="ED652" s="1769"/>
      <c r="EE652" s="1769"/>
      <c r="EF652" s="1769"/>
      <c r="EG652" s="1769"/>
      <c r="EH652" s="1769" t="e">
        <f t="shared" si="6"/>
        <v>#VALUE!</v>
      </c>
      <c r="EI652" s="1769"/>
      <c r="EJ652" s="1769"/>
      <c r="EK652" s="1769"/>
      <c r="EL652" s="1769"/>
      <c r="EM652" s="1769" t="e">
        <f t="shared" si="7"/>
        <v>#VALUE!</v>
      </c>
      <c r="EN652" s="1769"/>
      <c r="EO652" s="1769"/>
      <c r="EP652" s="1769"/>
      <c r="EQ652" s="1769"/>
      <c r="ER652" s="1769" t="e">
        <f t="shared" si="8"/>
        <v>#VALUE!</v>
      </c>
      <c r="ES652" s="1769"/>
      <c r="ET652" s="1769"/>
      <c r="EU652" s="1769"/>
      <c r="EV652" s="1769"/>
      <c r="EW652" s="1769" t="e">
        <f t="shared" si="9"/>
        <v>#VALUE!</v>
      </c>
      <c r="EX652" s="1769"/>
      <c r="EY652" s="1769"/>
      <c r="EZ652" s="1769"/>
      <c r="FA652" s="1769"/>
    </row>
    <row r="653" spans="1:157" ht="13.05" customHeight="1">
      <c r="A653" s="22"/>
      <c r="B653" t="s">
        <v>580</v>
      </c>
      <c r="G653" s="1705" t="s">
        <v>2774</v>
      </c>
      <c r="H653" s="1705"/>
      <c r="I653" s="1705"/>
      <c r="J653" s="1705"/>
      <c r="K653" s="1705"/>
      <c r="L653" s="1705"/>
      <c r="M653" s="1705"/>
      <c r="N653" s="1705"/>
      <c r="O653" s="1705"/>
      <c r="P653" s="1705"/>
      <c r="Q653" s="1705"/>
      <c r="R653" s="1705"/>
      <c r="T653" s="22"/>
      <c r="U653" t="s">
        <v>580</v>
      </c>
      <c r="Z653" s="1710" t="s">
        <v>2774</v>
      </c>
      <c r="AA653" s="1710"/>
      <c r="AB653" s="1710"/>
      <c r="AC653" s="1710"/>
      <c r="AD653" s="1710"/>
      <c r="AE653" s="1710"/>
      <c r="AF653" s="1710"/>
      <c r="AG653" s="1710"/>
      <c r="AH653" s="1710"/>
      <c r="AI653" s="1710"/>
      <c r="AJ653" s="1710"/>
      <c r="AK653" s="1710"/>
      <c r="AV653" s="3"/>
      <c r="AW653" s="3"/>
      <c r="AX653" s="3"/>
      <c r="AY653" s="3"/>
      <c r="AZ653" s="3"/>
      <c r="BA653" s="3"/>
      <c r="BB653" s="3"/>
      <c r="BC653" s="3"/>
      <c r="BD653" s="3"/>
      <c r="BE653" s="3"/>
      <c r="BF653" s="3"/>
      <c r="BG653" s="3"/>
      <c r="BH653" s="3"/>
      <c r="BI653" s="3"/>
      <c r="BJ653" s="3"/>
      <c r="BK653" s="3"/>
      <c r="BL653" s="3"/>
      <c r="BM653" s="3"/>
      <c r="DX653" s="1769" t="e">
        <f t="shared" si="4"/>
        <v>#VALUE!</v>
      </c>
      <c r="DY653" s="1769"/>
      <c r="DZ653" s="1769"/>
      <c r="EA653" s="1769"/>
      <c r="EB653" s="1769"/>
      <c r="EC653" s="1769" t="e">
        <f t="shared" si="5"/>
        <v>#VALUE!</v>
      </c>
      <c r="ED653" s="1769"/>
      <c r="EE653" s="1769"/>
      <c r="EF653" s="1769"/>
      <c r="EG653" s="1769"/>
      <c r="EH653" s="1769" t="e">
        <f t="shared" si="6"/>
        <v>#VALUE!</v>
      </c>
      <c r="EI653" s="1769"/>
      <c r="EJ653" s="1769"/>
      <c r="EK653" s="1769"/>
      <c r="EL653" s="1769"/>
      <c r="EM653" s="1769" t="e">
        <f t="shared" si="7"/>
        <v>#VALUE!</v>
      </c>
      <c r="EN653" s="1769"/>
      <c r="EO653" s="1769"/>
      <c r="EP653" s="1769"/>
      <c r="EQ653" s="1769"/>
      <c r="ER653" s="1769" t="e">
        <f t="shared" si="8"/>
        <v>#VALUE!</v>
      </c>
      <c r="ES653" s="1769"/>
      <c r="ET653" s="1769"/>
      <c r="EU653" s="1769"/>
      <c r="EV653" s="1769"/>
      <c r="EW653" s="1769" t="e">
        <f t="shared" si="9"/>
        <v>#VALUE!</v>
      </c>
      <c r="EX653" s="1769"/>
      <c r="EY653" s="1769"/>
      <c r="EZ653" s="1769"/>
      <c r="FA653" s="1769"/>
    </row>
    <row r="654" spans="1:157" ht="13.05" customHeight="1">
      <c r="A654" s="22"/>
      <c r="B654" t="s">
        <v>17</v>
      </c>
      <c r="G654" s="1705" t="s">
        <v>2775</v>
      </c>
      <c r="H654" s="1705"/>
      <c r="I654" s="1705"/>
      <c r="J654" s="1705"/>
      <c r="K654" s="1705"/>
      <c r="L654" s="1705"/>
      <c r="M654" s="1705"/>
      <c r="N654" s="1705"/>
      <c r="O654" s="1705"/>
      <c r="P654" s="1705"/>
      <c r="Q654" s="1705"/>
      <c r="R654" s="1705"/>
      <c r="S654" s="8"/>
      <c r="T654" s="22"/>
      <c r="U654" t="s">
        <v>17</v>
      </c>
      <c r="Z654" s="1710" t="s">
        <v>2775</v>
      </c>
      <c r="AA654" s="1710"/>
      <c r="AB654" s="1710"/>
      <c r="AC654" s="1710"/>
      <c r="AD654" s="1710"/>
      <c r="AE654" s="1710"/>
      <c r="AF654" s="1710"/>
      <c r="AG654" s="1710"/>
      <c r="AH654" s="1710"/>
      <c r="AI654" s="1710"/>
      <c r="AJ654" s="1710"/>
      <c r="AK654" s="1710"/>
      <c r="AZ654" s="3"/>
      <c r="BA654" s="3"/>
      <c r="BB654" s="3"/>
      <c r="BC654" s="3"/>
      <c r="BD654" s="3"/>
      <c r="BE654" s="3"/>
      <c r="BF654" s="3"/>
      <c r="BG654" s="3"/>
      <c r="BH654" s="3"/>
      <c r="BI654" s="3"/>
      <c r="BJ654" s="3"/>
      <c r="BK654" s="3"/>
      <c r="BL654" s="3"/>
      <c r="BM654" s="3"/>
      <c r="DX654" s="1769" t="e">
        <f t="shared" si="4"/>
        <v>#VALUE!</v>
      </c>
      <c r="DY654" s="1769"/>
      <c r="DZ654" s="1769"/>
      <c r="EA654" s="1769"/>
      <c r="EB654" s="1769"/>
      <c r="EC654" s="1769" t="e">
        <f t="shared" si="5"/>
        <v>#VALUE!</v>
      </c>
      <c r="ED654" s="1769"/>
      <c r="EE654" s="1769"/>
      <c r="EF654" s="1769"/>
      <c r="EG654" s="1769"/>
      <c r="EH654" s="1769" t="e">
        <f t="shared" si="6"/>
        <v>#VALUE!</v>
      </c>
      <c r="EI654" s="1769"/>
      <c r="EJ654" s="1769"/>
      <c r="EK654" s="1769"/>
      <c r="EL654" s="1769"/>
      <c r="EM654" s="1769" t="e">
        <f t="shared" si="7"/>
        <v>#VALUE!</v>
      </c>
      <c r="EN654" s="1769"/>
      <c r="EO654" s="1769"/>
      <c r="EP654" s="1769"/>
      <c r="EQ654" s="1769"/>
      <c r="ER654" s="1769" t="e">
        <f t="shared" si="8"/>
        <v>#VALUE!</v>
      </c>
      <c r="ES654" s="1769"/>
      <c r="ET654" s="1769"/>
      <c r="EU654" s="1769"/>
      <c r="EV654" s="1769"/>
      <c r="EW654" s="1769" t="e">
        <f t="shared" si="9"/>
        <v>#VALUE!</v>
      </c>
      <c r="EX654" s="1769"/>
      <c r="EY654" s="1769"/>
      <c r="EZ654" s="1769"/>
      <c r="FA654" s="1769"/>
    </row>
    <row r="655" spans="1:157" ht="13.05" customHeight="1">
      <c r="A655" s="22"/>
      <c r="B655" t="s">
        <v>316</v>
      </c>
      <c r="G655" s="1714" t="s">
        <v>2776</v>
      </c>
      <c r="H655" s="1714"/>
      <c r="I655" s="1714"/>
      <c r="J655" s="1714"/>
      <c r="K655" s="1714"/>
      <c r="L655" s="1714"/>
      <c r="O655" s="33" t="s">
        <v>206</v>
      </c>
      <c r="P655" s="1749"/>
      <c r="Q655" s="1749"/>
      <c r="R655" s="1749"/>
      <c r="S655" s="10"/>
      <c r="T655" s="22"/>
      <c r="U655" t="s">
        <v>316</v>
      </c>
      <c r="Z655" s="1714" t="s">
        <v>2776</v>
      </c>
      <c r="AA655" s="1714"/>
      <c r="AB655" s="1714"/>
      <c r="AC655" s="1714"/>
      <c r="AD655" s="1714"/>
      <c r="AE655" s="1714"/>
      <c r="AH655" s="33" t="s">
        <v>206</v>
      </c>
      <c r="AI655" s="1749"/>
      <c r="AJ655" s="1749"/>
      <c r="AK655" s="1749"/>
      <c r="AZ655" s="34"/>
      <c r="BA655" s="34"/>
      <c r="BB655" s="34"/>
      <c r="BC655" s="34"/>
      <c r="BD655" s="34"/>
      <c r="BE655" s="34"/>
      <c r="BF655" s="34"/>
      <c r="BG655" s="34"/>
      <c r="BH655" s="34"/>
      <c r="BI655" s="34"/>
      <c r="BJ655" s="34"/>
      <c r="BK655" s="34"/>
      <c r="BL655" s="34"/>
      <c r="BM655" s="34"/>
      <c r="DX655" s="1769" t="e">
        <f t="shared" si="4"/>
        <v>#VALUE!</v>
      </c>
      <c r="DY655" s="1769"/>
      <c r="DZ655" s="1769"/>
      <c r="EA655" s="1769"/>
      <c r="EB655" s="1769"/>
      <c r="EC655" s="1769" t="e">
        <f t="shared" si="5"/>
        <v>#VALUE!</v>
      </c>
      <c r="ED655" s="1769"/>
      <c r="EE655" s="1769"/>
      <c r="EF655" s="1769"/>
      <c r="EG655" s="1769"/>
      <c r="EH655" s="1769" t="e">
        <f t="shared" si="6"/>
        <v>#VALUE!</v>
      </c>
      <c r="EI655" s="1769"/>
      <c r="EJ655" s="1769"/>
      <c r="EK655" s="1769"/>
      <c r="EL655" s="1769"/>
      <c r="EM655" s="1769" t="e">
        <f t="shared" si="7"/>
        <v>#VALUE!</v>
      </c>
      <c r="EN655" s="1769"/>
      <c r="EO655" s="1769"/>
      <c r="EP655" s="1769"/>
      <c r="EQ655" s="1769"/>
      <c r="ER655" s="1769" t="e">
        <f t="shared" si="8"/>
        <v>#VALUE!</v>
      </c>
      <c r="ES655" s="1769"/>
      <c r="ET655" s="1769"/>
      <c r="EU655" s="1769"/>
      <c r="EV655" s="1769"/>
      <c r="EW655" s="1769" t="e">
        <f t="shared" si="9"/>
        <v>#VALUE!</v>
      </c>
      <c r="EX655" s="1769"/>
      <c r="EY655" s="1769"/>
      <c r="EZ655" s="1769"/>
      <c r="FA655" s="1769"/>
    </row>
    <row r="656" spans="1:157" ht="13.05" customHeight="1">
      <c r="A656" s="22"/>
      <c r="B656" t="s">
        <v>18</v>
      </c>
      <c r="H656" s="1705" t="s">
        <v>2737</v>
      </c>
      <c r="I656" s="1705"/>
      <c r="J656" s="1705"/>
      <c r="K656" s="1705"/>
      <c r="L656" s="1705"/>
      <c r="M656" s="1705"/>
      <c r="N656" s="1705"/>
      <c r="O656" s="1705"/>
      <c r="P656" s="1705"/>
      <c r="Q656" s="1705"/>
      <c r="R656" s="1705"/>
      <c r="S656" s="8"/>
      <c r="T656" s="22"/>
      <c r="U656" t="s">
        <v>18</v>
      </c>
      <c r="AA656" s="1705" t="s">
        <v>2737</v>
      </c>
      <c r="AB656" s="1705"/>
      <c r="AC656" s="1705"/>
      <c r="AD656" s="1705"/>
      <c r="AE656" s="1705"/>
      <c r="AF656" s="1705"/>
      <c r="AG656" s="1705"/>
      <c r="AH656" s="1705"/>
      <c r="AI656" s="1705"/>
      <c r="AJ656" s="1705"/>
      <c r="AK656" s="1705"/>
      <c r="AZ656" s="34"/>
      <c r="BA656" s="34"/>
      <c r="BB656" s="34"/>
      <c r="BC656" s="34"/>
      <c r="BD656" s="34"/>
      <c r="BE656" s="34"/>
      <c r="BF656" s="34"/>
      <c r="BG656" s="34"/>
      <c r="BH656" s="34"/>
      <c r="BI656" s="34"/>
      <c r="BJ656" s="34"/>
      <c r="BK656" s="34"/>
      <c r="BL656" s="34"/>
      <c r="BM656" s="34"/>
      <c r="DX656" s="1769" t="e">
        <f t="shared" si="4"/>
        <v>#VALUE!</v>
      </c>
      <c r="DY656" s="1769"/>
      <c r="DZ656" s="1769"/>
      <c r="EA656" s="1769"/>
      <c r="EB656" s="1769"/>
      <c r="EC656" s="1769" t="e">
        <f t="shared" si="5"/>
        <v>#VALUE!</v>
      </c>
      <c r="ED656" s="1769"/>
      <c r="EE656" s="1769"/>
      <c r="EF656" s="1769"/>
      <c r="EG656" s="1769"/>
      <c r="EH656" s="1769" t="e">
        <f t="shared" si="6"/>
        <v>#VALUE!</v>
      </c>
      <c r="EI656" s="1769"/>
      <c r="EJ656" s="1769"/>
      <c r="EK656" s="1769"/>
      <c r="EL656" s="1769"/>
      <c r="EM656" s="1769" t="e">
        <f t="shared" si="7"/>
        <v>#VALUE!</v>
      </c>
      <c r="EN656" s="1769"/>
      <c r="EO656" s="1769"/>
      <c r="EP656" s="1769"/>
      <c r="EQ656" s="1769"/>
      <c r="ER656" s="1769" t="e">
        <f t="shared" si="8"/>
        <v>#VALUE!</v>
      </c>
      <c r="ES656" s="1769"/>
      <c r="ET656" s="1769"/>
      <c r="EU656" s="1769"/>
      <c r="EV656" s="1769"/>
      <c r="EW656" s="1769" t="e">
        <f t="shared" si="9"/>
        <v>#VALUE!</v>
      </c>
      <c r="EX656" s="1769"/>
      <c r="EY656" s="1769"/>
      <c r="EZ656" s="1769"/>
      <c r="FA656" s="1769"/>
    </row>
    <row r="657" spans="1:157" ht="13.05" customHeight="1">
      <c r="A657" s="22"/>
      <c r="B657" t="s">
        <v>20</v>
      </c>
      <c r="N657" s="1599" t="s">
        <v>545</v>
      </c>
      <c r="O657" s="1599"/>
      <c r="T657" s="22"/>
      <c r="U657" t="s">
        <v>20</v>
      </c>
      <c r="AG657" s="1599" t="s">
        <v>545</v>
      </c>
      <c r="AH657" s="1599"/>
      <c r="AZ657" s="34"/>
      <c r="BA657" s="34"/>
      <c r="BB657" s="34"/>
      <c r="BC657" s="34"/>
      <c r="BD657" s="34"/>
      <c r="BE657" s="34"/>
      <c r="BF657" s="34"/>
      <c r="BG657" s="34"/>
      <c r="BH657" s="34"/>
      <c r="BI657" s="34"/>
      <c r="BJ657" s="34"/>
      <c r="BK657" s="34"/>
      <c r="BL657" s="34"/>
      <c r="BM657" s="34"/>
      <c r="DX657" s="1769" t="e">
        <f t="shared" si="4"/>
        <v>#VALUE!</v>
      </c>
      <c r="DY657" s="1769"/>
      <c r="DZ657" s="1769"/>
      <c r="EA657" s="1769"/>
      <c r="EB657" s="1769"/>
      <c r="EC657" s="1769" t="e">
        <f t="shared" si="5"/>
        <v>#VALUE!</v>
      </c>
      <c r="ED657" s="1769"/>
      <c r="EE657" s="1769"/>
      <c r="EF657" s="1769"/>
      <c r="EG657" s="1769"/>
      <c r="EH657" s="1769" t="e">
        <f t="shared" si="6"/>
        <v>#VALUE!</v>
      </c>
      <c r="EI657" s="1769"/>
      <c r="EJ657" s="1769"/>
      <c r="EK657" s="1769"/>
      <c r="EL657" s="1769"/>
      <c r="EM657" s="1769" t="e">
        <f t="shared" si="7"/>
        <v>#VALUE!</v>
      </c>
      <c r="EN657" s="1769"/>
      <c r="EO657" s="1769"/>
      <c r="EP657" s="1769"/>
      <c r="EQ657" s="1769"/>
      <c r="ER657" s="1769" t="e">
        <f t="shared" si="8"/>
        <v>#VALUE!</v>
      </c>
      <c r="ES657" s="1769"/>
      <c r="ET657" s="1769"/>
      <c r="EU657" s="1769"/>
      <c r="EV657" s="1769"/>
      <c r="EW657" s="1769" t="e">
        <f t="shared" si="9"/>
        <v>#VALUE!</v>
      </c>
      <c r="EX657" s="1769"/>
      <c r="EY657" s="1769"/>
      <c r="EZ657" s="1769"/>
      <c r="FA657" s="1769"/>
    </row>
    <row r="658" spans="1:157" ht="13.05" customHeight="1">
      <c r="A658" s="22"/>
      <c r="T658" s="22"/>
      <c r="AZ658" s="34"/>
      <c r="BA658" s="34"/>
      <c r="BB658" s="34"/>
      <c r="BC658" s="34"/>
      <c r="BD658" s="34"/>
      <c r="BE658" s="34"/>
      <c r="BF658" s="34"/>
      <c r="BG658" s="34"/>
      <c r="BH658" s="34"/>
      <c r="BI658" s="34"/>
      <c r="BJ658" s="34"/>
      <c r="BK658" s="34"/>
      <c r="BL658" s="34"/>
      <c r="BM658" s="34"/>
      <c r="DX658" s="1769" t="e">
        <f t="shared" si="4"/>
        <v>#VALUE!</v>
      </c>
      <c r="DY658" s="1769"/>
      <c r="DZ658" s="1769"/>
      <c r="EA658" s="1769"/>
      <c r="EB658" s="1769"/>
      <c r="EC658" s="1769" t="e">
        <f t="shared" si="5"/>
        <v>#VALUE!</v>
      </c>
      <c r="ED658" s="1769"/>
      <c r="EE658" s="1769"/>
      <c r="EF658" s="1769"/>
      <c r="EG658" s="1769"/>
      <c r="EH658" s="1769" t="e">
        <f t="shared" si="6"/>
        <v>#VALUE!</v>
      </c>
      <c r="EI658" s="1769"/>
      <c r="EJ658" s="1769"/>
      <c r="EK658" s="1769"/>
      <c r="EL658" s="1769"/>
      <c r="EM658" s="1769" t="e">
        <f t="shared" si="7"/>
        <v>#VALUE!</v>
      </c>
      <c r="EN658" s="1769"/>
      <c r="EO658" s="1769"/>
      <c r="EP658" s="1769"/>
      <c r="EQ658" s="1769"/>
      <c r="ER658" s="1769" t="e">
        <f t="shared" si="8"/>
        <v>#VALUE!</v>
      </c>
      <c r="ES658" s="1769"/>
      <c r="ET658" s="1769"/>
      <c r="EU658" s="1769"/>
      <c r="EV658" s="1769"/>
      <c r="EW658" s="1769" t="e">
        <f t="shared" si="9"/>
        <v>#VALUE!</v>
      </c>
      <c r="EX658" s="1769"/>
      <c r="EY658" s="1769"/>
      <c r="EZ658" s="1769"/>
      <c r="FA658" s="1769"/>
    </row>
    <row r="659" spans="1:157" ht="13.05" customHeight="1">
      <c r="A659" s="55" t="s">
        <v>119</v>
      </c>
      <c r="B659" t="s">
        <v>463</v>
      </c>
      <c r="G659" s="1709" t="str">
        <f>C637</f>
        <v>Deferred Developer Fee</v>
      </c>
      <c r="H659" s="1709"/>
      <c r="I659" s="1709"/>
      <c r="J659" s="1709"/>
      <c r="K659" s="1709"/>
      <c r="L659" s="1709"/>
      <c r="M659" s="1709"/>
      <c r="N659" s="1709"/>
      <c r="O659" s="1709"/>
      <c r="P659" s="1709"/>
      <c r="Q659" s="1709"/>
      <c r="R659" s="1709"/>
      <c r="T659" s="55" t="s">
        <v>581</v>
      </c>
      <c r="U659" t="s">
        <v>463</v>
      </c>
      <c r="Z659" s="1709" t="str">
        <f>C638</f>
        <v>CalHFA MIP</v>
      </c>
      <c r="AA659" s="1709"/>
      <c r="AB659" s="1709"/>
      <c r="AC659" s="1709"/>
      <c r="AD659" s="1709"/>
      <c r="AE659" s="1709"/>
      <c r="AF659" s="1709"/>
      <c r="AG659" s="1709"/>
      <c r="AH659" s="1709"/>
      <c r="AI659" s="1709"/>
      <c r="AJ659" s="1709"/>
      <c r="AK659" s="1709"/>
      <c r="AZ659" s="34"/>
      <c r="BA659" s="34"/>
      <c r="BB659" s="34"/>
      <c r="BC659" s="34"/>
      <c r="BD659" s="34"/>
      <c r="BE659" s="34"/>
      <c r="BF659" s="34"/>
      <c r="BG659" s="34"/>
      <c r="BH659" s="34"/>
      <c r="BI659" s="34"/>
      <c r="BJ659" s="34"/>
      <c r="BK659" s="34"/>
      <c r="BL659" s="34"/>
      <c r="BM659" s="34"/>
      <c r="DX659" s="1769" t="e">
        <f t="shared" si="4"/>
        <v>#VALUE!</v>
      </c>
      <c r="DY659" s="1769"/>
      <c r="DZ659" s="1769"/>
      <c r="EA659" s="1769"/>
      <c r="EB659" s="1769"/>
      <c r="EC659" s="1769" t="e">
        <f t="shared" si="5"/>
        <v>#VALUE!</v>
      </c>
      <c r="ED659" s="1769"/>
      <c r="EE659" s="1769"/>
      <c r="EF659" s="1769"/>
      <c r="EG659" s="1769"/>
      <c r="EH659" s="1769" t="e">
        <f t="shared" si="6"/>
        <v>#VALUE!</v>
      </c>
      <c r="EI659" s="1769"/>
      <c r="EJ659" s="1769"/>
      <c r="EK659" s="1769"/>
      <c r="EL659" s="1769"/>
      <c r="EM659" s="1769" t="e">
        <f t="shared" si="7"/>
        <v>#VALUE!</v>
      </c>
      <c r="EN659" s="1769"/>
      <c r="EO659" s="1769"/>
      <c r="EP659" s="1769"/>
      <c r="EQ659" s="1769"/>
      <c r="ER659" s="1769" t="e">
        <f t="shared" si="8"/>
        <v>#VALUE!</v>
      </c>
      <c r="ES659" s="1769"/>
      <c r="ET659" s="1769"/>
      <c r="EU659" s="1769"/>
      <c r="EV659" s="1769"/>
      <c r="EW659" s="1769" t="e">
        <f t="shared" si="9"/>
        <v>#VALUE!</v>
      </c>
      <c r="EX659" s="1769"/>
      <c r="EY659" s="1769"/>
      <c r="EZ659" s="1769"/>
      <c r="FA659" s="1769"/>
    </row>
    <row r="660" spans="1:157" ht="13.05" customHeight="1">
      <c r="A660" s="22"/>
      <c r="B660" t="s">
        <v>85</v>
      </c>
      <c r="G660" s="1705" t="s">
        <v>2732</v>
      </c>
      <c r="H660" s="1705"/>
      <c r="I660" s="1705"/>
      <c r="J660" s="1705"/>
      <c r="K660" s="1705"/>
      <c r="L660" s="1705"/>
      <c r="M660" s="1705"/>
      <c r="N660" s="1705"/>
      <c r="O660" s="1705"/>
      <c r="P660" s="1705"/>
      <c r="Q660" s="1705"/>
      <c r="R660" s="1705"/>
      <c r="T660" s="22"/>
      <c r="U660" t="s">
        <v>85</v>
      </c>
      <c r="Z660" s="1705" t="s">
        <v>2773</v>
      </c>
      <c r="AA660" s="1705"/>
      <c r="AB660" s="1705"/>
      <c r="AC660" s="1705"/>
      <c r="AD660" s="1705"/>
      <c r="AE660" s="1705"/>
      <c r="AF660" s="1705"/>
      <c r="AG660" s="1705"/>
      <c r="AH660" s="1705"/>
      <c r="AI660" s="1705"/>
      <c r="AJ660" s="1705"/>
      <c r="AK660" s="1705"/>
      <c r="AZ660" s="34"/>
      <c r="BA660" s="34"/>
      <c r="BB660" s="34"/>
      <c r="BC660" s="34"/>
      <c r="BD660" s="34"/>
      <c r="BE660" s="34"/>
      <c r="BF660" s="34"/>
      <c r="BG660" s="34"/>
      <c r="BH660" s="34"/>
      <c r="BI660" s="34"/>
      <c r="BJ660" s="34"/>
      <c r="BK660" s="34"/>
      <c r="BL660" s="34"/>
      <c r="BM660" s="34"/>
      <c r="DX660" s="1769" t="e">
        <f t="shared" si="4"/>
        <v>#VALUE!</v>
      </c>
      <c r="DY660" s="1769"/>
      <c r="DZ660" s="1769"/>
      <c r="EA660" s="1769"/>
      <c r="EB660" s="1769"/>
      <c r="EC660" s="1769" t="e">
        <f t="shared" si="5"/>
        <v>#VALUE!</v>
      </c>
      <c r="ED660" s="1769"/>
      <c r="EE660" s="1769"/>
      <c r="EF660" s="1769"/>
      <c r="EG660" s="1769"/>
      <c r="EH660" s="1769" t="e">
        <f t="shared" si="6"/>
        <v>#VALUE!</v>
      </c>
      <c r="EI660" s="1769"/>
      <c r="EJ660" s="1769"/>
      <c r="EK660" s="1769"/>
      <c r="EL660" s="1769"/>
      <c r="EM660" s="1769" t="e">
        <f t="shared" si="7"/>
        <v>#VALUE!</v>
      </c>
      <c r="EN660" s="1769"/>
      <c r="EO660" s="1769"/>
      <c r="EP660" s="1769"/>
      <c r="EQ660" s="1769"/>
      <c r="ER660" s="1769" t="e">
        <f t="shared" si="8"/>
        <v>#VALUE!</v>
      </c>
      <c r="ES660" s="1769"/>
      <c r="ET660" s="1769"/>
      <c r="EU660" s="1769"/>
      <c r="EV660" s="1769"/>
      <c r="EW660" s="1769" t="e">
        <f t="shared" si="9"/>
        <v>#VALUE!</v>
      </c>
      <c r="EX660" s="1769"/>
      <c r="EY660" s="1769"/>
      <c r="EZ660" s="1769"/>
      <c r="FA660" s="1769"/>
    </row>
    <row r="661" spans="1:157" ht="13.05" customHeight="1">
      <c r="A661" s="22"/>
      <c r="B661" t="s">
        <v>580</v>
      </c>
      <c r="G661" s="1710" t="s">
        <v>2733</v>
      </c>
      <c r="H661" s="1710"/>
      <c r="I661" s="1710"/>
      <c r="J661" s="1710"/>
      <c r="K661" s="1710"/>
      <c r="L661" s="1710"/>
      <c r="M661" s="1710"/>
      <c r="N661" s="1710"/>
      <c r="O661" s="1710"/>
      <c r="P661" s="1710"/>
      <c r="Q661" s="1710"/>
      <c r="R661" s="1710"/>
      <c r="T661" s="22"/>
      <c r="U661" t="s">
        <v>580</v>
      </c>
      <c r="Z661" s="1710" t="s">
        <v>2774</v>
      </c>
      <c r="AA661" s="1710"/>
      <c r="AB661" s="1710"/>
      <c r="AC661" s="1710"/>
      <c r="AD661" s="1710"/>
      <c r="AE661" s="1710"/>
      <c r="AF661" s="1710"/>
      <c r="AG661" s="1710"/>
      <c r="AH661" s="1710"/>
      <c r="AI661" s="1710"/>
      <c r="AJ661" s="1710"/>
      <c r="AK661" s="1710"/>
      <c r="AZ661" s="34"/>
      <c r="BA661" s="34"/>
      <c r="BB661" s="34"/>
      <c r="BC661" s="34"/>
      <c r="BD661" s="34"/>
      <c r="BE661" s="34"/>
      <c r="BF661" s="34"/>
      <c r="BG661" s="34"/>
      <c r="BH661" s="34"/>
      <c r="BI661" s="34"/>
      <c r="BJ661" s="34"/>
      <c r="BK661" s="34"/>
      <c r="BL661" s="34"/>
      <c r="BM661" s="34"/>
      <c r="DX661" s="1769" t="e">
        <f t="shared" si="4"/>
        <v>#VALUE!</v>
      </c>
      <c r="DY661" s="1769"/>
      <c r="DZ661" s="1769"/>
      <c r="EA661" s="1769"/>
      <c r="EB661" s="1769"/>
      <c r="EC661" s="1769" t="e">
        <f t="shared" si="5"/>
        <v>#VALUE!</v>
      </c>
      <c r="ED661" s="1769"/>
      <c r="EE661" s="1769"/>
      <c r="EF661" s="1769"/>
      <c r="EG661" s="1769"/>
      <c r="EH661" s="1769" t="e">
        <f t="shared" si="6"/>
        <v>#VALUE!</v>
      </c>
      <c r="EI661" s="1769"/>
      <c r="EJ661" s="1769"/>
      <c r="EK661" s="1769"/>
      <c r="EL661" s="1769"/>
      <c r="EM661" s="1769" t="e">
        <f t="shared" si="7"/>
        <v>#VALUE!</v>
      </c>
      <c r="EN661" s="1769"/>
      <c r="EO661" s="1769"/>
      <c r="EP661" s="1769"/>
      <c r="EQ661" s="1769"/>
      <c r="ER661" s="1769" t="e">
        <f t="shared" si="8"/>
        <v>#VALUE!</v>
      </c>
      <c r="ES661" s="1769"/>
      <c r="ET661" s="1769"/>
      <c r="EU661" s="1769"/>
      <c r="EV661" s="1769"/>
      <c r="EW661" s="1769" t="e">
        <f t="shared" si="9"/>
        <v>#VALUE!</v>
      </c>
      <c r="EX661" s="1769"/>
      <c r="EY661" s="1769"/>
      <c r="EZ661" s="1769"/>
      <c r="FA661" s="1769"/>
    </row>
    <row r="662" spans="1:157" ht="13.05" customHeight="1">
      <c r="A662" s="22"/>
      <c r="B662" t="s">
        <v>17</v>
      </c>
      <c r="G662" s="1710" t="s">
        <v>2651</v>
      </c>
      <c r="H662" s="1710"/>
      <c r="I662" s="1710"/>
      <c r="J662" s="1710"/>
      <c r="K662" s="1710"/>
      <c r="L662" s="1710"/>
      <c r="M662" s="1710"/>
      <c r="N662" s="1710"/>
      <c r="O662" s="1710"/>
      <c r="P662" s="1710"/>
      <c r="Q662" s="1710"/>
      <c r="R662" s="1710"/>
      <c r="T662" s="22"/>
      <c r="U662" t="s">
        <v>17</v>
      </c>
      <c r="Z662" s="1710" t="s">
        <v>2775</v>
      </c>
      <c r="AA662" s="1710"/>
      <c r="AB662" s="1710"/>
      <c r="AC662" s="1710"/>
      <c r="AD662" s="1710"/>
      <c r="AE662" s="1710"/>
      <c r="AF662" s="1710"/>
      <c r="AG662" s="1710"/>
      <c r="AH662" s="1710"/>
      <c r="AI662" s="1710"/>
      <c r="AJ662" s="1710"/>
      <c r="AK662" s="1710"/>
      <c r="AZ662" s="34"/>
      <c r="BA662" s="34"/>
      <c r="BB662" s="34"/>
      <c r="BC662" s="34"/>
      <c r="BD662" s="34"/>
      <c r="BE662" s="34"/>
      <c r="BF662" s="34"/>
      <c r="BG662" s="34"/>
      <c r="BH662" s="34"/>
      <c r="BI662" s="34"/>
      <c r="BJ662" s="34"/>
      <c r="BK662" s="34"/>
      <c r="BL662" s="34"/>
      <c r="BM662" s="34"/>
      <c r="DX662" s="1769" t="e">
        <f t="shared" si="4"/>
        <v>#VALUE!</v>
      </c>
      <c r="DY662" s="1769"/>
      <c r="DZ662" s="1769"/>
      <c r="EA662" s="1769"/>
      <c r="EB662" s="1769"/>
      <c r="EC662" s="1769" t="e">
        <f t="shared" si="5"/>
        <v>#VALUE!</v>
      </c>
      <c r="ED662" s="1769"/>
      <c r="EE662" s="1769"/>
      <c r="EF662" s="1769"/>
      <c r="EG662" s="1769"/>
      <c r="EH662" s="1769" t="e">
        <f t="shared" si="6"/>
        <v>#VALUE!</v>
      </c>
      <c r="EI662" s="1769"/>
      <c r="EJ662" s="1769"/>
      <c r="EK662" s="1769"/>
      <c r="EL662" s="1769"/>
      <c r="EM662" s="1769" t="e">
        <f t="shared" si="7"/>
        <v>#VALUE!</v>
      </c>
      <c r="EN662" s="1769"/>
      <c r="EO662" s="1769"/>
      <c r="EP662" s="1769"/>
      <c r="EQ662" s="1769"/>
      <c r="ER662" s="1769" t="e">
        <f t="shared" si="8"/>
        <v>#VALUE!</v>
      </c>
      <c r="ES662" s="1769"/>
      <c r="ET662" s="1769"/>
      <c r="EU662" s="1769"/>
      <c r="EV662" s="1769"/>
      <c r="EW662" s="1769" t="e">
        <f t="shared" si="9"/>
        <v>#VALUE!</v>
      </c>
      <c r="EX662" s="1769"/>
      <c r="EY662" s="1769"/>
      <c r="EZ662" s="1769"/>
      <c r="FA662" s="1769"/>
    </row>
    <row r="663" spans="1:157" ht="13.05" customHeight="1">
      <c r="A663" s="22"/>
      <c r="B663" t="s">
        <v>316</v>
      </c>
      <c r="G663" s="1714" t="s">
        <v>2653</v>
      </c>
      <c r="H663" s="1714"/>
      <c r="I663" s="1714"/>
      <c r="J663" s="1714"/>
      <c r="K663" s="1714"/>
      <c r="L663" s="1714"/>
      <c r="O663" s="33" t="s">
        <v>206</v>
      </c>
      <c r="P663" s="1749"/>
      <c r="Q663" s="1749"/>
      <c r="R663" s="1749"/>
      <c r="T663" s="22"/>
      <c r="U663" t="s">
        <v>316</v>
      </c>
      <c r="Z663" s="1714" t="s">
        <v>2776</v>
      </c>
      <c r="AA663" s="1714"/>
      <c r="AB663" s="1714"/>
      <c r="AC663" s="1714"/>
      <c r="AD663" s="1714"/>
      <c r="AE663" s="1714"/>
      <c r="AH663" s="33" t="s">
        <v>206</v>
      </c>
      <c r="AI663" s="1749"/>
      <c r="AJ663" s="1749"/>
      <c r="AK663" s="1749"/>
      <c r="AZ663" s="34"/>
      <c r="BA663" s="34"/>
      <c r="BB663" s="34"/>
      <c r="BC663" s="34"/>
      <c r="BD663" s="34"/>
      <c r="BE663" s="34"/>
      <c r="BF663" s="34"/>
      <c r="BG663" s="34"/>
      <c r="BH663" s="34"/>
      <c r="BI663" s="34"/>
      <c r="BJ663" s="34"/>
      <c r="BK663" s="34"/>
      <c r="BL663" s="34"/>
      <c r="BM663" s="34"/>
      <c r="DX663" s="1769" t="e">
        <f t="shared" si="4"/>
        <v>#VALUE!</v>
      </c>
      <c r="DY663" s="1769"/>
      <c r="DZ663" s="1769"/>
      <c r="EA663" s="1769"/>
      <c r="EB663" s="1769"/>
      <c r="EC663" s="1769" t="e">
        <f t="shared" si="5"/>
        <v>#VALUE!</v>
      </c>
      <c r="ED663" s="1769"/>
      <c r="EE663" s="1769"/>
      <c r="EF663" s="1769"/>
      <c r="EG663" s="1769"/>
      <c r="EH663" s="1769" t="e">
        <f t="shared" si="6"/>
        <v>#VALUE!</v>
      </c>
      <c r="EI663" s="1769"/>
      <c r="EJ663" s="1769"/>
      <c r="EK663" s="1769"/>
      <c r="EL663" s="1769"/>
      <c r="EM663" s="1769" t="e">
        <f t="shared" si="7"/>
        <v>#VALUE!</v>
      </c>
      <c r="EN663" s="1769"/>
      <c r="EO663" s="1769"/>
      <c r="EP663" s="1769"/>
      <c r="EQ663" s="1769"/>
      <c r="ER663" s="1769" t="e">
        <f t="shared" si="8"/>
        <v>#VALUE!</v>
      </c>
      <c r="ES663" s="1769"/>
      <c r="ET663" s="1769"/>
      <c r="EU663" s="1769"/>
      <c r="EV663" s="1769"/>
      <c r="EW663" s="1769" t="e">
        <f t="shared" si="9"/>
        <v>#VALUE!</v>
      </c>
      <c r="EX663" s="1769"/>
      <c r="EY663" s="1769"/>
      <c r="EZ663" s="1769"/>
      <c r="FA663" s="1769"/>
    </row>
    <row r="664" spans="1:157" ht="13.05" customHeight="1">
      <c r="A664" s="22"/>
      <c r="B664" t="s">
        <v>18</v>
      </c>
      <c r="H664" s="1705" t="s">
        <v>2734</v>
      </c>
      <c r="I664" s="1705"/>
      <c r="J664" s="1705"/>
      <c r="K664" s="1705"/>
      <c r="L664" s="1705"/>
      <c r="M664" s="1705"/>
      <c r="N664" s="1705"/>
      <c r="O664" s="1705"/>
      <c r="P664" s="1705"/>
      <c r="Q664" s="1705"/>
      <c r="R664" s="1705"/>
      <c r="T664" s="22"/>
      <c r="U664" t="s">
        <v>18</v>
      </c>
      <c r="AA664" s="1705" t="s">
        <v>2069</v>
      </c>
      <c r="AB664" s="1705"/>
      <c r="AC664" s="1705"/>
      <c r="AD664" s="1705"/>
      <c r="AE664" s="1705"/>
      <c r="AF664" s="1705"/>
      <c r="AG664" s="1705"/>
      <c r="AH664" s="1705"/>
      <c r="AI664" s="1705"/>
      <c r="AJ664" s="1705"/>
      <c r="AK664" s="1705"/>
      <c r="AZ664" s="34"/>
      <c r="BA664" s="34"/>
      <c r="BB664" s="34"/>
      <c r="BC664" s="34"/>
      <c r="BD664" s="34"/>
      <c r="BE664" s="34"/>
      <c r="BF664" s="34"/>
      <c r="BG664" s="34"/>
      <c r="BH664" s="34"/>
      <c r="BI664" s="34"/>
      <c r="BJ664" s="34"/>
      <c r="BK664" s="34"/>
      <c r="BL664" s="34"/>
      <c r="BM664" s="34"/>
      <c r="DX664" s="1769" t="e">
        <f t="shared" si="4"/>
        <v>#VALUE!</v>
      </c>
      <c r="DY664" s="1769"/>
      <c r="DZ664" s="1769"/>
      <c r="EA664" s="1769"/>
      <c r="EB664" s="1769"/>
      <c r="EC664" s="1769" t="e">
        <f t="shared" si="5"/>
        <v>#VALUE!</v>
      </c>
      <c r="ED664" s="1769"/>
      <c r="EE664" s="1769"/>
      <c r="EF664" s="1769"/>
      <c r="EG664" s="1769"/>
      <c r="EH664" s="1769" t="e">
        <f t="shared" si="6"/>
        <v>#VALUE!</v>
      </c>
      <c r="EI664" s="1769"/>
      <c r="EJ664" s="1769"/>
      <c r="EK664" s="1769"/>
      <c r="EL664" s="1769"/>
      <c r="EM664" s="1769" t="e">
        <f t="shared" si="7"/>
        <v>#VALUE!</v>
      </c>
      <c r="EN664" s="1769"/>
      <c r="EO664" s="1769"/>
      <c r="EP664" s="1769"/>
      <c r="EQ664" s="1769"/>
      <c r="ER664" s="1769" t="e">
        <f t="shared" si="8"/>
        <v>#VALUE!</v>
      </c>
      <c r="ES664" s="1769"/>
      <c r="ET664" s="1769"/>
      <c r="EU664" s="1769"/>
      <c r="EV664" s="1769"/>
      <c r="EW664" s="1769" t="e">
        <f t="shared" si="9"/>
        <v>#VALUE!</v>
      </c>
      <c r="EX664" s="1769"/>
      <c r="EY664" s="1769"/>
      <c r="EZ664" s="1769"/>
      <c r="FA664" s="1769"/>
    </row>
    <row r="665" spans="1:157" ht="13.05" customHeight="1">
      <c r="A665" s="22"/>
      <c r="B665" t="s">
        <v>20</v>
      </c>
      <c r="N665" s="1599" t="s">
        <v>545</v>
      </c>
      <c r="O665" s="1599"/>
      <c r="T665" s="22"/>
      <c r="U665" t="s">
        <v>20</v>
      </c>
      <c r="AG665" s="1599" t="s">
        <v>669</v>
      </c>
      <c r="AH665" s="1599"/>
      <c r="AZ665" s="34"/>
      <c r="BA665" s="34"/>
      <c r="BB665" s="34"/>
      <c r="BC665" s="34"/>
      <c r="BD665" s="34"/>
      <c r="BE665" s="34"/>
      <c r="BF665" s="34"/>
      <c r="BG665" s="34"/>
      <c r="BH665" s="34"/>
      <c r="BI665" s="34"/>
      <c r="BJ665" s="34"/>
      <c r="BK665" s="34"/>
      <c r="BL665" s="34"/>
      <c r="BM665" s="34"/>
      <c r="DX665" s="1769" t="e">
        <f t="shared" si="4"/>
        <v>#VALUE!</v>
      </c>
      <c r="DY665" s="1769"/>
      <c r="DZ665" s="1769"/>
      <c r="EA665" s="1769"/>
      <c r="EB665" s="1769"/>
      <c r="EC665" s="1769" t="e">
        <f t="shared" si="5"/>
        <v>#VALUE!</v>
      </c>
      <c r="ED665" s="1769"/>
      <c r="EE665" s="1769"/>
      <c r="EF665" s="1769"/>
      <c r="EG665" s="1769"/>
      <c r="EH665" s="1769" t="e">
        <f t="shared" si="6"/>
        <v>#VALUE!</v>
      </c>
      <c r="EI665" s="1769"/>
      <c r="EJ665" s="1769"/>
      <c r="EK665" s="1769"/>
      <c r="EL665" s="1769"/>
      <c r="EM665" s="1769" t="e">
        <f t="shared" si="7"/>
        <v>#VALUE!</v>
      </c>
      <c r="EN665" s="1769"/>
      <c r="EO665" s="1769"/>
      <c r="EP665" s="1769"/>
      <c r="EQ665" s="1769"/>
      <c r="ER665" s="1769" t="e">
        <f t="shared" si="8"/>
        <v>#VALUE!</v>
      </c>
      <c r="ES665" s="1769"/>
      <c r="ET665" s="1769"/>
      <c r="EU665" s="1769"/>
      <c r="EV665" s="1769"/>
      <c r="EW665" s="1769" t="e">
        <f t="shared" si="9"/>
        <v>#VALUE!</v>
      </c>
      <c r="EX665" s="1769"/>
      <c r="EY665" s="1769"/>
      <c r="EZ665" s="1769"/>
      <c r="FA665" s="1769"/>
    </row>
    <row r="666" spans="1:157" ht="13.05" customHeight="1">
      <c r="A666" s="22"/>
      <c r="T666" s="22"/>
      <c r="AZ666" s="34"/>
      <c r="BA666" s="34"/>
      <c r="BB666" s="34"/>
      <c r="BC666" s="34"/>
      <c r="BD666" s="34"/>
      <c r="BE666" s="34"/>
      <c r="BF666" s="34"/>
      <c r="BG666" s="34"/>
      <c r="BH666" s="34"/>
      <c r="BI666" s="34"/>
      <c r="BJ666" s="34"/>
      <c r="BK666" s="34"/>
      <c r="BL666" s="34"/>
      <c r="BM666" s="34"/>
      <c r="DX666" s="1769" t="e">
        <f t="shared" si="4"/>
        <v>#VALUE!</v>
      </c>
      <c r="DY666" s="1769"/>
      <c r="DZ666" s="1769"/>
      <c r="EA666" s="1769"/>
      <c r="EB666" s="1769"/>
      <c r="EC666" s="1769" t="e">
        <f t="shared" si="5"/>
        <v>#VALUE!</v>
      </c>
      <c r="ED666" s="1769"/>
      <c r="EE666" s="1769"/>
      <c r="EF666" s="1769"/>
      <c r="EG666" s="1769"/>
      <c r="EH666" s="1769" t="e">
        <f t="shared" si="6"/>
        <v>#VALUE!</v>
      </c>
      <c r="EI666" s="1769"/>
      <c r="EJ666" s="1769"/>
      <c r="EK666" s="1769"/>
      <c r="EL666" s="1769"/>
      <c r="EM666" s="1769" t="e">
        <f t="shared" si="7"/>
        <v>#VALUE!</v>
      </c>
      <c r="EN666" s="1769"/>
      <c r="EO666" s="1769"/>
      <c r="EP666" s="1769"/>
      <c r="EQ666" s="1769"/>
      <c r="ER666" s="1769" t="e">
        <f t="shared" si="8"/>
        <v>#VALUE!</v>
      </c>
      <c r="ES666" s="1769"/>
      <c r="ET666" s="1769"/>
      <c r="EU666" s="1769"/>
      <c r="EV666" s="1769"/>
      <c r="EW666" s="1769" t="e">
        <f t="shared" si="9"/>
        <v>#VALUE!</v>
      </c>
      <c r="EX666" s="1769"/>
      <c r="EY666" s="1769"/>
      <c r="EZ666" s="1769"/>
      <c r="FA666" s="1769"/>
    </row>
    <row r="667" spans="1:157" ht="13.05" customHeight="1">
      <c r="A667" s="55" t="s">
        <v>763</v>
      </c>
      <c r="B667" t="s">
        <v>463</v>
      </c>
      <c r="G667" s="1709" t="str">
        <f>C639</f>
        <v>MGP Contribution</v>
      </c>
      <c r="H667" s="1709"/>
      <c r="I667" s="1709"/>
      <c r="J667" s="1709"/>
      <c r="K667" s="1709"/>
      <c r="L667" s="1709"/>
      <c r="M667" s="1709"/>
      <c r="N667" s="1709"/>
      <c r="O667" s="1709"/>
      <c r="P667" s="1709"/>
      <c r="Q667" s="1709"/>
      <c r="R667" s="1709"/>
      <c r="T667" s="55" t="s">
        <v>584</v>
      </c>
      <c r="U667" t="s">
        <v>463</v>
      </c>
      <c r="Z667" s="1709">
        <f>C640</f>
        <v>0</v>
      </c>
      <c r="AA667" s="1709"/>
      <c r="AB667" s="1709"/>
      <c r="AC667" s="1709"/>
      <c r="AD667" s="1709"/>
      <c r="AE667" s="1709"/>
      <c r="AF667" s="1709"/>
      <c r="AG667" s="1709"/>
      <c r="AH667" s="1709"/>
      <c r="AI667" s="1709"/>
      <c r="AJ667" s="1709"/>
      <c r="AK667" s="1709"/>
      <c r="AZ667" s="34"/>
      <c r="BA667" s="34"/>
      <c r="BB667" s="34"/>
      <c r="BC667" s="34"/>
      <c r="BD667" s="34"/>
      <c r="BE667" s="34"/>
      <c r="BF667" s="34"/>
      <c r="BG667" s="34"/>
      <c r="BH667" s="34"/>
      <c r="BI667" s="34"/>
      <c r="BJ667" s="34"/>
      <c r="BK667" s="34"/>
      <c r="BL667" s="34"/>
      <c r="BM667" s="34"/>
      <c r="DX667" s="1769" t="e">
        <f t="shared" si="4"/>
        <v>#VALUE!</v>
      </c>
      <c r="DY667" s="1769"/>
      <c r="DZ667" s="1769"/>
      <c r="EA667" s="1769"/>
      <c r="EB667" s="1769"/>
      <c r="EC667" s="1769" t="e">
        <f t="shared" si="5"/>
        <v>#VALUE!</v>
      </c>
      <c r="ED667" s="1769"/>
      <c r="EE667" s="1769"/>
      <c r="EF667" s="1769"/>
      <c r="EG667" s="1769"/>
      <c r="EH667" s="1769" t="e">
        <f t="shared" si="6"/>
        <v>#VALUE!</v>
      </c>
      <c r="EI667" s="1769"/>
      <c r="EJ667" s="1769"/>
      <c r="EK667" s="1769"/>
      <c r="EL667" s="1769"/>
      <c r="EM667" s="1769" t="e">
        <f t="shared" si="7"/>
        <v>#VALUE!</v>
      </c>
      <c r="EN667" s="1769"/>
      <c r="EO667" s="1769"/>
      <c r="EP667" s="1769"/>
      <c r="EQ667" s="1769"/>
      <c r="ER667" s="1769" t="e">
        <f t="shared" si="8"/>
        <v>#VALUE!</v>
      </c>
      <c r="ES667" s="1769"/>
      <c r="ET667" s="1769"/>
      <c r="EU667" s="1769"/>
      <c r="EV667" s="1769"/>
      <c r="EW667" s="1769" t="e">
        <f t="shared" si="9"/>
        <v>#VALUE!</v>
      </c>
      <c r="EX667" s="1769"/>
      <c r="EY667" s="1769"/>
      <c r="EZ667" s="1769"/>
      <c r="FA667" s="1769"/>
    </row>
    <row r="668" spans="1:157" ht="13.05" customHeight="1">
      <c r="A668" s="22"/>
      <c r="B668" t="s">
        <v>85</v>
      </c>
      <c r="G668" s="1705" t="s">
        <v>2771</v>
      </c>
      <c r="H668" s="1705"/>
      <c r="I668" s="1705"/>
      <c r="J668" s="1705"/>
      <c r="K668" s="1705"/>
      <c r="L668" s="1705"/>
      <c r="M668" s="1705"/>
      <c r="N668" s="1705"/>
      <c r="O668" s="1705"/>
      <c r="P668" s="1705"/>
      <c r="Q668" s="1705"/>
      <c r="R668" s="1705"/>
      <c r="T668" s="22"/>
      <c r="U668" t="s">
        <v>85</v>
      </c>
      <c r="Z668" s="1705"/>
      <c r="AA668" s="1705"/>
      <c r="AB668" s="1705"/>
      <c r="AC668" s="1705"/>
      <c r="AD668" s="1705"/>
      <c r="AE668" s="1705"/>
      <c r="AF668" s="1705"/>
      <c r="AG668" s="1705"/>
      <c r="AH668" s="1705"/>
      <c r="AI668" s="1705"/>
      <c r="AJ668" s="1705"/>
      <c r="AK668" s="1705"/>
      <c r="AZ668" s="34"/>
      <c r="BA668" s="34"/>
      <c r="BB668" s="34"/>
      <c r="BC668" s="34"/>
      <c r="BD668" s="34"/>
      <c r="BE668" s="34"/>
      <c r="BF668" s="34"/>
      <c r="BG668" s="34"/>
      <c r="BH668" s="34"/>
      <c r="BI668" s="34"/>
      <c r="BJ668" s="34"/>
      <c r="BK668" s="34"/>
      <c r="BL668" s="34"/>
      <c r="BM668" s="34"/>
      <c r="DX668" s="1769" t="e">
        <f t="shared" si="4"/>
        <v>#VALUE!</v>
      </c>
      <c r="DY668" s="1769"/>
      <c r="DZ668" s="1769"/>
      <c r="EA668" s="1769"/>
      <c r="EB668" s="1769"/>
      <c r="EC668" s="1769" t="e">
        <f t="shared" si="5"/>
        <v>#VALUE!</v>
      </c>
      <c r="ED668" s="1769"/>
      <c r="EE668" s="1769"/>
      <c r="EF668" s="1769"/>
      <c r="EG668" s="1769"/>
      <c r="EH668" s="1769" t="e">
        <f t="shared" si="6"/>
        <v>#VALUE!</v>
      </c>
      <c r="EI668" s="1769"/>
      <c r="EJ668" s="1769"/>
      <c r="EK668" s="1769"/>
      <c r="EL668" s="1769"/>
      <c r="EM668" s="1769" t="e">
        <f t="shared" si="7"/>
        <v>#VALUE!</v>
      </c>
      <c r="EN668" s="1769"/>
      <c r="EO668" s="1769"/>
      <c r="EP668" s="1769"/>
      <c r="EQ668" s="1769"/>
      <c r="ER668" s="1769" t="e">
        <f t="shared" si="8"/>
        <v>#VALUE!</v>
      </c>
      <c r="ES668" s="1769"/>
      <c r="ET668" s="1769"/>
      <c r="EU668" s="1769"/>
      <c r="EV668" s="1769"/>
      <c r="EW668" s="1769" t="e">
        <f t="shared" si="9"/>
        <v>#VALUE!</v>
      </c>
      <c r="EX668" s="1769"/>
      <c r="EY668" s="1769"/>
      <c r="EZ668" s="1769"/>
      <c r="FA668" s="1769"/>
    </row>
    <row r="669" spans="1:157" ht="13.05" customHeight="1">
      <c r="A669" s="22"/>
      <c r="B669" t="s">
        <v>580</v>
      </c>
      <c r="G669" s="1705" t="s">
        <v>2777</v>
      </c>
      <c r="H669" s="1705"/>
      <c r="I669" s="1705"/>
      <c r="J669" s="1705"/>
      <c r="K669" s="1705"/>
      <c r="L669" s="1705"/>
      <c r="M669" s="1705"/>
      <c r="N669" s="1705"/>
      <c r="O669" s="1705"/>
      <c r="P669" s="1705"/>
      <c r="Q669" s="1705"/>
      <c r="R669" s="1705"/>
      <c r="T669" s="22"/>
      <c r="U669" t="s">
        <v>580</v>
      </c>
      <c r="Z669" s="1710"/>
      <c r="AA669" s="1710"/>
      <c r="AB669" s="1710"/>
      <c r="AC669" s="1710"/>
      <c r="AD669" s="1710"/>
      <c r="AE669" s="1710"/>
      <c r="AF669" s="1710"/>
      <c r="AG669" s="1710"/>
      <c r="AH669" s="1710"/>
      <c r="AI669" s="1710"/>
      <c r="AJ669" s="1710"/>
      <c r="AK669" s="1710"/>
      <c r="AZ669" s="34"/>
      <c r="BA669" s="34"/>
      <c r="BB669" s="34"/>
      <c r="BC669" s="34"/>
      <c r="BD669" s="34"/>
      <c r="BE669" s="34"/>
      <c r="BF669" s="34"/>
      <c r="BG669" s="34"/>
      <c r="BH669" s="34"/>
      <c r="BI669" s="34"/>
      <c r="BJ669" s="34"/>
      <c r="BK669" s="34"/>
      <c r="BL669" s="34"/>
      <c r="BM669" s="34"/>
      <c r="DX669" s="1769" t="e">
        <f t="shared" si="4"/>
        <v>#VALUE!</v>
      </c>
      <c r="DY669" s="1769"/>
      <c r="DZ669" s="1769"/>
      <c r="EA669" s="1769"/>
      <c r="EB669" s="1769"/>
      <c r="EC669" s="1769" t="e">
        <f t="shared" si="5"/>
        <v>#VALUE!</v>
      </c>
      <c r="ED669" s="1769"/>
      <c r="EE669" s="1769"/>
      <c r="EF669" s="1769"/>
      <c r="EG669" s="1769"/>
      <c r="EH669" s="1769" t="e">
        <f t="shared" si="6"/>
        <v>#VALUE!</v>
      </c>
      <c r="EI669" s="1769"/>
      <c r="EJ669" s="1769"/>
      <c r="EK669" s="1769"/>
      <c r="EL669" s="1769"/>
      <c r="EM669" s="1769" t="e">
        <f t="shared" si="7"/>
        <v>#VALUE!</v>
      </c>
      <c r="EN669" s="1769"/>
      <c r="EO669" s="1769"/>
      <c r="EP669" s="1769"/>
      <c r="EQ669" s="1769"/>
      <c r="ER669" s="1769" t="e">
        <f t="shared" si="8"/>
        <v>#VALUE!</v>
      </c>
      <c r="ES669" s="1769"/>
      <c r="ET669" s="1769"/>
      <c r="EU669" s="1769"/>
      <c r="EV669" s="1769"/>
      <c r="EW669" s="1769" t="e">
        <f t="shared" si="9"/>
        <v>#VALUE!</v>
      </c>
      <c r="EX669" s="1769"/>
      <c r="EY669" s="1769"/>
      <c r="EZ669" s="1769"/>
      <c r="FA669" s="1769"/>
    </row>
    <row r="670" spans="1:157" ht="13.05" customHeight="1">
      <c r="A670" s="22"/>
      <c r="B670" t="s">
        <v>17</v>
      </c>
      <c r="G670" s="1705" t="s">
        <v>2657</v>
      </c>
      <c r="H670" s="1705"/>
      <c r="I670" s="1705"/>
      <c r="J670" s="1705"/>
      <c r="K670" s="1705"/>
      <c r="L670" s="1705"/>
      <c r="M670" s="1705"/>
      <c r="N670" s="1705"/>
      <c r="O670" s="1705"/>
      <c r="P670" s="1705"/>
      <c r="Q670" s="1705"/>
      <c r="R670" s="1705"/>
      <c r="T670" s="22"/>
      <c r="U670" t="s">
        <v>17</v>
      </c>
      <c r="Z670" s="1710"/>
      <c r="AA670" s="1710"/>
      <c r="AB670" s="1710"/>
      <c r="AC670" s="1710"/>
      <c r="AD670" s="1710"/>
      <c r="AE670" s="1710"/>
      <c r="AF670" s="1710"/>
      <c r="AG670" s="1710"/>
      <c r="AH670" s="1710"/>
      <c r="AI670" s="1710"/>
      <c r="AJ670" s="1710"/>
      <c r="AK670" s="1710"/>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769" t="e">
        <f t="shared" si="4"/>
        <v>#VALUE!</v>
      </c>
      <c r="DY670" s="1769"/>
      <c r="DZ670" s="1769"/>
      <c r="EA670" s="1769"/>
      <c r="EB670" s="1769"/>
      <c r="EC670" s="1769" t="e">
        <f t="shared" si="5"/>
        <v>#VALUE!</v>
      </c>
      <c r="ED670" s="1769"/>
      <c r="EE670" s="1769"/>
      <c r="EF670" s="1769"/>
      <c r="EG670" s="1769"/>
      <c r="EH670" s="1769" t="e">
        <f t="shared" si="6"/>
        <v>#VALUE!</v>
      </c>
      <c r="EI670" s="1769"/>
      <c r="EJ670" s="1769"/>
      <c r="EK670" s="1769"/>
      <c r="EL670" s="1769"/>
      <c r="EM670" s="1769" t="e">
        <f t="shared" si="7"/>
        <v>#VALUE!</v>
      </c>
      <c r="EN670" s="1769"/>
      <c r="EO670" s="1769"/>
      <c r="EP670" s="1769"/>
      <c r="EQ670" s="1769"/>
      <c r="ER670" s="1769" t="e">
        <f t="shared" si="8"/>
        <v>#VALUE!</v>
      </c>
      <c r="ES670" s="1769"/>
      <c r="ET670" s="1769"/>
      <c r="EU670" s="1769"/>
      <c r="EV670" s="1769"/>
      <c r="EW670" s="1769" t="e">
        <f t="shared" si="9"/>
        <v>#VALUE!</v>
      </c>
      <c r="EX670" s="1769"/>
      <c r="EY670" s="1769"/>
      <c r="EZ670" s="1769"/>
      <c r="FA670" s="1769"/>
    </row>
    <row r="671" spans="1:157" ht="13.05" customHeight="1">
      <c r="A671" s="22"/>
      <c r="B671" t="s">
        <v>316</v>
      </c>
      <c r="G671" s="1714" t="s">
        <v>2658</v>
      </c>
      <c r="H671" s="1714"/>
      <c r="I671" s="1714"/>
      <c r="J671" s="1714"/>
      <c r="K671" s="1714"/>
      <c r="L671" s="1714"/>
      <c r="O671" s="33" t="s">
        <v>206</v>
      </c>
      <c r="P671" s="1749"/>
      <c r="Q671" s="1749"/>
      <c r="R671" s="1749"/>
      <c r="T671" s="22"/>
      <c r="U671" t="s">
        <v>316</v>
      </c>
      <c r="Z671" s="1714"/>
      <c r="AA671" s="1714"/>
      <c r="AB671" s="1714"/>
      <c r="AC671" s="1714"/>
      <c r="AD671" s="1714"/>
      <c r="AE671" s="1714"/>
      <c r="AH671" s="33" t="s">
        <v>206</v>
      </c>
      <c r="AI671" s="1749"/>
      <c r="AJ671" s="1749"/>
      <c r="AK671" s="1749"/>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769" t="e">
        <f t="shared" si="4"/>
        <v>#VALUE!</v>
      </c>
      <c r="DY671" s="1769"/>
      <c r="DZ671" s="1769"/>
      <c r="EA671" s="1769"/>
      <c r="EB671" s="1769"/>
      <c r="EC671" s="1769" t="e">
        <f t="shared" si="5"/>
        <v>#VALUE!</v>
      </c>
      <c r="ED671" s="1769"/>
      <c r="EE671" s="1769"/>
      <c r="EF671" s="1769"/>
      <c r="EG671" s="1769"/>
      <c r="EH671" s="1769" t="e">
        <f t="shared" si="6"/>
        <v>#VALUE!</v>
      </c>
      <c r="EI671" s="1769"/>
      <c r="EJ671" s="1769"/>
      <c r="EK671" s="1769"/>
      <c r="EL671" s="1769"/>
      <c r="EM671" s="1769" t="e">
        <f t="shared" si="7"/>
        <v>#VALUE!</v>
      </c>
      <c r="EN671" s="1769"/>
      <c r="EO671" s="1769"/>
      <c r="EP671" s="1769"/>
      <c r="EQ671" s="1769"/>
      <c r="ER671" s="1769" t="e">
        <f t="shared" si="8"/>
        <v>#VALUE!</v>
      </c>
      <c r="ES671" s="1769"/>
      <c r="ET671" s="1769"/>
      <c r="EU671" s="1769"/>
      <c r="EV671" s="1769"/>
      <c r="EW671" s="1769" t="e">
        <f t="shared" si="9"/>
        <v>#VALUE!</v>
      </c>
      <c r="EX671" s="1769"/>
      <c r="EY671" s="1769"/>
      <c r="EZ671" s="1769"/>
      <c r="FA671" s="1769"/>
    </row>
    <row r="672" spans="1:157" ht="13.05" customHeight="1">
      <c r="A672" s="22"/>
      <c r="B672" t="s">
        <v>18</v>
      </c>
      <c r="H672" s="1705" t="s">
        <v>2734</v>
      </c>
      <c r="I672" s="1705"/>
      <c r="J672" s="1705"/>
      <c r="K672" s="1705"/>
      <c r="L672" s="1705"/>
      <c r="M672" s="1705"/>
      <c r="N672" s="1705"/>
      <c r="O672" s="1705"/>
      <c r="P672" s="1705"/>
      <c r="Q672" s="1705"/>
      <c r="R672" s="1705"/>
      <c r="T672" s="22"/>
      <c r="U672" t="s">
        <v>18</v>
      </c>
      <c r="AA672" s="1705"/>
      <c r="AB672" s="1705"/>
      <c r="AC672" s="1705"/>
      <c r="AD672" s="1705"/>
      <c r="AE672" s="1705"/>
      <c r="AF672" s="1705"/>
      <c r="AG672" s="1705"/>
      <c r="AH672" s="1705"/>
      <c r="AI672" s="1705"/>
      <c r="AJ672" s="1705"/>
      <c r="AK672" s="1705"/>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769" t="e">
        <f t="shared" si="4"/>
        <v>#VALUE!</v>
      </c>
      <c r="DY672" s="1769"/>
      <c r="DZ672" s="1769"/>
      <c r="EA672" s="1769"/>
      <c r="EB672" s="1769"/>
      <c r="EC672" s="1769" t="e">
        <f t="shared" si="5"/>
        <v>#VALUE!</v>
      </c>
      <c r="ED672" s="1769"/>
      <c r="EE672" s="1769"/>
      <c r="EF672" s="1769"/>
      <c r="EG672" s="1769"/>
      <c r="EH672" s="1769" t="e">
        <f t="shared" si="6"/>
        <v>#VALUE!</v>
      </c>
      <c r="EI672" s="1769"/>
      <c r="EJ672" s="1769"/>
      <c r="EK672" s="1769"/>
      <c r="EL672" s="1769"/>
      <c r="EM672" s="1769" t="e">
        <f t="shared" si="7"/>
        <v>#VALUE!</v>
      </c>
      <c r="EN672" s="1769"/>
      <c r="EO672" s="1769"/>
      <c r="EP672" s="1769"/>
      <c r="EQ672" s="1769"/>
      <c r="ER672" s="1769" t="e">
        <f t="shared" si="8"/>
        <v>#VALUE!</v>
      </c>
      <c r="ES672" s="1769"/>
      <c r="ET672" s="1769"/>
      <c r="EU672" s="1769"/>
      <c r="EV672" s="1769"/>
      <c r="EW672" s="1769" t="e">
        <f t="shared" si="9"/>
        <v>#VALUE!</v>
      </c>
      <c r="EX672" s="1769"/>
      <c r="EY672" s="1769"/>
      <c r="EZ672" s="1769"/>
      <c r="FA672" s="1769"/>
    </row>
    <row r="673" spans="1:157" ht="13.05" customHeight="1">
      <c r="A673" s="22"/>
      <c r="B673" t="s">
        <v>20</v>
      </c>
      <c r="N673" s="1599" t="s">
        <v>545</v>
      </c>
      <c r="O673" s="1599"/>
      <c r="T673" s="22"/>
      <c r="U673" t="s">
        <v>20</v>
      </c>
      <c r="AG673" s="1599" t="s">
        <v>669</v>
      </c>
      <c r="AH673" s="1599"/>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769" t="e">
        <f t="shared" si="4"/>
        <v>#VALUE!</v>
      </c>
      <c r="DY673" s="1769"/>
      <c r="DZ673" s="1769"/>
      <c r="EA673" s="1769"/>
      <c r="EB673" s="1769"/>
      <c r="EC673" s="1769" t="e">
        <f t="shared" si="5"/>
        <v>#VALUE!</v>
      </c>
      <c r="ED673" s="1769"/>
      <c r="EE673" s="1769"/>
      <c r="EF673" s="1769"/>
      <c r="EG673" s="1769"/>
      <c r="EH673" s="1769" t="e">
        <f t="shared" si="6"/>
        <v>#VALUE!</v>
      </c>
      <c r="EI673" s="1769"/>
      <c r="EJ673" s="1769"/>
      <c r="EK673" s="1769"/>
      <c r="EL673" s="1769"/>
      <c r="EM673" s="1769" t="e">
        <f t="shared" si="7"/>
        <v>#VALUE!</v>
      </c>
      <c r="EN673" s="1769"/>
      <c r="EO673" s="1769"/>
      <c r="EP673" s="1769"/>
      <c r="EQ673" s="1769"/>
      <c r="ER673" s="1769" t="e">
        <f t="shared" si="8"/>
        <v>#VALUE!</v>
      </c>
      <c r="ES673" s="1769"/>
      <c r="ET673" s="1769"/>
      <c r="EU673" s="1769"/>
      <c r="EV673" s="1769"/>
      <c r="EW673" s="1769" t="e">
        <f t="shared" si="9"/>
        <v>#VALUE!</v>
      </c>
      <c r="EX673" s="1769"/>
      <c r="EY673" s="1769"/>
      <c r="EZ673" s="1769"/>
      <c r="FA673" s="1769"/>
    </row>
    <row r="674" spans="1:157" ht="13.0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769" t="e">
        <f t="shared" si="4"/>
        <v>#VALUE!</v>
      </c>
      <c r="DY674" s="1769"/>
      <c r="DZ674" s="1769"/>
      <c r="EA674" s="1769"/>
      <c r="EB674" s="1769"/>
      <c r="EC674" s="1769" t="e">
        <f t="shared" si="5"/>
        <v>#VALUE!</v>
      </c>
      <c r="ED674" s="1769"/>
      <c r="EE674" s="1769"/>
      <c r="EF674" s="1769"/>
      <c r="EG674" s="1769"/>
      <c r="EH674" s="1769" t="e">
        <f t="shared" si="6"/>
        <v>#VALUE!</v>
      </c>
      <c r="EI674" s="1769"/>
      <c r="EJ674" s="1769"/>
      <c r="EK674" s="1769"/>
      <c r="EL674" s="1769"/>
      <c r="EM674" s="1769" t="e">
        <f t="shared" si="7"/>
        <v>#VALUE!</v>
      </c>
      <c r="EN674" s="1769"/>
      <c r="EO674" s="1769"/>
      <c r="EP674" s="1769"/>
      <c r="EQ674" s="1769"/>
      <c r="ER674" s="1769" t="e">
        <f t="shared" si="8"/>
        <v>#VALUE!</v>
      </c>
      <c r="ES674" s="1769"/>
      <c r="ET674" s="1769"/>
      <c r="EU674" s="1769"/>
      <c r="EV674" s="1769"/>
      <c r="EW674" s="1769" t="e">
        <f t="shared" si="9"/>
        <v>#VALUE!</v>
      </c>
      <c r="EX674" s="1769"/>
      <c r="EY674" s="1769"/>
      <c r="EZ674" s="1769"/>
      <c r="FA674" s="1769"/>
    </row>
    <row r="675" spans="1:157" ht="13.05" customHeight="1">
      <c r="A675" s="55" t="s">
        <v>455</v>
      </c>
      <c r="B675" t="s">
        <v>463</v>
      </c>
      <c r="G675" s="1709">
        <f>C641</f>
        <v>0</v>
      </c>
      <c r="H675" s="1709"/>
      <c r="I675" s="1709"/>
      <c r="J675" s="1709"/>
      <c r="K675" s="1709"/>
      <c r="L675" s="1709"/>
      <c r="M675" s="1709"/>
      <c r="N675" s="1709"/>
      <c r="O675" s="1709"/>
      <c r="P675" s="1709"/>
      <c r="Q675" s="1709"/>
      <c r="R675" s="1709"/>
      <c r="T675" s="55" t="s">
        <v>456</v>
      </c>
      <c r="U675" t="s">
        <v>463</v>
      </c>
      <c r="Z675" s="1709">
        <f>C642</f>
        <v>0</v>
      </c>
      <c r="AA675" s="1709"/>
      <c r="AB675" s="1709"/>
      <c r="AC675" s="1709"/>
      <c r="AD675" s="1709"/>
      <c r="AE675" s="1709"/>
      <c r="AF675" s="1709"/>
      <c r="AG675" s="1709"/>
      <c r="AH675" s="1709"/>
      <c r="AI675" s="1709"/>
      <c r="AJ675" s="1709"/>
      <c r="AK675" s="1709"/>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769" t="e">
        <f t="shared" si="4"/>
        <v>#VALUE!</v>
      </c>
      <c r="DY675" s="1769"/>
      <c r="DZ675" s="1769"/>
      <c r="EA675" s="1769"/>
      <c r="EB675" s="1769"/>
      <c r="EC675" s="1769" t="e">
        <f t="shared" si="5"/>
        <v>#VALUE!</v>
      </c>
      <c r="ED675" s="1769"/>
      <c r="EE675" s="1769"/>
      <c r="EF675" s="1769"/>
      <c r="EG675" s="1769"/>
      <c r="EH675" s="1769" t="e">
        <f t="shared" si="6"/>
        <v>#VALUE!</v>
      </c>
      <c r="EI675" s="1769"/>
      <c r="EJ675" s="1769"/>
      <c r="EK675" s="1769"/>
      <c r="EL675" s="1769"/>
      <c r="EM675" s="1769" t="e">
        <f t="shared" si="7"/>
        <v>#VALUE!</v>
      </c>
      <c r="EN675" s="1769"/>
      <c r="EO675" s="1769"/>
      <c r="EP675" s="1769"/>
      <c r="EQ675" s="1769"/>
      <c r="ER675" s="1769" t="e">
        <f t="shared" si="8"/>
        <v>#VALUE!</v>
      </c>
      <c r="ES675" s="1769"/>
      <c r="ET675" s="1769"/>
      <c r="EU675" s="1769"/>
      <c r="EV675" s="1769"/>
      <c r="EW675" s="1769" t="e">
        <f t="shared" si="9"/>
        <v>#VALUE!</v>
      </c>
      <c r="EX675" s="1769"/>
      <c r="EY675" s="1769"/>
      <c r="EZ675" s="1769"/>
      <c r="FA675" s="1769"/>
    </row>
    <row r="676" spans="1:157" ht="13.05" customHeight="1">
      <c r="A676" s="22"/>
      <c r="B676" t="s">
        <v>85</v>
      </c>
      <c r="G676" s="1705"/>
      <c r="H676" s="1705"/>
      <c r="I676" s="1705"/>
      <c r="J676" s="1705"/>
      <c r="K676" s="1705"/>
      <c r="L676" s="1705"/>
      <c r="M676" s="1705"/>
      <c r="N676" s="1705"/>
      <c r="O676" s="1705"/>
      <c r="P676" s="1705"/>
      <c r="Q676" s="1705"/>
      <c r="R676" s="1705"/>
      <c r="T676" s="22"/>
      <c r="U676" t="s">
        <v>85</v>
      </c>
      <c r="Z676" s="1705"/>
      <c r="AA676" s="1705"/>
      <c r="AB676" s="1705"/>
      <c r="AC676" s="1705"/>
      <c r="AD676" s="1705"/>
      <c r="AE676" s="1705"/>
      <c r="AF676" s="1705"/>
      <c r="AG676" s="1705"/>
      <c r="AH676" s="1705"/>
      <c r="AI676" s="1705"/>
      <c r="AJ676" s="1705"/>
      <c r="AK676" s="1705"/>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769" t="e">
        <f t="shared" si="4"/>
        <v>#VALUE!</v>
      </c>
      <c r="DY676" s="1769"/>
      <c r="DZ676" s="1769"/>
      <c r="EA676" s="1769"/>
      <c r="EB676" s="1769"/>
      <c r="EC676" s="1769" t="e">
        <f t="shared" si="5"/>
        <v>#VALUE!</v>
      </c>
      <c r="ED676" s="1769"/>
      <c r="EE676" s="1769"/>
      <c r="EF676" s="1769"/>
      <c r="EG676" s="1769"/>
      <c r="EH676" s="1769" t="e">
        <f t="shared" si="6"/>
        <v>#VALUE!</v>
      </c>
      <c r="EI676" s="1769"/>
      <c r="EJ676" s="1769"/>
      <c r="EK676" s="1769"/>
      <c r="EL676" s="1769"/>
      <c r="EM676" s="1769" t="e">
        <f t="shared" si="7"/>
        <v>#VALUE!</v>
      </c>
      <c r="EN676" s="1769"/>
      <c r="EO676" s="1769"/>
      <c r="EP676" s="1769"/>
      <c r="EQ676" s="1769"/>
      <c r="ER676" s="1769" t="e">
        <f t="shared" si="8"/>
        <v>#VALUE!</v>
      </c>
      <c r="ES676" s="1769"/>
      <c r="ET676" s="1769"/>
      <c r="EU676" s="1769"/>
      <c r="EV676" s="1769"/>
      <c r="EW676" s="1769" t="e">
        <f t="shared" si="9"/>
        <v>#VALUE!</v>
      </c>
      <c r="EX676" s="1769"/>
      <c r="EY676" s="1769"/>
      <c r="EZ676" s="1769"/>
      <c r="FA676" s="1769"/>
    </row>
    <row r="677" spans="1:157" ht="13.05" customHeight="1">
      <c r="A677" s="22"/>
      <c r="B677" t="s">
        <v>580</v>
      </c>
      <c r="G677" s="1705"/>
      <c r="H677" s="1705"/>
      <c r="I677" s="1705"/>
      <c r="J677" s="1705"/>
      <c r="K677" s="1705"/>
      <c r="L677" s="1705"/>
      <c r="M677" s="1705"/>
      <c r="N677" s="1705"/>
      <c r="O677" s="1705"/>
      <c r="P677" s="1705"/>
      <c r="Q677" s="1705"/>
      <c r="R677" s="1705"/>
      <c r="T677" s="22"/>
      <c r="U677" t="s">
        <v>580</v>
      </c>
      <c r="Z677" s="1710"/>
      <c r="AA677" s="1710"/>
      <c r="AB677" s="1710"/>
      <c r="AC677" s="1710"/>
      <c r="AD677" s="1710"/>
      <c r="AE677" s="1710"/>
      <c r="AF677" s="1710"/>
      <c r="AG677" s="1710"/>
      <c r="AH677" s="1710"/>
      <c r="AI677" s="1710"/>
      <c r="AJ677" s="1710"/>
      <c r="AK677" s="1710"/>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769" t="e">
        <f t="shared" si="4"/>
        <v>#VALUE!</v>
      </c>
      <c r="DY677" s="1769"/>
      <c r="DZ677" s="1769"/>
      <c r="EA677" s="1769"/>
      <c r="EB677" s="1769"/>
      <c r="EC677" s="1769" t="e">
        <f t="shared" si="5"/>
        <v>#VALUE!</v>
      </c>
      <c r="ED677" s="1769"/>
      <c r="EE677" s="1769"/>
      <c r="EF677" s="1769"/>
      <c r="EG677" s="1769"/>
      <c r="EH677" s="1769" t="e">
        <f t="shared" si="6"/>
        <v>#VALUE!</v>
      </c>
      <c r="EI677" s="1769"/>
      <c r="EJ677" s="1769"/>
      <c r="EK677" s="1769"/>
      <c r="EL677" s="1769"/>
      <c r="EM677" s="1769" t="e">
        <f t="shared" si="7"/>
        <v>#VALUE!</v>
      </c>
      <c r="EN677" s="1769"/>
      <c r="EO677" s="1769"/>
      <c r="EP677" s="1769"/>
      <c r="EQ677" s="1769"/>
      <c r="ER677" s="1769" t="e">
        <f t="shared" si="8"/>
        <v>#VALUE!</v>
      </c>
      <c r="ES677" s="1769"/>
      <c r="ET677" s="1769"/>
      <c r="EU677" s="1769"/>
      <c r="EV677" s="1769"/>
      <c r="EW677" s="1769" t="e">
        <f t="shared" si="9"/>
        <v>#VALUE!</v>
      </c>
      <c r="EX677" s="1769"/>
      <c r="EY677" s="1769"/>
      <c r="EZ677" s="1769"/>
      <c r="FA677" s="1769"/>
    </row>
    <row r="678" spans="1:157" ht="13.05" customHeight="1">
      <c r="A678" s="22"/>
      <c r="B678" t="s">
        <v>17</v>
      </c>
      <c r="G678" s="1705"/>
      <c r="H678" s="1705"/>
      <c r="I678" s="1705"/>
      <c r="J678" s="1705"/>
      <c r="K678" s="1705"/>
      <c r="L678" s="1705"/>
      <c r="M678" s="1705"/>
      <c r="N678" s="1705"/>
      <c r="O678" s="1705"/>
      <c r="P678" s="1705"/>
      <c r="Q678" s="1705"/>
      <c r="R678" s="1705"/>
      <c r="T678" s="22"/>
      <c r="U678" t="s">
        <v>17</v>
      </c>
      <c r="Z678" s="1710"/>
      <c r="AA678" s="1710"/>
      <c r="AB678" s="1710"/>
      <c r="AC678" s="1710"/>
      <c r="AD678" s="1710"/>
      <c r="AE678" s="1710"/>
      <c r="AF678" s="1710"/>
      <c r="AG678" s="1710"/>
      <c r="AH678" s="1710"/>
      <c r="AI678" s="1710"/>
      <c r="AJ678" s="1710"/>
      <c r="AK678" s="1710"/>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769">
        <f>SUMIF(DX643:EB677,"&gt;0")</f>
        <v>0</v>
      </c>
      <c r="DY678" s="1769"/>
      <c r="DZ678" s="1769"/>
      <c r="EA678" s="1769"/>
      <c r="EB678" s="1769"/>
      <c r="EC678" s="1769">
        <f>SUMIF(EC643:EG677,"&gt;0")</f>
        <v>0</v>
      </c>
      <c r="ED678" s="1769"/>
      <c r="EE678" s="1769"/>
      <c r="EF678" s="1769"/>
      <c r="EG678" s="1769"/>
      <c r="EH678" s="1769">
        <f>SUMIF(EH643:EL677,"&gt;0")</f>
        <v>2487.9999999999995</v>
      </c>
      <c r="EI678" s="1769"/>
      <c r="EJ678" s="1769"/>
      <c r="EK678" s="1769"/>
      <c r="EL678" s="1769"/>
      <c r="EM678" s="1769">
        <f>SUMIF(EM643:EQ677,"&gt;0")</f>
        <v>2848.8955223880594</v>
      </c>
      <c r="EN678" s="1769"/>
      <c r="EO678" s="1769"/>
      <c r="EP678" s="1769"/>
      <c r="EQ678" s="1769"/>
      <c r="ER678" s="1769">
        <f>SUMIF(ER643:EV677,"&gt;0")</f>
        <v>0</v>
      </c>
      <c r="ES678" s="1769"/>
      <c r="ET678" s="1769"/>
      <c r="EU678" s="1769"/>
      <c r="EV678" s="1769"/>
      <c r="EW678" s="1769">
        <f>SUMIF(EW643:FA677,"&gt;0")</f>
        <v>0</v>
      </c>
      <c r="EX678" s="1769"/>
      <c r="EY678" s="1769"/>
      <c r="EZ678" s="1769"/>
      <c r="FA678" s="1769"/>
    </row>
    <row r="679" spans="1:157" ht="13.05" customHeight="1">
      <c r="A679" s="22"/>
      <c r="B679" t="s">
        <v>316</v>
      </c>
      <c r="G679" s="1714"/>
      <c r="H679" s="1714"/>
      <c r="I679" s="1714"/>
      <c r="J679" s="1714"/>
      <c r="K679" s="1714"/>
      <c r="L679" s="1714"/>
      <c r="O679" s="33" t="s">
        <v>206</v>
      </c>
      <c r="P679" s="1749"/>
      <c r="Q679" s="1749"/>
      <c r="R679" s="1749"/>
      <c r="T679" s="22"/>
      <c r="U679" t="s">
        <v>316</v>
      </c>
      <c r="Z679" s="1714"/>
      <c r="AA679" s="1714"/>
      <c r="AB679" s="1714"/>
      <c r="AC679" s="1714"/>
      <c r="AD679" s="1714"/>
      <c r="AE679" s="1714"/>
      <c r="AH679" s="33" t="s">
        <v>206</v>
      </c>
      <c r="AI679" s="1749"/>
      <c r="AJ679" s="1749"/>
      <c r="AK679" s="1749"/>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05" customHeight="1">
      <c r="A680" s="22"/>
      <c r="B680" t="s">
        <v>18</v>
      </c>
      <c r="H680" s="1705"/>
      <c r="I680" s="1705"/>
      <c r="J680" s="1705"/>
      <c r="K680" s="1705"/>
      <c r="L680" s="1705"/>
      <c r="M680" s="1705"/>
      <c r="N680" s="1705"/>
      <c r="O680" s="1705"/>
      <c r="P680" s="1705"/>
      <c r="Q680" s="1705"/>
      <c r="R680" s="1705"/>
      <c r="T680" s="22"/>
      <c r="U680" t="s">
        <v>18</v>
      </c>
      <c r="AA680" s="1705"/>
      <c r="AB680" s="1705"/>
      <c r="AC680" s="1705"/>
      <c r="AD680" s="1705"/>
      <c r="AE680" s="1705"/>
      <c r="AF680" s="1705"/>
      <c r="AG680" s="1705"/>
      <c r="AH680" s="1705"/>
      <c r="AI680" s="1705"/>
      <c r="AJ680" s="1705"/>
      <c r="AK680" s="1705"/>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05" customHeight="1">
      <c r="A681" s="22"/>
      <c r="B681" t="s">
        <v>20</v>
      </c>
      <c r="N681" s="1599" t="s">
        <v>669</v>
      </c>
      <c r="O681" s="1599"/>
      <c r="T681" s="22"/>
      <c r="U681" t="s">
        <v>20</v>
      </c>
      <c r="AG681" s="1599" t="s">
        <v>669</v>
      </c>
      <c r="AH681" s="1599"/>
      <c r="AZ681" s="3"/>
    </row>
    <row r="682" spans="1:157" ht="13.05" customHeight="1">
      <c r="A682" s="22"/>
      <c r="T682" s="22"/>
      <c r="AZ682" s="3"/>
    </row>
    <row r="683" spans="1:157" ht="13.05" customHeight="1">
      <c r="A683" s="55" t="s">
        <v>461</v>
      </c>
      <c r="B683" t="s">
        <v>463</v>
      </c>
      <c r="G683" s="1709">
        <f>C643</f>
        <v>0</v>
      </c>
      <c r="H683" s="1709"/>
      <c r="I683" s="1709"/>
      <c r="J683" s="1709"/>
      <c r="K683" s="1709"/>
      <c r="L683" s="1709"/>
      <c r="M683" s="1709"/>
      <c r="N683" s="1709"/>
      <c r="O683" s="1709"/>
      <c r="P683" s="1709"/>
      <c r="Q683" s="1709"/>
      <c r="R683" s="1709"/>
      <c r="T683" s="55" t="s">
        <v>646</v>
      </c>
      <c r="U683" t="s">
        <v>463</v>
      </c>
      <c r="Z683" s="1709">
        <f>C644</f>
        <v>0</v>
      </c>
      <c r="AA683" s="1709"/>
      <c r="AB683" s="1709"/>
      <c r="AC683" s="1709"/>
      <c r="AD683" s="1709"/>
      <c r="AE683" s="1709"/>
      <c r="AF683" s="1709"/>
      <c r="AG683" s="1709"/>
      <c r="AH683" s="1709"/>
      <c r="AI683" s="1709"/>
      <c r="AJ683" s="1709"/>
      <c r="AK683" s="1709"/>
      <c r="AZ683" s="3"/>
    </row>
    <row r="684" spans="1:157" ht="13.05" customHeight="1">
      <c r="A684" s="22"/>
      <c r="B684" t="s">
        <v>85</v>
      </c>
      <c r="G684" s="1705"/>
      <c r="H684" s="1705"/>
      <c r="I684" s="1705"/>
      <c r="J684" s="1705"/>
      <c r="K684" s="1705"/>
      <c r="L684" s="1705"/>
      <c r="M684" s="1705"/>
      <c r="N684" s="1705"/>
      <c r="O684" s="1705"/>
      <c r="P684" s="1705"/>
      <c r="Q684" s="1705"/>
      <c r="R684" s="1705"/>
      <c r="T684" s="22"/>
      <c r="U684" t="s">
        <v>85</v>
      </c>
      <c r="Z684" s="1705"/>
      <c r="AA684" s="1705"/>
      <c r="AB684" s="1705"/>
      <c r="AC684" s="1705"/>
      <c r="AD684" s="1705"/>
      <c r="AE684" s="1705"/>
      <c r="AF684" s="1705"/>
      <c r="AG684" s="1705"/>
      <c r="AH684" s="1705"/>
      <c r="AI684" s="1705"/>
      <c r="AJ684" s="1705"/>
      <c r="AK684" s="1705"/>
      <c r="AZ684" s="3"/>
    </row>
    <row r="685" spans="1:157" ht="13.05" customHeight="1">
      <c r="A685" s="22"/>
      <c r="B685" t="s">
        <v>580</v>
      </c>
      <c r="G685" s="1705"/>
      <c r="H685" s="1705"/>
      <c r="I685" s="1705"/>
      <c r="J685" s="1705"/>
      <c r="K685" s="1705"/>
      <c r="L685" s="1705"/>
      <c r="M685" s="1705"/>
      <c r="N685" s="1705"/>
      <c r="O685" s="1705"/>
      <c r="P685" s="1705"/>
      <c r="Q685" s="1705"/>
      <c r="R685" s="1705"/>
      <c r="T685" s="22"/>
      <c r="U685" t="s">
        <v>580</v>
      </c>
      <c r="Z685" s="1710"/>
      <c r="AA685" s="1710"/>
      <c r="AB685" s="1710"/>
      <c r="AC685" s="1710"/>
      <c r="AD685" s="1710"/>
      <c r="AE685" s="1710"/>
      <c r="AF685" s="1710"/>
      <c r="AG685" s="1710"/>
      <c r="AH685" s="1710"/>
      <c r="AI685" s="1710"/>
      <c r="AJ685" s="1710"/>
      <c r="AK685" s="1710"/>
      <c r="AZ685" s="3"/>
    </row>
    <row r="686" spans="1:157" ht="13.05" customHeight="1">
      <c r="A686" s="22"/>
      <c r="B686" t="s">
        <v>17</v>
      </c>
      <c r="G686" s="1705"/>
      <c r="H686" s="1705"/>
      <c r="I686" s="1705"/>
      <c r="J686" s="1705"/>
      <c r="K686" s="1705"/>
      <c r="L686" s="1705"/>
      <c r="M686" s="1705"/>
      <c r="N686" s="1705"/>
      <c r="O686" s="1705"/>
      <c r="P686" s="1705"/>
      <c r="Q686" s="1705"/>
      <c r="R686" s="1705"/>
      <c r="T686" s="22"/>
      <c r="U686" t="s">
        <v>17</v>
      </c>
      <c r="Z686" s="1710"/>
      <c r="AA686" s="1710"/>
      <c r="AB686" s="1710"/>
      <c r="AC686" s="1710"/>
      <c r="AD686" s="1710"/>
      <c r="AE686" s="1710"/>
      <c r="AF686" s="1710"/>
      <c r="AG686" s="1710"/>
      <c r="AH686" s="1710"/>
      <c r="AI686" s="1710"/>
      <c r="AJ686" s="1710"/>
      <c r="AK686" s="1710"/>
      <c r="AZ686" s="3"/>
    </row>
    <row r="687" spans="1:157" ht="13.05" customHeight="1">
      <c r="A687" s="22"/>
      <c r="B687" t="s">
        <v>316</v>
      </c>
      <c r="G687" s="1714"/>
      <c r="H687" s="1714"/>
      <c r="I687" s="1714"/>
      <c r="J687" s="1714"/>
      <c r="K687" s="1714"/>
      <c r="L687" s="1714"/>
      <c r="O687" s="33" t="s">
        <v>206</v>
      </c>
      <c r="P687" s="1749"/>
      <c r="Q687" s="1749"/>
      <c r="R687" s="1749"/>
      <c r="T687" s="22"/>
      <c r="U687" t="s">
        <v>316</v>
      </c>
      <c r="Z687" s="1714"/>
      <c r="AA687" s="1714"/>
      <c r="AB687" s="1714"/>
      <c r="AC687" s="1714"/>
      <c r="AD687" s="1714"/>
      <c r="AE687" s="1714"/>
      <c r="AH687" s="33" t="s">
        <v>206</v>
      </c>
      <c r="AI687" s="1749"/>
      <c r="AJ687" s="1749"/>
      <c r="AK687" s="1749"/>
      <c r="AZ687" s="3"/>
    </row>
    <row r="688" spans="1:157" ht="13.05" customHeight="1">
      <c r="A688" s="22"/>
      <c r="B688" t="s">
        <v>18</v>
      </c>
      <c r="H688" s="1705"/>
      <c r="I688" s="1705"/>
      <c r="J688" s="1705"/>
      <c r="K688" s="1705"/>
      <c r="L688" s="1705"/>
      <c r="M688" s="1705"/>
      <c r="N688" s="1705"/>
      <c r="O688" s="1705"/>
      <c r="P688" s="1705"/>
      <c r="Q688" s="1705"/>
      <c r="R688" s="1705"/>
      <c r="T688" s="22"/>
      <c r="U688" t="s">
        <v>18</v>
      </c>
      <c r="AA688" s="1705"/>
      <c r="AB688" s="1705"/>
      <c r="AC688" s="1705"/>
      <c r="AD688" s="1705"/>
      <c r="AE688" s="1705"/>
      <c r="AF688" s="1705"/>
      <c r="AG688" s="1705"/>
      <c r="AH688" s="1705"/>
      <c r="AI688" s="1705"/>
      <c r="AJ688" s="1705"/>
      <c r="AK688" s="1705"/>
      <c r="AZ688" s="3"/>
    </row>
    <row r="689" spans="1:52" ht="13.05" customHeight="1">
      <c r="A689" s="22"/>
      <c r="B689" t="s">
        <v>20</v>
      </c>
      <c r="N689" s="1599" t="s">
        <v>669</v>
      </c>
      <c r="O689" s="1599"/>
      <c r="T689" s="22"/>
      <c r="U689" t="s">
        <v>20</v>
      </c>
      <c r="AG689" s="1599" t="s">
        <v>669</v>
      </c>
      <c r="AH689" s="1599"/>
      <c r="AZ689" s="3"/>
    </row>
    <row r="690" spans="1:52" ht="13.05" customHeight="1">
      <c r="A690" s="22"/>
      <c r="T690" s="22"/>
      <c r="AZ690" s="3"/>
    </row>
    <row r="691" spans="1:52" ht="13.05" customHeight="1">
      <c r="A691" s="55" t="s">
        <v>362</v>
      </c>
      <c r="B691" t="s">
        <v>463</v>
      </c>
      <c r="G691" s="1709">
        <f>C645</f>
        <v>0</v>
      </c>
      <c r="H691" s="1709"/>
      <c r="I691" s="1709"/>
      <c r="J691" s="1709"/>
      <c r="K691" s="1709"/>
      <c r="L691" s="1709"/>
      <c r="M691" s="1709"/>
      <c r="N691" s="1709"/>
      <c r="O691" s="1709"/>
      <c r="P691" s="1709"/>
      <c r="Q691" s="1709"/>
      <c r="R691" s="1709"/>
      <c r="T691" s="55" t="s">
        <v>363</v>
      </c>
      <c r="U691" t="s">
        <v>463</v>
      </c>
      <c r="Z691" s="1709">
        <f>C646</f>
        <v>0</v>
      </c>
      <c r="AA691" s="1709"/>
      <c r="AB691" s="1709"/>
      <c r="AC691" s="1709"/>
      <c r="AD691" s="1709"/>
      <c r="AE691" s="1709"/>
      <c r="AF691" s="1709"/>
      <c r="AG691" s="1709"/>
      <c r="AH691" s="1709"/>
      <c r="AI691" s="1709"/>
      <c r="AJ691" s="1709"/>
      <c r="AK691" s="1709"/>
      <c r="AZ691" s="3"/>
    </row>
    <row r="692" spans="1:52" ht="13.05" customHeight="1">
      <c r="B692" t="s">
        <v>85</v>
      </c>
      <c r="G692" s="1705"/>
      <c r="H692" s="1705"/>
      <c r="I692" s="1705"/>
      <c r="J692" s="1705"/>
      <c r="K692" s="1705"/>
      <c r="L692" s="1705"/>
      <c r="M692" s="1705"/>
      <c r="N692" s="1705"/>
      <c r="O692" s="1705"/>
      <c r="P692" s="1705"/>
      <c r="Q692" s="1705"/>
      <c r="R692" s="1705"/>
      <c r="T692" s="22"/>
      <c r="U692" t="s">
        <v>85</v>
      </c>
      <c r="Z692" s="1705"/>
      <c r="AA692" s="1705"/>
      <c r="AB692" s="1705"/>
      <c r="AC692" s="1705"/>
      <c r="AD692" s="1705"/>
      <c r="AE692" s="1705"/>
      <c r="AF692" s="1705"/>
      <c r="AG692" s="1705"/>
      <c r="AH692" s="1705"/>
      <c r="AI692" s="1705"/>
      <c r="AJ692" s="1705"/>
      <c r="AK692" s="1705"/>
      <c r="AZ692" s="3"/>
    </row>
    <row r="693" spans="1:52" ht="13.05" customHeight="1">
      <c r="B693" t="s">
        <v>580</v>
      </c>
      <c r="G693" s="1705"/>
      <c r="H693" s="1705"/>
      <c r="I693" s="1705"/>
      <c r="J693" s="1705"/>
      <c r="K693" s="1705"/>
      <c r="L693" s="1705"/>
      <c r="M693" s="1705"/>
      <c r="N693" s="1705"/>
      <c r="O693" s="1705"/>
      <c r="P693" s="1705"/>
      <c r="Q693" s="1705"/>
      <c r="R693" s="1705"/>
      <c r="U693" t="s">
        <v>580</v>
      </c>
      <c r="Z693" s="1710"/>
      <c r="AA693" s="1710"/>
      <c r="AB693" s="1710"/>
      <c r="AC693" s="1710"/>
      <c r="AD693" s="1710"/>
      <c r="AE693" s="1710"/>
      <c r="AF693" s="1710"/>
      <c r="AG693" s="1710"/>
      <c r="AH693" s="1710"/>
      <c r="AI693" s="1710"/>
      <c r="AJ693" s="1710"/>
      <c r="AK693" s="1710"/>
      <c r="AZ693" s="3"/>
    </row>
    <row r="694" spans="1:52" ht="13.05" customHeight="1">
      <c r="B694" t="s">
        <v>17</v>
      </c>
      <c r="G694" s="1705"/>
      <c r="H694" s="1705"/>
      <c r="I694" s="1705"/>
      <c r="J694" s="1705"/>
      <c r="K694" s="1705"/>
      <c r="L694" s="1705"/>
      <c r="M694" s="1705"/>
      <c r="N694" s="1705"/>
      <c r="O694" s="1705"/>
      <c r="P694" s="1705"/>
      <c r="Q694" s="1705"/>
      <c r="R694" s="1705"/>
      <c r="U694" t="s">
        <v>17</v>
      </c>
      <c r="Z694" s="1710"/>
      <c r="AA694" s="1710"/>
      <c r="AB694" s="1710"/>
      <c r="AC694" s="1710"/>
      <c r="AD694" s="1710"/>
      <c r="AE694" s="1710"/>
      <c r="AF694" s="1710"/>
      <c r="AG694" s="1710"/>
      <c r="AH694" s="1710"/>
      <c r="AI694" s="1710"/>
      <c r="AJ694" s="1710"/>
      <c r="AK694" s="1710"/>
      <c r="AZ694" s="3"/>
    </row>
    <row r="695" spans="1:52" ht="13.05" customHeight="1">
      <c r="B695" t="s">
        <v>316</v>
      </c>
      <c r="G695" s="1714"/>
      <c r="H695" s="1714"/>
      <c r="I695" s="1714"/>
      <c r="J695" s="1714"/>
      <c r="K695" s="1714"/>
      <c r="L695" s="1714"/>
      <c r="O695" s="33" t="s">
        <v>206</v>
      </c>
      <c r="P695" s="1749"/>
      <c r="Q695" s="1749"/>
      <c r="R695" s="1749"/>
      <c r="U695" t="s">
        <v>316</v>
      </c>
      <c r="Z695" s="1714"/>
      <c r="AA695" s="1714"/>
      <c r="AB695" s="1714"/>
      <c r="AC695" s="1714"/>
      <c r="AD695" s="1714"/>
      <c r="AE695" s="1714"/>
      <c r="AH695" s="33" t="s">
        <v>206</v>
      </c>
      <c r="AI695" s="1749"/>
      <c r="AJ695" s="1749"/>
      <c r="AK695" s="1749"/>
      <c r="AZ695" s="3"/>
    </row>
    <row r="696" spans="1:52" ht="13.05" customHeight="1">
      <c r="B696" t="s">
        <v>18</v>
      </c>
      <c r="H696" s="1705"/>
      <c r="I696" s="1705"/>
      <c r="J696" s="1705"/>
      <c r="K696" s="1705"/>
      <c r="L696" s="1705"/>
      <c r="M696" s="1705"/>
      <c r="N696" s="1705"/>
      <c r="O696" s="1705"/>
      <c r="P696" s="1705"/>
      <c r="Q696" s="1705"/>
      <c r="R696" s="1705"/>
      <c r="U696" t="s">
        <v>18</v>
      </c>
      <c r="AA696" s="1705"/>
      <c r="AB696" s="1705"/>
      <c r="AC696" s="1705"/>
      <c r="AD696" s="1705"/>
      <c r="AE696" s="1705"/>
      <c r="AF696" s="1705"/>
      <c r="AG696" s="1705"/>
      <c r="AH696" s="1705"/>
      <c r="AI696" s="1705"/>
      <c r="AJ696" s="1705"/>
      <c r="AK696" s="1705"/>
      <c r="AZ696" s="3"/>
    </row>
    <row r="697" spans="1:52" ht="13.05" customHeight="1">
      <c r="B697" t="s">
        <v>20</v>
      </c>
      <c r="N697" s="1599" t="s">
        <v>669</v>
      </c>
      <c r="O697" s="1599"/>
      <c r="U697" t="s">
        <v>20</v>
      </c>
      <c r="AG697" s="1599" t="s">
        <v>669</v>
      </c>
      <c r="AH697" s="1599"/>
      <c r="AZ697" s="3"/>
    </row>
    <row r="698" spans="1:52" ht="13.05" customHeight="1">
      <c r="AZ698" s="3"/>
    </row>
    <row r="699" spans="1:52" ht="13.05" customHeight="1">
      <c r="A699" s="2" t="s">
        <v>576</v>
      </c>
      <c r="C699" s="2" t="s">
        <v>327</v>
      </c>
      <c r="E699" s="130"/>
      <c r="F699" s="130"/>
      <c r="G699" s="130"/>
      <c r="H699" s="130"/>
      <c r="AZ699" s="3"/>
    </row>
    <row r="700" spans="1:52" ht="13.05" customHeight="1">
      <c r="B700" s="135"/>
      <c r="C700" s="135"/>
      <c r="D700" s="1030" t="s">
        <v>2597</v>
      </c>
      <c r="E700" s="135"/>
      <c r="F700" s="135"/>
      <c r="G700" s="135"/>
      <c r="H700" s="135"/>
      <c r="AZ700" s="3"/>
    </row>
    <row r="701" spans="1:52" ht="13.05" customHeight="1">
      <c r="B701" s="135"/>
      <c r="C701" s="135"/>
      <c r="E701" s="136" t="s">
        <v>434</v>
      </c>
      <c r="F701" s="135"/>
      <c r="G701" s="135"/>
      <c r="H701" s="135"/>
      <c r="AE701" s="1599" t="s">
        <v>545</v>
      </c>
      <c r="AF701" s="1599"/>
      <c r="AZ701" s="3"/>
    </row>
    <row r="702" spans="1:52" ht="13.05" customHeight="1">
      <c r="B702" s="135"/>
      <c r="C702" s="135"/>
      <c r="D702" s="136" t="s">
        <v>437</v>
      </c>
      <c r="E702" s="135"/>
      <c r="F702" s="135"/>
      <c r="G702" s="135"/>
      <c r="H702" s="135"/>
      <c r="AE702" s="1599" t="s">
        <v>669</v>
      </c>
      <c r="AF702" s="1599"/>
      <c r="AZ702" s="3"/>
    </row>
    <row r="703" spans="1:52" ht="13.05" customHeight="1">
      <c r="B703" s="135"/>
      <c r="C703" s="135"/>
      <c r="D703" s="136" t="s">
        <v>920</v>
      </c>
      <c r="E703" s="135"/>
      <c r="F703" s="135"/>
      <c r="G703" s="135"/>
      <c r="H703" s="135"/>
      <c r="AE703" s="1984">
        <v>46161</v>
      </c>
      <c r="AF703" s="1984"/>
      <c r="AG703" s="1984"/>
      <c r="AH703" s="1984"/>
      <c r="AI703" s="1984"/>
    </row>
    <row r="704" spans="1:52" ht="13.05" customHeight="1">
      <c r="B704" s="135"/>
      <c r="C704" s="135"/>
      <c r="D704" s="317" t="s">
        <v>982</v>
      </c>
      <c r="E704" s="135"/>
      <c r="F704" s="135"/>
      <c r="G704" s="135"/>
      <c r="H704" s="135"/>
      <c r="AE704" s="1986">
        <v>46252</v>
      </c>
      <c r="AF704" s="1986"/>
      <c r="AG704" s="1986"/>
      <c r="AH704" s="1986"/>
      <c r="AI704" s="1986"/>
    </row>
    <row r="705" spans="1:110" ht="13.05" customHeight="1">
      <c r="B705" s="135"/>
      <c r="C705" s="135"/>
    </row>
    <row r="706" spans="1:110" ht="13.05" customHeight="1">
      <c r="B706" s="135"/>
      <c r="C706" s="135"/>
      <c r="D706" s="136" t="s">
        <v>816</v>
      </c>
      <c r="E706" s="135"/>
      <c r="F706" s="135"/>
      <c r="G706" s="135"/>
      <c r="H706" s="135"/>
      <c r="AE706" s="1984">
        <v>46419</v>
      </c>
      <c r="AF706" s="1984"/>
      <c r="AG706" s="1984"/>
      <c r="AH706" s="1984"/>
      <c r="AI706" s="1984"/>
    </row>
    <row r="707" spans="1:110" ht="13.05" customHeight="1">
      <c r="B707" s="135"/>
      <c r="C707" s="135"/>
      <c r="D707" s="136" t="s">
        <v>435</v>
      </c>
      <c r="E707" s="135"/>
      <c r="F707" s="135"/>
      <c r="G707" s="135"/>
      <c r="H707" s="135"/>
      <c r="AE707" s="1701">
        <v>0.28079999999999999</v>
      </c>
      <c r="AF707" s="1701"/>
      <c r="AG707" s="1701"/>
      <c r="AH707" s="1701"/>
      <c r="AI707" s="1701"/>
    </row>
    <row r="708" spans="1:110" ht="13.05" customHeight="1">
      <c r="B708" s="135"/>
      <c r="C708" s="135"/>
      <c r="D708" s="136" t="s">
        <v>436</v>
      </c>
      <c r="E708" s="135"/>
      <c r="F708" s="135"/>
      <c r="G708" s="135"/>
      <c r="H708" s="135"/>
      <c r="W708" s="1709" t="str">
        <f>H344</f>
        <v>California Housing Finance Agency</v>
      </c>
      <c r="X708" s="1709"/>
      <c r="Y708" s="1709"/>
      <c r="Z708" s="1709"/>
      <c r="AA708" s="1709"/>
      <c r="AB708" s="1709"/>
      <c r="AC708" s="1709"/>
      <c r="AD708" s="1709"/>
      <c r="AE708" s="1709"/>
      <c r="AF708" s="1709"/>
      <c r="AG708" s="1709"/>
      <c r="AH708" s="1709"/>
      <c r="AI708" s="1709"/>
      <c r="AJ708" s="1709"/>
      <c r="AK708" s="1709"/>
    </row>
    <row r="709" spans="1:110" ht="13.05" customHeight="1">
      <c r="B709" s="135"/>
      <c r="C709" s="135"/>
      <c r="D709" s="136"/>
      <c r="E709" s="135"/>
      <c r="F709" s="135"/>
      <c r="G709" s="135"/>
      <c r="H709" s="135"/>
    </row>
    <row r="710" spans="1:110" ht="13.05" customHeight="1">
      <c r="B710" s="135"/>
      <c r="C710" s="135"/>
      <c r="D710" s="136" t="s">
        <v>438</v>
      </c>
      <c r="E710" s="135"/>
      <c r="F710" s="135"/>
      <c r="G710" s="135"/>
      <c r="H710" s="135"/>
      <c r="AE710" s="1599" t="s">
        <v>669</v>
      </c>
      <c r="AF710" s="1599"/>
    </row>
    <row r="711" spans="1:110" ht="13.05" customHeight="1">
      <c r="B711" s="135"/>
      <c r="C711" s="135"/>
      <c r="D711" s="136" t="s">
        <v>442</v>
      </c>
      <c r="E711" s="135"/>
      <c r="F711" s="135"/>
      <c r="G711" s="135"/>
      <c r="H711" s="135"/>
      <c r="W711" s="1705" t="s">
        <v>591</v>
      </c>
      <c r="X711" s="1705"/>
      <c r="Y711" s="1705"/>
      <c r="Z711" s="1705"/>
      <c r="AA711" s="1705"/>
      <c r="AB711" s="1705"/>
      <c r="AC711" s="1705"/>
      <c r="AD711" s="1705"/>
      <c r="AE711" s="1705"/>
      <c r="AF711" s="1705"/>
      <c r="AG711" s="1705"/>
      <c r="AH711" s="1705"/>
      <c r="AI711" s="1705"/>
      <c r="AJ711" s="1705"/>
      <c r="AK711" s="1705"/>
    </row>
    <row r="712" spans="1:110" ht="13.05" customHeight="1">
      <c r="B712" s="135"/>
      <c r="C712" s="135"/>
      <c r="D712" s="136" t="s">
        <v>87</v>
      </c>
      <c r="E712" s="135"/>
      <c r="F712" s="135"/>
      <c r="G712" s="135"/>
      <c r="H712" s="135"/>
      <c r="J712" s="1705"/>
      <c r="K712" s="1705"/>
      <c r="L712" s="1705"/>
      <c r="M712" s="1705"/>
      <c r="N712" s="1705"/>
      <c r="O712" s="1705"/>
      <c r="P712" s="1705"/>
      <c r="Q712" s="1705"/>
      <c r="R712" s="1705"/>
      <c r="S712" s="1705"/>
      <c r="T712" s="1705"/>
      <c r="U712" s="1705"/>
      <c r="V712" s="1705"/>
      <c r="W712" s="1705"/>
      <c r="X712" s="1705"/>
      <c r="BB712" s="34"/>
      <c r="BC712" s="34"/>
      <c r="BD712" s="34"/>
      <c r="BE712" s="3"/>
      <c r="BF712" s="3"/>
      <c r="BJ712" s="3"/>
      <c r="BK712" s="3"/>
      <c r="BL712" s="3"/>
      <c r="BM712" s="3"/>
      <c r="BN712" s="34"/>
      <c r="BO712" s="34"/>
    </row>
    <row r="713" spans="1:110" ht="13.05" customHeight="1">
      <c r="B713" s="135"/>
      <c r="C713" s="135"/>
      <c r="D713" s="136" t="s">
        <v>88</v>
      </c>
      <c r="J713" s="1714"/>
      <c r="K713" s="1714"/>
      <c r="L713" s="1714"/>
      <c r="M713" s="1714"/>
      <c r="N713" s="1714"/>
      <c r="O713" s="1714"/>
      <c r="P713" s="4" t="s">
        <v>206</v>
      </c>
      <c r="Q713" s="4"/>
      <c r="R713" s="1749"/>
      <c r="S713" s="1749"/>
      <c r="T713" s="1749"/>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05" customHeight="1">
      <c r="B714" s="135"/>
      <c r="C714" s="135"/>
      <c r="D714" s="136" t="s">
        <v>443</v>
      </c>
      <c r="W714" s="1705" t="s">
        <v>307</v>
      </c>
      <c r="X714" s="1705"/>
      <c r="Y714" s="1705"/>
      <c r="Z714" s="1705"/>
      <c r="AA714" s="1705"/>
      <c r="AB714" s="1705"/>
      <c r="AC714" s="1705"/>
      <c r="AD714" s="1705"/>
      <c r="AE714" s="1705"/>
      <c r="AF714" s="1705"/>
      <c r="AG714" s="1705"/>
      <c r="AH714" s="1705"/>
      <c r="AI714" s="1705"/>
      <c r="AJ714" s="1705"/>
      <c r="AK714" s="1705"/>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05" customHeight="1">
      <c r="B715" s="135"/>
      <c r="C715" s="135"/>
      <c r="D715" s="136"/>
      <c r="E715" s="1705" t="s">
        <v>334</v>
      </c>
      <c r="F715" s="1705"/>
      <c r="G715" s="1705"/>
      <c r="H715" s="1705"/>
      <c r="I715" s="1705"/>
      <c r="J715" s="1705"/>
      <c r="K715" s="1705"/>
      <c r="L715" s="1705"/>
      <c r="M715" s="1705"/>
      <c r="N715" s="1705"/>
      <c r="O715" s="1705"/>
      <c r="P715" s="1705"/>
      <c r="Q715" s="1705"/>
      <c r="R715" s="1705"/>
      <c r="S715" s="1705"/>
      <c r="T715" s="1705"/>
      <c r="U715" s="1705"/>
      <c r="V715" s="1705"/>
      <c r="W715" s="1705"/>
      <c r="X715" s="1705"/>
      <c r="Y715" s="1705"/>
      <c r="Z715" s="1705"/>
      <c r="AA715" s="1705"/>
      <c r="AB715" s="1705"/>
      <c r="AC715" s="1705"/>
      <c r="AD715" s="1705"/>
      <c r="AE715" s="1705"/>
      <c r="AF715" s="1705"/>
      <c r="AG715" s="1705"/>
      <c r="AH715" s="1705"/>
      <c r="AI715" s="1705"/>
      <c r="AJ715" s="1705"/>
      <c r="AK715" s="1705"/>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0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05" customHeight="1">
      <c r="A717" s="1522" t="s">
        <v>95</v>
      </c>
      <c r="B717" s="1522"/>
      <c r="C717" s="1522"/>
      <c r="D717" s="1522"/>
      <c r="E717" s="1522"/>
      <c r="F717" s="1522"/>
      <c r="G717" s="1522"/>
      <c r="H717" s="1522"/>
      <c r="I717" s="1522"/>
      <c r="J717" s="1522"/>
      <c r="K717" s="1522"/>
      <c r="L717" s="1522"/>
      <c r="M717" s="1522"/>
      <c r="N717" s="1522"/>
      <c r="O717" s="1522"/>
      <c r="P717" s="1522"/>
      <c r="Q717" s="1522"/>
      <c r="R717" s="1522"/>
      <c r="S717" s="1522"/>
      <c r="T717" s="1522"/>
      <c r="U717" s="1522"/>
      <c r="V717" s="1522"/>
      <c r="W717" s="1522"/>
      <c r="X717" s="1522"/>
      <c r="Y717" s="1522"/>
      <c r="Z717" s="1522"/>
      <c r="AA717" s="1522"/>
      <c r="AB717" s="1522"/>
      <c r="AC717" s="1522"/>
      <c r="AD717" s="1522"/>
      <c r="AE717" s="1522"/>
      <c r="AF717" s="1522"/>
      <c r="AG717" s="1522"/>
      <c r="AH717" s="1522"/>
      <c r="AI717" s="1522"/>
      <c r="AJ717" s="1522"/>
      <c r="AK717" s="1522"/>
      <c r="AL717" s="1522"/>
      <c r="AM717" s="1522"/>
      <c r="AN717" s="1522"/>
      <c r="AO717" s="1522"/>
      <c r="AP717" s="1522"/>
      <c r="AQ717" s="1522"/>
      <c r="AR717" s="1522"/>
      <c r="AS717" s="1522"/>
      <c r="AT717" s="1522"/>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05" customHeight="1">
      <c r="A718" s="1522"/>
      <c r="B718" s="1522"/>
      <c r="C718" s="1522"/>
      <c r="D718" s="1522"/>
      <c r="E718" s="1522"/>
      <c r="F718" s="1522"/>
      <c r="G718" s="1522"/>
      <c r="H718" s="1522"/>
      <c r="I718" s="1522"/>
      <c r="J718" s="1522"/>
      <c r="K718" s="1522"/>
      <c r="L718" s="1522"/>
      <c r="M718" s="1522"/>
      <c r="N718" s="1522"/>
      <c r="O718" s="1522"/>
      <c r="P718" s="1522"/>
      <c r="Q718" s="1522"/>
      <c r="R718" s="1522"/>
      <c r="S718" s="1522"/>
      <c r="T718" s="1522"/>
      <c r="U718" s="1522"/>
      <c r="V718" s="1522"/>
      <c r="W718" s="1522"/>
      <c r="X718" s="1522"/>
      <c r="Y718" s="1522"/>
      <c r="Z718" s="1522"/>
      <c r="AA718" s="1522"/>
      <c r="AB718" s="1522"/>
      <c r="AC718" s="1522"/>
      <c r="AD718" s="1522"/>
      <c r="AE718" s="1522"/>
      <c r="AF718" s="1522"/>
      <c r="AG718" s="1522"/>
      <c r="AH718" s="1522"/>
      <c r="AI718" s="1522"/>
      <c r="AJ718" s="1522"/>
      <c r="AK718" s="1522"/>
      <c r="AL718" s="1522"/>
      <c r="AM718" s="1522"/>
      <c r="AN718" s="1522"/>
      <c r="AO718" s="1522"/>
      <c r="AP718" s="1522"/>
      <c r="AQ718" s="1522"/>
      <c r="AR718" s="1522"/>
      <c r="AS718" s="1522"/>
      <c r="AT718" s="1522"/>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05" customHeight="1">
      <c r="A719" s="1522"/>
      <c r="B719" s="1522"/>
      <c r="C719" s="1522"/>
      <c r="D719" s="1522"/>
      <c r="E719" s="1522"/>
      <c r="F719" s="1522"/>
      <c r="G719" s="1522"/>
      <c r="H719" s="1522"/>
      <c r="I719" s="1522"/>
      <c r="J719" s="1522"/>
      <c r="K719" s="1522"/>
      <c r="L719" s="1522"/>
      <c r="M719" s="1522"/>
      <c r="N719" s="1522"/>
      <c r="O719" s="1522"/>
      <c r="P719" s="1522"/>
      <c r="Q719" s="1522"/>
      <c r="R719" s="1522"/>
      <c r="S719" s="1522"/>
      <c r="T719" s="1522"/>
      <c r="U719" s="1522"/>
      <c r="V719" s="1522"/>
      <c r="W719" s="1522"/>
      <c r="X719" s="1522"/>
      <c r="Y719" s="1522"/>
      <c r="Z719" s="1522"/>
      <c r="AA719" s="1522"/>
      <c r="AB719" s="1522"/>
      <c r="AC719" s="1522"/>
      <c r="AD719" s="1522"/>
      <c r="AE719" s="1522"/>
      <c r="AF719" s="1522"/>
      <c r="AG719" s="1522"/>
      <c r="AH719" s="1522"/>
      <c r="AI719" s="1522"/>
      <c r="AJ719" s="1522"/>
      <c r="AK719" s="1522"/>
      <c r="AL719" s="1522"/>
      <c r="AM719" s="1522"/>
      <c r="AN719" s="1522"/>
      <c r="AO719" s="1522"/>
      <c r="AP719" s="1522"/>
      <c r="AQ719" s="1522"/>
      <c r="AR719" s="1522"/>
      <c r="AS719" s="1522"/>
      <c r="AT719" s="1522"/>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0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0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05" customHeight="1">
      <c r="B722" s="1676" t="s">
        <v>389</v>
      </c>
      <c r="C722" s="1677"/>
      <c r="D722" s="1677"/>
      <c r="E722" s="1677"/>
      <c r="F722" s="1678"/>
      <c r="G722" s="1676" t="s">
        <v>285</v>
      </c>
      <c r="H722" s="1677"/>
      <c r="I722" s="1677"/>
      <c r="J722" s="1678"/>
      <c r="K722" s="1978" t="s">
        <v>1667</v>
      </c>
      <c r="L722" s="1979"/>
      <c r="M722" s="1979"/>
      <c r="N722" s="1980"/>
      <c r="O722" s="1676" t="s">
        <v>447</v>
      </c>
      <c r="P722" s="1677"/>
      <c r="Q722" s="1677"/>
      <c r="R722" s="1677"/>
      <c r="S722" s="1678"/>
      <c r="T722" s="1943" t="s">
        <v>1921</v>
      </c>
      <c r="U722" s="1677"/>
      <c r="V722" s="1677"/>
      <c r="W722" s="1678"/>
      <c r="X722" s="1943" t="s">
        <v>1923</v>
      </c>
      <c r="Y722" s="1677"/>
      <c r="Z722" s="1677"/>
      <c r="AA722" s="1677"/>
      <c r="AB722" s="1678"/>
      <c r="AC722" s="1943" t="s">
        <v>1922</v>
      </c>
      <c r="AD722" s="1677"/>
      <c r="AE722" s="1677"/>
      <c r="AF722" s="1677"/>
      <c r="AG722" s="1678"/>
      <c r="AH722" s="1943" t="s">
        <v>1924</v>
      </c>
      <c r="AI722" s="1677"/>
      <c r="AJ722" s="1678"/>
      <c r="AK722" s="1943" t="s">
        <v>1951</v>
      </c>
      <c r="AL722" s="1677"/>
      <c r="AM722" s="1677"/>
      <c r="AN722" s="1677"/>
      <c r="AO722" s="1678"/>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05" customHeight="1">
      <c r="B723" s="1679"/>
      <c r="C723" s="1680"/>
      <c r="D723" s="1680"/>
      <c r="E723" s="1680"/>
      <c r="F723" s="1681"/>
      <c r="G723" s="1679"/>
      <c r="H723" s="1680"/>
      <c r="I723" s="1680"/>
      <c r="J723" s="1681"/>
      <c r="K723" s="1981"/>
      <c r="L723" s="1982"/>
      <c r="M723" s="1982"/>
      <c r="N723" s="1983"/>
      <c r="O723" s="1679"/>
      <c r="P723" s="1680"/>
      <c r="Q723" s="1680"/>
      <c r="R723" s="1680"/>
      <c r="S723" s="1681"/>
      <c r="T723" s="1679"/>
      <c r="U723" s="1680"/>
      <c r="V723" s="1680"/>
      <c r="W723" s="1681"/>
      <c r="X723" s="1679"/>
      <c r="Y723" s="1680"/>
      <c r="Z723" s="1680"/>
      <c r="AA723" s="1680"/>
      <c r="AB723" s="1681"/>
      <c r="AC723" s="1679"/>
      <c r="AD723" s="1680"/>
      <c r="AE723" s="1680"/>
      <c r="AF723" s="1680"/>
      <c r="AG723" s="1681"/>
      <c r="AH723" s="1679"/>
      <c r="AI723" s="1680"/>
      <c r="AJ723" s="1681"/>
      <c r="AK723" s="1679"/>
      <c r="AL723" s="1680"/>
      <c r="AM723" s="1680"/>
      <c r="AN723" s="1680"/>
      <c r="AO723" s="1681"/>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05" customHeight="1">
      <c r="A724" s="4"/>
      <c r="B724" s="1679"/>
      <c r="C724" s="1680"/>
      <c r="D724" s="1680"/>
      <c r="E724" s="1680"/>
      <c r="F724" s="1681"/>
      <c r="G724" s="1679"/>
      <c r="H724" s="1680"/>
      <c r="I724" s="1680"/>
      <c r="J724" s="1681"/>
      <c r="K724" s="1981"/>
      <c r="L724" s="1982"/>
      <c r="M724" s="1982"/>
      <c r="N724" s="1983"/>
      <c r="O724" s="1679"/>
      <c r="P724" s="1680"/>
      <c r="Q724" s="1680"/>
      <c r="R724" s="1680"/>
      <c r="S724" s="1681"/>
      <c r="T724" s="1679"/>
      <c r="U724" s="1680"/>
      <c r="V724" s="1680"/>
      <c r="W724" s="1681"/>
      <c r="X724" s="1679"/>
      <c r="Y724" s="1680"/>
      <c r="Z724" s="1680"/>
      <c r="AA724" s="1680"/>
      <c r="AB724" s="1681"/>
      <c r="AC724" s="1679"/>
      <c r="AD724" s="1680"/>
      <c r="AE724" s="1680"/>
      <c r="AF724" s="1680"/>
      <c r="AG724" s="1681"/>
      <c r="AH724" s="1679"/>
      <c r="AI724" s="1680"/>
      <c r="AJ724" s="1681"/>
      <c r="AK724" s="1679"/>
      <c r="AL724" s="1680"/>
      <c r="AM724" s="1680"/>
      <c r="AN724" s="1680"/>
      <c r="AO724" s="1681"/>
      <c r="AP724" s="3"/>
      <c r="AQ724" s="3"/>
      <c r="AR724" s="3"/>
      <c r="AS724" s="3"/>
      <c r="BA724" s="3"/>
      <c r="BB724" s="3"/>
      <c r="BC724" s="3"/>
      <c r="BD724" s="3"/>
      <c r="BE724" s="204"/>
      <c r="BF724" s="205" t="s">
        <v>895</v>
      </c>
      <c r="BG724" s="204"/>
      <c r="BH724" s="204"/>
      <c r="BI724" s="3"/>
      <c r="BJ724" s="3"/>
      <c r="BK724" s="3"/>
      <c r="BL724" s="3"/>
      <c r="BM724" s="3"/>
      <c r="BN724" s="3"/>
      <c r="BS724" s="205" t="s">
        <v>1616</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1818</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05" customHeight="1">
      <c r="A725" s="4"/>
      <c r="B725" s="1682"/>
      <c r="C725" s="1683"/>
      <c r="D725" s="1683"/>
      <c r="E725" s="1683"/>
      <c r="F725" s="1684"/>
      <c r="G725" s="1682"/>
      <c r="H725" s="1683"/>
      <c r="I725" s="1683"/>
      <c r="J725" s="1684"/>
      <c r="K725" s="1981"/>
      <c r="L725" s="1982"/>
      <c r="M725" s="1982"/>
      <c r="N725" s="1983"/>
      <c r="O725" s="1682"/>
      <c r="P725" s="1683"/>
      <c r="Q725" s="1683"/>
      <c r="R725" s="1683"/>
      <c r="S725" s="1684"/>
      <c r="T725" s="1682"/>
      <c r="U725" s="1683"/>
      <c r="V725" s="1683"/>
      <c r="W725" s="1684"/>
      <c r="X725" s="1682"/>
      <c r="Y725" s="1683"/>
      <c r="Z725" s="1683"/>
      <c r="AA725" s="1683"/>
      <c r="AB725" s="1684"/>
      <c r="AC725" s="1682"/>
      <c r="AD725" s="1683"/>
      <c r="AE725" s="1683"/>
      <c r="AF725" s="1683"/>
      <c r="AG725" s="1684"/>
      <c r="AH725" s="1682"/>
      <c r="AI725" s="1683"/>
      <c r="AJ725" s="1684"/>
      <c r="AK725" s="1682"/>
      <c r="AL725" s="1683"/>
      <c r="AM725" s="1683"/>
      <c r="AN725" s="1683"/>
      <c r="AO725" s="1684"/>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787"/>
      <c r="CJ725" s="1789"/>
      <c r="CK725" s="121" t="s">
        <v>475</v>
      </c>
      <c r="CL725" s="122"/>
      <c r="CM725" s="1787"/>
      <c r="CN725" s="1789"/>
      <c r="CO725" s="3"/>
      <c r="CP725" s="1831" t="s">
        <v>633</v>
      </c>
      <c r="CQ725" s="1832"/>
      <c r="CR725" s="1832"/>
      <c r="CS725" s="1832"/>
      <c r="CT725" s="1833"/>
      <c r="CU725" s="1794" t="s">
        <v>325</v>
      </c>
      <c r="CV725" s="1794"/>
      <c r="CW725" s="1794"/>
      <c r="CX725" s="1794"/>
      <c r="CY725" s="1794"/>
      <c r="CZ725" s="1794" t="s">
        <v>163</v>
      </c>
      <c r="DA725" s="1794"/>
      <c r="DB725" s="1794"/>
      <c r="DC725" s="1794"/>
      <c r="DD725" s="1794"/>
      <c r="DE725" s="1794" t="s">
        <v>164</v>
      </c>
      <c r="DF725" s="1794"/>
      <c r="DG725" s="1794"/>
      <c r="DH725" s="1794"/>
      <c r="DI725" s="1794"/>
      <c r="DJ725" s="1794" t="s">
        <v>460</v>
      </c>
      <c r="DK725" s="1794"/>
      <c r="DL725" s="1794"/>
      <c r="DM725" s="1794"/>
      <c r="DN725" s="1794"/>
      <c r="DO725" s="1794" t="s">
        <v>30</v>
      </c>
      <c r="DP725" s="1794"/>
      <c r="DQ725" s="1794"/>
      <c r="DR725" s="1794"/>
      <c r="DS725" s="1794"/>
      <c r="DT725" s="89"/>
      <c r="DU725" s="1794" t="s">
        <v>633</v>
      </c>
      <c r="DV725" s="1794"/>
      <c r="DW725" s="1794"/>
      <c r="DX725" s="1794"/>
      <c r="DY725" s="1794"/>
      <c r="DZ725" s="1794" t="s">
        <v>325</v>
      </c>
      <c r="EA725" s="1794"/>
      <c r="EB725" s="1794"/>
      <c r="EC725" s="1794"/>
      <c r="ED725" s="1794"/>
      <c r="EE725" s="1794" t="s">
        <v>163</v>
      </c>
      <c r="EF725" s="1794"/>
      <c r="EG725" s="1794"/>
      <c r="EH725" s="1794"/>
      <c r="EI725" s="1794"/>
      <c r="EJ725" s="1794" t="s">
        <v>164</v>
      </c>
      <c r="EK725" s="1794"/>
      <c r="EL725" s="1794"/>
      <c r="EM725" s="1794"/>
      <c r="EN725" s="1794"/>
      <c r="EO725" s="1794" t="s">
        <v>460</v>
      </c>
      <c r="EP725" s="1794"/>
      <c r="EQ725" s="1794"/>
      <c r="ER725" s="1794"/>
      <c r="ES725" s="1794"/>
      <c r="ET725" s="1794" t="s">
        <v>30</v>
      </c>
      <c r="EU725" s="1794"/>
      <c r="EV725" s="1794"/>
      <c r="EW725" s="1794"/>
      <c r="EX725" s="1794"/>
      <c r="EY725" s="4"/>
      <c r="EZ725" s="1794" t="s">
        <v>633</v>
      </c>
      <c r="FA725" s="1794"/>
      <c r="FB725" s="1794"/>
      <c r="FC725" s="1794"/>
      <c r="FD725" s="1794"/>
      <c r="FE725" s="1794" t="s">
        <v>325</v>
      </c>
      <c r="FF725" s="1794"/>
      <c r="FG725" s="1794"/>
      <c r="FH725" s="1794"/>
      <c r="FI725" s="1794"/>
      <c r="FJ725" s="1794" t="s">
        <v>163</v>
      </c>
      <c r="FK725" s="1794"/>
      <c r="FL725" s="1794"/>
      <c r="FM725" s="1794"/>
      <c r="FN725" s="1794"/>
      <c r="FO725" s="1794" t="s">
        <v>164</v>
      </c>
      <c r="FP725" s="1794"/>
      <c r="FQ725" s="1794"/>
      <c r="FR725" s="1794"/>
      <c r="FS725" s="1794"/>
      <c r="FT725" s="1794" t="s">
        <v>460</v>
      </c>
      <c r="FU725" s="1794"/>
      <c r="FV725" s="1794"/>
      <c r="FW725" s="1794"/>
      <c r="FX725" s="1794"/>
      <c r="FY725" s="1794" t="s">
        <v>30</v>
      </c>
      <c r="FZ725" s="1794"/>
      <c r="GA725" s="1794"/>
      <c r="GB725" s="1794"/>
      <c r="GC725" s="1794"/>
    </row>
    <row r="726" spans="1:185" ht="13.05" customHeight="1">
      <c r="A726" s="4"/>
      <c r="B726" s="1623" t="s">
        <v>163</v>
      </c>
      <c r="C726" s="1624"/>
      <c r="D726" s="1624"/>
      <c r="E726" s="1624"/>
      <c r="F726" s="1625"/>
      <c r="G726" s="1617">
        <v>20</v>
      </c>
      <c r="H726" s="1618"/>
      <c r="I726" s="1618"/>
      <c r="J726" s="1619"/>
      <c r="K726" s="1620">
        <v>794</v>
      </c>
      <c r="L726" s="1621"/>
      <c r="M726" s="1621"/>
      <c r="N726" s="1622"/>
      <c r="O726" s="1662">
        <v>2933</v>
      </c>
      <c r="P726" s="1663"/>
      <c r="Q726" s="1663"/>
      <c r="R726" s="1663"/>
      <c r="S726" s="1664"/>
      <c r="T726" s="1662">
        <v>182</v>
      </c>
      <c r="U726" s="1663"/>
      <c r="V726" s="1663"/>
      <c r="W726" s="1664"/>
      <c r="X726" s="1665">
        <f t="shared" ref="X726:X749" si="10">O726+T726</f>
        <v>3115</v>
      </c>
      <c r="Y726" s="1661"/>
      <c r="Z726" s="1661"/>
      <c r="AA726" s="1661"/>
      <c r="AB726" s="1666"/>
      <c r="AC726" s="1667">
        <v>0.7</v>
      </c>
      <c r="AD726" s="1668"/>
      <c r="AE726" s="1668"/>
      <c r="AF726" s="1668"/>
      <c r="AG726" s="1669"/>
      <c r="AH726" s="1685">
        <f>IF($AC726&gt;0,($X726/$AZ726), "")</f>
        <v>0.7</v>
      </c>
      <c r="AI726" s="1686"/>
      <c r="AJ726" s="1687"/>
      <c r="AK726" s="1623" t="s">
        <v>591</v>
      </c>
      <c r="AL726" s="1624"/>
      <c r="AM726" s="1624"/>
      <c r="AN726" s="1624"/>
      <c r="AO726" s="1625"/>
      <c r="AP726" s="3"/>
      <c r="AQ726" s="3"/>
      <c r="AR726" s="3"/>
      <c r="AS726" s="3"/>
      <c r="AZ726" s="118">
        <f t="shared" ref="AZ726:AZ760" si="11">IF($G726=0,"N/A",VLOOKUP($T$189,TC_Rent,(MATCH($B726,bedrooms,FALSE)),FALSE))</f>
        <v>4450</v>
      </c>
      <c r="BA726" s="3"/>
      <c r="BB726" s="3"/>
      <c r="BC726" s="3"/>
      <c r="BD726" s="3"/>
      <c r="BE726" s="204"/>
      <c r="BF726" s="293">
        <f t="shared" ref="BF726:BF760" si="12">G726</f>
        <v>20</v>
      </c>
      <c r="BG726" s="297">
        <f t="shared" ref="BG726:BG760" si="13">IF($BF$761=0,0,BF726/$BF$761)</f>
        <v>0.19801980198019803</v>
      </c>
      <c r="BH726" s="298">
        <f t="shared" ref="BH726:BH760" si="14">IF(BG726=0,"",BG726*AC726)</f>
        <v>0.1386138613861386</v>
      </c>
      <c r="BI726" s="3"/>
      <c r="BJ726" s="3"/>
      <c r="BK726" s="3"/>
      <c r="BL726" s="3"/>
      <c r="BM726" s="3"/>
      <c r="BN726" s="3"/>
      <c r="BS726" s="293">
        <f t="shared" ref="BS726:BS760" si="15">G726</f>
        <v>20</v>
      </c>
      <c r="BT726" s="297">
        <f t="shared" ref="BT726:BT760" si="16">IF($BS$761=0,0,BS726/$BS$761)</f>
        <v>0.19801980198019803</v>
      </c>
      <c r="BU726" s="298">
        <f t="shared" ref="BU726:BU760" si="17">IF(BT726=0,"",BT726*AH726)</f>
        <v>0.1386138613861386</v>
      </c>
      <c r="CC726" s="3"/>
      <c r="CD726" s="3"/>
      <c r="CE726" s="3"/>
      <c r="CF726" s="3"/>
      <c r="CG726" s="1784">
        <f>IF(AND(AC726&lt;=0.5,AC726&gt;=0.36),1,0)</f>
        <v>0</v>
      </c>
      <c r="CH726" s="1786"/>
      <c r="CI726" s="1787">
        <f>IF(CG726=1,G726,0)</f>
        <v>0</v>
      </c>
      <c r="CJ726" s="1789"/>
      <c r="CK726" s="1784">
        <f t="shared" ref="CK726:CK760" si="18">IF(AND(AC726&lt;=0.35,AC726&gt;0),1,0)</f>
        <v>0</v>
      </c>
      <c r="CL726" s="1786"/>
      <c r="CM726" s="1787">
        <f t="shared" ref="CM726:CM760" si="19">IF(CK726=1,G726,0)</f>
        <v>0</v>
      </c>
      <c r="CN726" s="1789"/>
      <c r="CO726" s="3"/>
      <c r="CP726" s="1781">
        <f t="shared" ref="CP726:CP760" si="20">IF(B726="SRO/Studio",G726,0)</f>
        <v>0</v>
      </c>
      <c r="CQ726" s="1782"/>
      <c r="CR726" s="1782"/>
      <c r="CS726" s="1782"/>
      <c r="CT726" s="1783"/>
      <c r="CU726" s="1779">
        <f t="shared" ref="CU726:CU760" si="21">IF(B726="1 Bedroom",G726,0)</f>
        <v>0</v>
      </c>
      <c r="CV726" s="1779"/>
      <c r="CW726" s="1779"/>
      <c r="CX726" s="1779"/>
      <c r="CY726" s="1779"/>
      <c r="CZ726" s="1779">
        <f t="shared" ref="CZ726:CZ760" si="22">IF(B726="2 Bedrooms",G726,0)</f>
        <v>20</v>
      </c>
      <c r="DA726" s="1779"/>
      <c r="DB726" s="1779"/>
      <c r="DC726" s="1779"/>
      <c r="DD726" s="1779"/>
      <c r="DE726" s="1779">
        <f t="shared" ref="DE726:DE760" si="23">IF(B726="3 Bedrooms",G726,0)</f>
        <v>0</v>
      </c>
      <c r="DF726" s="1779"/>
      <c r="DG726" s="1779"/>
      <c r="DH726" s="1779"/>
      <c r="DI726" s="1779"/>
      <c r="DJ726" s="1779">
        <f t="shared" ref="DJ726:DJ760" si="24">IF(B726="4 Bedrooms",G726,0)</f>
        <v>0</v>
      </c>
      <c r="DK726" s="1779"/>
      <c r="DL726" s="1779"/>
      <c r="DM726" s="1779"/>
      <c r="DN726" s="1779"/>
      <c r="DO726" s="1779">
        <f t="shared" ref="DO726:DO760" si="25">IF(B726="5 Bedrooms",G726,0)</f>
        <v>0</v>
      </c>
      <c r="DP726" s="1779"/>
      <c r="DQ726" s="1779"/>
      <c r="DR726" s="1779"/>
      <c r="DS726" s="1779"/>
      <c r="DT726" s="6"/>
      <c r="DU726" s="1780">
        <f t="shared" ref="DU726:DU760" si="26">IF(AND(B726="SRO/Studio",AC726&lt;=0.3),G726,0)</f>
        <v>0</v>
      </c>
      <c r="DV726" s="1780"/>
      <c r="DW726" s="1780"/>
      <c r="DX726" s="1780"/>
      <c r="DY726" s="1780"/>
      <c r="DZ726" s="1780">
        <f t="shared" ref="DZ726:DZ760" si="27">IF(AND(B726="1 Bedroom",AC726&lt;=0.3),G726,0)</f>
        <v>0</v>
      </c>
      <c r="EA726" s="1780"/>
      <c r="EB726" s="1780"/>
      <c r="EC726" s="1780"/>
      <c r="ED726" s="1780"/>
      <c r="EE726" s="1780">
        <f t="shared" ref="EE726:EE760" si="28">IF(AND(B726="2 Bedrooms",AC726&lt;=0.3),G726,0)</f>
        <v>0</v>
      </c>
      <c r="EF726" s="1780"/>
      <c r="EG726" s="1780"/>
      <c r="EH726" s="1780"/>
      <c r="EI726" s="1780"/>
      <c r="EJ726" s="1780">
        <f t="shared" ref="EJ726:EJ760" si="29">IF(AND(B726="3 Bedrooms",AC726&lt;=0.3),G726,0)</f>
        <v>0</v>
      </c>
      <c r="EK726" s="1780"/>
      <c r="EL726" s="1780"/>
      <c r="EM726" s="1780"/>
      <c r="EN726" s="1780"/>
      <c r="EO726" s="1780">
        <f t="shared" ref="EO726:EO760" si="30">IF(AND(B726="4 Bedrooms",AC726&lt;=0.3),G726,0)</f>
        <v>0</v>
      </c>
      <c r="EP726" s="1780"/>
      <c r="EQ726" s="1780"/>
      <c r="ER726" s="1780"/>
      <c r="ES726" s="1780"/>
      <c r="ET726" s="1780">
        <f t="shared" ref="ET726:ET760" si="31">IF(AND(B726="5 Bedrooms",AC726&lt;=0.3),G726,0)</f>
        <v>0</v>
      </c>
      <c r="EU726" s="1780"/>
      <c r="EV726" s="1780"/>
      <c r="EW726" s="1780"/>
      <c r="EX726" s="1780"/>
      <c r="EY726" s="4"/>
      <c r="EZ726" s="1784" t="str">
        <f t="shared" ref="EZ726:EZ760" si="32">IF(CP726&gt;0,O726,"")</f>
        <v/>
      </c>
      <c r="FA726" s="1785"/>
      <c r="FB726" s="1785"/>
      <c r="FC726" s="1785"/>
      <c r="FD726" s="1786"/>
      <c r="FE726" s="1784" t="str">
        <f t="shared" ref="FE726:FE760" si="33">IF(CU726&gt;0,O726,"")</f>
        <v/>
      </c>
      <c r="FF726" s="1785"/>
      <c r="FG726" s="1785"/>
      <c r="FH726" s="1785"/>
      <c r="FI726" s="1786"/>
      <c r="FJ726" s="1784">
        <f t="shared" ref="FJ726:FJ760" si="34">IF(CZ726&gt;0,O726,"")</f>
        <v>2933</v>
      </c>
      <c r="FK726" s="1785"/>
      <c r="FL726" s="1785"/>
      <c r="FM726" s="1785"/>
      <c r="FN726" s="1786"/>
      <c r="FO726" s="1784" t="str">
        <f t="shared" ref="FO726:FO760" si="35">IF(DE726&gt;0,O726,"")</f>
        <v/>
      </c>
      <c r="FP726" s="1785"/>
      <c r="FQ726" s="1785"/>
      <c r="FR726" s="1785"/>
      <c r="FS726" s="1786"/>
      <c r="FT726" s="1784" t="str">
        <f t="shared" ref="FT726:FT760" si="36">IF(DJ726&gt;0,O726,"")</f>
        <v/>
      </c>
      <c r="FU726" s="1785"/>
      <c r="FV726" s="1785"/>
      <c r="FW726" s="1785"/>
      <c r="FX726" s="1786"/>
      <c r="FY726" s="1784" t="str">
        <f t="shared" ref="FY726:FY760" si="37">IF(DO726&gt;0,O726,"")</f>
        <v/>
      </c>
      <c r="FZ726" s="1785"/>
      <c r="GA726" s="1785"/>
      <c r="GB726" s="1785"/>
      <c r="GC726" s="1786"/>
    </row>
    <row r="727" spans="1:185" ht="13.05" customHeight="1">
      <c r="A727" s="4"/>
      <c r="B727" s="1623" t="s">
        <v>163</v>
      </c>
      <c r="C727" s="1624"/>
      <c r="D727" s="1624"/>
      <c r="E727" s="1624"/>
      <c r="F727" s="1625"/>
      <c r="G727" s="1617">
        <v>2</v>
      </c>
      <c r="H727" s="1618"/>
      <c r="I727" s="1618"/>
      <c r="J727" s="1619"/>
      <c r="K727" s="1620">
        <v>794</v>
      </c>
      <c r="L727" s="1621"/>
      <c r="M727" s="1621"/>
      <c r="N727" s="1622"/>
      <c r="O727" s="1662">
        <v>2488</v>
      </c>
      <c r="P727" s="1663"/>
      <c r="Q727" s="1663"/>
      <c r="R727" s="1663"/>
      <c r="S727" s="1664"/>
      <c r="T727" s="1662">
        <v>182</v>
      </c>
      <c r="U727" s="1663"/>
      <c r="V727" s="1663"/>
      <c r="W727" s="1664"/>
      <c r="X727" s="1665">
        <f t="shared" si="10"/>
        <v>2670</v>
      </c>
      <c r="Y727" s="1661"/>
      <c r="Z727" s="1661"/>
      <c r="AA727" s="1661"/>
      <c r="AB727" s="1666"/>
      <c r="AC727" s="1667">
        <v>0.6</v>
      </c>
      <c r="AD727" s="1668"/>
      <c r="AE727" s="1668"/>
      <c r="AF727" s="1668"/>
      <c r="AG727" s="1669"/>
      <c r="AH727" s="1685">
        <f t="shared" ref="AH727:AH760" si="38">IF($AC727&gt;0,($X727/$AZ727), "")</f>
        <v>0.6</v>
      </c>
      <c r="AI727" s="1686"/>
      <c r="AJ727" s="1687"/>
      <c r="AK727" s="1623" t="s">
        <v>591</v>
      </c>
      <c r="AL727" s="1624"/>
      <c r="AM727" s="1624"/>
      <c r="AN727" s="1624"/>
      <c r="AO727" s="1625"/>
      <c r="AP727" s="3"/>
      <c r="AQ727" s="3"/>
      <c r="AR727" s="3"/>
      <c r="AS727" s="3"/>
      <c r="AZ727" s="118">
        <f t="shared" si="11"/>
        <v>4450</v>
      </c>
      <c r="BA727" s="3"/>
      <c r="BB727" s="3"/>
      <c r="BC727" s="3"/>
      <c r="BD727" s="3"/>
      <c r="BE727" s="204"/>
      <c r="BF727" s="294">
        <f t="shared" si="12"/>
        <v>2</v>
      </c>
      <c r="BG727" s="297">
        <f t="shared" si="13"/>
        <v>1.9801980198019802E-2</v>
      </c>
      <c r="BH727" s="298">
        <f t="shared" si="14"/>
        <v>1.1881188118811881E-2</v>
      </c>
      <c r="BI727" s="3"/>
      <c r="BJ727" s="3"/>
      <c r="BK727" s="3"/>
      <c r="BL727" s="3"/>
      <c r="BM727" s="3"/>
      <c r="BN727" s="3"/>
      <c r="BS727" s="294">
        <f t="shared" si="15"/>
        <v>2</v>
      </c>
      <c r="BT727" s="297">
        <f t="shared" si="16"/>
        <v>1.9801980198019802E-2</v>
      </c>
      <c r="BU727" s="298">
        <f t="shared" si="17"/>
        <v>1.1881188118811881E-2</v>
      </c>
      <c r="CC727" s="3"/>
      <c r="CD727" s="3"/>
      <c r="CE727" s="3"/>
      <c r="CF727" s="3"/>
      <c r="CG727" s="1784">
        <f t="shared" ref="CG727:CG760" si="39">IF(AND(AC727&lt;=0.5,AC727&gt;=0.36),1,0)</f>
        <v>0</v>
      </c>
      <c r="CH727" s="1786"/>
      <c r="CI727" s="1787">
        <f t="shared" ref="CI727:CI760" si="40">IF(CG727=1,G727,0)</f>
        <v>0</v>
      </c>
      <c r="CJ727" s="1789"/>
      <c r="CK727" s="1784">
        <f t="shared" si="18"/>
        <v>0</v>
      </c>
      <c r="CL727" s="1786"/>
      <c r="CM727" s="1787">
        <f t="shared" si="19"/>
        <v>0</v>
      </c>
      <c r="CN727" s="1789"/>
      <c r="CO727" s="3"/>
      <c r="CP727" s="1781">
        <f t="shared" si="20"/>
        <v>0</v>
      </c>
      <c r="CQ727" s="1782"/>
      <c r="CR727" s="1782"/>
      <c r="CS727" s="1782"/>
      <c r="CT727" s="1783"/>
      <c r="CU727" s="1779">
        <f t="shared" si="21"/>
        <v>0</v>
      </c>
      <c r="CV727" s="1779"/>
      <c r="CW727" s="1779"/>
      <c r="CX727" s="1779"/>
      <c r="CY727" s="1779"/>
      <c r="CZ727" s="1779">
        <f t="shared" si="22"/>
        <v>2</v>
      </c>
      <c r="DA727" s="1779"/>
      <c r="DB727" s="1779"/>
      <c r="DC727" s="1779"/>
      <c r="DD727" s="1779"/>
      <c r="DE727" s="1779">
        <f t="shared" si="23"/>
        <v>0</v>
      </c>
      <c r="DF727" s="1779"/>
      <c r="DG727" s="1779"/>
      <c r="DH727" s="1779"/>
      <c r="DI727" s="1779"/>
      <c r="DJ727" s="1779">
        <f t="shared" si="24"/>
        <v>0</v>
      </c>
      <c r="DK727" s="1779"/>
      <c r="DL727" s="1779"/>
      <c r="DM727" s="1779"/>
      <c r="DN727" s="1779"/>
      <c r="DO727" s="1779">
        <f t="shared" si="25"/>
        <v>0</v>
      </c>
      <c r="DP727" s="1779"/>
      <c r="DQ727" s="1779"/>
      <c r="DR727" s="1779"/>
      <c r="DS727" s="1779"/>
      <c r="DT727" s="6"/>
      <c r="DU727" s="1780">
        <f t="shared" si="26"/>
        <v>0</v>
      </c>
      <c r="DV727" s="1780"/>
      <c r="DW727" s="1780"/>
      <c r="DX727" s="1780"/>
      <c r="DY727" s="1780"/>
      <c r="DZ727" s="1780">
        <f t="shared" si="27"/>
        <v>0</v>
      </c>
      <c r="EA727" s="1780"/>
      <c r="EB727" s="1780"/>
      <c r="EC727" s="1780"/>
      <c r="ED727" s="1780"/>
      <c r="EE727" s="1780">
        <f t="shared" si="28"/>
        <v>0</v>
      </c>
      <c r="EF727" s="1780"/>
      <c r="EG727" s="1780"/>
      <c r="EH727" s="1780"/>
      <c r="EI727" s="1780"/>
      <c r="EJ727" s="1780">
        <f t="shared" si="29"/>
        <v>0</v>
      </c>
      <c r="EK727" s="1780"/>
      <c r="EL727" s="1780"/>
      <c r="EM727" s="1780"/>
      <c r="EN727" s="1780"/>
      <c r="EO727" s="1780">
        <f t="shared" si="30"/>
        <v>0</v>
      </c>
      <c r="EP727" s="1780"/>
      <c r="EQ727" s="1780"/>
      <c r="ER727" s="1780"/>
      <c r="ES727" s="1780"/>
      <c r="ET727" s="1780">
        <f t="shared" si="31"/>
        <v>0</v>
      </c>
      <c r="EU727" s="1780"/>
      <c r="EV727" s="1780"/>
      <c r="EW727" s="1780"/>
      <c r="EX727" s="1780"/>
      <c r="EY727" s="4"/>
      <c r="EZ727" s="1784" t="str">
        <f t="shared" si="32"/>
        <v/>
      </c>
      <c r="FA727" s="1785"/>
      <c r="FB727" s="1785"/>
      <c r="FC727" s="1785"/>
      <c r="FD727" s="1786"/>
      <c r="FE727" s="1784" t="str">
        <f t="shared" si="33"/>
        <v/>
      </c>
      <c r="FF727" s="1785"/>
      <c r="FG727" s="1785"/>
      <c r="FH727" s="1785"/>
      <c r="FI727" s="1786"/>
      <c r="FJ727" s="1784">
        <f t="shared" si="34"/>
        <v>2488</v>
      </c>
      <c r="FK727" s="1785"/>
      <c r="FL727" s="1785"/>
      <c r="FM727" s="1785"/>
      <c r="FN727" s="1786"/>
      <c r="FO727" s="1784" t="str">
        <f t="shared" si="35"/>
        <v/>
      </c>
      <c r="FP727" s="1785"/>
      <c r="FQ727" s="1785"/>
      <c r="FR727" s="1785"/>
      <c r="FS727" s="1786"/>
      <c r="FT727" s="1784" t="str">
        <f t="shared" si="36"/>
        <v/>
      </c>
      <c r="FU727" s="1785"/>
      <c r="FV727" s="1785"/>
      <c r="FW727" s="1785"/>
      <c r="FX727" s="1786"/>
      <c r="FY727" s="1784" t="str">
        <f t="shared" si="37"/>
        <v/>
      </c>
      <c r="FZ727" s="1785"/>
      <c r="GA727" s="1785"/>
      <c r="GB727" s="1785"/>
      <c r="GC727" s="1786"/>
    </row>
    <row r="728" spans="1:185" ht="13.05" customHeight="1">
      <c r="A728" s="4"/>
      <c r="B728" s="1623" t="s">
        <v>163</v>
      </c>
      <c r="C728" s="1624"/>
      <c r="D728" s="1624"/>
      <c r="E728" s="1624"/>
      <c r="F728" s="1625"/>
      <c r="G728" s="1617">
        <v>8</v>
      </c>
      <c r="H728" s="1618"/>
      <c r="I728" s="1618"/>
      <c r="J728" s="1619"/>
      <c r="K728" s="1620">
        <v>794</v>
      </c>
      <c r="L728" s="1621"/>
      <c r="M728" s="1621"/>
      <c r="N728" s="1622"/>
      <c r="O728" s="1662">
        <v>2043</v>
      </c>
      <c r="P728" s="1663"/>
      <c r="Q728" s="1663"/>
      <c r="R728" s="1663"/>
      <c r="S728" s="1664"/>
      <c r="T728" s="1662">
        <v>182</v>
      </c>
      <c r="U728" s="1663"/>
      <c r="V728" s="1663"/>
      <c r="W728" s="1664"/>
      <c r="X728" s="1665">
        <f t="shared" si="10"/>
        <v>2225</v>
      </c>
      <c r="Y728" s="1661"/>
      <c r="Z728" s="1661"/>
      <c r="AA728" s="1661"/>
      <c r="AB728" s="1666"/>
      <c r="AC728" s="1667">
        <v>0.5</v>
      </c>
      <c r="AD728" s="1668"/>
      <c r="AE728" s="1668"/>
      <c r="AF728" s="1668"/>
      <c r="AG728" s="1669"/>
      <c r="AH728" s="1685">
        <f t="shared" si="38"/>
        <v>0.5</v>
      </c>
      <c r="AI728" s="1686"/>
      <c r="AJ728" s="1687"/>
      <c r="AK728" s="1623" t="s">
        <v>591</v>
      </c>
      <c r="AL728" s="1624"/>
      <c r="AM728" s="1624"/>
      <c r="AN728" s="1624"/>
      <c r="AO728" s="1625"/>
      <c r="AP728" s="3"/>
      <c r="AQ728" s="3"/>
      <c r="AR728" s="3"/>
      <c r="AS728" s="3"/>
      <c r="AZ728" s="118">
        <f t="shared" si="11"/>
        <v>4450</v>
      </c>
      <c r="BA728" s="3"/>
      <c r="BB728" s="3"/>
      <c r="BC728" s="3"/>
      <c r="BD728" s="3"/>
      <c r="BE728" s="204"/>
      <c r="BF728" s="294">
        <f t="shared" si="12"/>
        <v>8</v>
      </c>
      <c r="BG728" s="297">
        <f t="shared" si="13"/>
        <v>7.9207920792079209E-2</v>
      </c>
      <c r="BH728" s="298">
        <f t="shared" si="14"/>
        <v>3.9603960396039604E-2</v>
      </c>
      <c r="BI728" s="3"/>
      <c r="BJ728" s="3"/>
      <c r="BK728" s="3"/>
      <c r="BL728" s="3"/>
      <c r="BM728" s="3"/>
      <c r="BN728" s="3"/>
      <c r="BS728" s="294">
        <f t="shared" si="15"/>
        <v>8</v>
      </c>
      <c r="BT728" s="297">
        <f t="shared" si="16"/>
        <v>7.9207920792079209E-2</v>
      </c>
      <c r="BU728" s="298">
        <f t="shared" si="17"/>
        <v>3.9603960396039604E-2</v>
      </c>
      <c r="CC728" s="3"/>
      <c r="CD728" s="3"/>
      <c r="CE728" s="3"/>
      <c r="CF728" s="3"/>
      <c r="CG728" s="1784">
        <f t="shared" si="39"/>
        <v>1</v>
      </c>
      <c r="CH728" s="1786"/>
      <c r="CI728" s="1787">
        <f t="shared" si="40"/>
        <v>8</v>
      </c>
      <c r="CJ728" s="1789"/>
      <c r="CK728" s="1784">
        <f t="shared" si="18"/>
        <v>0</v>
      </c>
      <c r="CL728" s="1786"/>
      <c r="CM728" s="1787">
        <f t="shared" si="19"/>
        <v>0</v>
      </c>
      <c r="CN728" s="1789"/>
      <c r="CO728" s="3"/>
      <c r="CP728" s="1781">
        <f t="shared" si="20"/>
        <v>0</v>
      </c>
      <c r="CQ728" s="1782"/>
      <c r="CR728" s="1782"/>
      <c r="CS728" s="1782"/>
      <c r="CT728" s="1783"/>
      <c r="CU728" s="1779">
        <f t="shared" si="21"/>
        <v>0</v>
      </c>
      <c r="CV728" s="1779"/>
      <c r="CW728" s="1779"/>
      <c r="CX728" s="1779"/>
      <c r="CY728" s="1779"/>
      <c r="CZ728" s="1779">
        <f t="shared" si="22"/>
        <v>8</v>
      </c>
      <c r="DA728" s="1779"/>
      <c r="DB728" s="1779"/>
      <c r="DC728" s="1779"/>
      <c r="DD728" s="1779"/>
      <c r="DE728" s="1779">
        <f t="shared" si="23"/>
        <v>0</v>
      </c>
      <c r="DF728" s="1779"/>
      <c r="DG728" s="1779"/>
      <c r="DH728" s="1779"/>
      <c r="DI728" s="1779"/>
      <c r="DJ728" s="1779">
        <f t="shared" si="24"/>
        <v>0</v>
      </c>
      <c r="DK728" s="1779"/>
      <c r="DL728" s="1779"/>
      <c r="DM728" s="1779"/>
      <c r="DN728" s="1779"/>
      <c r="DO728" s="1779">
        <f t="shared" si="25"/>
        <v>0</v>
      </c>
      <c r="DP728" s="1779"/>
      <c r="DQ728" s="1779"/>
      <c r="DR728" s="1779"/>
      <c r="DS728" s="1779"/>
      <c r="DT728" s="6"/>
      <c r="DU728" s="1780">
        <f t="shared" si="26"/>
        <v>0</v>
      </c>
      <c r="DV728" s="1780"/>
      <c r="DW728" s="1780"/>
      <c r="DX728" s="1780"/>
      <c r="DY728" s="1780"/>
      <c r="DZ728" s="1780">
        <f t="shared" si="27"/>
        <v>0</v>
      </c>
      <c r="EA728" s="1780"/>
      <c r="EB728" s="1780"/>
      <c r="EC728" s="1780"/>
      <c r="ED728" s="1780"/>
      <c r="EE728" s="1780">
        <f t="shared" si="28"/>
        <v>0</v>
      </c>
      <c r="EF728" s="1780"/>
      <c r="EG728" s="1780"/>
      <c r="EH728" s="1780"/>
      <c r="EI728" s="1780"/>
      <c r="EJ728" s="1780">
        <f t="shared" si="29"/>
        <v>0</v>
      </c>
      <c r="EK728" s="1780"/>
      <c r="EL728" s="1780"/>
      <c r="EM728" s="1780"/>
      <c r="EN728" s="1780"/>
      <c r="EO728" s="1780">
        <f t="shared" si="30"/>
        <v>0</v>
      </c>
      <c r="EP728" s="1780"/>
      <c r="EQ728" s="1780"/>
      <c r="ER728" s="1780"/>
      <c r="ES728" s="1780"/>
      <c r="ET728" s="1780">
        <f t="shared" si="31"/>
        <v>0</v>
      </c>
      <c r="EU728" s="1780"/>
      <c r="EV728" s="1780"/>
      <c r="EW728" s="1780"/>
      <c r="EX728" s="1780"/>
      <c r="EZ728" s="1784" t="str">
        <f t="shared" si="32"/>
        <v/>
      </c>
      <c r="FA728" s="1785"/>
      <c r="FB728" s="1785"/>
      <c r="FC728" s="1785"/>
      <c r="FD728" s="1786"/>
      <c r="FE728" s="1784" t="str">
        <f t="shared" si="33"/>
        <v/>
      </c>
      <c r="FF728" s="1785"/>
      <c r="FG728" s="1785"/>
      <c r="FH728" s="1785"/>
      <c r="FI728" s="1786"/>
      <c r="FJ728" s="1784">
        <f t="shared" si="34"/>
        <v>2043</v>
      </c>
      <c r="FK728" s="1785"/>
      <c r="FL728" s="1785"/>
      <c r="FM728" s="1785"/>
      <c r="FN728" s="1786"/>
      <c r="FO728" s="1784" t="str">
        <f t="shared" si="35"/>
        <v/>
      </c>
      <c r="FP728" s="1785"/>
      <c r="FQ728" s="1785"/>
      <c r="FR728" s="1785"/>
      <c r="FS728" s="1786"/>
      <c r="FT728" s="1784" t="str">
        <f t="shared" si="36"/>
        <v/>
      </c>
      <c r="FU728" s="1785"/>
      <c r="FV728" s="1785"/>
      <c r="FW728" s="1785"/>
      <c r="FX728" s="1786"/>
      <c r="FY728" s="1784" t="str">
        <f t="shared" si="37"/>
        <v/>
      </c>
      <c r="FZ728" s="1785"/>
      <c r="GA728" s="1785"/>
      <c r="GB728" s="1785"/>
      <c r="GC728" s="1786"/>
    </row>
    <row r="729" spans="1:185" ht="13.05" customHeight="1">
      <c r="B729" s="1623" t="s">
        <v>163</v>
      </c>
      <c r="C729" s="1624"/>
      <c r="D729" s="1624"/>
      <c r="E729" s="1624"/>
      <c r="F729" s="1625"/>
      <c r="G729" s="1617">
        <v>4</v>
      </c>
      <c r="H729" s="1618"/>
      <c r="I729" s="1618"/>
      <c r="J729" s="1619"/>
      <c r="K729" s="1620">
        <v>794</v>
      </c>
      <c r="L729" s="1621"/>
      <c r="M729" s="1621"/>
      <c r="N729" s="1622"/>
      <c r="O729" s="1662">
        <v>1153</v>
      </c>
      <c r="P729" s="1663"/>
      <c r="Q729" s="1663"/>
      <c r="R729" s="1663"/>
      <c r="S729" s="1664"/>
      <c r="T729" s="1662">
        <v>182</v>
      </c>
      <c r="U729" s="1663"/>
      <c r="V729" s="1663"/>
      <c r="W729" s="1664"/>
      <c r="X729" s="1665">
        <f t="shared" si="10"/>
        <v>1335</v>
      </c>
      <c r="Y729" s="1661"/>
      <c r="Z729" s="1661"/>
      <c r="AA729" s="1661"/>
      <c r="AB729" s="1666"/>
      <c r="AC729" s="1667">
        <v>0.3</v>
      </c>
      <c r="AD729" s="1668"/>
      <c r="AE729" s="1668"/>
      <c r="AF729" s="1668"/>
      <c r="AG729" s="1669"/>
      <c r="AH729" s="1685">
        <f t="shared" si="38"/>
        <v>0.3</v>
      </c>
      <c r="AI729" s="1686"/>
      <c r="AJ729" s="1687"/>
      <c r="AK729" s="1623" t="s">
        <v>591</v>
      </c>
      <c r="AL729" s="1624"/>
      <c r="AM729" s="1624"/>
      <c r="AN729" s="1624"/>
      <c r="AO729" s="1625"/>
      <c r="AP729" s="3"/>
      <c r="AQ729" s="3"/>
      <c r="AR729" s="3"/>
      <c r="AS729" s="3"/>
      <c r="AY729" s="116"/>
      <c r="AZ729" s="118">
        <f t="shared" si="11"/>
        <v>4450</v>
      </c>
      <c r="BA729" s="3"/>
      <c r="BB729" s="3"/>
      <c r="BC729" s="3"/>
      <c r="BD729" s="3"/>
      <c r="BE729" s="204"/>
      <c r="BF729" s="294">
        <f t="shared" si="12"/>
        <v>4</v>
      </c>
      <c r="BG729" s="297">
        <f t="shared" si="13"/>
        <v>3.9603960396039604E-2</v>
      </c>
      <c r="BH729" s="298">
        <f t="shared" si="14"/>
        <v>1.1881188118811881E-2</v>
      </c>
      <c r="BI729" s="3"/>
      <c r="BJ729" s="3"/>
      <c r="BK729" s="3"/>
      <c r="BL729" s="3"/>
      <c r="BM729" s="3"/>
      <c r="BN729" s="3"/>
      <c r="BS729" s="294">
        <f t="shared" si="15"/>
        <v>4</v>
      </c>
      <c r="BT729" s="297">
        <f t="shared" si="16"/>
        <v>3.9603960396039604E-2</v>
      </c>
      <c r="BU729" s="298">
        <f t="shared" si="17"/>
        <v>1.1881188118811881E-2</v>
      </c>
      <c r="CC729" s="3"/>
      <c r="CD729" s="3"/>
      <c r="CE729" s="3"/>
      <c r="CF729" s="3"/>
      <c r="CG729" s="1784">
        <f t="shared" si="39"/>
        <v>0</v>
      </c>
      <c r="CH729" s="1786"/>
      <c r="CI729" s="1787">
        <f t="shared" si="40"/>
        <v>0</v>
      </c>
      <c r="CJ729" s="1789"/>
      <c r="CK729" s="1784">
        <f t="shared" si="18"/>
        <v>1</v>
      </c>
      <c r="CL729" s="1786"/>
      <c r="CM729" s="1787">
        <f t="shared" si="19"/>
        <v>4</v>
      </c>
      <c r="CN729" s="1789"/>
      <c r="CO729" s="3"/>
      <c r="CP729" s="1781">
        <f t="shared" si="20"/>
        <v>0</v>
      </c>
      <c r="CQ729" s="1782"/>
      <c r="CR729" s="1782"/>
      <c r="CS729" s="1782"/>
      <c r="CT729" s="1783"/>
      <c r="CU729" s="1779">
        <f t="shared" si="21"/>
        <v>0</v>
      </c>
      <c r="CV729" s="1779"/>
      <c r="CW729" s="1779"/>
      <c r="CX729" s="1779"/>
      <c r="CY729" s="1779"/>
      <c r="CZ729" s="1779">
        <f t="shared" si="22"/>
        <v>4</v>
      </c>
      <c r="DA729" s="1779"/>
      <c r="DB729" s="1779"/>
      <c r="DC729" s="1779"/>
      <c r="DD729" s="1779"/>
      <c r="DE729" s="1779">
        <f t="shared" si="23"/>
        <v>0</v>
      </c>
      <c r="DF729" s="1779"/>
      <c r="DG729" s="1779"/>
      <c r="DH729" s="1779"/>
      <c r="DI729" s="1779"/>
      <c r="DJ729" s="1779">
        <f t="shared" si="24"/>
        <v>0</v>
      </c>
      <c r="DK729" s="1779"/>
      <c r="DL729" s="1779"/>
      <c r="DM729" s="1779"/>
      <c r="DN729" s="1779"/>
      <c r="DO729" s="1779">
        <f t="shared" si="25"/>
        <v>0</v>
      </c>
      <c r="DP729" s="1779"/>
      <c r="DQ729" s="1779"/>
      <c r="DR729" s="1779"/>
      <c r="DS729" s="1779"/>
      <c r="DT729" s="6"/>
      <c r="DU729" s="1780">
        <f t="shared" si="26"/>
        <v>0</v>
      </c>
      <c r="DV729" s="1780"/>
      <c r="DW729" s="1780"/>
      <c r="DX729" s="1780"/>
      <c r="DY729" s="1780"/>
      <c r="DZ729" s="1780">
        <f t="shared" si="27"/>
        <v>0</v>
      </c>
      <c r="EA729" s="1780"/>
      <c r="EB729" s="1780"/>
      <c r="EC729" s="1780"/>
      <c r="ED729" s="1780"/>
      <c r="EE729" s="1780">
        <f t="shared" si="28"/>
        <v>4</v>
      </c>
      <c r="EF729" s="1780"/>
      <c r="EG729" s="1780"/>
      <c r="EH729" s="1780"/>
      <c r="EI729" s="1780"/>
      <c r="EJ729" s="1780">
        <f t="shared" si="29"/>
        <v>0</v>
      </c>
      <c r="EK729" s="1780"/>
      <c r="EL729" s="1780"/>
      <c r="EM729" s="1780"/>
      <c r="EN729" s="1780"/>
      <c r="EO729" s="1780">
        <f t="shared" si="30"/>
        <v>0</v>
      </c>
      <c r="EP729" s="1780"/>
      <c r="EQ729" s="1780"/>
      <c r="ER729" s="1780"/>
      <c r="ES729" s="1780"/>
      <c r="ET729" s="1780">
        <f t="shared" si="31"/>
        <v>0</v>
      </c>
      <c r="EU729" s="1780"/>
      <c r="EV729" s="1780"/>
      <c r="EW729" s="1780"/>
      <c r="EX729" s="1780"/>
      <c r="EZ729" s="1784" t="str">
        <f t="shared" si="32"/>
        <v/>
      </c>
      <c r="FA729" s="1785"/>
      <c r="FB729" s="1785"/>
      <c r="FC729" s="1785"/>
      <c r="FD729" s="1786"/>
      <c r="FE729" s="1784" t="str">
        <f t="shared" si="33"/>
        <v/>
      </c>
      <c r="FF729" s="1785"/>
      <c r="FG729" s="1785"/>
      <c r="FH729" s="1785"/>
      <c r="FI729" s="1786"/>
      <c r="FJ729" s="1784">
        <f t="shared" si="34"/>
        <v>1153</v>
      </c>
      <c r="FK729" s="1785"/>
      <c r="FL729" s="1785"/>
      <c r="FM729" s="1785"/>
      <c r="FN729" s="1786"/>
      <c r="FO729" s="1784" t="str">
        <f t="shared" si="35"/>
        <v/>
      </c>
      <c r="FP729" s="1785"/>
      <c r="FQ729" s="1785"/>
      <c r="FR729" s="1785"/>
      <c r="FS729" s="1786"/>
      <c r="FT729" s="1784" t="str">
        <f t="shared" si="36"/>
        <v/>
      </c>
      <c r="FU729" s="1785"/>
      <c r="FV729" s="1785"/>
      <c r="FW729" s="1785"/>
      <c r="FX729" s="1786"/>
      <c r="FY729" s="1784" t="str">
        <f t="shared" si="37"/>
        <v/>
      </c>
      <c r="FZ729" s="1785"/>
      <c r="GA729" s="1785"/>
      <c r="GB729" s="1785"/>
      <c r="GC729" s="1786"/>
    </row>
    <row r="730" spans="1:185" ht="13.05" customHeight="1">
      <c r="B730" s="1623" t="s">
        <v>164</v>
      </c>
      <c r="C730" s="1624"/>
      <c r="D730" s="1624"/>
      <c r="E730" s="1624"/>
      <c r="F730" s="1625"/>
      <c r="G730" s="1617">
        <v>35</v>
      </c>
      <c r="H730" s="1618"/>
      <c r="I730" s="1618"/>
      <c r="J730" s="1619"/>
      <c r="K730" s="1620">
        <v>1025</v>
      </c>
      <c r="L730" s="1621"/>
      <c r="M730" s="1621"/>
      <c r="N730" s="1622"/>
      <c r="O730" s="1662">
        <v>3363</v>
      </c>
      <c r="P730" s="1663"/>
      <c r="Q730" s="1663"/>
      <c r="R730" s="1663"/>
      <c r="S730" s="1664"/>
      <c r="T730" s="1662">
        <v>236</v>
      </c>
      <c r="U730" s="1663"/>
      <c r="V730" s="1663"/>
      <c r="W730" s="1664"/>
      <c r="X730" s="1665">
        <f t="shared" si="10"/>
        <v>3599</v>
      </c>
      <c r="Y730" s="1661"/>
      <c r="Z730" s="1661"/>
      <c r="AA730" s="1661"/>
      <c r="AB730" s="1666"/>
      <c r="AC730" s="1667">
        <v>0.7</v>
      </c>
      <c r="AD730" s="1668"/>
      <c r="AE730" s="1668"/>
      <c r="AF730" s="1668"/>
      <c r="AG730" s="1669"/>
      <c r="AH730" s="1685">
        <f t="shared" si="38"/>
        <v>0.69992220925709836</v>
      </c>
      <c r="AI730" s="1686"/>
      <c r="AJ730" s="1687"/>
      <c r="AK730" s="1623" t="s">
        <v>591</v>
      </c>
      <c r="AL730" s="1624"/>
      <c r="AM730" s="1624"/>
      <c r="AN730" s="1624"/>
      <c r="AO730" s="1625"/>
      <c r="AP730" s="3"/>
      <c r="AQ730" s="3"/>
      <c r="AR730" s="3"/>
      <c r="AS730" s="3"/>
      <c r="AY730" s="116"/>
      <c r="AZ730" s="118">
        <f t="shared" si="11"/>
        <v>5142</v>
      </c>
      <c r="BA730" s="3"/>
      <c r="BB730" s="3"/>
      <c r="BC730" s="3"/>
      <c r="BD730" s="3"/>
      <c r="BE730" s="204"/>
      <c r="BF730" s="294">
        <f t="shared" si="12"/>
        <v>35</v>
      </c>
      <c r="BG730" s="297">
        <f t="shared" si="13"/>
        <v>0.34653465346534651</v>
      </c>
      <c r="BH730" s="298">
        <f t="shared" si="14"/>
        <v>0.24257425742574254</v>
      </c>
      <c r="BI730" s="3"/>
      <c r="BJ730" s="3"/>
      <c r="BK730" s="3"/>
      <c r="BL730" s="3"/>
      <c r="BM730" s="3"/>
      <c r="BN730" s="3"/>
      <c r="BS730" s="294">
        <f t="shared" si="15"/>
        <v>35</v>
      </c>
      <c r="BT730" s="297">
        <f t="shared" si="16"/>
        <v>0.34653465346534651</v>
      </c>
      <c r="BU730" s="298">
        <f t="shared" si="17"/>
        <v>0.24254730023760832</v>
      </c>
      <c r="CC730" s="3"/>
      <c r="CD730" s="3"/>
      <c r="CE730" s="3"/>
      <c r="CF730" s="3"/>
      <c r="CG730" s="1784">
        <f t="shared" si="39"/>
        <v>0</v>
      </c>
      <c r="CH730" s="1786"/>
      <c r="CI730" s="1787">
        <f t="shared" si="40"/>
        <v>0</v>
      </c>
      <c r="CJ730" s="1789"/>
      <c r="CK730" s="1784">
        <f t="shared" si="18"/>
        <v>0</v>
      </c>
      <c r="CL730" s="1786"/>
      <c r="CM730" s="1787">
        <f t="shared" si="19"/>
        <v>0</v>
      </c>
      <c r="CN730" s="1789"/>
      <c r="CO730" s="3"/>
      <c r="CP730" s="1781">
        <f t="shared" si="20"/>
        <v>0</v>
      </c>
      <c r="CQ730" s="1782"/>
      <c r="CR730" s="1782"/>
      <c r="CS730" s="1782"/>
      <c r="CT730" s="1783"/>
      <c r="CU730" s="1779">
        <f t="shared" si="21"/>
        <v>0</v>
      </c>
      <c r="CV730" s="1779"/>
      <c r="CW730" s="1779"/>
      <c r="CX730" s="1779"/>
      <c r="CY730" s="1779"/>
      <c r="CZ730" s="1779">
        <f t="shared" si="22"/>
        <v>0</v>
      </c>
      <c r="DA730" s="1779"/>
      <c r="DB730" s="1779"/>
      <c r="DC730" s="1779"/>
      <c r="DD730" s="1779"/>
      <c r="DE730" s="1779">
        <f t="shared" si="23"/>
        <v>35</v>
      </c>
      <c r="DF730" s="1779"/>
      <c r="DG730" s="1779"/>
      <c r="DH730" s="1779"/>
      <c r="DI730" s="1779"/>
      <c r="DJ730" s="1779">
        <f t="shared" si="24"/>
        <v>0</v>
      </c>
      <c r="DK730" s="1779"/>
      <c r="DL730" s="1779"/>
      <c r="DM730" s="1779"/>
      <c r="DN730" s="1779"/>
      <c r="DO730" s="1779">
        <f t="shared" si="25"/>
        <v>0</v>
      </c>
      <c r="DP730" s="1779"/>
      <c r="DQ730" s="1779"/>
      <c r="DR730" s="1779"/>
      <c r="DS730" s="1779"/>
      <c r="DT730" s="6"/>
      <c r="DU730" s="1780">
        <f t="shared" si="26"/>
        <v>0</v>
      </c>
      <c r="DV730" s="1780"/>
      <c r="DW730" s="1780"/>
      <c r="DX730" s="1780"/>
      <c r="DY730" s="1780"/>
      <c r="DZ730" s="1780">
        <f t="shared" si="27"/>
        <v>0</v>
      </c>
      <c r="EA730" s="1780"/>
      <c r="EB730" s="1780"/>
      <c r="EC730" s="1780"/>
      <c r="ED730" s="1780"/>
      <c r="EE730" s="1780">
        <f t="shared" si="28"/>
        <v>0</v>
      </c>
      <c r="EF730" s="1780"/>
      <c r="EG730" s="1780"/>
      <c r="EH730" s="1780"/>
      <c r="EI730" s="1780"/>
      <c r="EJ730" s="1780">
        <f t="shared" si="29"/>
        <v>0</v>
      </c>
      <c r="EK730" s="1780"/>
      <c r="EL730" s="1780"/>
      <c r="EM730" s="1780"/>
      <c r="EN730" s="1780"/>
      <c r="EO730" s="1780">
        <f t="shared" si="30"/>
        <v>0</v>
      </c>
      <c r="EP730" s="1780"/>
      <c r="EQ730" s="1780"/>
      <c r="ER730" s="1780"/>
      <c r="ES730" s="1780"/>
      <c r="ET730" s="1780">
        <f t="shared" si="31"/>
        <v>0</v>
      </c>
      <c r="EU730" s="1780"/>
      <c r="EV730" s="1780"/>
      <c r="EW730" s="1780"/>
      <c r="EX730" s="1780"/>
      <c r="EZ730" s="1784" t="str">
        <f t="shared" si="32"/>
        <v/>
      </c>
      <c r="FA730" s="1785"/>
      <c r="FB730" s="1785"/>
      <c r="FC730" s="1785"/>
      <c r="FD730" s="1786"/>
      <c r="FE730" s="1784" t="str">
        <f t="shared" si="33"/>
        <v/>
      </c>
      <c r="FF730" s="1785"/>
      <c r="FG730" s="1785"/>
      <c r="FH730" s="1785"/>
      <c r="FI730" s="1786"/>
      <c r="FJ730" s="1784" t="str">
        <f t="shared" si="34"/>
        <v/>
      </c>
      <c r="FK730" s="1785"/>
      <c r="FL730" s="1785"/>
      <c r="FM730" s="1785"/>
      <c r="FN730" s="1786"/>
      <c r="FO730" s="1784">
        <f t="shared" si="35"/>
        <v>3363</v>
      </c>
      <c r="FP730" s="1785"/>
      <c r="FQ730" s="1785"/>
      <c r="FR730" s="1785"/>
      <c r="FS730" s="1786"/>
      <c r="FT730" s="1784" t="str">
        <f t="shared" si="36"/>
        <v/>
      </c>
      <c r="FU730" s="1785"/>
      <c r="FV730" s="1785"/>
      <c r="FW730" s="1785"/>
      <c r="FX730" s="1786"/>
      <c r="FY730" s="1784" t="str">
        <f t="shared" si="37"/>
        <v/>
      </c>
      <c r="FZ730" s="1785"/>
      <c r="GA730" s="1785"/>
      <c r="GB730" s="1785"/>
      <c r="GC730" s="1786"/>
    </row>
    <row r="731" spans="1:185" ht="13.05" customHeight="1">
      <c r="B731" s="1623" t="s">
        <v>164</v>
      </c>
      <c r="C731" s="1624"/>
      <c r="D731" s="1624"/>
      <c r="E731" s="1624"/>
      <c r="F731" s="1625"/>
      <c r="G731" s="1617">
        <v>11</v>
      </c>
      <c r="H731" s="1618"/>
      <c r="I731" s="1618"/>
      <c r="J731" s="1619"/>
      <c r="K731" s="1620">
        <v>1025</v>
      </c>
      <c r="L731" s="1621"/>
      <c r="M731" s="1621"/>
      <c r="N731" s="1622"/>
      <c r="O731" s="1662">
        <v>2849</v>
      </c>
      <c r="P731" s="1663"/>
      <c r="Q731" s="1663"/>
      <c r="R731" s="1663"/>
      <c r="S731" s="1664"/>
      <c r="T731" s="1662">
        <v>236</v>
      </c>
      <c r="U731" s="1663"/>
      <c r="V731" s="1663"/>
      <c r="W731" s="1664"/>
      <c r="X731" s="1665">
        <f t="shared" si="10"/>
        <v>3085</v>
      </c>
      <c r="Y731" s="1661"/>
      <c r="Z731" s="1661"/>
      <c r="AA731" s="1661"/>
      <c r="AB731" s="1666"/>
      <c r="AC731" s="1667">
        <v>0.6</v>
      </c>
      <c r="AD731" s="1668"/>
      <c r="AE731" s="1668"/>
      <c r="AF731" s="1668"/>
      <c r="AG731" s="1669"/>
      <c r="AH731" s="1685">
        <f t="shared" si="38"/>
        <v>0.59996110462854924</v>
      </c>
      <c r="AI731" s="1686"/>
      <c r="AJ731" s="1687"/>
      <c r="AK731" s="1623" t="s">
        <v>591</v>
      </c>
      <c r="AL731" s="1624"/>
      <c r="AM731" s="1624"/>
      <c r="AN731" s="1624"/>
      <c r="AO731" s="1625"/>
      <c r="AP731" s="3"/>
      <c r="AQ731" s="3"/>
      <c r="AR731" s="3"/>
      <c r="AS731" s="3"/>
      <c r="AY731" s="116"/>
      <c r="AZ731" s="118">
        <f t="shared" si="11"/>
        <v>5142</v>
      </c>
      <c r="BA731" s="3"/>
      <c r="BB731" s="3"/>
      <c r="BC731" s="3"/>
      <c r="BD731" s="3"/>
      <c r="BE731" s="204"/>
      <c r="BF731" s="294">
        <f t="shared" si="12"/>
        <v>11</v>
      </c>
      <c r="BG731" s="297">
        <f t="shared" si="13"/>
        <v>0.10891089108910891</v>
      </c>
      <c r="BH731" s="298">
        <f t="shared" si="14"/>
        <v>6.5346534653465349E-2</v>
      </c>
      <c r="BI731" s="3"/>
      <c r="BJ731" s="3"/>
      <c r="BK731" s="3"/>
      <c r="BL731" s="3"/>
      <c r="BM731" s="3"/>
      <c r="BN731" s="3"/>
      <c r="BS731" s="294">
        <f t="shared" si="15"/>
        <v>11</v>
      </c>
      <c r="BT731" s="297">
        <f t="shared" si="16"/>
        <v>0.10891089108910891</v>
      </c>
      <c r="BU731" s="298">
        <f t="shared" si="17"/>
        <v>6.5342298523901401E-2</v>
      </c>
      <c r="CC731" s="3"/>
      <c r="CD731" s="3"/>
      <c r="CE731" s="3"/>
      <c r="CF731" s="3"/>
      <c r="CG731" s="1784">
        <f t="shared" si="39"/>
        <v>0</v>
      </c>
      <c r="CH731" s="1786"/>
      <c r="CI731" s="1787">
        <f t="shared" si="40"/>
        <v>0</v>
      </c>
      <c r="CJ731" s="1789"/>
      <c r="CK731" s="1784">
        <f t="shared" si="18"/>
        <v>0</v>
      </c>
      <c r="CL731" s="1786"/>
      <c r="CM731" s="1787">
        <f t="shared" si="19"/>
        <v>0</v>
      </c>
      <c r="CN731" s="1789"/>
      <c r="CO731" s="3"/>
      <c r="CP731" s="1781">
        <f t="shared" si="20"/>
        <v>0</v>
      </c>
      <c r="CQ731" s="1782"/>
      <c r="CR731" s="1782"/>
      <c r="CS731" s="1782"/>
      <c r="CT731" s="1783"/>
      <c r="CU731" s="1779">
        <f t="shared" si="21"/>
        <v>0</v>
      </c>
      <c r="CV731" s="1779"/>
      <c r="CW731" s="1779"/>
      <c r="CX731" s="1779"/>
      <c r="CY731" s="1779"/>
      <c r="CZ731" s="1779">
        <f t="shared" si="22"/>
        <v>0</v>
      </c>
      <c r="DA731" s="1779"/>
      <c r="DB731" s="1779"/>
      <c r="DC731" s="1779"/>
      <c r="DD731" s="1779"/>
      <c r="DE731" s="1779">
        <f t="shared" si="23"/>
        <v>11</v>
      </c>
      <c r="DF731" s="1779"/>
      <c r="DG731" s="1779"/>
      <c r="DH731" s="1779"/>
      <c r="DI731" s="1779"/>
      <c r="DJ731" s="1779">
        <f t="shared" si="24"/>
        <v>0</v>
      </c>
      <c r="DK731" s="1779"/>
      <c r="DL731" s="1779"/>
      <c r="DM731" s="1779"/>
      <c r="DN731" s="1779"/>
      <c r="DO731" s="1779">
        <f t="shared" si="25"/>
        <v>0</v>
      </c>
      <c r="DP731" s="1779"/>
      <c r="DQ731" s="1779"/>
      <c r="DR731" s="1779"/>
      <c r="DS731" s="1779"/>
      <c r="DT731" s="6"/>
      <c r="DU731" s="1780">
        <f t="shared" si="26"/>
        <v>0</v>
      </c>
      <c r="DV731" s="1780"/>
      <c r="DW731" s="1780"/>
      <c r="DX731" s="1780"/>
      <c r="DY731" s="1780"/>
      <c r="DZ731" s="1780">
        <f t="shared" si="27"/>
        <v>0</v>
      </c>
      <c r="EA731" s="1780"/>
      <c r="EB731" s="1780"/>
      <c r="EC731" s="1780"/>
      <c r="ED731" s="1780"/>
      <c r="EE731" s="1780">
        <f t="shared" si="28"/>
        <v>0</v>
      </c>
      <c r="EF731" s="1780"/>
      <c r="EG731" s="1780"/>
      <c r="EH731" s="1780"/>
      <c r="EI731" s="1780"/>
      <c r="EJ731" s="1780">
        <f t="shared" si="29"/>
        <v>0</v>
      </c>
      <c r="EK731" s="1780"/>
      <c r="EL731" s="1780"/>
      <c r="EM731" s="1780"/>
      <c r="EN731" s="1780"/>
      <c r="EO731" s="1780">
        <f t="shared" si="30"/>
        <v>0</v>
      </c>
      <c r="EP731" s="1780"/>
      <c r="EQ731" s="1780"/>
      <c r="ER731" s="1780"/>
      <c r="ES731" s="1780"/>
      <c r="ET731" s="1780">
        <f t="shared" si="31"/>
        <v>0</v>
      </c>
      <c r="EU731" s="1780"/>
      <c r="EV731" s="1780"/>
      <c r="EW731" s="1780"/>
      <c r="EX731" s="1780"/>
      <c r="EZ731" s="1784" t="str">
        <f t="shared" si="32"/>
        <v/>
      </c>
      <c r="FA731" s="1785"/>
      <c r="FB731" s="1785"/>
      <c r="FC731" s="1785"/>
      <c r="FD731" s="1786"/>
      <c r="FE731" s="1784" t="str">
        <f t="shared" si="33"/>
        <v/>
      </c>
      <c r="FF731" s="1785"/>
      <c r="FG731" s="1785"/>
      <c r="FH731" s="1785"/>
      <c r="FI731" s="1786"/>
      <c r="FJ731" s="1784" t="str">
        <f t="shared" si="34"/>
        <v/>
      </c>
      <c r="FK731" s="1785"/>
      <c r="FL731" s="1785"/>
      <c r="FM731" s="1785"/>
      <c r="FN731" s="1786"/>
      <c r="FO731" s="1784">
        <f t="shared" si="35"/>
        <v>2849</v>
      </c>
      <c r="FP731" s="1785"/>
      <c r="FQ731" s="1785"/>
      <c r="FR731" s="1785"/>
      <c r="FS731" s="1786"/>
      <c r="FT731" s="1784" t="str">
        <f t="shared" si="36"/>
        <v/>
      </c>
      <c r="FU731" s="1785"/>
      <c r="FV731" s="1785"/>
      <c r="FW731" s="1785"/>
      <c r="FX731" s="1786"/>
      <c r="FY731" s="1784" t="str">
        <f t="shared" si="37"/>
        <v/>
      </c>
      <c r="FZ731" s="1785"/>
      <c r="GA731" s="1785"/>
      <c r="GB731" s="1785"/>
      <c r="GC731" s="1786"/>
    </row>
    <row r="732" spans="1:185" ht="13.05" customHeight="1">
      <c r="B732" s="1623" t="s">
        <v>164</v>
      </c>
      <c r="C732" s="1624"/>
      <c r="D732" s="1624"/>
      <c r="E732" s="1624"/>
      <c r="F732" s="1625"/>
      <c r="G732" s="1617">
        <v>14</v>
      </c>
      <c r="H732" s="1618"/>
      <c r="I732" s="1618"/>
      <c r="J732" s="1619"/>
      <c r="K732" s="1620">
        <v>1025</v>
      </c>
      <c r="L732" s="1621"/>
      <c r="M732" s="1621"/>
      <c r="N732" s="1622"/>
      <c r="O732" s="1662">
        <v>2335</v>
      </c>
      <c r="P732" s="1663"/>
      <c r="Q732" s="1663"/>
      <c r="R732" s="1663"/>
      <c r="S732" s="1664"/>
      <c r="T732" s="1662">
        <v>236</v>
      </c>
      <c r="U732" s="1663"/>
      <c r="V732" s="1663"/>
      <c r="W732" s="1664"/>
      <c r="X732" s="1665">
        <f t="shared" si="10"/>
        <v>2571</v>
      </c>
      <c r="Y732" s="1661"/>
      <c r="Z732" s="1661"/>
      <c r="AA732" s="1661"/>
      <c r="AB732" s="1666"/>
      <c r="AC732" s="1667">
        <v>0.5</v>
      </c>
      <c r="AD732" s="1668"/>
      <c r="AE732" s="1668"/>
      <c r="AF732" s="1668"/>
      <c r="AG732" s="1669"/>
      <c r="AH732" s="1685">
        <f t="shared" si="38"/>
        <v>0.5</v>
      </c>
      <c r="AI732" s="1686"/>
      <c r="AJ732" s="1687"/>
      <c r="AK732" s="1623" t="s">
        <v>591</v>
      </c>
      <c r="AL732" s="1624"/>
      <c r="AM732" s="1624"/>
      <c r="AN732" s="1624"/>
      <c r="AO732" s="1625"/>
      <c r="AP732" s="3"/>
      <c r="AQ732" s="3"/>
      <c r="AR732" s="3"/>
      <c r="AS732" s="3"/>
      <c r="AY732" s="116"/>
      <c r="AZ732" s="118">
        <f t="shared" si="11"/>
        <v>5142</v>
      </c>
      <c r="BA732" s="3"/>
      <c r="BB732" s="3"/>
      <c r="BC732" s="3"/>
      <c r="BD732" s="3"/>
      <c r="BE732" s="204"/>
      <c r="BF732" s="294">
        <f t="shared" si="12"/>
        <v>14</v>
      </c>
      <c r="BG732" s="297">
        <f t="shared" si="13"/>
        <v>0.13861386138613863</v>
      </c>
      <c r="BH732" s="298">
        <f t="shared" si="14"/>
        <v>6.9306930693069313E-2</v>
      </c>
      <c r="BI732" s="3"/>
      <c r="BJ732" s="3"/>
      <c r="BK732" s="3"/>
      <c r="BL732" s="3"/>
      <c r="BM732" s="3"/>
      <c r="BN732" s="3"/>
      <c r="BS732" s="294">
        <f t="shared" si="15"/>
        <v>14</v>
      </c>
      <c r="BT732" s="297">
        <f t="shared" si="16"/>
        <v>0.13861386138613863</v>
      </c>
      <c r="BU732" s="298">
        <f t="shared" si="17"/>
        <v>6.9306930693069313E-2</v>
      </c>
      <c r="CC732" s="3"/>
      <c r="CE732" s="3"/>
      <c r="CF732" s="3"/>
      <c r="CG732" s="1784">
        <f t="shared" si="39"/>
        <v>1</v>
      </c>
      <c r="CH732" s="1786"/>
      <c r="CI732" s="1787">
        <f t="shared" si="40"/>
        <v>14</v>
      </c>
      <c r="CJ732" s="1789"/>
      <c r="CK732" s="1784">
        <f t="shared" si="18"/>
        <v>0</v>
      </c>
      <c r="CL732" s="1786"/>
      <c r="CM732" s="1787">
        <f t="shared" si="19"/>
        <v>0</v>
      </c>
      <c r="CN732" s="1789"/>
      <c r="CO732" s="3"/>
      <c r="CP732" s="1781">
        <f t="shared" si="20"/>
        <v>0</v>
      </c>
      <c r="CQ732" s="1782"/>
      <c r="CR732" s="1782"/>
      <c r="CS732" s="1782"/>
      <c r="CT732" s="1783"/>
      <c r="CU732" s="1779">
        <f t="shared" si="21"/>
        <v>0</v>
      </c>
      <c r="CV732" s="1779"/>
      <c r="CW732" s="1779"/>
      <c r="CX732" s="1779"/>
      <c r="CY732" s="1779"/>
      <c r="CZ732" s="1779">
        <f t="shared" si="22"/>
        <v>0</v>
      </c>
      <c r="DA732" s="1779"/>
      <c r="DB732" s="1779"/>
      <c r="DC732" s="1779"/>
      <c r="DD732" s="1779"/>
      <c r="DE732" s="1779">
        <f t="shared" si="23"/>
        <v>14</v>
      </c>
      <c r="DF732" s="1779"/>
      <c r="DG732" s="1779"/>
      <c r="DH732" s="1779"/>
      <c r="DI732" s="1779"/>
      <c r="DJ732" s="1779">
        <f t="shared" si="24"/>
        <v>0</v>
      </c>
      <c r="DK732" s="1779"/>
      <c r="DL732" s="1779"/>
      <c r="DM732" s="1779"/>
      <c r="DN732" s="1779"/>
      <c r="DO732" s="1779">
        <f t="shared" si="25"/>
        <v>0</v>
      </c>
      <c r="DP732" s="1779"/>
      <c r="DQ732" s="1779"/>
      <c r="DR732" s="1779"/>
      <c r="DS732" s="1779"/>
      <c r="DT732" s="6"/>
      <c r="DU732" s="1780">
        <f t="shared" si="26"/>
        <v>0</v>
      </c>
      <c r="DV732" s="1780"/>
      <c r="DW732" s="1780"/>
      <c r="DX732" s="1780"/>
      <c r="DY732" s="1780"/>
      <c r="DZ732" s="1780">
        <f t="shared" si="27"/>
        <v>0</v>
      </c>
      <c r="EA732" s="1780"/>
      <c r="EB732" s="1780"/>
      <c r="EC732" s="1780"/>
      <c r="ED732" s="1780"/>
      <c r="EE732" s="1780">
        <f t="shared" si="28"/>
        <v>0</v>
      </c>
      <c r="EF732" s="1780"/>
      <c r="EG732" s="1780"/>
      <c r="EH732" s="1780"/>
      <c r="EI732" s="1780"/>
      <c r="EJ732" s="1780">
        <f t="shared" si="29"/>
        <v>0</v>
      </c>
      <c r="EK732" s="1780"/>
      <c r="EL732" s="1780"/>
      <c r="EM732" s="1780"/>
      <c r="EN732" s="1780"/>
      <c r="EO732" s="1780">
        <f t="shared" si="30"/>
        <v>0</v>
      </c>
      <c r="EP732" s="1780"/>
      <c r="EQ732" s="1780"/>
      <c r="ER732" s="1780"/>
      <c r="ES732" s="1780"/>
      <c r="ET732" s="1780">
        <f t="shared" si="31"/>
        <v>0</v>
      </c>
      <c r="EU732" s="1780"/>
      <c r="EV732" s="1780"/>
      <c r="EW732" s="1780"/>
      <c r="EX732" s="1780"/>
      <c r="EZ732" s="1784" t="str">
        <f t="shared" si="32"/>
        <v/>
      </c>
      <c r="FA732" s="1785"/>
      <c r="FB732" s="1785"/>
      <c r="FC732" s="1785"/>
      <c r="FD732" s="1786"/>
      <c r="FE732" s="1784" t="str">
        <f t="shared" si="33"/>
        <v/>
      </c>
      <c r="FF732" s="1785"/>
      <c r="FG732" s="1785"/>
      <c r="FH732" s="1785"/>
      <c r="FI732" s="1786"/>
      <c r="FJ732" s="1784" t="str">
        <f t="shared" si="34"/>
        <v/>
      </c>
      <c r="FK732" s="1785"/>
      <c r="FL732" s="1785"/>
      <c r="FM732" s="1785"/>
      <c r="FN732" s="1786"/>
      <c r="FO732" s="1784">
        <f t="shared" si="35"/>
        <v>2335</v>
      </c>
      <c r="FP732" s="1785"/>
      <c r="FQ732" s="1785"/>
      <c r="FR732" s="1785"/>
      <c r="FS732" s="1786"/>
      <c r="FT732" s="1784" t="str">
        <f t="shared" si="36"/>
        <v/>
      </c>
      <c r="FU732" s="1785"/>
      <c r="FV732" s="1785"/>
      <c r="FW732" s="1785"/>
      <c r="FX732" s="1786"/>
      <c r="FY732" s="1784" t="str">
        <f t="shared" si="37"/>
        <v/>
      </c>
      <c r="FZ732" s="1785"/>
      <c r="GA732" s="1785"/>
      <c r="GB732" s="1785"/>
      <c r="GC732" s="1786"/>
    </row>
    <row r="733" spans="1:185" ht="13.05" customHeight="1">
      <c r="B733" s="1623" t="s">
        <v>164</v>
      </c>
      <c r="C733" s="1624"/>
      <c r="D733" s="1624"/>
      <c r="E733" s="1624"/>
      <c r="F733" s="1625"/>
      <c r="G733" s="1617">
        <v>7</v>
      </c>
      <c r="H733" s="1618"/>
      <c r="I733" s="1618"/>
      <c r="J733" s="1619"/>
      <c r="K733" s="1620">
        <v>1025</v>
      </c>
      <c r="L733" s="1621"/>
      <c r="M733" s="1621"/>
      <c r="N733" s="1622"/>
      <c r="O733" s="1662">
        <v>1306</v>
      </c>
      <c r="P733" s="1663"/>
      <c r="Q733" s="1663"/>
      <c r="R733" s="1663"/>
      <c r="S733" s="1664"/>
      <c r="T733" s="1662">
        <v>236</v>
      </c>
      <c r="U733" s="1663"/>
      <c r="V733" s="1663"/>
      <c r="W733" s="1664"/>
      <c r="X733" s="1665">
        <f t="shared" si="10"/>
        <v>1542</v>
      </c>
      <c r="Y733" s="1661"/>
      <c r="Z733" s="1661"/>
      <c r="AA733" s="1661"/>
      <c r="AB733" s="1666"/>
      <c r="AC733" s="1667">
        <v>0.3</v>
      </c>
      <c r="AD733" s="1668"/>
      <c r="AE733" s="1668"/>
      <c r="AF733" s="1668"/>
      <c r="AG733" s="1669"/>
      <c r="AH733" s="1685">
        <f t="shared" si="38"/>
        <v>0.2998833138856476</v>
      </c>
      <c r="AI733" s="1686"/>
      <c r="AJ733" s="1687"/>
      <c r="AK733" s="1623" t="s">
        <v>591</v>
      </c>
      <c r="AL733" s="1624"/>
      <c r="AM733" s="1624"/>
      <c r="AN733" s="1624"/>
      <c r="AO733" s="1625"/>
      <c r="AP733" s="3"/>
      <c r="AQ733" s="3"/>
      <c r="AR733" s="3"/>
      <c r="AS733" s="3"/>
      <c r="AY733" s="1080"/>
      <c r="AZ733" s="118">
        <f t="shared" si="11"/>
        <v>5142</v>
      </c>
      <c r="BA733" s="3"/>
      <c r="BB733" s="3"/>
      <c r="BC733" s="3"/>
      <c r="BD733" s="3"/>
      <c r="BE733" s="204"/>
      <c r="BF733" s="294">
        <f t="shared" si="12"/>
        <v>7</v>
      </c>
      <c r="BG733" s="297">
        <f t="shared" si="13"/>
        <v>6.9306930693069313E-2</v>
      </c>
      <c r="BH733" s="298">
        <f t="shared" si="14"/>
        <v>2.0792079207920793E-2</v>
      </c>
      <c r="BI733" s="3"/>
      <c r="BJ733" s="3"/>
      <c r="BK733" s="3"/>
      <c r="BL733" s="3"/>
      <c r="BM733" s="3"/>
      <c r="BN733" s="3"/>
      <c r="BS733" s="294">
        <f t="shared" si="15"/>
        <v>7</v>
      </c>
      <c r="BT733" s="297">
        <f t="shared" si="16"/>
        <v>6.9306930693069313E-2</v>
      </c>
      <c r="BU733" s="298">
        <f t="shared" si="17"/>
        <v>2.0783992051480529E-2</v>
      </c>
      <c r="BV733" s="292"/>
      <c r="BW733" s="3"/>
      <c r="BX733" s="3"/>
      <c r="BY733" s="3"/>
      <c r="BZ733" s="3"/>
      <c r="CA733" s="3"/>
      <c r="CB733" s="3"/>
      <c r="CC733" s="3"/>
      <c r="CE733" s="3"/>
      <c r="CF733" s="3"/>
      <c r="CG733" s="1784">
        <f t="shared" si="39"/>
        <v>0</v>
      </c>
      <c r="CH733" s="1786"/>
      <c r="CI733" s="1787">
        <f t="shared" si="40"/>
        <v>0</v>
      </c>
      <c r="CJ733" s="1789"/>
      <c r="CK733" s="1784">
        <f t="shared" si="18"/>
        <v>1</v>
      </c>
      <c r="CL733" s="1786"/>
      <c r="CM733" s="1787">
        <f t="shared" si="19"/>
        <v>7</v>
      </c>
      <c r="CN733" s="1789"/>
      <c r="CO733" s="3"/>
      <c r="CP733" s="1781">
        <f t="shared" si="20"/>
        <v>0</v>
      </c>
      <c r="CQ733" s="1782"/>
      <c r="CR733" s="1782"/>
      <c r="CS733" s="1782"/>
      <c r="CT733" s="1783"/>
      <c r="CU733" s="1779">
        <f t="shared" si="21"/>
        <v>0</v>
      </c>
      <c r="CV733" s="1779"/>
      <c r="CW733" s="1779"/>
      <c r="CX733" s="1779"/>
      <c r="CY733" s="1779"/>
      <c r="CZ733" s="1779">
        <f t="shared" si="22"/>
        <v>0</v>
      </c>
      <c r="DA733" s="1779"/>
      <c r="DB733" s="1779"/>
      <c r="DC733" s="1779"/>
      <c r="DD733" s="1779"/>
      <c r="DE733" s="1779">
        <f t="shared" si="23"/>
        <v>7</v>
      </c>
      <c r="DF733" s="1779"/>
      <c r="DG733" s="1779"/>
      <c r="DH733" s="1779"/>
      <c r="DI733" s="1779"/>
      <c r="DJ733" s="1779">
        <f t="shared" si="24"/>
        <v>0</v>
      </c>
      <c r="DK733" s="1779"/>
      <c r="DL733" s="1779"/>
      <c r="DM733" s="1779"/>
      <c r="DN733" s="1779"/>
      <c r="DO733" s="1779">
        <f t="shared" si="25"/>
        <v>0</v>
      </c>
      <c r="DP733" s="1779"/>
      <c r="DQ733" s="1779"/>
      <c r="DR733" s="1779"/>
      <c r="DS733" s="1779"/>
      <c r="DT733" s="6"/>
      <c r="DU733" s="1780">
        <f t="shared" si="26"/>
        <v>0</v>
      </c>
      <c r="DV733" s="1780"/>
      <c r="DW733" s="1780"/>
      <c r="DX733" s="1780"/>
      <c r="DY733" s="1780"/>
      <c r="DZ733" s="1780">
        <f t="shared" si="27"/>
        <v>0</v>
      </c>
      <c r="EA733" s="1780"/>
      <c r="EB733" s="1780"/>
      <c r="EC733" s="1780"/>
      <c r="ED733" s="1780"/>
      <c r="EE733" s="1780">
        <f t="shared" si="28"/>
        <v>0</v>
      </c>
      <c r="EF733" s="1780"/>
      <c r="EG733" s="1780"/>
      <c r="EH733" s="1780"/>
      <c r="EI733" s="1780"/>
      <c r="EJ733" s="1780">
        <f t="shared" si="29"/>
        <v>7</v>
      </c>
      <c r="EK733" s="1780"/>
      <c r="EL733" s="1780"/>
      <c r="EM733" s="1780"/>
      <c r="EN733" s="1780"/>
      <c r="EO733" s="1780">
        <f t="shared" si="30"/>
        <v>0</v>
      </c>
      <c r="EP733" s="1780"/>
      <c r="EQ733" s="1780"/>
      <c r="ER733" s="1780"/>
      <c r="ES733" s="1780"/>
      <c r="ET733" s="1780">
        <f t="shared" si="31"/>
        <v>0</v>
      </c>
      <c r="EU733" s="1780"/>
      <c r="EV733" s="1780"/>
      <c r="EW733" s="1780"/>
      <c r="EX733" s="1780"/>
      <c r="EZ733" s="1784" t="str">
        <f t="shared" si="32"/>
        <v/>
      </c>
      <c r="FA733" s="1785"/>
      <c r="FB733" s="1785"/>
      <c r="FC733" s="1785"/>
      <c r="FD733" s="1786"/>
      <c r="FE733" s="1784" t="str">
        <f t="shared" si="33"/>
        <v/>
      </c>
      <c r="FF733" s="1785"/>
      <c r="FG733" s="1785"/>
      <c r="FH733" s="1785"/>
      <c r="FI733" s="1786"/>
      <c r="FJ733" s="1784" t="str">
        <f t="shared" si="34"/>
        <v/>
      </c>
      <c r="FK733" s="1785"/>
      <c r="FL733" s="1785"/>
      <c r="FM733" s="1785"/>
      <c r="FN733" s="1786"/>
      <c r="FO733" s="1784">
        <f t="shared" si="35"/>
        <v>1306</v>
      </c>
      <c r="FP733" s="1785"/>
      <c r="FQ733" s="1785"/>
      <c r="FR733" s="1785"/>
      <c r="FS733" s="1786"/>
      <c r="FT733" s="1784" t="str">
        <f t="shared" si="36"/>
        <v/>
      </c>
      <c r="FU733" s="1785"/>
      <c r="FV733" s="1785"/>
      <c r="FW733" s="1785"/>
      <c r="FX733" s="1786"/>
      <c r="FY733" s="1784" t="str">
        <f t="shared" si="37"/>
        <v/>
      </c>
      <c r="FZ733" s="1785"/>
      <c r="GA733" s="1785"/>
      <c r="GB733" s="1785"/>
      <c r="GC733" s="1786"/>
    </row>
    <row r="734" spans="1:185" ht="13.05" customHeight="1">
      <c r="B734" s="1623"/>
      <c r="C734" s="1624"/>
      <c r="D734" s="1624"/>
      <c r="E734" s="1624"/>
      <c r="F734" s="1625"/>
      <c r="G734" s="1617"/>
      <c r="H734" s="1618"/>
      <c r="I734" s="1618"/>
      <c r="J734" s="1619"/>
      <c r="K734" s="1620"/>
      <c r="L734" s="1621"/>
      <c r="M734" s="1621"/>
      <c r="N734" s="1622"/>
      <c r="O734" s="1662"/>
      <c r="P734" s="1663"/>
      <c r="Q734" s="1663"/>
      <c r="R734" s="1663"/>
      <c r="S734" s="1664"/>
      <c r="T734" s="1662"/>
      <c r="U734" s="1663"/>
      <c r="V734" s="1663"/>
      <c r="W734" s="1664"/>
      <c r="X734" s="1665">
        <f t="shared" si="10"/>
        <v>0</v>
      </c>
      <c r="Y734" s="1661"/>
      <c r="Z734" s="1661"/>
      <c r="AA734" s="1661"/>
      <c r="AB734" s="1666"/>
      <c r="AC734" s="1667"/>
      <c r="AD734" s="1668"/>
      <c r="AE734" s="1668"/>
      <c r="AF734" s="1668"/>
      <c r="AG734" s="1669"/>
      <c r="AH734" s="1685" t="str">
        <f t="shared" si="38"/>
        <v/>
      </c>
      <c r="AI734" s="1686"/>
      <c r="AJ734" s="1687"/>
      <c r="AK734" s="1623" t="s">
        <v>591</v>
      </c>
      <c r="AL734" s="1624"/>
      <c r="AM734" s="1624"/>
      <c r="AN734" s="1624"/>
      <c r="AO734" s="1625"/>
      <c r="AP734" s="3"/>
      <c r="AQ734" s="3"/>
      <c r="AR734" s="3"/>
      <c r="AS734" s="3"/>
      <c r="AY734" s="1080"/>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784">
        <f t="shared" si="39"/>
        <v>0</v>
      </c>
      <c r="CH734" s="1786"/>
      <c r="CI734" s="1787">
        <f t="shared" si="40"/>
        <v>0</v>
      </c>
      <c r="CJ734" s="1789"/>
      <c r="CK734" s="1784">
        <f t="shared" si="18"/>
        <v>0</v>
      </c>
      <c r="CL734" s="1786"/>
      <c r="CM734" s="1787">
        <f t="shared" si="19"/>
        <v>0</v>
      </c>
      <c r="CN734" s="1789"/>
      <c r="CO734" s="3"/>
      <c r="CP734" s="1781">
        <f t="shared" si="20"/>
        <v>0</v>
      </c>
      <c r="CQ734" s="1782"/>
      <c r="CR734" s="1782"/>
      <c r="CS734" s="1782"/>
      <c r="CT734" s="1783"/>
      <c r="CU734" s="1779">
        <f t="shared" si="21"/>
        <v>0</v>
      </c>
      <c r="CV734" s="1779"/>
      <c r="CW734" s="1779"/>
      <c r="CX734" s="1779"/>
      <c r="CY734" s="1779"/>
      <c r="CZ734" s="1779">
        <f t="shared" si="22"/>
        <v>0</v>
      </c>
      <c r="DA734" s="1779"/>
      <c r="DB734" s="1779"/>
      <c r="DC734" s="1779"/>
      <c r="DD734" s="1779"/>
      <c r="DE734" s="1779">
        <f t="shared" si="23"/>
        <v>0</v>
      </c>
      <c r="DF734" s="1779"/>
      <c r="DG734" s="1779"/>
      <c r="DH734" s="1779"/>
      <c r="DI734" s="1779"/>
      <c r="DJ734" s="1779">
        <f t="shared" si="24"/>
        <v>0</v>
      </c>
      <c r="DK734" s="1779"/>
      <c r="DL734" s="1779"/>
      <c r="DM734" s="1779"/>
      <c r="DN734" s="1779"/>
      <c r="DO734" s="1779">
        <f t="shared" si="25"/>
        <v>0</v>
      </c>
      <c r="DP734" s="1779"/>
      <c r="DQ734" s="1779"/>
      <c r="DR734" s="1779"/>
      <c r="DS734" s="1779"/>
      <c r="DT734" s="6"/>
      <c r="DU734" s="1780">
        <f t="shared" si="26"/>
        <v>0</v>
      </c>
      <c r="DV734" s="1780"/>
      <c r="DW734" s="1780"/>
      <c r="DX734" s="1780"/>
      <c r="DY734" s="1780"/>
      <c r="DZ734" s="1780">
        <f t="shared" si="27"/>
        <v>0</v>
      </c>
      <c r="EA734" s="1780"/>
      <c r="EB734" s="1780"/>
      <c r="EC734" s="1780"/>
      <c r="ED734" s="1780"/>
      <c r="EE734" s="1780">
        <f t="shared" si="28"/>
        <v>0</v>
      </c>
      <c r="EF734" s="1780"/>
      <c r="EG734" s="1780"/>
      <c r="EH734" s="1780"/>
      <c r="EI734" s="1780"/>
      <c r="EJ734" s="1780">
        <f t="shared" si="29"/>
        <v>0</v>
      </c>
      <c r="EK734" s="1780"/>
      <c r="EL734" s="1780"/>
      <c r="EM734" s="1780"/>
      <c r="EN734" s="1780"/>
      <c r="EO734" s="1780">
        <f t="shared" si="30"/>
        <v>0</v>
      </c>
      <c r="EP734" s="1780"/>
      <c r="EQ734" s="1780"/>
      <c r="ER734" s="1780"/>
      <c r="ES734" s="1780"/>
      <c r="ET734" s="1780">
        <f t="shared" si="31"/>
        <v>0</v>
      </c>
      <c r="EU734" s="1780"/>
      <c r="EV734" s="1780"/>
      <c r="EW734" s="1780"/>
      <c r="EX734" s="1780"/>
      <c r="EY734" s="4"/>
      <c r="EZ734" s="1784" t="str">
        <f t="shared" si="32"/>
        <v/>
      </c>
      <c r="FA734" s="1785"/>
      <c r="FB734" s="1785"/>
      <c r="FC734" s="1785"/>
      <c r="FD734" s="1786"/>
      <c r="FE734" s="1784" t="str">
        <f t="shared" si="33"/>
        <v/>
      </c>
      <c r="FF734" s="1785"/>
      <c r="FG734" s="1785"/>
      <c r="FH734" s="1785"/>
      <c r="FI734" s="1786"/>
      <c r="FJ734" s="1784" t="str">
        <f t="shared" si="34"/>
        <v/>
      </c>
      <c r="FK734" s="1785"/>
      <c r="FL734" s="1785"/>
      <c r="FM734" s="1785"/>
      <c r="FN734" s="1786"/>
      <c r="FO734" s="1784" t="str">
        <f t="shared" si="35"/>
        <v/>
      </c>
      <c r="FP734" s="1785"/>
      <c r="FQ734" s="1785"/>
      <c r="FR734" s="1785"/>
      <c r="FS734" s="1786"/>
      <c r="FT734" s="1784" t="str">
        <f t="shared" si="36"/>
        <v/>
      </c>
      <c r="FU734" s="1785"/>
      <c r="FV734" s="1785"/>
      <c r="FW734" s="1785"/>
      <c r="FX734" s="1786"/>
      <c r="FY734" s="1784" t="str">
        <f t="shared" si="37"/>
        <v/>
      </c>
      <c r="FZ734" s="1785"/>
      <c r="GA734" s="1785"/>
      <c r="GB734" s="1785"/>
      <c r="GC734" s="1786"/>
    </row>
    <row r="735" spans="1:185" ht="13.05" customHeight="1">
      <c r="A735" s="4"/>
      <c r="B735" s="1623"/>
      <c r="C735" s="1624"/>
      <c r="D735" s="1624"/>
      <c r="E735" s="1624"/>
      <c r="F735" s="1625"/>
      <c r="G735" s="1617"/>
      <c r="H735" s="1618"/>
      <c r="I735" s="1618"/>
      <c r="J735" s="1619"/>
      <c r="K735" s="1620"/>
      <c r="L735" s="1621"/>
      <c r="M735" s="1621"/>
      <c r="N735" s="1622"/>
      <c r="O735" s="1662"/>
      <c r="P735" s="1663"/>
      <c r="Q735" s="1663"/>
      <c r="R735" s="1663"/>
      <c r="S735" s="1664"/>
      <c r="T735" s="1662"/>
      <c r="U735" s="1663"/>
      <c r="V735" s="1663"/>
      <c r="W735" s="1664"/>
      <c r="X735" s="1665">
        <f t="shared" si="10"/>
        <v>0</v>
      </c>
      <c r="Y735" s="1661"/>
      <c r="Z735" s="1661"/>
      <c r="AA735" s="1661"/>
      <c r="AB735" s="1666"/>
      <c r="AC735" s="1667"/>
      <c r="AD735" s="1668"/>
      <c r="AE735" s="1668"/>
      <c r="AF735" s="1668"/>
      <c r="AG735" s="1669"/>
      <c r="AH735" s="1685" t="str">
        <f t="shared" si="38"/>
        <v/>
      </c>
      <c r="AI735" s="1686"/>
      <c r="AJ735" s="1687"/>
      <c r="AK735" s="1623" t="s">
        <v>591</v>
      </c>
      <c r="AL735" s="1624"/>
      <c r="AM735" s="1624"/>
      <c r="AN735" s="1624"/>
      <c r="AO735" s="1625"/>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784">
        <f t="shared" si="39"/>
        <v>0</v>
      </c>
      <c r="CH735" s="1786"/>
      <c r="CI735" s="1787">
        <f t="shared" si="40"/>
        <v>0</v>
      </c>
      <c r="CJ735" s="1789"/>
      <c r="CK735" s="1784">
        <f t="shared" si="18"/>
        <v>0</v>
      </c>
      <c r="CL735" s="1786"/>
      <c r="CM735" s="1787">
        <f t="shared" si="19"/>
        <v>0</v>
      </c>
      <c r="CN735" s="1789"/>
      <c r="CO735" s="3"/>
      <c r="CP735" s="1781">
        <f t="shared" si="20"/>
        <v>0</v>
      </c>
      <c r="CQ735" s="1782"/>
      <c r="CR735" s="1782"/>
      <c r="CS735" s="1782"/>
      <c r="CT735" s="1783"/>
      <c r="CU735" s="1779">
        <f t="shared" si="21"/>
        <v>0</v>
      </c>
      <c r="CV735" s="1779"/>
      <c r="CW735" s="1779"/>
      <c r="CX735" s="1779"/>
      <c r="CY735" s="1779"/>
      <c r="CZ735" s="1779">
        <f t="shared" si="22"/>
        <v>0</v>
      </c>
      <c r="DA735" s="1779"/>
      <c r="DB735" s="1779"/>
      <c r="DC735" s="1779"/>
      <c r="DD735" s="1779"/>
      <c r="DE735" s="1779">
        <f t="shared" si="23"/>
        <v>0</v>
      </c>
      <c r="DF735" s="1779"/>
      <c r="DG735" s="1779"/>
      <c r="DH735" s="1779"/>
      <c r="DI735" s="1779"/>
      <c r="DJ735" s="1779">
        <f t="shared" si="24"/>
        <v>0</v>
      </c>
      <c r="DK735" s="1779"/>
      <c r="DL735" s="1779"/>
      <c r="DM735" s="1779"/>
      <c r="DN735" s="1779"/>
      <c r="DO735" s="1779">
        <f t="shared" si="25"/>
        <v>0</v>
      </c>
      <c r="DP735" s="1779"/>
      <c r="DQ735" s="1779"/>
      <c r="DR735" s="1779"/>
      <c r="DS735" s="1779"/>
      <c r="DT735" s="6"/>
      <c r="DU735" s="1780">
        <f t="shared" si="26"/>
        <v>0</v>
      </c>
      <c r="DV735" s="1780"/>
      <c r="DW735" s="1780"/>
      <c r="DX735" s="1780"/>
      <c r="DY735" s="1780"/>
      <c r="DZ735" s="1780">
        <f t="shared" si="27"/>
        <v>0</v>
      </c>
      <c r="EA735" s="1780"/>
      <c r="EB735" s="1780"/>
      <c r="EC735" s="1780"/>
      <c r="ED735" s="1780"/>
      <c r="EE735" s="1780">
        <f t="shared" si="28"/>
        <v>0</v>
      </c>
      <c r="EF735" s="1780"/>
      <c r="EG735" s="1780"/>
      <c r="EH735" s="1780"/>
      <c r="EI735" s="1780"/>
      <c r="EJ735" s="1780">
        <f t="shared" si="29"/>
        <v>0</v>
      </c>
      <c r="EK735" s="1780"/>
      <c r="EL735" s="1780"/>
      <c r="EM735" s="1780"/>
      <c r="EN735" s="1780"/>
      <c r="EO735" s="1780">
        <f t="shared" si="30"/>
        <v>0</v>
      </c>
      <c r="EP735" s="1780"/>
      <c r="EQ735" s="1780"/>
      <c r="ER735" s="1780"/>
      <c r="ES735" s="1780"/>
      <c r="ET735" s="1780">
        <f t="shared" si="31"/>
        <v>0</v>
      </c>
      <c r="EU735" s="1780"/>
      <c r="EV735" s="1780"/>
      <c r="EW735" s="1780"/>
      <c r="EX735" s="1780"/>
      <c r="EY735" s="4"/>
      <c r="EZ735" s="1784" t="str">
        <f t="shared" si="32"/>
        <v/>
      </c>
      <c r="FA735" s="1785"/>
      <c r="FB735" s="1785"/>
      <c r="FC735" s="1785"/>
      <c r="FD735" s="1786"/>
      <c r="FE735" s="1784" t="str">
        <f t="shared" si="33"/>
        <v/>
      </c>
      <c r="FF735" s="1785"/>
      <c r="FG735" s="1785"/>
      <c r="FH735" s="1785"/>
      <c r="FI735" s="1786"/>
      <c r="FJ735" s="1784" t="str">
        <f t="shared" si="34"/>
        <v/>
      </c>
      <c r="FK735" s="1785"/>
      <c r="FL735" s="1785"/>
      <c r="FM735" s="1785"/>
      <c r="FN735" s="1786"/>
      <c r="FO735" s="1784" t="str">
        <f t="shared" si="35"/>
        <v/>
      </c>
      <c r="FP735" s="1785"/>
      <c r="FQ735" s="1785"/>
      <c r="FR735" s="1785"/>
      <c r="FS735" s="1786"/>
      <c r="FT735" s="1784" t="str">
        <f t="shared" si="36"/>
        <v/>
      </c>
      <c r="FU735" s="1785"/>
      <c r="FV735" s="1785"/>
      <c r="FW735" s="1785"/>
      <c r="FX735" s="1786"/>
      <c r="FY735" s="1784" t="str">
        <f t="shared" si="37"/>
        <v/>
      </c>
      <c r="FZ735" s="1785"/>
      <c r="GA735" s="1785"/>
      <c r="GB735" s="1785"/>
      <c r="GC735" s="1786"/>
    </row>
    <row r="736" spans="1:185" ht="13.05" customHeight="1">
      <c r="A736" s="4"/>
      <c r="B736" s="1623"/>
      <c r="C736" s="1624"/>
      <c r="D736" s="1624"/>
      <c r="E736" s="1624"/>
      <c r="F736" s="1625"/>
      <c r="G736" s="1617"/>
      <c r="H736" s="1618"/>
      <c r="I736" s="1618"/>
      <c r="J736" s="1619"/>
      <c r="K736" s="1620"/>
      <c r="L736" s="1621"/>
      <c r="M736" s="1621"/>
      <c r="N736" s="1622"/>
      <c r="O736" s="1662"/>
      <c r="P736" s="1663"/>
      <c r="Q736" s="1663"/>
      <c r="R736" s="1663"/>
      <c r="S736" s="1664"/>
      <c r="T736" s="1662"/>
      <c r="U736" s="1663"/>
      <c r="V736" s="1663"/>
      <c r="W736" s="1664"/>
      <c r="X736" s="1665">
        <f t="shared" si="10"/>
        <v>0</v>
      </c>
      <c r="Y736" s="1661"/>
      <c r="Z736" s="1661"/>
      <c r="AA736" s="1661"/>
      <c r="AB736" s="1666"/>
      <c r="AC736" s="1667"/>
      <c r="AD736" s="1668"/>
      <c r="AE736" s="1668"/>
      <c r="AF736" s="1668"/>
      <c r="AG736" s="1669"/>
      <c r="AH736" s="1685" t="str">
        <f t="shared" si="38"/>
        <v/>
      </c>
      <c r="AI736" s="1686"/>
      <c r="AJ736" s="1687"/>
      <c r="AK736" s="1623" t="s">
        <v>591</v>
      </c>
      <c r="AL736" s="1624"/>
      <c r="AM736" s="1624"/>
      <c r="AN736" s="1624"/>
      <c r="AO736" s="1625"/>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784">
        <f t="shared" si="39"/>
        <v>0</v>
      </c>
      <c r="CH736" s="1786"/>
      <c r="CI736" s="1787">
        <f t="shared" si="40"/>
        <v>0</v>
      </c>
      <c r="CJ736" s="1789"/>
      <c r="CK736" s="1784">
        <f t="shared" si="18"/>
        <v>0</v>
      </c>
      <c r="CL736" s="1786"/>
      <c r="CM736" s="1787">
        <f t="shared" si="19"/>
        <v>0</v>
      </c>
      <c r="CN736" s="1789"/>
      <c r="CO736" s="3"/>
      <c r="CP736" s="1781">
        <f t="shared" si="20"/>
        <v>0</v>
      </c>
      <c r="CQ736" s="1782"/>
      <c r="CR736" s="1782"/>
      <c r="CS736" s="1782"/>
      <c r="CT736" s="1783"/>
      <c r="CU736" s="1779">
        <f t="shared" si="21"/>
        <v>0</v>
      </c>
      <c r="CV736" s="1779"/>
      <c r="CW736" s="1779"/>
      <c r="CX736" s="1779"/>
      <c r="CY736" s="1779"/>
      <c r="CZ736" s="1779">
        <f t="shared" si="22"/>
        <v>0</v>
      </c>
      <c r="DA736" s="1779"/>
      <c r="DB736" s="1779"/>
      <c r="DC736" s="1779"/>
      <c r="DD736" s="1779"/>
      <c r="DE736" s="1779">
        <f t="shared" si="23"/>
        <v>0</v>
      </c>
      <c r="DF736" s="1779"/>
      <c r="DG736" s="1779"/>
      <c r="DH736" s="1779"/>
      <c r="DI736" s="1779"/>
      <c r="DJ736" s="1779">
        <f t="shared" si="24"/>
        <v>0</v>
      </c>
      <c r="DK736" s="1779"/>
      <c r="DL736" s="1779"/>
      <c r="DM736" s="1779"/>
      <c r="DN736" s="1779"/>
      <c r="DO736" s="1779">
        <f t="shared" si="25"/>
        <v>0</v>
      </c>
      <c r="DP736" s="1779"/>
      <c r="DQ736" s="1779"/>
      <c r="DR736" s="1779"/>
      <c r="DS736" s="1779"/>
      <c r="DT736" s="6"/>
      <c r="DU736" s="1780">
        <f t="shared" si="26"/>
        <v>0</v>
      </c>
      <c r="DV736" s="1780"/>
      <c r="DW736" s="1780"/>
      <c r="DX736" s="1780"/>
      <c r="DY736" s="1780"/>
      <c r="DZ736" s="1780">
        <f t="shared" si="27"/>
        <v>0</v>
      </c>
      <c r="EA736" s="1780"/>
      <c r="EB736" s="1780"/>
      <c r="EC736" s="1780"/>
      <c r="ED736" s="1780"/>
      <c r="EE736" s="1780">
        <f t="shared" si="28"/>
        <v>0</v>
      </c>
      <c r="EF736" s="1780"/>
      <c r="EG736" s="1780"/>
      <c r="EH736" s="1780"/>
      <c r="EI736" s="1780"/>
      <c r="EJ736" s="1780">
        <f t="shared" si="29"/>
        <v>0</v>
      </c>
      <c r="EK736" s="1780"/>
      <c r="EL736" s="1780"/>
      <c r="EM736" s="1780"/>
      <c r="EN736" s="1780"/>
      <c r="EO736" s="1780">
        <f t="shared" si="30"/>
        <v>0</v>
      </c>
      <c r="EP736" s="1780"/>
      <c r="EQ736" s="1780"/>
      <c r="ER736" s="1780"/>
      <c r="ES736" s="1780"/>
      <c r="ET736" s="1780">
        <f t="shared" si="31"/>
        <v>0</v>
      </c>
      <c r="EU736" s="1780"/>
      <c r="EV736" s="1780"/>
      <c r="EW736" s="1780"/>
      <c r="EX736" s="1780"/>
      <c r="EY736" s="4"/>
      <c r="EZ736" s="1784" t="str">
        <f t="shared" si="32"/>
        <v/>
      </c>
      <c r="FA736" s="1785"/>
      <c r="FB736" s="1785"/>
      <c r="FC736" s="1785"/>
      <c r="FD736" s="1786"/>
      <c r="FE736" s="1784" t="str">
        <f t="shared" si="33"/>
        <v/>
      </c>
      <c r="FF736" s="1785"/>
      <c r="FG736" s="1785"/>
      <c r="FH736" s="1785"/>
      <c r="FI736" s="1786"/>
      <c r="FJ736" s="1784" t="str">
        <f t="shared" si="34"/>
        <v/>
      </c>
      <c r="FK736" s="1785"/>
      <c r="FL736" s="1785"/>
      <c r="FM736" s="1785"/>
      <c r="FN736" s="1786"/>
      <c r="FO736" s="1784" t="str">
        <f t="shared" si="35"/>
        <v/>
      </c>
      <c r="FP736" s="1785"/>
      <c r="FQ736" s="1785"/>
      <c r="FR736" s="1785"/>
      <c r="FS736" s="1786"/>
      <c r="FT736" s="1784" t="str">
        <f t="shared" si="36"/>
        <v/>
      </c>
      <c r="FU736" s="1785"/>
      <c r="FV736" s="1785"/>
      <c r="FW736" s="1785"/>
      <c r="FX736" s="1786"/>
      <c r="FY736" s="1784" t="str">
        <f t="shared" si="37"/>
        <v/>
      </c>
      <c r="FZ736" s="1785"/>
      <c r="GA736" s="1785"/>
      <c r="GB736" s="1785"/>
      <c r="GC736" s="1786"/>
    </row>
    <row r="737" spans="1:185" ht="13.05" customHeight="1">
      <c r="A737" s="4"/>
      <c r="B737" s="1623"/>
      <c r="C737" s="1624"/>
      <c r="D737" s="1624"/>
      <c r="E737" s="1624"/>
      <c r="F737" s="1625"/>
      <c r="G737" s="1617"/>
      <c r="H737" s="1618"/>
      <c r="I737" s="1618"/>
      <c r="J737" s="1619"/>
      <c r="K737" s="1620"/>
      <c r="L737" s="1621"/>
      <c r="M737" s="1621"/>
      <c r="N737" s="1622"/>
      <c r="O737" s="1662"/>
      <c r="P737" s="1663"/>
      <c r="Q737" s="1663"/>
      <c r="R737" s="1663"/>
      <c r="S737" s="1664"/>
      <c r="T737" s="1662"/>
      <c r="U737" s="1663"/>
      <c r="V737" s="1663"/>
      <c r="W737" s="1664"/>
      <c r="X737" s="1665">
        <f t="shared" si="10"/>
        <v>0</v>
      </c>
      <c r="Y737" s="1661"/>
      <c r="Z737" s="1661"/>
      <c r="AA737" s="1661"/>
      <c r="AB737" s="1666"/>
      <c r="AC737" s="1667"/>
      <c r="AD737" s="1668"/>
      <c r="AE737" s="1668"/>
      <c r="AF737" s="1668"/>
      <c r="AG737" s="1669"/>
      <c r="AH737" s="1685" t="str">
        <f t="shared" si="38"/>
        <v/>
      </c>
      <c r="AI737" s="1686"/>
      <c r="AJ737" s="1687"/>
      <c r="AK737" s="1623" t="s">
        <v>591</v>
      </c>
      <c r="AL737" s="1624"/>
      <c r="AM737" s="1624"/>
      <c r="AN737" s="1624"/>
      <c r="AO737" s="1625"/>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784">
        <f t="shared" si="39"/>
        <v>0</v>
      </c>
      <c r="CH737" s="1786"/>
      <c r="CI737" s="1787">
        <f t="shared" si="40"/>
        <v>0</v>
      </c>
      <c r="CJ737" s="1789"/>
      <c r="CK737" s="1784">
        <f t="shared" si="18"/>
        <v>0</v>
      </c>
      <c r="CL737" s="1786"/>
      <c r="CM737" s="1787">
        <f t="shared" si="19"/>
        <v>0</v>
      </c>
      <c r="CN737" s="1789"/>
      <c r="CO737" s="3"/>
      <c r="CP737" s="1781">
        <f t="shared" si="20"/>
        <v>0</v>
      </c>
      <c r="CQ737" s="1782"/>
      <c r="CR737" s="1782"/>
      <c r="CS737" s="1782"/>
      <c r="CT737" s="1783"/>
      <c r="CU737" s="1779">
        <f t="shared" si="21"/>
        <v>0</v>
      </c>
      <c r="CV737" s="1779"/>
      <c r="CW737" s="1779"/>
      <c r="CX737" s="1779"/>
      <c r="CY737" s="1779"/>
      <c r="CZ737" s="1779">
        <f t="shared" si="22"/>
        <v>0</v>
      </c>
      <c r="DA737" s="1779"/>
      <c r="DB737" s="1779"/>
      <c r="DC737" s="1779"/>
      <c r="DD737" s="1779"/>
      <c r="DE737" s="1779">
        <f t="shared" si="23"/>
        <v>0</v>
      </c>
      <c r="DF737" s="1779"/>
      <c r="DG737" s="1779"/>
      <c r="DH737" s="1779"/>
      <c r="DI737" s="1779"/>
      <c r="DJ737" s="1779">
        <f t="shared" si="24"/>
        <v>0</v>
      </c>
      <c r="DK737" s="1779"/>
      <c r="DL737" s="1779"/>
      <c r="DM737" s="1779"/>
      <c r="DN737" s="1779"/>
      <c r="DO737" s="1779">
        <f t="shared" si="25"/>
        <v>0</v>
      </c>
      <c r="DP737" s="1779"/>
      <c r="DQ737" s="1779"/>
      <c r="DR737" s="1779"/>
      <c r="DS737" s="1779"/>
      <c r="DT737" s="6"/>
      <c r="DU737" s="1780">
        <f t="shared" si="26"/>
        <v>0</v>
      </c>
      <c r="DV737" s="1780"/>
      <c r="DW737" s="1780"/>
      <c r="DX737" s="1780"/>
      <c r="DY737" s="1780"/>
      <c r="DZ737" s="1780">
        <f t="shared" si="27"/>
        <v>0</v>
      </c>
      <c r="EA737" s="1780"/>
      <c r="EB737" s="1780"/>
      <c r="EC737" s="1780"/>
      <c r="ED737" s="1780"/>
      <c r="EE737" s="1780">
        <f t="shared" si="28"/>
        <v>0</v>
      </c>
      <c r="EF737" s="1780"/>
      <c r="EG737" s="1780"/>
      <c r="EH737" s="1780"/>
      <c r="EI737" s="1780"/>
      <c r="EJ737" s="1780">
        <f t="shared" si="29"/>
        <v>0</v>
      </c>
      <c r="EK737" s="1780"/>
      <c r="EL737" s="1780"/>
      <c r="EM737" s="1780"/>
      <c r="EN737" s="1780"/>
      <c r="EO737" s="1780">
        <f t="shared" si="30"/>
        <v>0</v>
      </c>
      <c r="EP737" s="1780"/>
      <c r="EQ737" s="1780"/>
      <c r="ER737" s="1780"/>
      <c r="ES737" s="1780"/>
      <c r="ET737" s="1780">
        <f t="shared" si="31"/>
        <v>0</v>
      </c>
      <c r="EU737" s="1780"/>
      <c r="EV737" s="1780"/>
      <c r="EW737" s="1780"/>
      <c r="EX737" s="1780"/>
      <c r="EZ737" s="1784" t="str">
        <f t="shared" si="32"/>
        <v/>
      </c>
      <c r="FA737" s="1785"/>
      <c r="FB737" s="1785"/>
      <c r="FC737" s="1785"/>
      <c r="FD737" s="1786"/>
      <c r="FE737" s="1784" t="str">
        <f t="shared" si="33"/>
        <v/>
      </c>
      <c r="FF737" s="1785"/>
      <c r="FG737" s="1785"/>
      <c r="FH737" s="1785"/>
      <c r="FI737" s="1786"/>
      <c r="FJ737" s="1784" t="str">
        <f t="shared" si="34"/>
        <v/>
      </c>
      <c r="FK737" s="1785"/>
      <c r="FL737" s="1785"/>
      <c r="FM737" s="1785"/>
      <c r="FN737" s="1786"/>
      <c r="FO737" s="1784" t="str">
        <f t="shared" si="35"/>
        <v/>
      </c>
      <c r="FP737" s="1785"/>
      <c r="FQ737" s="1785"/>
      <c r="FR737" s="1785"/>
      <c r="FS737" s="1786"/>
      <c r="FT737" s="1784" t="str">
        <f t="shared" si="36"/>
        <v/>
      </c>
      <c r="FU737" s="1785"/>
      <c r="FV737" s="1785"/>
      <c r="FW737" s="1785"/>
      <c r="FX737" s="1786"/>
      <c r="FY737" s="1784" t="str">
        <f t="shared" si="37"/>
        <v/>
      </c>
      <c r="FZ737" s="1785"/>
      <c r="GA737" s="1785"/>
      <c r="GB737" s="1785"/>
      <c r="GC737" s="1786"/>
    </row>
    <row r="738" spans="1:185" ht="13.05" customHeight="1">
      <c r="B738" s="1623"/>
      <c r="C738" s="1624"/>
      <c r="D738" s="1624"/>
      <c r="E738" s="1624"/>
      <c r="F738" s="1625"/>
      <c r="G738" s="1617"/>
      <c r="H738" s="1618"/>
      <c r="I738" s="1618"/>
      <c r="J738" s="1619"/>
      <c r="K738" s="1620"/>
      <c r="L738" s="1621"/>
      <c r="M738" s="1621"/>
      <c r="N738" s="1622"/>
      <c r="O738" s="1662"/>
      <c r="P738" s="1663"/>
      <c r="Q738" s="1663"/>
      <c r="R738" s="1663"/>
      <c r="S738" s="1664"/>
      <c r="T738" s="1662"/>
      <c r="U738" s="1663"/>
      <c r="V738" s="1663"/>
      <c r="W738" s="1664"/>
      <c r="X738" s="1665">
        <f t="shared" si="10"/>
        <v>0</v>
      </c>
      <c r="Y738" s="1661"/>
      <c r="Z738" s="1661"/>
      <c r="AA738" s="1661"/>
      <c r="AB738" s="1666"/>
      <c r="AC738" s="1667"/>
      <c r="AD738" s="1668"/>
      <c r="AE738" s="1668"/>
      <c r="AF738" s="1668"/>
      <c r="AG738" s="1669"/>
      <c r="AH738" s="1685" t="str">
        <f t="shared" si="38"/>
        <v/>
      </c>
      <c r="AI738" s="1686"/>
      <c r="AJ738" s="1687"/>
      <c r="AK738" s="1623" t="s">
        <v>591</v>
      </c>
      <c r="AL738" s="1624"/>
      <c r="AM738" s="1624"/>
      <c r="AN738" s="1624"/>
      <c r="AO738" s="1625"/>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784">
        <f t="shared" si="39"/>
        <v>0</v>
      </c>
      <c r="CH738" s="1786"/>
      <c r="CI738" s="1787">
        <f t="shared" si="40"/>
        <v>0</v>
      </c>
      <c r="CJ738" s="1789"/>
      <c r="CK738" s="1784">
        <f t="shared" si="18"/>
        <v>0</v>
      </c>
      <c r="CL738" s="1786"/>
      <c r="CM738" s="1787">
        <f t="shared" si="19"/>
        <v>0</v>
      </c>
      <c r="CN738" s="1789"/>
      <c r="CO738" s="3"/>
      <c r="CP738" s="1781">
        <f t="shared" si="20"/>
        <v>0</v>
      </c>
      <c r="CQ738" s="1782"/>
      <c r="CR738" s="1782"/>
      <c r="CS738" s="1782"/>
      <c r="CT738" s="1783"/>
      <c r="CU738" s="1779">
        <f t="shared" si="21"/>
        <v>0</v>
      </c>
      <c r="CV738" s="1779"/>
      <c r="CW738" s="1779"/>
      <c r="CX738" s="1779"/>
      <c r="CY738" s="1779"/>
      <c r="CZ738" s="1779">
        <f t="shared" si="22"/>
        <v>0</v>
      </c>
      <c r="DA738" s="1779"/>
      <c r="DB738" s="1779"/>
      <c r="DC738" s="1779"/>
      <c r="DD738" s="1779"/>
      <c r="DE738" s="1779">
        <f t="shared" si="23"/>
        <v>0</v>
      </c>
      <c r="DF738" s="1779"/>
      <c r="DG738" s="1779"/>
      <c r="DH738" s="1779"/>
      <c r="DI738" s="1779"/>
      <c r="DJ738" s="1779">
        <f t="shared" si="24"/>
        <v>0</v>
      </c>
      <c r="DK738" s="1779"/>
      <c r="DL738" s="1779"/>
      <c r="DM738" s="1779"/>
      <c r="DN738" s="1779"/>
      <c r="DO738" s="1779">
        <f t="shared" si="25"/>
        <v>0</v>
      </c>
      <c r="DP738" s="1779"/>
      <c r="DQ738" s="1779"/>
      <c r="DR738" s="1779"/>
      <c r="DS738" s="1779"/>
      <c r="DT738" s="6"/>
      <c r="DU738" s="1780">
        <f t="shared" si="26"/>
        <v>0</v>
      </c>
      <c r="DV738" s="1780"/>
      <c r="DW738" s="1780"/>
      <c r="DX738" s="1780"/>
      <c r="DY738" s="1780"/>
      <c r="DZ738" s="1780">
        <f t="shared" si="27"/>
        <v>0</v>
      </c>
      <c r="EA738" s="1780"/>
      <c r="EB738" s="1780"/>
      <c r="EC738" s="1780"/>
      <c r="ED738" s="1780"/>
      <c r="EE738" s="1780">
        <f t="shared" si="28"/>
        <v>0</v>
      </c>
      <c r="EF738" s="1780"/>
      <c r="EG738" s="1780"/>
      <c r="EH738" s="1780"/>
      <c r="EI738" s="1780"/>
      <c r="EJ738" s="1780">
        <f t="shared" si="29"/>
        <v>0</v>
      </c>
      <c r="EK738" s="1780"/>
      <c r="EL738" s="1780"/>
      <c r="EM738" s="1780"/>
      <c r="EN738" s="1780"/>
      <c r="EO738" s="1780">
        <f t="shared" si="30"/>
        <v>0</v>
      </c>
      <c r="EP738" s="1780"/>
      <c r="EQ738" s="1780"/>
      <c r="ER738" s="1780"/>
      <c r="ES738" s="1780"/>
      <c r="ET738" s="1780">
        <f t="shared" si="31"/>
        <v>0</v>
      </c>
      <c r="EU738" s="1780"/>
      <c r="EV738" s="1780"/>
      <c r="EW738" s="1780"/>
      <c r="EX738" s="1780"/>
      <c r="EZ738" s="1784" t="str">
        <f t="shared" si="32"/>
        <v/>
      </c>
      <c r="FA738" s="1785"/>
      <c r="FB738" s="1785"/>
      <c r="FC738" s="1785"/>
      <c r="FD738" s="1786"/>
      <c r="FE738" s="1784" t="str">
        <f t="shared" si="33"/>
        <v/>
      </c>
      <c r="FF738" s="1785"/>
      <c r="FG738" s="1785"/>
      <c r="FH738" s="1785"/>
      <c r="FI738" s="1786"/>
      <c r="FJ738" s="1784" t="str">
        <f t="shared" si="34"/>
        <v/>
      </c>
      <c r="FK738" s="1785"/>
      <c r="FL738" s="1785"/>
      <c r="FM738" s="1785"/>
      <c r="FN738" s="1786"/>
      <c r="FO738" s="1784" t="str">
        <f t="shared" si="35"/>
        <v/>
      </c>
      <c r="FP738" s="1785"/>
      <c r="FQ738" s="1785"/>
      <c r="FR738" s="1785"/>
      <c r="FS738" s="1786"/>
      <c r="FT738" s="1784" t="str">
        <f t="shared" si="36"/>
        <v/>
      </c>
      <c r="FU738" s="1785"/>
      <c r="FV738" s="1785"/>
      <c r="FW738" s="1785"/>
      <c r="FX738" s="1786"/>
      <c r="FY738" s="1784" t="str">
        <f t="shared" si="37"/>
        <v/>
      </c>
      <c r="FZ738" s="1785"/>
      <c r="GA738" s="1785"/>
      <c r="GB738" s="1785"/>
      <c r="GC738" s="1786"/>
    </row>
    <row r="739" spans="1:185" ht="13.05" customHeight="1">
      <c r="B739" s="1623"/>
      <c r="C739" s="1624"/>
      <c r="D739" s="1624"/>
      <c r="E739" s="1624"/>
      <c r="F739" s="1625"/>
      <c r="G739" s="1617"/>
      <c r="H739" s="1618"/>
      <c r="I739" s="1618"/>
      <c r="J739" s="1619"/>
      <c r="K739" s="1620"/>
      <c r="L739" s="1621"/>
      <c r="M739" s="1621"/>
      <c r="N739" s="1622"/>
      <c r="O739" s="1662"/>
      <c r="P739" s="1663"/>
      <c r="Q739" s="1663"/>
      <c r="R739" s="1663"/>
      <c r="S739" s="1664"/>
      <c r="T739" s="1662"/>
      <c r="U739" s="1663"/>
      <c r="V739" s="1663"/>
      <c r="W739" s="1664"/>
      <c r="X739" s="1665">
        <f t="shared" si="10"/>
        <v>0</v>
      </c>
      <c r="Y739" s="1661"/>
      <c r="Z739" s="1661"/>
      <c r="AA739" s="1661"/>
      <c r="AB739" s="1666"/>
      <c r="AC739" s="1667"/>
      <c r="AD739" s="1668"/>
      <c r="AE739" s="1668"/>
      <c r="AF739" s="1668"/>
      <c r="AG739" s="1669"/>
      <c r="AH739" s="1685" t="str">
        <f t="shared" si="38"/>
        <v/>
      </c>
      <c r="AI739" s="1686"/>
      <c r="AJ739" s="1687"/>
      <c r="AK739" s="1623" t="s">
        <v>591</v>
      </c>
      <c r="AL739" s="1624"/>
      <c r="AM739" s="1624"/>
      <c r="AN739" s="1624"/>
      <c r="AO739" s="1625"/>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784">
        <f t="shared" si="39"/>
        <v>0</v>
      </c>
      <c r="CH739" s="1786"/>
      <c r="CI739" s="1787">
        <f t="shared" si="40"/>
        <v>0</v>
      </c>
      <c r="CJ739" s="1789"/>
      <c r="CK739" s="1784">
        <f t="shared" si="18"/>
        <v>0</v>
      </c>
      <c r="CL739" s="1786"/>
      <c r="CM739" s="1787">
        <f t="shared" si="19"/>
        <v>0</v>
      </c>
      <c r="CN739" s="1789"/>
      <c r="CO739" s="3"/>
      <c r="CP739" s="1781">
        <f t="shared" si="20"/>
        <v>0</v>
      </c>
      <c r="CQ739" s="1782"/>
      <c r="CR739" s="1782"/>
      <c r="CS739" s="1782"/>
      <c r="CT739" s="1783"/>
      <c r="CU739" s="1779">
        <f t="shared" si="21"/>
        <v>0</v>
      </c>
      <c r="CV739" s="1779"/>
      <c r="CW739" s="1779"/>
      <c r="CX739" s="1779"/>
      <c r="CY739" s="1779"/>
      <c r="CZ739" s="1779">
        <f t="shared" si="22"/>
        <v>0</v>
      </c>
      <c r="DA739" s="1779"/>
      <c r="DB739" s="1779"/>
      <c r="DC739" s="1779"/>
      <c r="DD739" s="1779"/>
      <c r="DE739" s="1779">
        <f t="shared" si="23"/>
        <v>0</v>
      </c>
      <c r="DF739" s="1779"/>
      <c r="DG739" s="1779"/>
      <c r="DH739" s="1779"/>
      <c r="DI739" s="1779"/>
      <c r="DJ739" s="1779">
        <f t="shared" si="24"/>
        <v>0</v>
      </c>
      <c r="DK739" s="1779"/>
      <c r="DL739" s="1779"/>
      <c r="DM739" s="1779"/>
      <c r="DN739" s="1779"/>
      <c r="DO739" s="1779">
        <f t="shared" si="25"/>
        <v>0</v>
      </c>
      <c r="DP739" s="1779"/>
      <c r="DQ739" s="1779"/>
      <c r="DR739" s="1779"/>
      <c r="DS739" s="1779"/>
      <c r="DT739" s="6"/>
      <c r="DU739" s="1780">
        <f t="shared" si="26"/>
        <v>0</v>
      </c>
      <c r="DV739" s="1780"/>
      <c r="DW739" s="1780"/>
      <c r="DX739" s="1780"/>
      <c r="DY739" s="1780"/>
      <c r="DZ739" s="1780">
        <f t="shared" si="27"/>
        <v>0</v>
      </c>
      <c r="EA739" s="1780"/>
      <c r="EB739" s="1780"/>
      <c r="EC739" s="1780"/>
      <c r="ED739" s="1780"/>
      <c r="EE739" s="1780">
        <f t="shared" si="28"/>
        <v>0</v>
      </c>
      <c r="EF739" s="1780"/>
      <c r="EG739" s="1780"/>
      <c r="EH739" s="1780"/>
      <c r="EI739" s="1780"/>
      <c r="EJ739" s="1780">
        <f t="shared" si="29"/>
        <v>0</v>
      </c>
      <c r="EK739" s="1780"/>
      <c r="EL739" s="1780"/>
      <c r="EM739" s="1780"/>
      <c r="EN739" s="1780"/>
      <c r="EO739" s="1780">
        <f t="shared" si="30"/>
        <v>0</v>
      </c>
      <c r="EP739" s="1780"/>
      <c r="EQ739" s="1780"/>
      <c r="ER739" s="1780"/>
      <c r="ES739" s="1780"/>
      <c r="ET739" s="1780">
        <f t="shared" si="31"/>
        <v>0</v>
      </c>
      <c r="EU739" s="1780"/>
      <c r="EV739" s="1780"/>
      <c r="EW739" s="1780"/>
      <c r="EX739" s="1780"/>
      <c r="EZ739" s="1784" t="str">
        <f t="shared" si="32"/>
        <v/>
      </c>
      <c r="FA739" s="1785"/>
      <c r="FB739" s="1785"/>
      <c r="FC739" s="1785"/>
      <c r="FD739" s="1786"/>
      <c r="FE739" s="1784" t="str">
        <f t="shared" si="33"/>
        <v/>
      </c>
      <c r="FF739" s="1785"/>
      <c r="FG739" s="1785"/>
      <c r="FH739" s="1785"/>
      <c r="FI739" s="1786"/>
      <c r="FJ739" s="1784" t="str">
        <f t="shared" si="34"/>
        <v/>
      </c>
      <c r="FK739" s="1785"/>
      <c r="FL739" s="1785"/>
      <c r="FM739" s="1785"/>
      <c r="FN739" s="1786"/>
      <c r="FO739" s="1784" t="str">
        <f t="shared" si="35"/>
        <v/>
      </c>
      <c r="FP739" s="1785"/>
      <c r="FQ739" s="1785"/>
      <c r="FR739" s="1785"/>
      <c r="FS739" s="1786"/>
      <c r="FT739" s="1784" t="str">
        <f t="shared" si="36"/>
        <v/>
      </c>
      <c r="FU739" s="1785"/>
      <c r="FV739" s="1785"/>
      <c r="FW739" s="1785"/>
      <c r="FX739" s="1786"/>
      <c r="FY739" s="1784" t="str">
        <f t="shared" si="37"/>
        <v/>
      </c>
      <c r="FZ739" s="1785"/>
      <c r="GA739" s="1785"/>
      <c r="GB739" s="1785"/>
      <c r="GC739" s="1786"/>
    </row>
    <row r="740" spans="1:185" ht="13.05" customHeight="1">
      <c r="B740" s="1623"/>
      <c r="C740" s="1624"/>
      <c r="D740" s="1624"/>
      <c r="E740" s="1624"/>
      <c r="F740" s="1625"/>
      <c r="G740" s="1617"/>
      <c r="H740" s="1618"/>
      <c r="I740" s="1618"/>
      <c r="J740" s="1619"/>
      <c r="K740" s="1620"/>
      <c r="L740" s="1621"/>
      <c r="M740" s="1621"/>
      <c r="N740" s="1622"/>
      <c r="O740" s="1662"/>
      <c r="P740" s="1663"/>
      <c r="Q740" s="1663"/>
      <c r="R740" s="1663"/>
      <c r="S740" s="1664"/>
      <c r="T740" s="1662"/>
      <c r="U740" s="1663"/>
      <c r="V740" s="1663"/>
      <c r="W740" s="1664"/>
      <c r="X740" s="1665">
        <f t="shared" si="10"/>
        <v>0</v>
      </c>
      <c r="Y740" s="1661"/>
      <c r="Z740" s="1661"/>
      <c r="AA740" s="1661"/>
      <c r="AB740" s="1666"/>
      <c r="AC740" s="1667"/>
      <c r="AD740" s="1668"/>
      <c r="AE740" s="1668"/>
      <c r="AF740" s="1668"/>
      <c r="AG740" s="1669"/>
      <c r="AH740" s="1685" t="str">
        <f t="shared" si="38"/>
        <v/>
      </c>
      <c r="AI740" s="1686"/>
      <c r="AJ740" s="1687"/>
      <c r="AK740" s="1623" t="s">
        <v>591</v>
      </c>
      <c r="AL740" s="1624"/>
      <c r="AM740" s="1624"/>
      <c r="AN740" s="1624"/>
      <c r="AO740" s="1625"/>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784">
        <f t="shared" si="39"/>
        <v>0</v>
      </c>
      <c r="CH740" s="1786"/>
      <c r="CI740" s="1787">
        <f t="shared" si="40"/>
        <v>0</v>
      </c>
      <c r="CJ740" s="1789"/>
      <c r="CK740" s="1784">
        <f t="shared" si="18"/>
        <v>0</v>
      </c>
      <c r="CL740" s="1786"/>
      <c r="CM740" s="1787">
        <f t="shared" si="19"/>
        <v>0</v>
      </c>
      <c r="CN740" s="1789"/>
      <c r="CO740" s="3"/>
      <c r="CP740" s="1781">
        <f t="shared" si="20"/>
        <v>0</v>
      </c>
      <c r="CQ740" s="1782"/>
      <c r="CR740" s="1782"/>
      <c r="CS740" s="1782"/>
      <c r="CT740" s="1783"/>
      <c r="CU740" s="1779">
        <f t="shared" si="21"/>
        <v>0</v>
      </c>
      <c r="CV740" s="1779"/>
      <c r="CW740" s="1779"/>
      <c r="CX740" s="1779"/>
      <c r="CY740" s="1779"/>
      <c r="CZ740" s="1779">
        <f t="shared" si="22"/>
        <v>0</v>
      </c>
      <c r="DA740" s="1779"/>
      <c r="DB740" s="1779"/>
      <c r="DC740" s="1779"/>
      <c r="DD740" s="1779"/>
      <c r="DE740" s="1779">
        <f t="shared" si="23"/>
        <v>0</v>
      </c>
      <c r="DF740" s="1779"/>
      <c r="DG740" s="1779"/>
      <c r="DH740" s="1779"/>
      <c r="DI740" s="1779"/>
      <c r="DJ740" s="1779">
        <f t="shared" si="24"/>
        <v>0</v>
      </c>
      <c r="DK740" s="1779"/>
      <c r="DL740" s="1779"/>
      <c r="DM740" s="1779"/>
      <c r="DN740" s="1779"/>
      <c r="DO740" s="1779">
        <f t="shared" si="25"/>
        <v>0</v>
      </c>
      <c r="DP740" s="1779"/>
      <c r="DQ740" s="1779"/>
      <c r="DR740" s="1779"/>
      <c r="DS740" s="1779"/>
      <c r="DT740" s="6"/>
      <c r="DU740" s="1780">
        <f t="shared" si="26"/>
        <v>0</v>
      </c>
      <c r="DV740" s="1780"/>
      <c r="DW740" s="1780"/>
      <c r="DX740" s="1780"/>
      <c r="DY740" s="1780"/>
      <c r="DZ740" s="1780">
        <f t="shared" si="27"/>
        <v>0</v>
      </c>
      <c r="EA740" s="1780"/>
      <c r="EB740" s="1780"/>
      <c r="EC740" s="1780"/>
      <c r="ED740" s="1780"/>
      <c r="EE740" s="1780">
        <f t="shared" si="28"/>
        <v>0</v>
      </c>
      <c r="EF740" s="1780"/>
      <c r="EG740" s="1780"/>
      <c r="EH740" s="1780"/>
      <c r="EI740" s="1780"/>
      <c r="EJ740" s="1780">
        <f t="shared" si="29"/>
        <v>0</v>
      </c>
      <c r="EK740" s="1780"/>
      <c r="EL740" s="1780"/>
      <c r="EM740" s="1780"/>
      <c r="EN740" s="1780"/>
      <c r="EO740" s="1780">
        <f t="shared" si="30"/>
        <v>0</v>
      </c>
      <c r="EP740" s="1780"/>
      <c r="EQ740" s="1780"/>
      <c r="ER740" s="1780"/>
      <c r="ES740" s="1780"/>
      <c r="ET740" s="1780">
        <f t="shared" si="31"/>
        <v>0</v>
      </c>
      <c r="EU740" s="1780"/>
      <c r="EV740" s="1780"/>
      <c r="EW740" s="1780"/>
      <c r="EX740" s="1780"/>
      <c r="EZ740" s="1784" t="str">
        <f t="shared" si="32"/>
        <v/>
      </c>
      <c r="FA740" s="1785"/>
      <c r="FB740" s="1785"/>
      <c r="FC740" s="1785"/>
      <c r="FD740" s="1786"/>
      <c r="FE740" s="1784" t="str">
        <f t="shared" si="33"/>
        <v/>
      </c>
      <c r="FF740" s="1785"/>
      <c r="FG740" s="1785"/>
      <c r="FH740" s="1785"/>
      <c r="FI740" s="1786"/>
      <c r="FJ740" s="1784" t="str">
        <f t="shared" si="34"/>
        <v/>
      </c>
      <c r="FK740" s="1785"/>
      <c r="FL740" s="1785"/>
      <c r="FM740" s="1785"/>
      <c r="FN740" s="1786"/>
      <c r="FO740" s="1784" t="str">
        <f t="shared" si="35"/>
        <v/>
      </c>
      <c r="FP740" s="1785"/>
      <c r="FQ740" s="1785"/>
      <c r="FR740" s="1785"/>
      <c r="FS740" s="1786"/>
      <c r="FT740" s="1784" t="str">
        <f t="shared" si="36"/>
        <v/>
      </c>
      <c r="FU740" s="1785"/>
      <c r="FV740" s="1785"/>
      <c r="FW740" s="1785"/>
      <c r="FX740" s="1786"/>
      <c r="FY740" s="1784" t="str">
        <f t="shared" si="37"/>
        <v/>
      </c>
      <c r="FZ740" s="1785"/>
      <c r="GA740" s="1785"/>
      <c r="GB740" s="1785"/>
      <c r="GC740" s="1786"/>
    </row>
    <row r="741" spans="1:185" ht="13.05" customHeight="1">
      <c r="B741" s="1623"/>
      <c r="C741" s="1624"/>
      <c r="D741" s="1624"/>
      <c r="E741" s="1624"/>
      <c r="F741" s="1625"/>
      <c r="G741" s="1617"/>
      <c r="H741" s="1618"/>
      <c r="I741" s="1618"/>
      <c r="J741" s="1619"/>
      <c r="K741" s="1620"/>
      <c r="L741" s="1621"/>
      <c r="M741" s="1621"/>
      <c r="N741" s="1622"/>
      <c r="O741" s="1662"/>
      <c r="P741" s="1663"/>
      <c r="Q741" s="1663"/>
      <c r="R741" s="1663"/>
      <c r="S741" s="1664"/>
      <c r="T741" s="1662"/>
      <c r="U741" s="1663"/>
      <c r="V741" s="1663"/>
      <c r="W741" s="1664"/>
      <c r="X741" s="1665">
        <f t="shared" si="10"/>
        <v>0</v>
      </c>
      <c r="Y741" s="1661"/>
      <c r="Z741" s="1661"/>
      <c r="AA741" s="1661"/>
      <c r="AB741" s="1666"/>
      <c r="AC741" s="1667"/>
      <c r="AD741" s="1668"/>
      <c r="AE741" s="1668"/>
      <c r="AF741" s="1668"/>
      <c r="AG741" s="1669"/>
      <c r="AH741" s="1685" t="str">
        <f t="shared" si="38"/>
        <v/>
      </c>
      <c r="AI741" s="1686"/>
      <c r="AJ741" s="1687"/>
      <c r="AK741" s="1623" t="s">
        <v>591</v>
      </c>
      <c r="AL741" s="1624"/>
      <c r="AM741" s="1624"/>
      <c r="AN741" s="1624"/>
      <c r="AO741" s="1625"/>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784">
        <f t="shared" si="39"/>
        <v>0</v>
      </c>
      <c r="CH741" s="1786"/>
      <c r="CI741" s="1787">
        <f t="shared" si="40"/>
        <v>0</v>
      </c>
      <c r="CJ741" s="1789"/>
      <c r="CK741" s="1784">
        <f t="shared" si="18"/>
        <v>0</v>
      </c>
      <c r="CL741" s="1786"/>
      <c r="CM741" s="1787">
        <f t="shared" si="19"/>
        <v>0</v>
      </c>
      <c r="CN741" s="1789"/>
      <c r="CO741" s="3"/>
      <c r="CP741" s="1781">
        <f t="shared" si="20"/>
        <v>0</v>
      </c>
      <c r="CQ741" s="1782"/>
      <c r="CR741" s="1782"/>
      <c r="CS741" s="1782"/>
      <c r="CT741" s="1783"/>
      <c r="CU741" s="1779">
        <f t="shared" si="21"/>
        <v>0</v>
      </c>
      <c r="CV741" s="1779"/>
      <c r="CW741" s="1779"/>
      <c r="CX741" s="1779"/>
      <c r="CY741" s="1779"/>
      <c r="CZ741" s="1779">
        <f t="shared" si="22"/>
        <v>0</v>
      </c>
      <c r="DA741" s="1779"/>
      <c r="DB741" s="1779"/>
      <c r="DC741" s="1779"/>
      <c r="DD741" s="1779"/>
      <c r="DE741" s="1779">
        <f t="shared" si="23"/>
        <v>0</v>
      </c>
      <c r="DF741" s="1779"/>
      <c r="DG741" s="1779"/>
      <c r="DH741" s="1779"/>
      <c r="DI741" s="1779"/>
      <c r="DJ741" s="1779">
        <f t="shared" si="24"/>
        <v>0</v>
      </c>
      <c r="DK741" s="1779"/>
      <c r="DL741" s="1779"/>
      <c r="DM741" s="1779"/>
      <c r="DN741" s="1779"/>
      <c r="DO741" s="1779">
        <f t="shared" si="25"/>
        <v>0</v>
      </c>
      <c r="DP741" s="1779"/>
      <c r="DQ741" s="1779"/>
      <c r="DR741" s="1779"/>
      <c r="DS741" s="1779"/>
      <c r="DT741" s="6"/>
      <c r="DU741" s="1780">
        <f t="shared" si="26"/>
        <v>0</v>
      </c>
      <c r="DV741" s="1780"/>
      <c r="DW741" s="1780"/>
      <c r="DX741" s="1780"/>
      <c r="DY741" s="1780"/>
      <c r="DZ741" s="1780">
        <f t="shared" si="27"/>
        <v>0</v>
      </c>
      <c r="EA741" s="1780"/>
      <c r="EB741" s="1780"/>
      <c r="EC741" s="1780"/>
      <c r="ED741" s="1780"/>
      <c r="EE741" s="1780">
        <f t="shared" si="28"/>
        <v>0</v>
      </c>
      <c r="EF741" s="1780"/>
      <c r="EG741" s="1780"/>
      <c r="EH741" s="1780"/>
      <c r="EI741" s="1780"/>
      <c r="EJ741" s="1780">
        <f t="shared" si="29"/>
        <v>0</v>
      </c>
      <c r="EK741" s="1780"/>
      <c r="EL741" s="1780"/>
      <c r="EM741" s="1780"/>
      <c r="EN741" s="1780"/>
      <c r="EO741" s="1780">
        <f t="shared" si="30"/>
        <v>0</v>
      </c>
      <c r="EP741" s="1780"/>
      <c r="EQ741" s="1780"/>
      <c r="ER741" s="1780"/>
      <c r="ES741" s="1780"/>
      <c r="ET741" s="1780">
        <f t="shared" si="31"/>
        <v>0</v>
      </c>
      <c r="EU741" s="1780"/>
      <c r="EV741" s="1780"/>
      <c r="EW741" s="1780"/>
      <c r="EX741" s="1780"/>
      <c r="EZ741" s="1784" t="str">
        <f t="shared" si="32"/>
        <v/>
      </c>
      <c r="FA741" s="1785"/>
      <c r="FB741" s="1785"/>
      <c r="FC741" s="1785"/>
      <c r="FD741" s="1786"/>
      <c r="FE741" s="1784" t="str">
        <f t="shared" si="33"/>
        <v/>
      </c>
      <c r="FF741" s="1785"/>
      <c r="FG741" s="1785"/>
      <c r="FH741" s="1785"/>
      <c r="FI741" s="1786"/>
      <c r="FJ741" s="1784" t="str">
        <f t="shared" si="34"/>
        <v/>
      </c>
      <c r="FK741" s="1785"/>
      <c r="FL741" s="1785"/>
      <c r="FM741" s="1785"/>
      <c r="FN741" s="1786"/>
      <c r="FO741" s="1784" t="str">
        <f t="shared" si="35"/>
        <v/>
      </c>
      <c r="FP741" s="1785"/>
      <c r="FQ741" s="1785"/>
      <c r="FR741" s="1785"/>
      <c r="FS741" s="1786"/>
      <c r="FT741" s="1784" t="str">
        <f t="shared" si="36"/>
        <v/>
      </c>
      <c r="FU741" s="1785"/>
      <c r="FV741" s="1785"/>
      <c r="FW741" s="1785"/>
      <c r="FX741" s="1786"/>
      <c r="FY741" s="1784" t="str">
        <f t="shared" si="37"/>
        <v/>
      </c>
      <c r="FZ741" s="1785"/>
      <c r="GA741" s="1785"/>
      <c r="GB741" s="1785"/>
      <c r="GC741" s="1786"/>
    </row>
    <row r="742" spans="1:185" ht="13.05" customHeight="1">
      <c r="B742" s="1623"/>
      <c r="C742" s="1624"/>
      <c r="D742" s="1624"/>
      <c r="E742" s="1624"/>
      <c r="F742" s="1625"/>
      <c r="G742" s="1617"/>
      <c r="H742" s="1618"/>
      <c r="I742" s="1618"/>
      <c r="J742" s="1619"/>
      <c r="K742" s="1620"/>
      <c r="L742" s="1621"/>
      <c r="M742" s="1621"/>
      <c r="N742" s="1622"/>
      <c r="O742" s="1662"/>
      <c r="P742" s="1663"/>
      <c r="Q742" s="1663"/>
      <c r="R742" s="1663"/>
      <c r="S742" s="1664"/>
      <c r="T742" s="1662"/>
      <c r="U742" s="1663"/>
      <c r="V742" s="1663"/>
      <c r="W742" s="1664"/>
      <c r="X742" s="1665">
        <f t="shared" si="10"/>
        <v>0</v>
      </c>
      <c r="Y742" s="1661"/>
      <c r="Z742" s="1661"/>
      <c r="AA742" s="1661"/>
      <c r="AB742" s="1666"/>
      <c r="AC742" s="1667"/>
      <c r="AD742" s="1668"/>
      <c r="AE742" s="1668"/>
      <c r="AF742" s="1668"/>
      <c r="AG742" s="1669"/>
      <c r="AH742" s="1685" t="str">
        <f t="shared" si="38"/>
        <v/>
      </c>
      <c r="AI742" s="1686"/>
      <c r="AJ742" s="1687"/>
      <c r="AK742" s="1623" t="s">
        <v>591</v>
      </c>
      <c r="AL742" s="1624"/>
      <c r="AM742" s="1624"/>
      <c r="AN742" s="1624"/>
      <c r="AO742" s="1625"/>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784">
        <f t="shared" si="39"/>
        <v>0</v>
      </c>
      <c r="CH742" s="1786"/>
      <c r="CI742" s="1787">
        <f t="shared" si="40"/>
        <v>0</v>
      </c>
      <c r="CJ742" s="1789"/>
      <c r="CK742" s="1784">
        <f t="shared" si="18"/>
        <v>0</v>
      </c>
      <c r="CL742" s="1786"/>
      <c r="CM742" s="1787">
        <f t="shared" si="19"/>
        <v>0</v>
      </c>
      <c r="CN742" s="1789"/>
      <c r="CO742" s="3"/>
      <c r="CP742" s="1781">
        <f t="shared" si="20"/>
        <v>0</v>
      </c>
      <c r="CQ742" s="1782"/>
      <c r="CR742" s="1782"/>
      <c r="CS742" s="1782"/>
      <c r="CT742" s="1783"/>
      <c r="CU742" s="1779">
        <f t="shared" si="21"/>
        <v>0</v>
      </c>
      <c r="CV742" s="1779"/>
      <c r="CW742" s="1779"/>
      <c r="CX742" s="1779"/>
      <c r="CY742" s="1779"/>
      <c r="CZ742" s="1779">
        <f t="shared" si="22"/>
        <v>0</v>
      </c>
      <c r="DA742" s="1779"/>
      <c r="DB742" s="1779"/>
      <c r="DC742" s="1779"/>
      <c r="DD742" s="1779"/>
      <c r="DE742" s="1779">
        <f t="shared" si="23"/>
        <v>0</v>
      </c>
      <c r="DF742" s="1779"/>
      <c r="DG742" s="1779"/>
      <c r="DH742" s="1779"/>
      <c r="DI742" s="1779"/>
      <c r="DJ742" s="1779">
        <f t="shared" si="24"/>
        <v>0</v>
      </c>
      <c r="DK742" s="1779"/>
      <c r="DL742" s="1779"/>
      <c r="DM742" s="1779"/>
      <c r="DN742" s="1779"/>
      <c r="DO742" s="1779">
        <f t="shared" si="25"/>
        <v>0</v>
      </c>
      <c r="DP742" s="1779"/>
      <c r="DQ742" s="1779"/>
      <c r="DR742" s="1779"/>
      <c r="DS742" s="1779"/>
      <c r="DT742" s="6"/>
      <c r="DU742" s="1780">
        <f t="shared" si="26"/>
        <v>0</v>
      </c>
      <c r="DV742" s="1780"/>
      <c r="DW742" s="1780"/>
      <c r="DX742" s="1780"/>
      <c r="DY742" s="1780"/>
      <c r="DZ742" s="1780">
        <f t="shared" si="27"/>
        <v>0</v>
      </c>
      <c r="EA742" s="1780"/>
      <c r="EB742" s="1780"/>
      <c r="EC742" s="1780"/>
      <c r="ED742" s="1780"/>
      <c r="EE742" s="1780">
        <f t="shared" si="28"/>
        <v>0</v>
      </c>
      <c r="EF742" s="1780"/>
      <c r="EG742" s="1780"/>
      <c r="EH742" s="1780"/>
      <c r="EI742" s="1780"/>
      <c r="EJ742" s="1780">
        <f t="shared" si="29"/>
        <v>0</v>
      </c>
      <c r="EK742" s="1780"/>
      <c r="EL742" s="1780"/>
      <c r="EM742" s="1780"/>
      <c r="EN742" s="1780"/>
      <c r="EO742" s="1780">
        <f t="shared" si="30"/>
        <v>0</v>
      </c>
      <c r="EP742" s="1780"/>
      <c r="EQ742" s="1780"/>
      <c r="ER742" s="1780"/>
      <c r="ES742" s="1780"/>
      <c r="ET742" s="1780">
        <f t="shared" si="31"/>
        <v>0</v>
      </c>
      <c r="EU742" s="1780"/>
      <c r="EV742" s="1780"/>
      <c r="EW742" s="1780"/>
      <c r="EX742" s="1780"/>
      <c r="EZ742" s="1784" t="str">
        <f t="shared" si="32"/>
        <v/>
      </c>
      <c r="FA742" s="1785"/>
      <c r="FB742" s="1785"/>
      <c r="FC742" s="1785"/>
      <c r="FD742" s="1786"/>
      <c r="FE742" s="1784" t="str">
        <f t="shared" si="33"/>
        <v/>
      </c>
      <c r="FF742" s="1785"/>
      <c r="FG742" s="1785"/>
      <c r="FH742" s="1785"/>
      <c r="FI742" s="1786"/>
      <c r="FJ742" s="1784" t="str">
        <f t="shared" si="34"/>
        <v/>
      </c>
      <c r="FK742" s="1785"/>
      <c r="FL742" s="1785"/>
      <c r="FM742" s="1785"/>
      <c r="FN742" s="1786"/>
      <c r="FO742" s="1784" t="str">
        <f t="shared" si="35"/>
        <v/>
      </c>
      <c r="FP742" s="1785"/>
      <c r="FQ742" s="1785"/>
      <c r="FR742" s="1785"/>
      <c r="FS742" s="1786"/>
      <c r="FT742" s="1784" t="str">
        <f t="shared" si="36"/>
        <v/>
      </c>
      <c r="FU742" s="1785"/>
      <c r="FV742" s="1785"/>
      <c r="FW742" s="1785"/>
      <c r="FX742" s="1786"/>
      <c r="FY742" s="1784" t="str">
        <f t="shared" si="37"/>
        <v/>
      </c>
      <c r="FZ742" s="1785"/>
      <c r="GA742" s="1785"/>
      <c r="GB742" s="1785"/>
      <c r="GC742" s="1786"/>
    </row>
    <row r="743" spans="1:185" ht="13.05" customHeight="1">
      <c r="B743" s="1623"/>
      <c r="C743" s="1624"/>
      <c r="D743" s="1624"/>
      <c r="E743" s="1624"/>
      <c r="F743" s="1625"/>
      <c r="G743" s="1617"/>
      <c r="H743" s="1618"/>
      <c r="I743" s="1618"/>
      <c r="J743" s="1619"/>
      <c r="K743" s="1620"/>
      <c r="L743" s="1621"/>
      <c r="M743" s="1621"/>
      <c r="N743" s="1622"/>
      <c r="O743" s="1662"/>
      <c r="P743" s="1663"/>
      <c r="Q743" s="1663"/>
      <c r="R743" s="1663"/>
      <c r="S743" s="1664"/>
      <c r="T743" s="1662"/>
      <c r="U743" s="1663"/>
      <c r="V743" s="1663"/>
      <c r="W743" s="1664"/>
      <c r="X743" s="1665">
        <f t="shared" si="10"/>
        <v>0</v>
      </c>
      <c r="Y743" s="1661"/>
      <c r="Z743" s="1661"/>
      <c r="AA743" s="1661"/>
      <c r="AB743" s="1666"/>
      <c r="AC743" s="1667"/>
      <c r="AD743" s="1668"/>
      <c r="AE743" s="1668"/>
      <c r="AF743" s="1668"/>
      <c r="AG743" s="1669"/>
      <c r="AH743" s="1685" t="str">
        <f t="shared" si="38"/>
        <v/>
      </c>
      <c r="AI743" s="1686"/>
      <c r="AJ743" s="1687"/>
      <c r="AK743" s="1623" t="s">
        <v>591</v>
      </c>
      <c r="AL743" s="1624"/>
      <c r="AM743" s="1624"/>
      <c r="AN743" s="1624"/>
      <c r="AO743" s="1625"/>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784">
        <f t="shared" si="39"/>
        <v>0</v>
      </c>
      <c r="CH743" s="1786"/>
      <c r="CI743" s="1787">
        <f t="shared" si="40"/>
        <v>0</v>
      </c>
      <c r="CJ743" s="1789"/>
      <c r="CK743" s="1784">
        <f t="shared" si="18"/>
        <v>0</v>
      </c>
      <c r="CL743" s="1786"/>
      <c r="CM743" s="1787">
        <f t="shared" si="19"/>
        <v>0</v>
      </c>
      <c r="CN743" s="1789"/>
      <c r="CO743" s="3"/>
      <c r="CP743" s="1781">
        <f t="shared" si="20"/>
        <v>0</v>
      </c>
      <c r="CQ743" s="1782"/>
      <c r="CR743" s="1782"/>
      <c r="CS743" s="1782"/>
      <c r="CT743" s="1783"/>
      <c r="CU743" s="1779">
        <f t="shared" si="21"/>
        <v>0</v>
      </c>
      <c r="CV743" s="1779"/>
      <c r="CW743" s="1779"/>
      <c r="CX743" s="1779"/>
      <c r="CY743" s="1779"/>
      <c r="CZ743" s="1779">
        <f t="shared" si="22"/>
        <v>0</v>
      </c>
      <c r="DA743" s="1779"/>
      <c r="DB743" s="1779"/>
      <c r="DC743" s="1779"/>
      <c r="DD743" s="1779"/>
      <c r="DE743" s="1779">
        <f t="shared" si="23"/>
        <v>0</v>
      </c>
      <c r="DF743" s="1779"/>
      <c r="DG743" s="1779"/>
      <c r="DH743" s="1779"/>
      <c r="DI743" s="1779"/>
      <c r="DJ743" s="1779">
        <f t="shared" si="24"/>
        <v>0</v>
      </c>
      <c r="DK743" s="1779"/>
      <c r="DL743" s="1779"/>
      <c r="DM743" s="1779"/>
      <c r="DN743" s="1779"/>
      <c r="DO743" s="1779">
        <f t="shared" si="25"/>
        <v>0</v>
      </c>
      <c r="DP743" s="1779"/>
      <c r="DQ743" s="1779"/>
      <c r="DR743" s="1779"/>
      <c r="DS743" s="1779"/>
      <c r="DT743" s="6"/>
      <c r="DU743" s="1780">
        <f t="shared" si="26"/>
        <v>0</v>
      </c>
      <c r="DV743" s="1780"/>
      <c r="DW743" s="1780"/>
      <c r="DX743" s="1780"/>
      <c r="DY743" s="1780"/>
      <c r="DZ743" s="1780">
        <f t="shared" si="27"/>
        <v>0</v>
      </c>
      <c r="EA743" s="1780"/>
      <c r="EB743" s="1780"/>
      <c r="EC743" s="1780"/>
      <c r="ED743" s="1780"/>
      <c r="EE743" s="1780">
        <f t="shared" si="28"/>
        <v>0</v>
      </c>
      <c r="EF743" s="1780"/>
      <c r="EG743" s="1780"/>
      <c r="EH743" s="1780"/>
      <c r="EI743" s="1780"/>
      <c r="EJ743" s="1780">
        <f t="shared" si="29"/>
        <v>0</v>
      </c>
      <c r="EK743" s="1780"/>
      <c r="EL743" s="1780"/>
      <c r="EM743" s="1780"/>
      <c r="EN743" s="1780"/>
      <c r="EO743" s="1780">
        <f t="shared" si="30"/>
        <v>0</v>
      </c>
      <c r="EP743" s="1780"/>
      <c r="EQ743" s="1780"/>
      <c r="ER743" s="1780"/>
      <c r="ES743" s="1780"/>
      <c r="ET743" s="1780">
        <f t="shared" si="31"/>
        <v>0</v>
      </c>
      <c r="EU743" s="1780"/>
      <c r="EV743" s="1780"/>
      <c r="EW743" s="1780"/>
      <c r="EX743" s="1780"/>
      <c r="EZ743" s="1784" t="str">
        <f t="shared" si="32"/>
        <v/>
      </c>
      <c r="FA743" s="1785"/>
      <c r="FB743" s="1785"/>
      <c r="FC743" s="1785"/>
      <c r="FD743" s="1786"/>
      <c r="FE743" s="1784" t="str">
        <f t="shared" si="33"/>
        <v/>
      </c>
      <c r="FF743" s="1785"/>
      <c r="FG743" s="1785"/>
      <c r="FH743" s="1785"/>
      <c r="FI743" s="1786"/>
      <c r="FJ743" s="1784" t="str">
        <f t="shared" si="34"/>
        <v/>
      </c>
      <c r="FK743" s="1785"/>
      <c r="FL743" s="1785"/>
      <c r="FM743" s="1785"/>
      <c r="FN743" s="1786"/>
      <c r="FO743" s="1784" t="str">
        <f t="shared" si="35"/>
        <v/>
      </c>
      <c r="FP743" s="1785"/>
      <c r="FQ743" s="1785"/>
      <c r="FR743" s="1785"/>
      <c r="FS743" s="1786"/>
      <c r="FT743" s="1784" t="str">
        <f t="shared" si="36"/>
        <v/>
      </c>
      <c r="FU743" s="1785"/>
      <c r="FV743" s="1785"/>
      <c r="FW743" s="1785"/>
      <c r="FX743" s="1786"/>
      <c r="FY743" s="1784" t="str">
        <f t="shared" si="37"/>
        <v/>
      </c>
      <c r="FZ743" s="1785"/>
      <c r="GA743" s="1785"/>
      <c r="GB743" s="1785"/>
      <c r="GC743" s="1786"/>
    </row>
    <row r="744" spans="1:185" ht="13.05" customHeight="1">
      <c r="B744" s="1623"/>
      <c r="C744" s="1624"/>
      <c r="D744" s="1624"/>
      <c r="E744" s="1624"/>
      <c r="F744" s="1625"/>
      <c r="G744" s="1617"/>
      <c r="H744" s="1618"/>
      <c r="I744" s="1618"/>
      <c r="J744" s="1619"/>
      <c r="K744" s="1620"/>
      <c r="L744" s="1621"/>
      <c r="M744" s="1621"/>
      <c r="N744" s="1622"/>
      <c r="O744" s="1662"/>
      <c r="P744" s="1663"/>
      <c r="Q744" s="1663"/>
      <c r="R744" s="1663"/>
      <c r="S744" s="1664"/>
      <c r="T744" s="1662"/>
      <c r="U744" s="1663"/>
      <c r="V744" s="1663"/>
      <c r="W744" s="1664"/>
      <c r="X744" s="1665">
        <f t="shared" si="10"/>
        <v>0</v>
      </c>
      <c r="Y744" s="1661"/>
      <c r="Z744" s="1661"/>
      <c r="AA744" s="1661"/>
      <c r="AB744" s="1666"/>
      <c r="AC744" s="1667"/>
      <c r="AD744" s="1668"/>
      <c r="AE744" s="1668"/>
      <c r="AF744" s="1668"/>
      <c r="AG744" s="1669"/>
      <c r="AH744" s="1685" t="str">
        <f t="shared" si="38"/>
        <v/>
      </c>
      <c r="AI744" s="1686"/>
      <c r="AJ744" s="1687"/>
      <c r="AK744" s="1623" t="s">
        <v>591</v>
      </c>
      <c r="AL744" s="1624"/>
      <c r="AM744" s="1624"/>
      <c r="AN744" s="1624"/>
      <c r="AO744" s="1625"/>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784">
        <f t="shared" si="39"/>
        <v>0</v>
      </c>
      <c r="CH744" s="1786"/>
      <c r="CI744" s="1787">
        <f t="shared" si="40"/>
        <v>0</v>
      </c>
      <c r="CJ744" s="1789"/>
      <c r="CK744" s="1784">
        <f t="shared" si="18"/>
        <v>0</v>
      </c>
      <c r="CL744" s="1786"/>
      <c r="CM744" s="1787">
        <f t="shared" si="19"/>
        <v>0</v>
      </c>
      <c r="CN744" s="1789"/>
      <c r="CO744" s="3"/>
      <c r="CP744" s="1781">
        <f t="shared" si="20"/>
        <v>0</v>
      </c>
      <c r="CQ744" s="1782"/>
      <c r="CR744" s="1782"/>
      <c r="CS744" s="1782"/>
      <c r="CT744" s="1783"/>
      <c r="CU744" s="1779">
        <f t="shared" si="21"/>
        <v>0</v>
      </c>
      <c r="CV744" s="1779"/>
      <c r="CW744" s="1779"/>
      <c r="CX744" s="1779"/>
      <c r="CY744" s="1779"/>
      <c r="CZ744" s="1779">
        <f t="shared" si="22"/>
        <v>0</v>
      </c>
      <c r="DA744" s="1779"/>
      <c r="DB744" s="1779"/>
      <c r="DC744" s="1779"/>
      <c r="DD744" s="1779"/>
      <c r="DE744" s="1779">
        <f t="shared" si="23"/>
        <v>0</v>
      </c>
      <c r="DF744" s="1779"/>
      <c r="DG744" s="1779"/>
      <c r="DH744" s="1779"/>
      <c r="DI744" s="1779"/>
      <c r="DJ744" s="1779">
        <f t="shared" si="24"/>
        <v>0</v>
      </c>
      <c r="DK744" s="1779"/>
      <c r="DL744" s="1779"/>
      <c r="DM744" s="1779"/>
      <c r="DN744" s="1779"/>
      <c r="DO744" s="1779">
        <f t="shared" si="25"/>
        <v>0</v>
      </c>
      <c r="DP744" s="1779"/>
      <c r="DQ744" s="1779"/>
      <c r="DR744" s="1779"/>
      <c r="DS744" s="1779"/>
      <c r="DT744" s="6"/>
      <c r="DU744" s="1780">
        <f t="shared" si="26"/>
        <v>0</v>
      </c>
      <c r="DV744" s="1780"/>
      <c r="DW744" s="1780"/>
      <c r="DX744" s="1780"/>
      <c r="DY744" s="1780"/>
      <c r="DZ744" s="1780">
        <f t="shared" si="27"/>
        <v>0</v>
      </c>
      <c r="EA744" s="1780"/>
      <c r="EB744" s="1780"/>
      <c r="EC744" s="1780"/>
      <c r="ED744" s="1780"/>
      <c r="EE744" s="1780">
        <f t="shared" si="28"/>
        <v>0</v>
      </c>
      <c r="EF744" s="1780"/>
      <c r="EG744" s="1780"/>
      <c r="EH744" s="1780"/>
      <c r="EI744" s="1780"/>
      <c r="EJ744" s="1780">
        <f t="shared" si="29"/>
        <v>0</v>
      </c>
      <c r="EK744" s="1780"/>
      <c r="EL744" s="1780"/>
      <c r="EM744" s="1780"/>
      <c r="EN744" s="1780"/>
      <c r="EO744" s="1780">
        <f t="shared" si="30"/>
        <v>0</v>
      </c>
      <c r="EP744" s="1780"/>
      <c r="EQ744" s="1780"/>
      <c r="ER744" s="1780"/>
      <c r="ES744" s="1780"/>
      <c r="ET744" s="1780">
        <f t="shared" si="31"/>
        <v>0</v>
      </c>
      <c r="EU744" s="1780"/>
      <c r="EV744" s="1780"/>
      <c r="EW744" s="1780"/>
      <c r="EX744" s="1780"/>
      <c r="EZ744" s="1784" t="str">
        <f t="shared" si="32"/>
        <v/>
      </c>
      <c r="FA744" s="1785"/>
      <c r="FB744" s="1785"/>
      <c r="FC744" s="1785"/>
      <c r="FD744" s="1786"/>
      <c r="FE744" s="1784" t="str">
        <f t="shared" si="33"/>
        <v/>
      </c>
      <c r="FF744" s="1785"/>
      <c r="FG744" s="1785"/>
      <c r="FH744" s="1785"/>
      <c r="FI744" s="1786"/>
      <c r="FJ744" s="1784" t="str">
        <f t="shared" si="34"/>
        <v/>
      </c>
      <c r="FK744" s="1785"/>
      <c r="FL744" s="1785"/>
      <c r="FM744" s="1785"/>
      <c r="FN744" s="1786"/>
      <c r="FO744" s="1784" t="str">
        <f t="shared" si="35"/>
        <v/>
      </c>
      <c r="FP744" s="1785"/>
      <c r="FQ744" s="1785"/>
      <c r="FR744" s="1785"/>
      <c r="FS744" s="1786"/>
      <c r="FT744" s="1784" t="str">
        <f t="shared" si="36"/>
        <v/>
      </c>
      <c r="FU744" s="1785"/>
      <c r="FV744" s="1785"/>
      <c r="FW744" s="1785"/>
      <c r="FX744" s="1786"/>
      <c r="FY744" s="1784" t="str">
        <f t="shared" si="37"/>
        <v/>
      </c>
      <c r="FZ744" s="1785"/>
      <c r="GA744" s="1785"/>
      <c r="GB744" s="1785"/>
      <c r="GC744" s="1786"/>
    </row>
    <row r="745" spans="1:185" ht="13.05" customHeight="1">
      <c r="B745" s="1623"/>
      <c r="C745" s="1624"/>
      <c r="D745" s="1624"/>
      <c r="E745" s="1624"/>
      <c r="F745" s="1625"/>
      <c r="G745" s="1617"/>
      <c r="H745" s="1618"/>
      <c r="I745" s="1618"/>
      <c r="J745" s="1619"/>
      <c r="K745" s="1620"/>
      <c r="L745" s="1621"/>
      <c r="M745" s="1621"/>
      <c r="N745" s="1622"/>
      <c r="O745" s="1662"/>
      <c r="P745" s="1663"/>
      <c r="Q745" s="1663"/>
      <c r="R745" s="1663"/>
      <c r="S745" s="1664"/>
      <c r="T745" s="1662"/>
      <c r="U745" s="1663"/>
      <c r="V745" s="1663"/>
      <c r="W745" s="1664"/>
      <c r="X745" s="1665">
        <f t="shared" si="10"/>
        <v>0</v>
      </c>
      <c r="Y745" s="1661"/>
      <c r="Z745" s="1661"/>
      <c r="AA745" s="1661"/>
      <c r="AB745" s="1666"/>
      <c r="AC745" s="1667"/>
      <c r="AD745" s="1668"/>
      <c r="AE745" s="1668"/>
      <c r="AF745" s="1668"/>
      <c r="AG745" s="1669"/>
      <c r="AH745" s="1685" t="str">
        <f t="shared" si="38"/>
        <v/>
      </c>
      <c r="AI745" s="1686"/>
      <c r="AJ745" s="1687"/>
      <c r="AK745" s="1623" t="s">
        <v>591</v>
      </c>
      <c r="AL745" s="1624"/>
      <c r="AM745" s="1624"/>
      <c r="AN745" s="1624"/>
      <c r="AO745" s="1625"/>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784">
        <f t="shared" si="39"/>
        <v>0</v>
      </c>
      <c r="CH745" s="1786"/>
      <c r="CI745" s="1787">
        <f t="shared" si="40"/>
        <v>0</v>
      </c>
      <c r="CJ745" s="1789"/>
      <c r="CK745" s="1784">
        <f t="shared" si="18"/>
        <v>0</v>
      </c>
      <c r="CL745" s="1786"/>
      <c r="CM745" s="1787">
        <f t="shared" si="19"/>
        <v>0</v>
      </c>
      <c r="CN745" s="1789"/>
      <c r="CO745" s="3"/>
      <c r="CP745" s="1781">
        <f t="shared" si="20"/>
        <v>0</v>
      </c>
      <c r="CQ745" s="1782"/>
      <c r="CR745" s="1782"/>
      <c r="CS745" s="1782"/>
      <c r="CT745" s="1783"/>
      <c r="CU745" s="1779">
        <f t="shared" si="21"/>
        <v>0</v>
      </c>
      <c r="CV745" s="1779"/>
      <c r="CW745" s="1779"/>
      <c r="CX745" s="1779"/>
      <c r="CY745" s="1779"/>
      <c r="CZ745" s="1779">
        <f t="shared" si="22"/>
        <v>0</v>
      </c>
      <c r="DA745" s="1779"/>
      <c r="DB745" s="1779"/>
      <c r="DC745" s="1779"/>
      <c r="DD745" s="1779"/>
      <c r="DE745" s="1779">
        <f t="shared" si="23"/>
        <v>0</v>
      </c>
      <c r="DF745" s="1779"/>
      <c r="DG745" s="1779"/>
      <c r="DH745" s="1779"/>
      <c r="DI745" s="1779"/>
      <c r="DJ745" s="1779">
        <f t="shared" si="24"/>
        <v>0</v>
      </c>
      <c r="DK745" s="1779"/>
      <c r="DL745" s="1779"/>
      <c r="DM745" s="1779"/>
      <c r="DN745" s="1779"/>
      <c r="DO745" s="1779">
        <f t="shared" si="25"/>
        <v>0</v>
      </c>
      <c r="DP745" s="1779"/>
      <c r="DQ745" s="1779"/>
      <c r="DR745" s="1779"/>
      <c r="DS745" s="1779"/>
      <c r="DT745" s="6"/>
      <c r="DU745" s="1780">
        <f t="shared" si="26"/>
        <v>0</v>
      </c>
      <c r="DV745" s="1780"/>
      <c r="DW745" s="1780"/>
      <c r="DX745" s="1780"/>
      <c r="DY745" s="1780"/>
      <c r="DZ745" s="1780">
        <f t="shared" si="27"/>
        <v>0</v>
      </c>
      <c r="EA745" s="1780"/>
      <c r="EB745" s="1780"/>
      <c r="EC745" s="1780"/>
      <c r="ED745" s="1780"/>
      <c r="EE745" s="1780">
        <f t="shared" si="28"/>
        <v>0</v>
      </c>
      <c r="EF745" s="1780"/>
      <c r="EG745" s="1780"/>
      <c r="EH745" s="1780"/>
      <c r="EI745" s="1780"/>
      <c r="EJ745" s="1780">
        <f t="shared" si="29"/>
        <v>0</v>
      </c>
      <c r="EK745" s="1780"/>
      <c r="EL745" s="1780"/>
      <c r="EM745" s="1780"/>
      <c r="EN745" s="1780"/>
      <c r="EO745" s="1780">
        <f t="shared" si="30"/>
        <v>0</v>
      </c>
      <c r="EP745" s="1780"/>
      <c r="EQ745" s="1780"/>
      <c r="ER745" s="1780"/>
      <c r="ES745" s="1780"/>
      <c r="ET745" s="1780">
        <f t="shared" si="31"/>
        <v>0</v>
      </c>
      <c r="EU745" s="1780"/>
      <c r="EV745" s="1780"/>
      <c r="EW745" s="1780"/>
      <c r="EX745" s="1780"/>
      <c r="EZ745" s="1784" t="str">
        <f t="shared" si="32"/>
        <v/>
      </c>
      <c r="FA745" s="1785"/>
      <c r="FB745" s="1785"/>
      <c r="FC745" s="1785"/>
      <c r="FD745" s="1786"/>
      <c r="FE745" s="1784" t="str">
        <f t="shared" si="33"/>
        <v/>
      </c>
      <c r="FF745" s="1785"/>
      <c r="FG745" s="1785"/>
      <c r="FH745" s="1785"/>
      <c r="FI745" s="1786"/>
      <c r="FJ745" s="1784" t="str">
        <f t="shared" si="34"/>
        <v/>
      </c>
      <c r="FK745" s="1785"/>
      <c r="FL745" s="1785"/>
      <c r="FM745" s="1785"/>
      <c r="FN745" s="1786"/>
      <c r="FO745" s="1784" t="str">
        <f t="shared" si="35"/>
        <v/>
      </c>
      <c r="FP745" s="1785"/>
      <c r="FQ745" s="1785"/>
      <c r="FR745" s="1785"/>
      <c r="FS745" s="1786"/>
      <c r="FT745" s="1784" t="str">
        <f t="shared" si="36"/>
        <v/>
      </c>
      <c r="FU745" s="1785"/>
      <c r="FV745" s="1785"/>
      <c r="FW745" s="1785"/>
      <c r="FX745" s="1786"/>
      <c r="FY745" s="1784" t="str">
        <f t="shared" si="37"/>
        <v/>
      </c>
      <c r="FZ745" s="1785"/>
      <c r="GA745" s="1785"/>
      <c r="GB745" s="1785"/>
      <c r="GC745" s="1786"/>
    </row>
    <row r="746" spans="1:185" ht="13.05" customHeight="1">
      <c r="B746" s="1623"/>
      <c r="C746" s="1624"/>
      <c r="D746" s="1624"/>
      <c r="E746" s="1624"/>
      <c r="F746" s="1625"/>
      <c r="G746" s="1617"/>
      <c r="H746" s="1618"/>
      <c r="I746" s="1618"/>
      <c r="J746" s="1619"/>
      <c r="K746" s="1620"/>
      <c r="L746" s="1621"/>
      <c r="M746" s="1621"/>
      <c r="N746" s="1622"/>
      <c r="O746" s="1662"/>
      <c r="P746" s="1663"/>
      <c r="Q746" s="1663"/>
      <c r="R746" s="1663"/>
      <c r="S746" s="1664"/>
      <c r="T746" s="1662"/>
      <c r="U746" s="1663"/>
      <c r="V746" s="1663"/>
      <c r="W746" s="1664"/>
      <c r="X746" s="1665">
        <f t="shared" si="10"/>
        <v>0</v>
      </c>
      <c r="Y746" s="1661"/>
      <c r="Z746" s="1661"/>
      <c r="AA746" s="1661"/>
      <c r="AB746" s="1666"/>
      <c r="AC746" s="1667"/>
      <c r="AD746" s="1668"/>
      <c r="AE746" s="1668"/>
      <c r="AF746" s="1668"/>
      <c r="AG746" s="1669"/>
      <c r="AH746" s="1685" t="str">
        <f t="shared" si="38"/>
        <v/>
      </c>
      <c r="AI746" s="1686"/>
      <c r="AJ746" s="1687"/>
      <c r="AK746" s="1623" t="s">
        <v>591</v>
      </c>
      <c r="AL746" s="1624"/>
      <c r="AM746" s="1624"/>
      <c r="AN746" s="1624"/>
      <c r="AO746" s="1625"/>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784">
        <f t="shared" si="39"/>
        <v>0</v>
      </c>
      <c r="CH746" s="1786"/>
      <c r="CI746" s="1787">
        <f t="shared" si="40"/>
        <v>0</v>
      </c>
      <c r="CJ746" s="1789"/>
      <c r="CK746" s="1784">
        <f t="shared" si="18"/>
        <v>0</v>
      </c>
      <c r="CL746" s="1786"/>
      <c r="CM746" s="1787">
        <f t="shared" si="19"/>
        <v>0</v>
      </c>
      <c r="CN746" s="1789"/>
      <c r="CO746" s="3"/>
      <c r="CP746" s="1781">
        <f t="shared" si="20"/>
        <v>0</v>
      </c>
      <c r="CQ746" s="1782"/>
      <c r="CR746" s="1782"/>
      <c r="CS746" s="1782"/>
      <c r="CT746" s="1783"/>
      <c r="CU746" s="1779">
        <f t="shared" si="21"/>
        <v>0</v>
      </c>
      <c r="CV746" s="1779"/>
      <c r="CW746" s="1779"/>
      <c r="CX746" s="1779"/>
      <c r="CY746" s="1779"/>
      <c r="CZ746" s="1779">
        <f t="shared" si="22"/>
        <v>0</v>
      </c>
      <c r="DA746" s="1779"/>
      <c r="DB746" s="1779"/>
      <c r="DC746" s="1779"/>
      <c r="DD746" s="1779"/>
      <c r="DE746" s="1779">
        <f t="shared" si="23"/>
        <v>0</v>
      </c>
      <c r="DF746" s="1779"/>
      <c r="DG746" s="1779"/>
      <c r="DH746" s="1779"/>
      <c r="DI746" s="1779"/>
      <c r="DJ746" s="1779">
        <f t="shared" si="24"/>
        <v>0</v>
      </c>
      <c r="DK746" s="1779"/>
      <c r="DL746" s="1779"/>
      <c r="DM746" s="1779"/>
      <c r="DN746" s="1779"/>
      <c r="DO746" s="1779">
        <f t="shared" si="25"/>
        <v>0</v>
      </c>
      <c r="DP746" s="1779"/>
      <c r="DQ746" s="1779"/>
      <c r="DR746" s="1779"/>
      <c r="DS746" s="1779"/>
      <c r="DT746" s="6"/>
      <c r="DU746" s="1780">
        <f t="shared" si="26"/>
        <v>0</v>
      </c>
      <c r="DV746" s="1780"/>
      <c r="DW746" s="1780"/>
      <c r="DX746" s="1780"/>
      <c r="DY746" s="1780"/>
      <c r="DZ746" s="1780">
        <f t="shared" si="27"/>
        <v>0</v>
      </c>
      <c r="EA746" s="1780"/>
      <c r="EB746" s="1780"/>
      <c r="EC746" s="1780"/>
      <c r="ED746" s="1780"/>
      <c r="EE746" s="1780">
        <f t="shared" si="28"/>
        <v>0</v>
      </c>
      <c r="EF746" s="1780"/>
      <c r="EG746" s="1780"/>
      <c r="EH746" s="1780"/>
      <c r="EI746" s="1780"/>
      <c r="EJ746" s="1780">
        <f t="shared" si="29"/>
        <v>0</v>
      </c>
      <c r="EK746" s="1780"/>
      <c r="EL746" s="1780"/>
      <c r="EM746" s="1780"/>
      <c r="EN746" s="1780"/>
      <c r="EO746" s="1780">
        <f t="shared" si="30"/>
        <v>0</v>
      </c>
      <c r="EP746" s="1780"/>
      <c r="EQ746" s="1780"/>
      <c r="ER746" s="1780"/>
      <c r="ES746" s="1780"/>
      <c r="ET746" s="1780">
        <f t="shared" si="31"/>
        <v>0</v>
      </c>
      <c r="EU746" s="1780"/>
      <c r="EV746" s="1780"/>
      <c r="EW746" s="1780"/>
      <c r="EX746" s="1780"/>
      <c r="EZ746" s="1784" t="str">
        <f t="shared" si="32"/>
        <v/>
      </c>
      <c r="FA746" s="1785"/>
      <c r="FB746" s="1785"/>
      <c r="FC746" s="1785"/>
      <c r="FD746" s="1786"/>
      <c r="FE746" s="1784" t="str">
        <f t="shared" si="33"/>
        <v/>
      </c>
      <c r="FF746" s="1785"/>
      <c r="FG746" s="1785"/>
      <c r="FH746" s="1785"/>
      <c r="FI746" s="1786"/>
      <c r="FJ746" s="1784" t="str">
        <f t="shared" si="34"/>
        <v/>
      </c>
      <c r="FK746" s="1785"/>
      <c r="FL746" s="1785"/>
      <c r="FM746" s="1785"/>
      <c r="FN746" s="1786"/>
      <c r="FO746" s="1784" t="str">
        <f t="shared" si="35"/>
        <v/>
      </c>
      <c r="FP746" s="1785"/>
      <c r="FQ746" s="1785"/>
      <c r="FR746" s="1785"/>
      <c r="FS746" s="1786"/>
      <c r="FT746" s="1784" t="str">
        <f t="shared" si="36"/>
        <v/>
      </c>
      <c r="FU746" s="1785"/>
      <c r="FV746" s="1785"/>
      <c r="FW746" s="1785"/>
      <c r="FX746" s="1786"/>
      <c r="FY746" s="1784" t="str">
        <f t="shared" si="37"/>
        <v/>
      </c>
      <c r="FZ746" s="1785"/>
      <c r="GA746" s="1785"/>
      <c r="GB746" s="1785"/>
      <c r="GC746" s="1786"/>
    </row>
    <row r="747" spans="1:185" ht="13.05" customHeight="1">
      <c r="B747" s="1623"/>
      <c r="C747" s="1624"/>
      <c r="D747" s="1624"/>
      <c r="E747" s="1624"/>
      <c r="F747" s="1625"/>
      <c r="G747" s="1617"/>
      <c r="H747" s="1618"/>
      <c r="I747" s="1618"/>
      <c r="J747" s="1619"/>
      <c r="K747" s="1620"/>
      <c r="L747" s="1621"/>
      <c r="M747" s="1621"/>
      <c r="N747" s="1622"/>
      <c r="O747" s="1662"/>
      <c r="P747" s="1663"/>
      <c r="Q747" s="1663"/>
      <c r="R747" s="1663"/>
      <c r="S747" s="1664"/>
      <c r="T747" s="1662"/>
      <c r="U747" s="1663"/>
      <c r="V747" s="1663"/>
      <c r="W747" s="1664"/>
      <c r="X747" s="1665">
        <f t="shared" si="10"/>
        <v>0</v>
      </c>
      <c r="Y747" s="1661"/>
      <c r="Z747" s="1661"/>
      <c r="AA747" s="1661"/>
      <c r="AB747" s="1666"/>
      <c r="AC747" s="1667"/>
      <c r="AD747" s="1668"/>
      <c r="AE747" s="1668"/>
      <c r="AF747" s="1668"/>
      <c r="AG747" s="1669"/>
      <c r="AH747" s="1685" t="str">
        <f t="shared" si="38"/>
        <v/>
      </c>
      <c r="AI747" s="1686"/>
      <c r="AJ747" s="1687"/>
      <c r="AK747" s="1623" t="s">
        <v>591</v>
      </c>
      <c r="AL747" s="1624"/>
      <c r="AM747" s="1624"/>
      <c r="AN747" s="1624"/>
      <c r="AO747" s="1625"/>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784">
        <f t="shared" si="39"/>
        <v>0</v>
      </c>
      <c r="CH747" s="1786"/>
      <c r="CI747" s="1787">
        <f t="shared" si="40"/>
        <v>0</v>
      </c>
      <c r="CJ747" s="1789"/>
      <c r="CK747" s="1784">
        <f t="shared" si="18"/>
        <v>0</v>
      </c>
      <c r="CL747" s="1786"/>
      <c r="CM747" s="1787">
        <f t="shared" si="19"/>
        <v>0</v>
      </c>
      <c r="CN747" s="1789"/>
      <c r="CO747" s="3"/>
      <c r="CP747" s="1781">
        <f t="shared" si="20"/>
        <v>0</v>
      </c>
      <c r="CQ747" s="1782"/>
      <c r="CR747" s="1782"/>
      <c r="CS747" s="1782"/>
      <c r="CT747" s="1783"/>
      <c r="CU747" s="1779">
        <f t="shared" si="21"/>
        <v>0</v>
      </c>
      <c r="CV747" s="1779"/>
      <c r="CW747" s="1779"/>
      <c r="CX747" s="1779"/>
      <c r="CY747" s="1779"/>
      <c r="CZ747" s="1779">
        <f t="shared" si="22"/>
        <v>0</v>
      </c>
      <c r="DA747" s="1779"/>
      <c r="DB747" s="1779"/>
      <c r="DC747" s="1779"/>
      <c r="DD747" s="1779"/>
      <c r="DE747" s="1779">
        <f t="shared" si="23"/>
        <v>0</v>
      </c>
      <c r="DF747" s="1779"/>
      <c r="DG747" s="1779"/>
      <c r="DH747" s="1779"/>
      <c r="DI747" s="1779"/>
      <c r="DJ747" s="1779">
        <f t="shared" si="24"/>
        <v>0</v>
      </c>
      <c r="DK747" s="1779"/>
      <c r="DL747" s="1779"/>
      <c r="DM747" s="1779"/>
      <c r="DN747" s="1779"/>
      <c r="DO747" s="1779">
        <f t="shared" si="25"/>
        <v>0</v>
      </c>
      <c r="DP747" s="1779"/>
      <c r="DQ747" s="1779"/>
      <c r="DR747" s="1779"/>
      <c r="DS747" s="1779"/>
      <c r="DT747" s="6"/>
      <c r="DU747" s="1780">
        <f t="shared" si="26"/>
        <v>0</v>
      </c>
      <c r="DV747" s="1780"/>
      <c r="DW747" s="1780"/>
      <c r="DX747" s="1780"/>
      <c r="DY747" s="1780"/>
      <c r="DZ747" s="1780">
        <f t="shared" si="27"/>
        <v>0</v>
      </c>
      <c r="EA747" s="1780"/>
      <c r="EB747" s="1780"/>
      <c r="EC747" s="1780"/>
      <c r="ED747" s="1780"/>
      <c r="EE747" s="1780">
        <f t="shared" si="28"/>
        <v>0</v>
      </c>
      <c r="EF747" s="1780"/>
      <c r="EG747" s="1780"/>
      <c r="EH747" s="1780"/>
      <c r="EI747" s="1780"/>
      <c r="EJ747" s="1780">
        <f t="shared" si="29"/>
        <v>0</v>
      </c>
      <c r="EK747" s="1780"/>
      <c r="EL747" s="1780"/>
      <c r="EM747" s="1780"/>
      <c r="EN747" s="1780"/>
      <c r="EO747" s="1780">
        <f t="shared" si="30"/>
        <v>0</v>
      </c>
      <c r="EP747" s="1780"/>
      <c r="EQ747" s="1780"/>
      <c r="ER747" s="1780"/>
      <c r="ES747" s="1780"/>
      <c r="ET747" s="1780">
        <f t="shared" si="31"/>
        <v>0</v>
      </c>
      <c r="EU747" s="1780"/>
      <c r="EV747" s="1780"/>
      <c r="EW747" s="1780"/>
      <c r="EX747" s="1780"/>
      <c r="EZ747" s="1784" t="str">
        <f t="shared" si="32"/>
        <v/>
      </c>
      <c r="FA747" s="1785"/>
      <c r="FB747" s="1785"/>
      <c r="FC747" s="1785"/>
      <c r="FD747" s="1786"/>
      <c r="FE747" s="1784" t="str">
        <f t="shared" si="33"/>
        <v/>
      </c>
      <c r="FF747" s="1785"/>
      <c r="FG747" s="1785"/>
      <c r="FH747" s="1785"/>
      <c r="FI747" s="1786"/>
      <c r="FJ747" s="1784" t="str">
        <f t="shared" si="34"/>
        <v/>
      </c>
      <c r="FK747" s="1785"/>
      <c r="FL747" s="1785"/>
      <c r="FM747" s="1785"/>
      <c r="FN747" s="1786"/>
      <c r="FO747" s="1784" t="str">
        <f t="shared" si="35"/>
        <v/>
      </c>
      <c r="FP747" s="1785"/>
      <c r="FQ747" s="1785"/>
      <c r="FR747" s="1785"/>
      <c r="FS747" s="1786"/>
      <c r="FT747" s="1784" t="str">
        <f t="shared" si="36"/>
        <v/>
      </c>
      <c r="FU747" s="1785"/>
      <c r="FV747" s="1785"/>
      <c r="FW747" s="1785"/>
      <c r="FX747" s="1786"/>
      <c r="FY747" s="1784" t="str">
        <f t="shared" si="37"/>
        <v/>
      </c>
      <c r="FZ747" s="1785"/>
      <c r="GA747" s="1785"/>
      <c r="GB747" s="1785"/>
      <c r="GC747" s="1786"/>
    </row>
    <row r="748" spans="1:185" ht="13.05" customHeight="1">
      <c r="B748" s="1623"/>
      <c r="C748" s="1624"/>
      <c r="D748" s="1624"/>
      <c r="E748" s="1624"/>
      <c r="F748" s="1625"/>
      <c r="G748" s="1617"/>
      <c r="H748" s="1618"/>
      <c r="I748" s="1618"/>
      <c r="J748" s="1619"/>
      <c r="K748" s="1620"/>
      <c r="L748" s="1621"/>
      <c r="M748" s="1621"/>
      <c r="N748" s="1622"/>
      <c r="O748" s="1662"/>
      <c r="P748" s="1663"/>
      <c r="Q748" s="1663"/>
      <c r="R748" s="1663"/>
      <c r="S748" s="1664"/>
      <c r="T748" s="1662"/>
      <c r="U748" s="1663"/>
      <c r="V748" s="1663"/>
      <c r="W748" s="1664"/>
      <c r="X748" s="1665">
        <f t="shared" si="10"/>
        <v>0</v>
      </c>
      <c r="Y748" s="1661"/>
      <c r="Z748" s="1661"/>
      <c r="AA748" s="1661"/>
      <c r="AB748" s="1666"/>
      <c r="AC748" s="1667"/>
      <c r="AD748" s="1668"/>
      <c r="AE748" s="1668"/>
      <c r="AF748" s="1668"/>
      <c r="AG748" s="1669"/>
      <c r="AH748" s="1685" t="str">
        <f t="shared" si="38"/>
        <v/>
      </c>
      <c r="AI748" s="1686"/>
      <c r="AJ748" s="1687"/>
      <c r="AK748" s="1623" t="s">
        <v>591</v>
      </c>
      <c r="AL748" s="1624"/>
      <c r="AM748" s="1624"/>
      <c r="AN748" s="1624"/>
      <c r="AO748" s="1625"/>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784">
        <f t="shared" si="39"/>
        <v>0</v>
      </c>
      <c r="CH748" s="1786"/>
      <c r="CI748" s="1787">
        <f t="shared" si="40"/>
        <v>0</v>
      </c>
      <c r="CJ748" s="1789"/>
      <c r="CK748" s="1784">
        <f t="shared" si="18"/>
        <v>0</v>
      </c>
      <c r="CL748" s="1786"/>
      <c r="CM748" s="1787">
        <f t="shared" si="19"/>
        <v>0</v>
      </c>
      <c r="CN748" s="1789"/>
      <c r="CO748" s="3"/>
      <c r="CP748" s="1781">
        <f t="shared" si="20"/>
        <v>0</v>
      </c>
      <c r="CQ748" s="1782"/>
      <c r="CR748" s="1782"/>
      <c r="CS748" s="1782"/>
      <c r="CT748" s="1783"/>
      <c r="CU748" s="1779">
        <f t="shared" si="21"/>
        <v>0</v>
      </c>
      <c r="CV748" s="1779"/>
      <c r="CW748" s="1779"/>
      <c r="CX748" s="1779"/>
      <c r="CY748" s="1779"/>
      <c r="CZ748" s="1779">
        <f t="shared" si="22"/>
        <v>0</v>
      </c>
      <c r="DA748" s="1779"/>
      <c r="DB748" s="1779"/>
      <c r="DC748" s="1779"/>
      <c r="DD748" s="1779"/>
      <c r="DE748" s="1779">
        <f t="shared" si="23"/>
        <v>0</v>
      </c>
      <c r="DF748" s="1779"/>
      <c r="DG748" s="1779"/>
      <c r="DH748" s="1779"/>
      <c r="DI748" s="1779"/>
      <c r="DJ748" s="1779">
        <f t="shared" si="24"/>
        <v>0</v>
      </c>
      <c r="DK748" s="1779"/>
      <c r="DL748" s="1779"/>
      <c r="DM748" s="1779"/>
      <c r="DN748" s="1779"/>
      <c r="DO748" s="1779">
        <f t="shared" si="25"/>
        <v>0</v>
      </c>
      <c r="DP748" s="1779"/>
      <c r="DQ748" s="1779"/>
      <c r="DR748" s="1779"/>
      <c r="DS748" s="1779"/>
      <c r="DT748" s="6"/>
      <c r="DU748" s="1780">
        <f t="shared" si="26"/>
        <v>0</v>
      </c>
      <c r="DV748" s="1780"/>
      <c r="DW748" s="1780"/>
      <c r="DX748" s="1780"/>
      <c r="DY748" s="1780"/>
      <c r="DZ748" s="1780">
        <f t="shared" si="27"/>
        <v>0</v>
      </c>
      <c r="EA748" s="1780"/>
      <c r="EB748" s="1780"/>
      <c r="EC748" s="1780"/>
      <c r="ED748" s="1780"/>
      <c r="EE748" s="1780">
        <f t="shared" si="28"/>
        <v>0</v>
      </c>
      <c r="EF748" s="1780"/>
      <c r="EG748" s="1780"/>
      <c r="EH748" s="1780"/>
      <c r="EI748" s="1780"/>
      <c r="EJ748" s="1780">
        <f t="shared" si="29"/>
        <v>0</v>
      </c>
      <c r="EK748" s="1780"/>
      <c r="EL748" s="1780"/>
      <c r="EM748" s="1780"/>
      <c r="EN748" s="1780"/>
      <c r="EO748" s="1780">
        <f t="shared" si="30"/>
        <v>0</v>
      </c>
      <c r="EP748" s="1780"/>
      <c r="EQ748" s="1780"/>
      <c r="ER748" s="1780"/>
      <c r="ES748" s="1780"/>
      <c r="ET748" s="1780">
        <f t="shared" si="31"/>
        <v>0</v>
      </c>
      <c r="EU748" s="1780"/>
      <c r="EV748" s="1780"/>
      <c r="EW748" s="1780"/>
      <c r="EX748" s="1780"/>
      <c r="EZ748" s="1784" t="str">
        <f t="shared" si="32"/>
        <v/>
      </c>
      <c r="FA748" s="1785"/>
      <c r="FB748" s="1785"/>
      <c r="FC748" s="1785"/>
      <c r="FD748" s="1786"/>
      <c r="FE748" s="1784" t="str">
        <f t="shared" si="33"/>
        <v/>
      </c>
      <c r="FF748" s="1785"/>
      <c r="FG748" s="1785"/>
      <c r="FH748" s="1785"/>
      <c r="FI748" s="1786"/>
      <c r="FJ748" s="1784" t="str">
        <f t="shared" si="34"/>
        <v/>
      </c>
      <c r="FK748" s="1785"/>
      <c r="FL748" s="1785"/>
      <c r="FM748" s="1785"/>
      <c r="FN748" s="1786"/>
      <c r="FO748" s="1784" t="str">
        <f t="shared" si="35"/>
        <v/>
      </c>
      <c r="FP748" s="1785"/>
      <c r="FQ748" s="1785"/>
      <c r="FR748" s="1785"/>
      <c r="FS748" s="1786"/>
      <c r="FT748" s="1784" t="str">
        <f t="shared" si="36"/>
        <v/>
      </c>
      <c r="FU748" s="1785"/>
      <c r="FV748" s="1785"/>
      <c r="FW748" s="1785"/>
      <c r="FX748" s="1786"/>
      <c r="FY748" s="1784" t="str">
        <f t="shared" si="37"/>
        <v/>
      </c>
      <c r="FZ748" s="1785"/>
      <c r="GA748" s="1785"/>
      <c r="GB748" s="1785"/>
      <c r="GC748" s="1786"/>
    </row>
    <row r="749" spans="1:185" ht="13.05" customHeight="1">
      <c r="B749" s="1623"/>
      <c r="C749" s="1624"/>
      <c r="D749" s="1624"/>
      <c r="E749" s="1624"/>
      <c r="F749" s="1625"/>
      <c r="G749" s="1617"/>
      <c r="H749" s="1618"/>
      <c r="I749" s="1618"/>
      <c r="J749" s="1619"/>
      <c r="K749" s="1620"/>
      <c r="L749" s="1621"/>
      <c r="M749" s="1621"/>
      <c r="N749" s="1622"/>
      <c r="O749" s="1662"/>
      <c r="P749" s="1663"/>
      <c r="Q749" s="1663"/>
      <c r="R749" s="1663"/>
      <c r="S749" s="1664"/>
      <c r="T749" s="1662"/>
      <c r="U749" s="1663"/>
      <c r="V749" s="1663"/>
      <c r="W749" s="1664"/>
      <c r="X749" s="1665">
        <f t="shared" si="10"/>
        <v>0</v>
      </c>
      <c r="Y749" s="1661"/>
      <c r="Z749" s="1661"/>
      <c r="AA749" s="1661"/>
      <c r="AB749" s="1666"/>
      <c r="AC749" s="1667"/>
      <c r="AD749" s="1668"/>
      <c r="AE749" s="1668"/>
      <c r="AF749" s="1668"/>
      <c r="AG749" s="1669"/>
      <c r="AH749" s="1685" t="str">
        <f t="shared" si="38"/>
        <v/>
      </c>
      <c r="AI749" s="1686"/>
      <c r="AJ749" s="1687"/>
      <c r="AK749" s="1623" t="s">
        <v>591</v>
      </c>
      <c r="AL749" s="1624"/>
      <c r="AM749" s="1624"/>
      <c r="AN749" s="1624"/>
      <c r="AO749" s="1625"/>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784">
        <f t="shared" si="39"/>
        <v>0</v>
      </c>
      <c r="CH749" s="1786"/>
      <c r="CI749" s="1787">
        <f t="shared" si="40"/>
        <v>0</v>
      </c>
      <c r="CJ749" s="1789"/>
      <c r="CK749" s="1784">
        <f t="shared" si="18"/>
        <v>0</v>
      </c>
      <c r="CL749" s="1786"/>
      <c r="CM749" s="1787">
        <f t="shared" si="19"/>
        <v>0</v>
      </c>
      <c r="CN749" s="1789"/>
      <c r="CO749" s="3"/>
      <c r="CP749" s="1781">
        <f t="shared" si="20"/>
        <v>0</v>
      </c>
      <c r="CQ749" s="1782"/>
      <c r="CR749" s="1782"/>
      <c r="CS749" s="1782"/>
      <c r="CT749" s="1783"/>
      <c r="CU749" s="1779">
        <f t="shared" si="21"/>
        <v>0</v>
      </c>
      <c r="CV749" s="1779"/>
      <c r="CW749" s="1779"/>
      <c r="CX749" s="1779"/>
      <c r="CY749" s="1779"/>
      <c r="CZ749" s="1779">
        <f t="shared" si="22"/>
        <v>0</v>
      </c>
      <c r="DA749" s="1779"/>
      <c r="DB749" s="1779"/>
      <c r="DC749" s="1779"/>
      <c r="DD749" s="1779"/>
      <c r="DE749" s="1779">
        <f t="shared" si="23"/>
        <v>0</v>
      </c>
      <c r="DF749" s="1779"/>
      <c r="DG749" s="1779"/>
      <c r="DH749" s="1779"/>
      <c r="DI749" s="1779"/>
      <c r="DJ749" s="1779">
        <f t="shared" si="24"/>
        <v>0</v>
      </c>
      <c r="DK749" s="1779"/>
      <c r="DL749" s="1779"/>
      <c r="DM749" s="1779"/>
      <c r="DN749" s="1779"/>
      <c r="DO749" s="1779">
        <f t="shared" si="25"/>
        <v>0</v>
      </c>
      <c r="DP749" s="1779"/>
      <c r="DQ749" s="1779"/>
      <c r="DR749" s="1779"/>
      <c r="DS749" s="1779"/>
      <c r="DT749" s="6"/>
      <c r="DU749" s="1780">
        <f t="shared" si="26"/>
        <v>0</v>
      </c>
      <c r="DV749" s="1780"/>
      <c r="DW749" s="1780"/>
      <c r="DX749" s="1780"/>
      <c r="DY749" s="1780"/>
      <c r="DZ749" s="1780">
        <f t="shared" si="27"/>
        <v>0</v>
      </c>
      <c r="EA749" s="1780"/>
      <c r="EB749" s="1780"/>
      <c r="EC749" s="1780"/>
      <c r="ED749" s="1780"/>
      <c r="EE749" s="1780">
        <f t="shared" si="28"/>
        <v>0</v>
      </c>
      <c r="EF749" s="1780"/>
      <c r="EG749" s="1780"/>
      <c r="EH749" s="1780"/>
      <c r="EI749" s="1780"/>
      <c r="EJ749" s="1780">
        <f t="shared" si="29"/>
        <v>0</v>
      </c>
      <c r="EK749" s="1780"/>
      <c r="EL749" s="1780"/>
      <c r="EM749" s="1780"/>
      <c r="EN749" s="1780"/>
      <c r="EO749" s="1780">
        <f t="shared" si="30"/>
        <v>0</v>
      </c>
      <c r="EP749" s="1780"/>
      <c r="EQ749" s="1780"/>
      <c r="ER749" s="1780"/>
      <c r="ES749" s="1780"/>
      <c r="ET749" s="1780">
        <f t="shared" si="31"/>
        <v>0</v>
      </c>
      <c r="EU749" s="1780"/>
      <c r="EV749" s="1780"/>
      <c r="EW749" s="1780"/>
      <c r="EX749" s="1780"/>
      <c r="EZ749" s="1784" t="str">
        <f t="shared" si="32"/>
        <v/>
      </c>
      <c r="FA749" s="1785"/>
      <c r="FB749" s="1785"/>
      <c r="FC749" s="1785"/>
      <c r="FD749" s="1786"/>
      <c r="FE749" s="1784" t="str">
        <f t="shared" si="33"/>
        <v/>
      </c>
      <c r="FF749" s="1785"/>
      <c r="FG749" s="1785"/>
      <c r="FH749" s="1785"/>
      <c r="FI749" s="1786"/>
      <c r="FJ749" s="1784" t="str">
        <f t="shared" si="34"/>
        <v/>
      </c>
      <c r="FK749" s="1785"/>
      <c r="FL749" s="1785"/>
      <c r="FM749" s="1785"/>
      <c r="FN749" s="1786"/>
      <c r="FO749" s="1784" t="str">
        <f t="shared" si="35"/>
        <v/>
      </c>
      <c r="FP749" s="1785"/>
      <c r="FQ749" s="1785"/>
      <c r="FR749" s="1785"/>
      <c r="FS749" s="1786"/>
      <c r="FT749" s="1784" t="str">
        <f t="shared" si="36"/>
        <v/>
      </c>
      <c r="FU749" s="1785"/>
      <c r="FV749" s="1785"/>
      <c r="FW749" s="1785"/>
      <c r="FX749" s="1786"/>
      <c r="FY749" s="1784" t="str">
        <f t="shared" si="37"/>
        <v/>
      </c>
      <c r="FZ749" s="1785"/>
      <c r="GA749" s="1785"/>
      <c r="GB749" s="1785"/>
      <c r="GC749" s="1786"/>
    </row>
    <row r="750" spans="1:185" ht="13.05" customHeight="1">
      <c r="B750" s="1623"/>
      <c r="C750" s="1624"/>
      <c r="D750" s="1624"/>
      <c r="E750" s="1624"/>
      <c r="F750" s="1625"/>
      <c r="G750" s="1617"/>
      <c r="H750" s="1618"/>
      <c r="I750" s="1618"/>
      <c r="J750" s="1619"/>
      <c r="K750" s="1620"/>
      <c r="L750" s="1621"/>
      <c r="M750" s="1621"/>
      <c r="N750" s="1622"/>
      <c r="O750" s="1662"/>
      <c r="P750" s="1663"/>
      <c r="Q750" s="1663"/>
      <c r="R750" s="1663"/>
      <c r="S750" s="1664"/>
      <c r="T750" s="1662"/>
      <c r="U750" s="1663"/>
      <c r="V750" s="1663"/>
      <c r="W750" s="1664"/>
      <c r="X750" s="1665">
        <f t="shared" ref="X750:X759" si="41">O750+T750</f>
        <v>0</v>
      </c>
      <c r="Y750" s="1661"/>
      <c r="Z750" s="1661"/>
      <c r="AA750" s="1661"/>
      <c r="AB750" s="1666"/>
      <c r="AC750" s="1667"/>
      <c r="AD750" s="1668"/>
      <c r="AE750" s="1668"/>
      <c r="AF750" s="1668"/>
      <c r="AG750" s="1669"/>
      <c r="AH750" s="1685" t="str">
        <f t="shared" si="38"/>
        <v/>
      </c>
      <c r="AI750" s="1686"/>
      <c r="AJ750" s="1687"/>
      <c r="AK750" s="1623" t="s">
        <v>591</v>
      </c>
      <c r="AL750" s="1624"/>
      <c r="AM750" s="1624"/>
      <c r="AN750" s="1624"/>
      <c r="AO750" s="1625"/>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784">
        <f t="shared" si="39"/>
        <v>0</v>
      </c>
      <c r="CH750" s="1786"/>
      <c r="CI750" s="1787">
        <f t="shared" si="40"/>
        <v>0</v>
      </c>
      <c r="CJ750" s="1789"/>
      <c r="CK750" s="1784">
        <f t="shared" si="18"/>
        <v>0</v>
      </c>
      <c r="CL750" s="1786"/>
      <c r="CM750" s="1787">
        <f t="shared" si="19"/>
        <v>0</v>
      </c>
      <c r="CN750" s="1789"/>
      <c r="CO750" s="3"/>
      <c r="CP750" s="1781">
        <f t="shared" si="20"/>
        <v>0</v>
      </c>
      <c r="CQ750" s="1782"/>
      <c r="CR750" s="1782"/>
      <c r="CS750" s="1782"/>
      <c r="CT750" s="1783"/>
      <c r="CU750" s="1779">
        <f t="shared" si="21"/>
        <v>0</v>
      </c>
      <c r="CV750" s="1779"/>
      <c r="CW750" s="1779"/>
      <c r="CX750" s="1779"/>
      <c r="CY750" s="1779"/>
      <c r="CZ750" s="1779">
        <f t="shared" si="22"/>
        <v>0</v>
      </c>
      <c r="DA750" s="1779"/>
      <c r="DB750" s="1779"/>
      <c r="DC750" s="1779"/>
      <c r="DD750" s="1779"/>
      <c r="DE750" s="1779">
        <f t="shared" si="23"/>
        <v>0</v>
      </c>
      <c r="DF750" s="1779"/>
      <c r="DG750" s="1779"/>
      <c r="DH750" s="1779"/>
      <c r="DI750" s="1779"/>
      <c r="DJ750" s="1779">
        <f t="shared" si="24"/>
        <v>0</v>
      </c>
      <c r="DK750" s="1779"/>
      <c r="DL750" s="1779"/>
      <c r="DM750" s="1779"/>
      <c r="DN750" s="1779"/>
      <c r="DO750" s="1779">
        <f t="shared" si="25"/>
        <v>0</v>
      </c>
      <c r="DP750" s="1779"/>
      <c r="DQ750" s="1779"/>
      <c r="DR750" s="1779"/>
      <c r="DS750" s="1779"/>
      <c r="DT750" s="6"/>
      <c r="DU750" s="1780">
        <f t="shared" si="26"/>
        <v>0</v>
      </c>
      <c r="DV750" s="1780"/>
      <c r="DW750" s="1780"/>
      <c r="DX750" s="1780"/>
      <c r="DY750" s="1780"/>
      <c r="DZ750" s="1780">
        <f t="shared" si="27"/>
        <v>0</v>
      </c>
      <c r="EA750" s="1780"/>
      <c r="EB750" s="1780"/>
      <c r="EC750" s="1780"/>
      <c r="ED750" s="1780"/>
      <c r="EE750" s="1780">
        <f t="shared" si="28"/>
        <v>0</v>
      </c>
      <c r="EF750" s="1780"/>
      <c r="EG750" s="1780"/>
      <c r="EH750" s="1780"/>
      <c r="EI750" s="1780"/>
      <c r="EJ750" s="1780">
        <f t="shared" si="29"/>
        <v>0</v>
      </c>
      <c r="EK750" s="1780"/>
      <c r="EL750" s="1780"/>
      <c r="EM750" s="1780"/>
      <c r="EN750" s="1780"/>
      <c r="EO750" s="1780">
        <f t="shared" si="30"/>
        <v>0</v>
      </c>
      <c r="EP750" s="1780"/>
      <c r="EQ750" s="1780"/>
      <c r="ER750" s="1780"/>
      <c r="ES750" s="1780"/>
      <c r="ET750" s="1780">
        <f t="shared" si="31"/>
        <v>0</v>
      </c>
      <c r="EU750" s="1780"/>
      <c r="EV750" s="1780"/>
      <c r="EW750" s="1780"/>
      <c r="EX750" s="1780"/>
      <c r="EZ750" s="1784" t="str">
        <f t="shared" si="32"/>
        <v/>
      </c>
      <c r="FA750" s="1785"/>
      <c r="FB750" s="1785"/>
      <c r="FC750" s="1785"/>
      <c r="FD750" s="1786"/>
      <c r="FE750" s="1784" t="str">
        <f t="shared" si="33"/>
        <v/>
      </c>
      <c r="FF750" s="1785"/>
      <c r="FG750" s="1785"/>
      <c r="FH750" s="1785"/>
      <c r="FI750" s="1786"/>
      <c r="FJ750" s="1784" t="str">
        <f t="shared" si="34"/>
        <v/>
      </c>
      <c r="FK750" s="1785"/>
      <c r="FL750" s="1785"/>
      <c r="FM750" s="1785"/>
      <c r="FN750" s="1786"/>
      <c r="FO750" s="1784" t="str">
        <f t="shared" si="35"/>
        <v/>
      </c>
      <c r="FP750" s="1785"/>
      <c r="FQ750" s="1785"/>
      <c r="FR750" s="1785"/>
      <c r="FS750" s="1786"/>
      <c r="FT750" s="1784" t="str">
        <f t="shared" si="36"/>
        <v/>
      </c>
      <c r="FU750" s="1785"/>
      <c r="FV750" s="1785"/>
      <c r="FW750" s="1785"/>
      <c r="FX750" s="1786"/>
      <c r="FY750" s="1784" t="str">
        <f t="shared" si="37"/>
        <v/>
      </c>
      <c r="FZ750" s="1785"/>
      <c r="GA750" s="1785"/>
      <c r="GB750" s="1785"/>
      <c r="GC750" s="1786"/>
    </row>
    <row r="751" spans="1:185" s="3" customFormat="1" ht="13.05" customHeight="1">
      <c r="A751"/>
      <c r="B751" s="1623"/>
      <c r="C751" s="1624"/>
      <c r="D751" s="1624"/>
      <c r="E751" s="1624"/>
      <c r="F751" s="1625"/>
      <c r="G751" s="1617"/>
      <c r="H751" s="1618"/>
      <c r="I751" s="1618"/>
      <c r="J751" s="1619"/>
      <c r="K751" s="1620"/>
      <c r="L751" s="1621"/>
      <c r="M751" s="1621"/>
      <c r="N751" s="1622"/>
      <c r="O751" s="1662"/>
      <c r="P751" s="1663"/>
      <c r="Q751" s="1663"/>
      <c r="R751" s="1663"/>
      <c r="S751" s="1664"/>
      <c r="T751" s="1662"/>
      <c r="U751" s="1663"/>
      <c r="V751" s="1663"/>
      <c r="W751" s="1664"/>
      <c r="X751" s="1665">
        <f t="shared" si="41"/>
        <v>0</v>
      </c>
      <c r="Y751" s="1661"/>
      <c r="Z751" s="1661"/>
      <c r="AA751" s="1661"/>
      <c r="AB751" s="1666"/>
      <c r="AC751" s="1667"/>
      <c r="AD751" s="1668"/>
      <c r="AE751" s="1668"/>
      <c r="AF751" s="1668"/>
      <c r="AG751" s="1669"/>
      <c r="AH751" s="1685" t="str">
        <f t="shared" si="38"/>
        <v/>
      </c>
      <c r="AI751" s="1686"/>
      <c r="AJ751" s="1687"/>
      <c r="AK751" s="1623" t="s">
        <v>591</v>
      </c>
      <c r="AL751" s="1624"/>
      <c r="AM751" s="1624"/>
      <c r="AN751" s="1624"/>
      <c r="AO751" s="1625"/>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784">
        <f t="shared" si="39"/>
        <v>0</v>
      </c>
      <c r="CH751" s="1786"/>
      <c r="CI751" s="1787">
        <f t="shared" si="40"/>
        <v>0</v>
      </c>
      <c r="CJ751" s="1789"/>
      <c r="CK751" s="1784">
        <f t="shared" si="18"/>
        <v>0</v>
      </c>
      <c r="CL751" s="1786"/>
      <c r="CM751" s="1787">
        <f t="shared" si="19"/>
        <v>0</v>
      </c>
      <c r="CN751" s="1789"/>
      <c r="CP751" s="1781">
        <f t="shared" si="20"/>
        <v>0</v>
      </c>
      <c r="CQ751" s="1782"/>
      <c r="CR751" s="1782"/>
      <c r="CS751" s="1782"/>
      <c r="CT751" s="1783"/>
      <c r="CU751" s="1779">
        <f t="shared" si="21"/>
        <v>0</v>
      </c>
      <c r="CV751" s="1779"/>
      <c r="CW751" s="1779"/>
      <c r="CX751" s="1779"/>
      <c r="CY751" s="1779"/>
      <c r="CZ751" s="1779">
        <f t="shared" si="22"/>
        <v>0</v>
      </c>
      <c r="DA751" s="1779"/>
      <c r="DB751" s="1779"/>
      <c r="DC751" s="1779"/>
      <c r="DD751" s="1779"/>
      <c r="DE751" s="1779">
        <f t="shared" si="23"/>
        <v>0</v>
      </c>
      <c r="DF751" s="1779"/>
      <c r="DG751" s="1779"/>
      <c r="DH751" s="1779"/>
      <c r="DI751" s="1779"/>
      <c r="DJ751" s="1779">
        <f t="shared" si="24"/>
        <v>0</v>
      </c>
      <c r="DK751" s="1779"/>
      <c r="DL751" s="1779"/>
      <c r="DM751" s="1779"/>
      <c r="DN751" s="1779"/>
      <c r="DO751" s="1779">
        <f t="shared" si="25"/>
        <v>0</v>
      </c>
      <c r="DP751" s="1779"/>
      <c r="DQ751" s="1779"/>
      <c r="DR751" s="1779"/>
      <c r="DS751" s="1779"/>
      <c r="DT751" s="6"/>
      <c r="DU751" s="1780">
        <f t="shared" si="26"/>
        <v>0</v>
      </c>
      <c r="DV751" s="1780"/>
      <c r="DW751" s="1780"/>
      <c r="DX751" s="1780"/>
      <c r="DY751" s="1780"/>
      <c r="DZ751" s="1780">
        <f t="shared" si="27"/>
        <v>0</v>
      </c>
      <c r="EA751" s="1780"/>
      <c r="EB751" s="1780"/>
      <c r="EC751" s="1780"/>
      <c r="ED751" s="1780"/>
      <c r="EE751" s="1780">
        <f t="shared" si="28"/>
        <v>0</v>
      </c>
      <c r="EF751" s="1780"/>
      <c r="EG751" s="1780"/>
      <c r="EH751" s="1780"/>
      <c r="EI751" s="1780"/>
      <c r="EJ751" s="1780">
        <f t="shared" si="29"/>
        <v>0</v>
      </c>
      <c r="EK751" s="1780"/>
      <c r="EL751" s="1780"/>
      <c r="EM751" s="1780"/>
      <c r="EN751" s="1780"/>
      <c r="EO751" s="1780">
        <f t="shared" si="30"/>
        <v>0</v>
      </c>
      <c r="EP751" s="1780"/>
      <c r="EQ751" s="1780"/>
      <c r="ER751" s="1780"/>
      <c r="ES751" s="1780"/>
      <c r="ET751" s="1780">
        <f t="shared" si="31"/>
        <v>0</v>
      </c>
      <c r="EU751" s="1780"/>
      <c r="EV751" s="1780"/>
      <c r="EW751" s="1780"/>
      <c r="EX751" s="1780"/>
      <c r="EY751"/>
      <c r="EZ751" s="1784" t="str">
        <f t="shared" si="32"/>
        <v/>
      </c>
      <c r="FA751" s="1785"/>
      <c r="FB751" s="1785"/>
      <c r="FC751" s="1785"/>
      <c r="FD751" s="1786"/>
      <c r="FE751" s="1784" t="str">
        <f t="shared" si="33"/>
        <v/>
      </c>
      <c r="FF751" s="1785"/>
      <c r="FG751" s="1785"/>
      <c r="FH751" s="1785"/>
      <c r="FI751" s="1786"/>
      <c r="FJ751" s="1784" t="str">
        <f t="shared" si="34"/>
        <v/>
      </c>
      <c r="FK751" s="1785"/>
      <c r="FL751" s="1785"/>
      <c r="FM751" s="1785"/>
      <c r="FN751" s="1786"/>
      <c r="FO751" s="1784" t="str">
        <f t="shared" si="35"/>
        <v/>
      </c>
      <c r="FP751" s="1785"/>
      <c r="FQ751" s="1785"/>
      <c r="FR751" s="1785"/>
      <c r="FS751" s="1786"/>
      <c r="FT751" s="1784" t="str">
        <f t="shared" si="36"/>
        <v/>
      </c>
      <c r="FU751" s="1785"/>
      <c r="FV751" s="1785"/>
      <c r="FW751" s="1785"/>
      <c r="FX751" s="1786"/>
      <c r="FY751" s="1784" t="str">
        <f t="shared" si="37"/>
        <v/>
      </c>
      <c r="FZ751" s="1785"/>
      <c r="GA751" s="1785"/>
      <c r="GB751" s="1785"/>
      <c r="GC751" s="1786"/>
    </row>
    <row r="752" spans="1:185" ht="13.05" customHeight="1">
      <c r="B752" s="1623"/>
      <c r="C752" s="1624"/>
      <c r="D752" s="1624"/>
      <c r="E752" s="1624"/>
      <c r="F752" s="1625"/>
      <c r="G752" s="1617"/>
      <c r="H752" s="1618"/>
      <c r="I752" s="1618"/>
      <c r="J752" s="1619"/>
      <c r="K752" s="1620"/>
      <c r="L752" s="1621"/>
      <c r="M752" s="1621"/>
      <c r="N752" s="1622"/>
      <c r="O752" s="1662"/>
      <c r="P752" s="1663"/>
      <c r="Q752" s="1663"/>
      <c r="R752" s="1663"/>
      <c r="S752" s="1664"/>
      <c r="T752" s="1662"/>
      <c r="U752" s="1663"/>
      <c r="V752" s="1663"/>
      <c r="W752" s="1664"/>
      <c r="X752" s="1665">
        <f t="shared" si="41"/>
        <v>0</v>
      </c>
      <c r="Y752" s="1661"/>
      <c r="Z752" s="1661"/>
      <c r="AA752" s="1661"/>
      <c r="AB752" s="1666"/>
      <c r="AC752" s="1667"/>
      <c r="AD752" s="1668"/>
      <c r="AE752" s="1668"/>
      <c r="AF752" s="1668"/>
      <c r="AG752" s="1669"/>
      <c r="AH752" s="1685" t="str">
        <f t="shared" si="38"/>
        <v/>
      </c>
      <c r="AI752" s="1686"/>
      <c r="AJ752" s="1687"/>
      <c r="AK752" s="1623" t="s">
        <v>591</v>
      </c>
      <c r="AL752" s="1624"/>
      <c r="AM752" s="1624"/>
      <c r="AN752" s="1624"/>
      <c r="AO752" s="1625"/>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784">
        <f t="shared" si="39"/>
        <v>0</v>
      </c>
      <c r="CH752" s="1786"/>
      <c r="CI752" s="1787">
        <f t="shared" si="40"/>
        <v>0</v>
      </c>
      <c r="CJ752" s="1789"/>
      <c r="CK752" s="1784">
        <f t="shared" si="18"/>
        <v>0</v>
      </c>
      <c r="CL752" s="1786"/>
      <c r="CM752" s="1787">
        <f t="shared" si="19"/>
        <v>0</v>
      </c>
      <c r="CN752" s="1789"/>
      <c r="CO752" s="3"/>
      <c r="CP752" s="1781">
        <f t="shared" si="20"/>
        <v>0</v>
      </c>
      <c r="CQ752" s="1782"/>
      <c r="CR752" s="1782"/>
      <c r="CS752" s="1782"/>
      <c r="CT752" s="1783"/>
      <c r="CU752" s="1779">
        <f t="shared" si="21"/>
        <v>0</v>
      </c>
      <c r="CV752" s="1779"/>
      <c r="CW752" s="1779"/>
      <c r="CX752" s="1779"/>
      <c r="CY752" s="1779"/>
      <c r="CZ752" s="1779">
        <f t="shared" si="22"/>
        <v>0</v>
      </c>
      <c r="DA752" s="1779"/>
      <c r="DB752" s="1779"/>
      <c r="DC752" s="1779"/>
      <c r="DD752" s="1779"/>
      <c r="DE752" s="1779">
        <f t="shared" si="23"/>
        <v>0</v>
      </c>
      <c r="DF752" s="1779"/>
      <c r="DG752" s="1779"/>
      <c r="DH752" s="1779"/>
      <c r="DI752" s="1779"/>
      <c r="DJ752" s="1779">
        <f t="shared" si="24"/>
        <v>0</v>
      </c>
      <c r="DK752" s="1779"/>
      <c r="DL752" s="1779"/>
      <c r="DM752" s="1779"/>
      <c r="DN752" s="1779"/>
      <c r="DO752" s="1779">
        <f t="shared" si="25"/>
        <v>0</v>
      </c>
      <c r="DP752" s="1779"/>
      <c r="DQ752" s="1779"/>
      <c r="DR752" s="1779"/>
      <c r="DS752" s="1779"/>
      <c r="DT752" s="6"/>
      <c r="DU752" s="1780">
        <f t="shared" si="26"/>
        <v>0</v>
      </c>
      <c r="DV752" s="1780"/>
      <c r="DW752" s="1780"/>
      <c r="DX752" s="1780"/>
      <c r="DY752" s="1780"/>
      <c r="DZ752" s="1780">
        <f t="shared" si="27"/>
        <v>0</v>
      </c>
      <c r="EA752" s="1780"/>
      <c r="EB752" s="1780"/>
      <c r="EC752" s="1780"/>
      <c r="ED752" s="1780"/>
      <c r="EE752" s="1780">
        <f t="shared" si="28"/>
        <v>0</v>
      </c>
      <c r="EF752" s="1780"/>
      <c r="EG752" s="1780"/>
      <c r="EH752" s="1780"/>
      <c r="EI752" s="1780"/>
      <c r="EJ752" s="1780">
        <f t="shared" si="29"/>
        <v>0</v>
      </c>
      <c r="EK752" s="1780"/>
      <c r="EL752" s="1780"/>
      <c r="EM752" s="1780"/>
      <c r="EN752" s="1780"/>
      <c r="EO752" s="1780">
        <f t="shared" si="30"/>
        <v>0</v>
      </c>
      <c r="EP752" s="1780"/>
      <c r="EQ752" s="1780"/>
      <c r="ER752" s="1780"/>
      <c r="ES752" s="1780"/>
      <c r="ET752" s="1780">
        <f t="shared" si="31"/>
        <v>0</v>
      </c>
      <c r="EU752" s="1780"/>
      <c r="EV752" s="1780"/>
      <c r="EW752" s="1780"/>
      <c r="EX752" s="1780"/>
      <c r="EZ752" s="1784" t="str">
        <f t="shared" si="32"/>
        <v/>
      </c>
      <c r="FA752" s="1785"/>
      <c r="FB752" s="1785"/>
      <c r="FC752" s="1785"/>
      <c r="FD752" s="1786"/>
      <c r="FE752" s="1784" t="str">
        <f t="shared" si="33"/>
        <v/>
      </c>
      <c r="FF752" s="1785"/>
      <c r="FG752" s="1785"/>
      <c r="FH752" s="1785"/>
      <c r="FI752" s="1786"/>
      <c r="FJ752" s="1784" t="str">
        <f t="shared" si="34"/>
        <v/>
      </c>
      <c r="FK752" s="1785"/>
      <c r="FL752" s="1785"/>
      <c r="FM752" s="1785"/>
      <c r="FN752" s="1786"/>
      <c r="FO752" s="1784" t="str">
        <f t="shared" si="35"/>
        <v/>
      </c>
      <c r="FP752" s="1785"/>
      <c r="FQ752" s="1785"/>
      <c r="FR752" s="1785"/>
      <c r="FS752" s="1786"/>
      <c r="FT752" s="1784" t="str">
        <f t="shared" si="36"/>
        <v/>
      </c>
      <c r="FU752" s="1785"/>
      <c r="FV752" s="1785"/>
      <c r="FW752" s="1785"/>
      <c r="FX752" s="1786"/>
      <c r="FY752" s="1784" t="str">
        <f t="shared" si="37"/>
        <v/>
      </c>
      <c r="FZ752" s="1785"/>
      <c r="GA752" s="1785"/>
      <c r="GB752" s="1785"/>
      <c r="GC752" s="1786"/>
    </row>
    <row r="753" spans="1:185" ht="13.05" customHeight="1">
      <c r="B753" s="1623"/>
      <c r="C753" s="1624"/>
      <c r="D753" s="1624"/>
      <c r="E753" s="1624"/>
      <c r="F753" s="1625"/>
      <c r="G753" s="1617"/>
      <c r="H753" s="1618"/>
      <c r="I753" s="1618"/>
      <c r="J753" s="1619"/>
      <c r="K753" s="1620"/>
      <c r="L753" s="1621"/>
      <c r="M753" s="1621"/>
      <c r="N753" s="1622"/>
      <c r="O753" s="1662"/>
      <c r="P753" s="1663"/>
      <c r="Q753" s="1663"/>
      <c r="R753" s="1663"/>
      <c r="S753" s="1664"/>
      <c r="T753" s="1662"/>
      <c r="U753" s="1663"/>
      <c r="V753" s="1663"/>
      <c r="W753" s="1664"/>
      <c r="X753" s="1665">
        <f t="shared" si="41"/>
        <v>0</v>
      </c>
      <c r="Y753" s="1661"/>
      <c r="Z753" s="1661"/>
      <c r="AA753" s="1661"/>
      <c r="AB753" s="1666"/>
      <c r="AC753" s="1667"/>
      <c r="AD753" s="1668"/>
      <c r="AE753" s="1668"/>
      <c r="AF753" s="1668"/>
      <c r="AG753" s="1669"/>
      <c r="AH753" s="1685" t="str">
        <f t="shared" si="38"/>
        <v/>
      </c>
      <c r="AI753" s="1686"/>
      <c r="AJ753" s="1687"/>
      <c r="AK753" s="1623" t="s">
        <v>591</v>
      </c>
      <c r="AL753" s="1624"/>
      <c r="AM753" s="1624"/>
      <c r="AN753" s="1624"/>
      <c r="AO753" s="1625"/>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784">
        <f t="shared" si="39"/>
        <v>0</v>
      </c>
      <c r="CH753" s="1786"/>
      <c r="CI753" s="1787">
        <f t="shared" si="40"/>
        <v>0</v>
      </c>
      <c r="CJ753" s="1789"/>
      <c r="CK753" s="1784">
        <f t="shared" si="18"/>
        <v>0</v>
      </c>
      <c r="CL753" s="1786"/>
      <c r="CM753" s="1787">
        <f t="shared" si="19"/>
        <v>0</v>
      </c>
      <c r="CN753" s="1789"/>
      <c r="CO753" s="3"/>
      <c r="CP753" s="1781">
        <f t="shared" si="20"/>
        <v>0</v>
      </c>
      <c r="CQ753" s="1782"/>
      <c r="CR753" s="1782"/>
      <c r="CS753" s="1782"/>
      <c r="CT753" s="1783"/>
      <c r="CU753" s="1779">
        <f t="shared" si="21"/>
        <v>0</v>
      </c>
      <c r="CV753" s="1779"/>
      <c r="CW753" s="1779"/>
      <c r="CX753" s="1779"/>
      <c r="CY753" s="1779"/>
      <c r="CZ753" s="1779">
        <f t="shared" si="22"/>
        <v>0</v>
      </c>
      <c r="DA753" s="1779"/>
      <c r="DB753" s="1779"/>
      <c r="DC753" s="1779"/>
      <c r="DD753" s="1779"/>
      <c r="DE753" s="1779">
        <f t="shared" si="23"/>
        <v>0</v>
      </c>
      <c r="DF753" s="1779"/>
      <c r="DG753" s="1779"/>
      <c r="DH753" s="1779"/>
      <c r="DI753" s="1779"/>
      <c r="DJ753" s="1779">
        <f t="shared" si="24"/>
        <v>0</v>
      </c>
      <c r="DK753" s="1779"/>
      <c r="DL753" s="1779"/>
      <c r="DM753" s="1779"/>
      <c r="DN753" s="1779"/>
      <c r="DO753" s="1779">
        <f t="shared" si="25"/>
        <v>0</v>
      </c>
      <c r="DP753" s="1779"/>
      <c r="DQ753" s="1779"/>
      <c r="DR753" s="1779"/>
      <c r="DS753" s="1779"/>
      <c r="DT753" s="6"/>
      <c r="DU753" s="1780">
        <f t="shared" si="26"/>
        <v>0</v>
      </c>
      <c r="DV753" s="1780"/>
      <c r="DW753" s="1780"/>
      <c r="DX753" s="1780"/>
      <c r="DY753" s="1780"/>
      <c r="DZ753" s="1780">
        <f t="shared" si="27"/>
        <v>0</v>
      </c>
      <c r="EA753" s="1780"/>
      <c r="EB753" s="1780"/>
      <c r="EC753" s="1780"/>
      <c r="ED753" s="1780"/>
      <c r="EE753" s="1780">
        <f t="shared" si="28"/>
        <v>0</v>
      </c>
      <c r="EF753" s="1780"/>
      <c r="EG753" s="1780"/>
      <c r="EH753" s="1780"/>
      <c r="EI753" s="1780"/>
      <c r="EJ753" s="1780">
        <f t="shared" si="29"/>
        <v>0</v>
      </c>
      <c r="EK753" s="1780"/>
      <c r="EL753" s="1780"/>
      <c r="EM753" s="1780"/>
      <c r="EN753" s="1780"/>
      <c r="EO753" s="1780">
        <f t="shared" si="30"/>
        <v>0</v>
      </c>
      <c r="EP753" s="1780"/>
      <c r="EQ753" s="1780"/>
      <c r="ER753" s="1780"/>
      <c r="ES753" s="1780"/>
      <c r="ET753" s="1780">
        <f t="shared" si="31"/>
        <v>0</v>
      </c>
      <c r="EU753" s="1780"/>
      <c r="EV753" s="1780"/>
      <c r="EW753" s="1780"/>
      <c r="EX753" s="1780"/>
      <c r="EZ753" s="1784" t="str">
        <f t="shared" si="32"/>
        <v/>
      </c>
      <c r="FA753" s="1785"/>
      <c r="FB753" s="1785"/>
      <c r="FC753" s="1785"/>
      <c r="FD753" s="1786"/>
      <c r="FE753" s="1784" t="str">
        <f t="shared" si="33"/>
        <v/>
      </c>
      <c r="FF753" s="1785"/>
      <c r="FG753" s="1785"/>
      <c r="FH753" s="1785"/>
      <c r="FI753" s="1786"/>
      <c r="FJ753" s="1784" t="str">
        <f t="shared" si="34"/>
        <v/>
      </c>
      <c r="FK753" s="1785"/>
      <c r="FL753" s="1785"/>
      <c r="FM753" s="1785"/>
      <c r="FN753" s="1786"/>
      <c r="FO753" s="1784" t="str">
        <f t="shared" si="35"/>
        <v/>
      </c>
      <c r="FP753" s="1785"/>
      <c r="FQ753" s="1785"/>
      <c r="FR753" s="1785"/>
      <c r="FS753" s="1786"/>
      <c r="FT753" s="1784" t="str">
        <f t="shared" si="36"/>
        <v/>
      </c>
      <c r="FU753" s="1785"/>
      <c r="FV753" s="1785"/>
      <c r="FW753" s="1785"/>
      <c r="FX753" s="1786"/>
      <c r="FY753" s="1784" t="str">
        <f t="shared" si="37"/>
        <v/>
      </c>
      <c r="FZ753" s="1785"/>
      <c r="GA753" s="1785"/>
      <c r="GB753" s="1785"/>
      <c r="GC753" s="1786"/>
    </row>
    <row r="754" spans="1:185" ht="13.05" customHeight="1">
      <c r="B754" s="1623"/>
      <c r="C754" s="1624"/>
      <c r="D754" s="1624"/>
      <c r="E754" s="1624"/>
      <c r="F754" s="1625"/>
      <c r="G754" s="1617"/>
      <c r="H754" s="1618"/>
      <c r="I754" s="1618"/>
      <c r="J754" s="1619"/>
      <c r="K754" s="1620"/>
      <c r="L754" s="1621"/>
      <c r="M754" s="1621"/>
      <c r="N754" s="1622"/>
      <c r="O754" s="1662"/>
      <c r="P754" s="1663"/>
      <c r="Q754" s="1663"/>
      <c r="R754" s="1663"/>
      <c r="S754" s="1664"/>
      <c r="T754" s="1662"/>
      <c r="U754" s="1663"/>
      <c r="V754" s="1663"/>
      <c r="W754" s="1664"/>
      <c r="X754" s="1665">
        <f t="shared" si="41"/>
        <v>0</v>
      </c>
      <c r="Y754" s="1661"/>
      <c r="Z754" s="1661"/>
      <c r="AA754" s="1661"/>
      <c r="AB754" s="1666"/>
      <c r="AC754" s="1667"/>
      <c r="AD754" s="1668"/>
      <c r="AE754" s="1668"/>
      <c r="AF754" s="1668"/>
      <c r="AG754" s="1669"/>
      <c r="AH754" s="1685" t="str">
        <f t="shared" si="38"/>
        <v/>
      </c>
      <c r="AI754" s="1686"/>
      <c r="AJ754" s="1687"/>
      <c r="AK754" s="1623" t="s">
        <v>591</v>
      </c>
      <c r="AL754" s="1624"/>
      <c r="AM754" s="1624"/>
      <c r="AN754" s="1624"/>
      <c r="AO754" s="1625"/>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784">
        <f t="shared" si="39"/>
        <v>0</v>
      </c>
      <c r="CH754" s="1786"/>
      <c r="CI754" s="1787">
        <f t="shared" si="40"/>
        <v>0</v>
      </c>
      <c r="CJ754" s="1789"/>
      <c r="CK754" s="1784">
        <f t="shared" si="18"/>
        <v>0</v>
      </c>
      <c r="CL754" s="1786"/>
      <c r="CM754" s="1787">
        <f t="shared" si="19"/>
        <v>0</v>
      </c>
      <c r="CN754" s="1789"/>
      <c r="CO754" s="3"/>
      <c r="CP754" s="1781">
        <f t="shared" si="20"/>
        <v>0</v>
      </c>
      <c r="CQ754" s="1782"/>
      <c r="CR754" s="1782"/>
      <c r="CS754" s="1782"/>
      <c r="CT754" s="1783"/>
      <c r="CU754" s="1779">
        <f t="shared" si="21"/>
        <v>0</v>
      </c>
      <c r="CV754" s="1779"/>
      <c r="CW754" s="1779"/>
      <c r="CX754" s="1779"/>
      <c r="CY754" s="1779"/>
      <c r="CZ754" s="1779">
        <f t="shared" si="22"/>
        <v>0</v>
      </c>
      <c r="DA754" s="1779"/>
      <c r="DB754" s="1779"/>
      <c r="DC754" s="1779"/>
      <c r="DD754" s="1779"/>
      <c r="DE754" s="1779">
        <f t="shared" si="23"/>
        <v>0</v>
      </c>
      <c r="DF754" s="1779"/>
      <c r="DG754" s="1779"/>
      <c r="DH754" s="1779"/>
      <c r="DI754" s="1779"/>
      <c r="DJ754" s="1779">
        <f t="shared" si="24"/>
        <v>0</v>
      </c>
      <c r="DK754" s="1779"/>
      <c r="DL754" s="1779"/>
      <c r="DM754" s="1779"/>
      <c r="DN754" s="1779"/>
      <c r="DO754" s="1779">
        <f t="shared" si="25"/>
        <v>0</v>
      </c>
      <c r="DP754" s="1779"/>
      <c r="DQ754" s="1779"/>
      <c r="DR754" s="1779"/>
      <c r="DS754" s="1779"/>
      <c r="DT754" s="6"/>
      <c r="DU754" s="1780">
        <f t="shared" si="26"/>
        <v>0</v>
      </c>
      <c r="DV754" s="1780"/>
      <c r="DW754" s="1780"/>
      <c r="DX754" s="1780"/>
      <c r="DY754" s="1780"/>
      <c r="DZ754" s="1780">
        <f t="shared" si="27"/>
        <v>0</v>
      </c>
      <c r="EA754" s="1780"/>
      <c r="EB754" s="1780"/>
      <c r="EC754" s="1780"/>
      <c r="ED754" s="1780"/>
      <c r="EE754" s="1780">
        <f t="shared" si="28"/>
        <v>0</v>
      </c>
      <c r="EF754" s="1780"/>
      <c r="EG754" s="1780"/>
      <c r="EH754" s="1780"/>
      <c r="EI754" s="1780"/>
      <c r="EJ754" s="1780">
        <f t="shared" si="29"/>
        <v>0</v>
      </c>
      <c r="EK754" s="1780"/>
      <c r="EL754" s="1780"/>
      <c r="EM754" s="1780"/>
      <c r="EN754" s="1780"/>
      <c r="EO754" s="1780">
        <f t="shared" si="30"/>
        <v>0</v>
      </c>
      <c r="EP754" s="1780"/>
      <c r="EQ754" s="1780"/>
      <c r="ER754" s="1780"/>
      <c r="ES754" s="1780"/>
      <c r="ET754" s="1780">
        <f t="shared" si="31"/>
        <v>0</v>
      </c>
      <c r="EU754" s="1780"/>
      <c r="EV754" s="1780"/>
      <c r="EW754" s="1780"/>
      <c r="EX754" s="1780"/>
      <c r="EZ754" s="1784" t="str">
        <f t="shared" si="32"/>
        <v/>
      </c>
      <c r="FA754" s="1785"/>
      <c r="FB754" s="1785"/>
      <c r="FC754" s="1785"/>
      <c r="FD754" s="1786"/>
      <c r="FE754" s="1784" t="str">
        <f t="shared" si="33"/>
        <v/>
      </c>
      <c r="FF754" s="1785"/>
      <c r="FG754" s="1785"/>
      <c r="FH754" s="1785"/>
      <c r="FI754" s="1786"/>
      <c r="FJ754" s="1784" t="str">
        <f t="shared" si="34"/>
        <v/>
      </c>
      <c r="FK754" s="1785"/>
      <c r="FL754" s="1785"/>
      <c r="FM754" s="1785"/>
      <c r="FN754" s="1786"/>
      <c r="FO754" s="1784" t="str">
        <f t="shared" si="35"/>
        <v/>
      </c>
      <c r="FP754" s="1785"/>
      <c r="FQ754" s="1785"/>
      <c r="FR754" s="1785"/>
      <c r="FS754" s="1786"/>
      <c r="FT754" s="1784" t="str">
        <f t="shared" si="36"/>
        <v/>
      </c>
      <c r="FU754" s="1785"/>
      <c r="FV754" s="1785"/>
      <c r="FW754" s="1785"/>
      <c r="FX754" s="1786"/>
      <c r="FY754" s="1784" t="str">
        <f t="shared" si="37"/>
        <v/>
      </c>
      <c r="FZ754" s="1785"/>
      <c r="GA754" s="1785"/>
      <c r="GB754" s="1785"/>
      <c r="GC754" s="1786"/>
    </row>
    <row r="755" spans="1:185" ht="13.05" customHeight="1">
      <c r="B755" s="1623"/>
      <c r="C755" s="1624"/>
      <c r="D755" s="1624"/>
      <c r="E755" s="1624"/>
      <c r="F755" s="1625"/>
      <c r="G755" s="1617"/>
      <c r="H755" s="1618"/>
      <c r="I755" s="1618"/>
      <c r="J755" s="1619"/>
      <c r="K755" s="1620"/>
      <c r="L755" s="1621"/>
      <c r="M755" s="1621"/>
      <c r="N755" s="1622"/>
      <c r="O755" s="1662"/>
      <c r="P755" s="1663"/>
      <c r="Q755" s="1663"/>
      <c r="R755" s="1663"/>
      <c r="S755" s="1664"/>
      <c r="T755" s="1662"/>
      <c r="U755" s="1663"/>
      <c r="V755" s="1663"/>
      <c r="W755" s="1664"/>
      <c r="X755" s="1665">
        <f t="shared" si="41"/>
        <v>0</v>
      </c>
      <c r="Y755" s="1661"/>
      <c r="Z755" s="1661"/>
      <c r="AA755" s="1661"/>
      <c r="AB755" s="1666"/>
      <c r="AC755" s="1667"/>
      <c r="AD755" s="1668"/>
      <c r="AE755" s="1668"/>
      <c r="AF755" s="1668"/>
      <c r="AG755" s="1669"/>
      <c r="AH755" s="1685" t="str">
        <f t="shared" si="38"/>
        <v/>
      </c>
      <c r="AI755" s="1686"/>
      <c r="AJ755" s="1687"/>
      <c r="AK755" s="1623" t="s">
        <v>591</v>
      </c>
      <c r="AL755" s="1624"/>
      <c r="AM755" s="1624"/>
      <c r="AN755" s="1624"/>
      <c r="AO755" s="1625"/>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784">
        <f t="shared" si="39"/>
        <v>0</v>
      </c>
      <c r="CH755" s="1786"/>
      <c r="CI755" s="1787">
        <f t="shared" si="40"/>
        <v>0</v>
      </c>
      <c r="CJ755" s="1789"/>
      <c r="CK755" s="1784">
        <f t="shared" si="18"/>
        <v>0</v>
      </c>
      <c r="CL755" s="1786"/>
      <c r="CM755" s="1787">
        <f t="shared" si="19"/>
        <v>0</v>
      </c>
      <c r="CN755" s="1789"/>
      <c r="CO755" s="3"/>
      <c r="CP755" s="1781">
        <f t="shared" si="20"/>
        <v>0</v>
      </c>
      <c r="CQ755" s="1782"/>
      <c r="CR755" s="1782"/>
      <c r="CS755" s="1782"/>
      <c r="CT755" s="1783"/>
      <c r="CU755" s="1779">
        <f t="shared" si="21"/>
        <v>0</v>
      </c>
      <c r="CV755" s="1779"/>
      <c r="CW755" s="1779"/>
      <c r="CX755" s="1779"/>
      <c r="CY755" s="1779"/>
      <c r="CZ755" s="1779">
        <f t="shared" si="22"/>
        <v>0</v>
      </c>
      <c r="DA755" s="1779"/>
      <c r="DB755" s="1779"/>
      <c r="DC755" s="1779"/>
      <c r="DD755" s="1779"/>
      <c r="DE755" s="1779">
        <f t="shared" si="23"/>
        <v>0</v>
      </c>
      <c r="DF755" s="1779"/>
      <c r="DG755" s="1779"/>
      <c r="DH755" s="1779"/>
      <c r="DI755" s="1779"/>
      <c r="DJ755" s="1779">
        <f t="shared" si="24"/>
        <v>0</v>
      </c>
      <c r="DK755" s="1779"/>
      <c r="DL755" s="1779"/>
      <c r="DM755" s="1779"/>
      <c r="DN755" s="1779"/>
      <c r="DO755" s="1779">
        <f t="shared" si="25"/>
        <v>0</v>
      </c>
      <c r="DP755" s="1779"/>
      <c r="DQ755" s="1779"/>
      <c r="DR755" s="1779"/>
      <c r="DS755" s="1779"/>
      <c r="DT755" s="6"/>
      <c r="DU755" s="1780">
        <f t="shared" si="26"/>
        <v>0</v>
      </c>
      <c r="DV755" s="1780"/>
      <c r="DW755" s="1780"/>
      <c r="DX755" s="1780"/>
      <c r="DY755" s="1780"/>
      <c r="DZ755" s="1780">
        <f t="shared" si="27"/>
        <v>0</v>
      </c>
      <c r="EA755" s="1780"/>
      <c r="EB755" s="1780"/>
      <c r="EC755" s="1780"/>
      <c r="ED755" s="1780"/>
      <c r="EE755" s="1780">
        <f t="shared" si="28"/>
        <v>0</v>
      </c>
      <c r="EF755" s="1780"/>
      <c r="EG755" s="1780"/>
      <c r="EH755" s="1780"/>
      <c r="EI755" s="1780"/>
      <c r="EJ755" s="1780">
        <f t="shared" si="29"/>
        <v>0</v>
      </c>
      <c r="EK755" s="1780"/>
      <c r="EL755" s="1780"/>
      <c r="EM755" s="1780"/>
      <c r="EN755" s="1780"/>
      <c r="EO755" s="1780">
        <f t="shared" si="30"/>
        <v>0</v>
      </c>
      <c r="EP755" s="1780"/>
      <c r="EQ755" s="1780"/>
      <c r="ER755" s="1780"/>
      <c r="ES755" s="1780"/>
      <c r="ET755" s="1780">
        <f t="shared" si="31"/>
        <v>0</v>
      </c>
      <c r="EU755" s="1780"/>
      <c r="EV755" s="1780"/>
      <c r="EW755" s="1780"/>
      <c r="EX755" s="1780"/>
      <c r="EZ755" s="1784" t="str">
        <f t="shared" si="32"/>
        <v/>
      </c>
      <c r="FA755" s="1785"/>
      <c r="FB755" s="1785"/>
      <c r="FC755" s="1785"/>
      <c r="FD755" s="1786"/>
      <c r="FE755" s="1784" t="str">
        <f t="shared" si="33"/>
        <v/>
      </c>
      <c r="FF755" s="1785"/>
      <c r="FG755" s="1785"/>
      <c r="FH755" s="1785"/>
      <c r="FI755" s="1786"/>
      <c r="FJ755" s="1784" t="str">
        <f t="shared" si="34"/>
        <v/>
      </c>
      <c r="FK755" s="1785"/>
      <c r="FL755" s="1785"/>
      <c r="FM755" s="1785"/>
      <c r="FN755" s="1786"/>
      <c r="FO755" s="1784" t="str">
        <f t="shared" si="35"/>
        <v/>
      </c>
      <c r="FP755" s="1785"/>
      <c r="FQ755" s="1785"/>
      <c r="FR755" s="1785"/>
      <c r="FS755" s="1786"/>
      <c r="FT755" s="1784" t="str">
        <f t="shared" si="36"/>
        <v/>
      </c>
      <c r="FU755" s="1785"/>
      <c r="FV755" s="1785"/>
      <c r="FW755" s="1785"/>
      <c r="FX755" s="1786"/>
      <c r="FY755" s="1784" t="str">
        <f t="shared" si="37"/>
        <v/>
      </c>
      <c r="FZ755" s="1785"/>
      <c r="GA755" s="1785"/>
      <c r="GB755" s="1785"/>
      <c r="GC755" s="1786"/>
    </row>
    <row r="756" spans="1:185" s="3" customFormat="1" ht="13.05" customHeight="1">
      <c r="A756"/>
      <c r="B756" s="1623"/>
      <c r="C756" s="1624"/>
      <c r="D756" s="1624"/>
      <c r="E756" s="1624"/>
      <c r="F756" s="1625"/>
      <c r="G756" s="1617"/>
      <c r="H756" s="1618"/>
      <c r="I756" s="1618"/>
      <c r="J756" s="1619"/>
      <c r="K756" s="1620"/>
      <c r="L756" s="1621"/>
      <c r="M756" s="1621"/>
      <c r="N756" s="1622"/>
      <c r="O756" s="1662"/>
      <c r="P756" s="1663"/>
      <c r="Q756" s="1663"/>
      <c r="R756" s="1663"/>
      <c r="S756" s="1664"/>
      <c r="T756" s="1662"/>
      <c r="U756" s="1663"/>
      <c r="V756" s="1663"/>
      <c r="W756" s="1664"/>
      <c r="X756" s="1665">
        <f t="shared" si="41"/>
        <v>0</v>
      </c>
      <c r="Y756" s="1661"/>
      <c r="Z756" s="1661"/>
      <c r="AA756" s="1661"/>
      <c r="AB756" s="1666"/>
      <c r="AC756" s="1667"/>
      <c r="AD756" s="1668"/>
      <c r="AE756" s="1668"/>
      <c r="AF756" s="1668"/>
      <c r="AG756" s="1669"/>
      <c r="AH756" s="1685" t="str">
        <f t="shared" si="38"/>
        <v/>
      </c>
      <c r="AI756" s="1686"/>
      <c r="AJ756" s="1687"/>
      <c r="AK756" s="1623" t="s">
        <v>591</v>
      </c>
      <c r="AL756" s="1624"/>
      <c r="AM756" s="1624"/>
      <c r="AN756" s="1624"/>
      <c r="AO756" s="1625"/>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784">
        <f t="shared" si="39"/>
        <v>0</v>
      </c>
      <c r="CH756" s="1786"/>
      <c r="CI756" s="1787">
        <f t="shared" si="40"/>
        <v>0</v>
      </c>
      <c r="CJ756" s="1789"/>
      <c r="CK756" s="1784">
        <f t="shared" si="18"/>
        <v>0</v>
      </c>
      <c r="CL756" s="1786"/>
      <c r="CM756" s="1787">
        <f t="shared" si="19"/>
        <v>0</v>
      </c>
      <c r="CN756" s="1789"/>
      <c r="CP756" s="1781">
        <f t="shared" si="20"/>
        <v>0</v>
      </c>
      <c r="CQ756" s="1782"/>
      <c r="CR756" s="1782"/>
      <c r="CS756" s="1782"/>
      <c r="CT756" s="1783"/>
      <c r="CU756" s="1779">
        <f t="shared" si="21"/>
        <v>0</v>
      </c>
      <c r="CV756" s="1779"/>
      <c r="CW756" s="1779"/>
      <c r="CX756" s="1779"/>
      <c r="CY756" s="1779"/>
      <c r="CZ756" s="1779">
        <f t="shared" si="22"/>
        <v>0</v>
      </c>
      <c r="DA756" s="1779"/>
      <c r="DB756" s="1779"/>
      <c r="DC756" s="1779"/>
      <c r="DD756" s="1779"/>
      <c r="DE756" s="1779">
        <f t="shared" si="23"/>
        <v>0</v>
      </c>
      <c r="DF756" s="1779"/>
      <c r="DG756" s="1779"/>
      <c r="DH756" s="1779"/>
      <c r="DI756" s="1779"/>
      <c r="DJ756" s="1779">
        <f t="shared" si="24"/>
        <v>0</v>
      </c>
      <c r="DK756" s="1779"/>
      <c r="DL756" s="1779"/>
      <c r="DM756" s="1779"/>
      <c r="DN756" s="1779"/>
      <c r="DO756" s="1779">
        <f t="shared" si="25"/>
        <v>0</v>
      </c>
      <c r="DP756" s="1779"/>
      <c r="DQ756" s="1779"/>
      <c r="DR756" s="1779"/>
      <c r="DS756" s="1779"/>
      <c r="DT756" s="6"/>
      <c r="DU756" s="1780">
        <f t="shared" si="26"/>
        <v>0</v>
      </c>
      <c r="DV756" s="1780"/>
      <c r="DW756" s="1780"/>
      <c r="DX756" s="1780"/>
      <c r="DY756" s="1780"/>
      <c r="DZ756" s="1780">
        <f t="shared" si="27"/>
        <v>0</v>
      </c>
      <c r="EA756" s="1780"/>
      <c r="EB756" s="1780"/>
      <c r="EC756" s="1780"/>
      <c r="ED756" s="1780"/>
      <c r="EE756" s="1780">
        <f t="shared" si="28"/>
        <v>0</v>
      </c>
      <c r="EF756" s="1780"/>
      <c r="EG756" s="1780"/>
      <c r="EH756" s="1780"/>
      <c r="EI756" s="1780"/>
      <c r="EJ756" s="1780">
        <f t="shared" si="29"/>
        <v>0</v>
      </c>
      <c r="EK756" s="1780"/>
      <c r="EL756" s="1780"/>
      <c r="EM756" s="1780"/>
      <c r="EN756" s="1780"/>
      <c r="EO756" s="1780">
        <f t="shared" si="30"/>
        <v>0</v>
      </c>
      <c r="EP756" s="1780"/>
      <c r="EQ756" s="1780"/>
      <c r="ER756" s="1780"/>
      <c r="ES756" s="1780"/>
      <c r="ET756" s="1780">
        <f t="shared" si="31"/>
        <v>0</v>
      </c>
      <c r="EU756" s="1780"/>
      <c r="EV756" s="1780"/>
      <c r="EW756" s="1780"/>
      <c r="EX756" s="1780"/>
      <c r="EY756"/>
      <c r="EZ756" s="1784" t="str">
        <f t="shared" si="32"/>
        <v/>
      </c>
      <c r="FA756" s="1785"/>
      <c r="FB756" s="1785"/>
      <c r="FC756" s="1785"/>
      <c r="FD756" s="1786"/>
      <c r="FE756" s="1784" t="str">
        <f t="shared" si="33"/>
        <v/>
      </c>
      <c r="FF756" s="1785"/>
      <c r="FG756" s="1785"/>
      <c r="FH756" s="1785"/>
      <c r="FI756" s="1786"/>
      <c r="FJ756" s="1784" t="str">
        <f t="shared" si="34"/>
        <v/>
      </c>
      <c r="FK756" s="1785"/>
      <c r="FL756" s="1785"/>
      <c r="FM756" s="1785"/>
      <c r="FN756" s="1786"/>
      <c r="FO756" s="1784" t="str">
        <f t="shared" si="35"/>
        <v/>
      </c>
      <c r="FP756" s="1785"/>
      <c r="FQ756" s="1785"/>
      <c r="FR756" s="1785"/>
      <c r="FS756" s="1786"/>
      <c r="FT756" s="1784" t="str">
        <f t="shared" si="36"/>
        <v/>
      </c>
      <c r="FU756" s="1785"/>
      <c r="FV756" s="1785"/>
      <c r="FW756" s="1785"/>
      <c r="FX756" s="1786"/>
      <c r="FY756" s="1784" t="str">
        <f t="shared" si="37"/>
        <v/>
      </c>
      <c r="FZ756" s="1785"/>
      <c r="GA756" s="1785"/>
      <c r="GB756" s="1785"/>
      <c r="GC756" s="1786"/>
    </row>
    <row r="757" spans="1:185" s="3" customFormat="1" ht="13.05" customHeight="1">
      <c r="A757"/>
      <c r="B757" s="1623"/>
      <c r="C757" s="1624"/>
      <c r="D757" s="1624"/>
      <c r="E757" s="1624"/>
      <c r="F757" s="1625"/>
      <c r="G757" s="1617"/>
      <c r="H757" s="1618"/>
      <c r="I757" s="1618"/>
      <c r="J757" s="1619"/>
      <c r="K757" s="1620"/>
      <c r="L757" s="1621"/>
      <c r="M757" s="1621"/>
      <c r="N757" s="1622"/>
      <c r="O757" s="1662"/>
      <c r="P757" s="1663"/>
      <c r="Q757" s="1663"/>
      <c r="R757" s="1663"/>
      <c r="S757" s="1664"/>
      <c r="T757" s="1662"/>
      <c r="U757" s="1663"/>
      <c r="V757" s="1663"/>
      <c r="W757" s="1664"/>
      <c r="X757" s="1665">
        <f t="shared" si="41"/>
        <v>0</v>
      </c>
      <c r="Y757" s="1661"/>
      <c r="Z757" s="1661"/>
      <c r="AA757" s="1661"/>
      <c r="AB757" s="1666"/>
      <c r="AC757" s="1667"/>
      <c r="AD757" s="1668"/>
      <c r="AE757" s="1668"/>
      <c r="AF757" s="1668"/>
      <c r="AG757" s="1669"/>
      <c r="AH757" s="1685" t="str">
        <f t="shared" si="38"/>
        <v/>
      </c>
      <c r="AI757" s="1686"/>
      <c r="AJ757" s="1687"/>
      <c r="AK757" s="1623" t="s">
        <v>591</v>
      </c>
      <c r="AL757" s="1624"/>
      <c r="AM757" s="1624"/>
      <c r="AN757" s="1624"/>
      <c r="AO757" s="1625"/>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784">
        <f t="shared" si="39"/>
        <v>0</v>
      </c>
      <c r="CH757" s="1786"/>
      <c r="CI757" s="1787">
        <f t="shared" si="40"/>
        <v>0</v>
      </c>
      <c r="CJ757" s="1789"/>
      <c r="CK757" s="1784">
        <f t="shared" si="18"/>
        <v>0</v>
      </c>
      <c r="CL757" s="1786"/>
      <c r="CM757" s="1787">
        <f t="shared" si="19"/>
        <v>0</v>
      </c>
      <c r="CN757" s="1789"/>
      <c r="CP757" s="1781">
        <f t="shared" si="20"/>
        <v>0</v>
      </c>
      <c r="CQ757" s="1782"/>
      <c r="CR757" s="1782"/>
      <c r="CS757" s="1782"/>
      <c r="CT757" s="1783"/>
      <c r="CU757" s="1779">
        <f t="shared" si="21"/>
        <v>0</v>
      </c>
      <c r="CV757" s="1779"/>
      <c r="CW757" s="1779"/>
      <c r="CX757" s="1779"/>
      <c r="CY757" s="1779"/>
      <c r="CZ757" s="1779">
        <f t="shared" si="22"/>
        <v>0</v>
      </c>
      <c r="DA757" s="1779"/>
      <c r="DB757" s="1779"/>
      <c r="DC757" s="1779"/>
      <c r="DD757" s="1779"/>
      <c r="DE757" s="1779">
        <f t="shared" si="23"/>
        <v>0</v>
      </c>
      <c r="DF757" s="1779"/>
      <c r="DG757" s="1779"/>
      <c r="DH757" s="1779"/>
      <c r="DI757" s="1779"/>
      <c r="DJ757" s="1779">
        <f t="shared" si="24"/>
        <v>0</v>
      </c>
      <c r="DK757" s="1779"/>
      <c r="DL757" s="1779"/>
      <c r="DM757" s="1779"/>
      <c r="DN757" s="1779"/>
      <c r="DO757" s="1779">
        <f t="shared" si="25"/>
        <v>0</v>
      </c>
      <c r="DP757" s="1779"/>
      <c r="DQ757" s="1779"/>
      <c r="DR757" s="1779"/>
      <c r="DS757" s="1779"/>
      <c r="DT757" s="6"/>
      <c r="DU757" s="1780">
        <f t="shared" si="26"/>
        <v>0</v>
      </c>
      <c r="DV757" s="1780"/>
      <c r="DW757" s="1780"/>
      <c r="DX757" s="1780"/>
      <c r="DY757" s="1780"/>
      <c r="DZ757" s="1780">
        <f t="shared" si="27"/>
        <v>0</v>
      </c>
      <c r="EA757" s="1780"/>
      <c r="EB757" s="1780"/>
      <c r="EC757" s="1780"/>
      <c r="ED757" s="1780"/>
      <c r="EE757" s="1780">
        <f t="shared" si="28"/>
        <v>0</v>
      </c>
      <c r="EF757" s="1780"/>
      <c r="EG757" s="1780"/>
      <c r="EH757" s="1780"/>
      <c r="EI757" s="1780"/>
      <c r="EJ757" s="1780">
        <f t="shared" si="29"/>
        <v>0</v>
      </c>
      <c r="EK757" s="1780"/>
      <c r="EL757" s="1780"/>
      <c r="EM757" s="1780"/>
      <c r="EN757" s="1780"/>
      <c r="EO757" s="1780">
        <f t="shared" si="30"/>
        <v>0</v>
      </c>
      <c r="EP757" s="1780"/>
      <c r="EQ757" s="1780"/>
      <c r="ER757" s="1780"/>
      <c r="ES757" s="1780"/>
      <c r="ET757" s="1780">
        <f t="shared" si="31"/>
        <v>0</v>
      </c>
      <c r="EU757" s="1780"/>
      <c r="EV757" s="1780"/>
      <c r="EW757" s="1780"/>
      <c r="EX757" s="1780"/>
      <c r="EY757"/>
      <c r="EZ757" s="1784" t="str">
        <f t="shared" si="32"/>
        <v/>
      </c>
      <c r="FA757" s="1785"/>
      <c r="FB757" s="1785"/>
      <c r="FC757" s="1785"/>
      <c r="FD757" s="1786"/>
      <c r="FE757" s="1784" t="str">
        <f t="shared" si="33"/>
        <v/>
      </c>
      <c r="FF757" s="1785"/>
      <c r="FG757" s="1785"/>
      <c r="FH757" s="1785"/>
      <c r="FI757" s="1786"/>
      <c r="FJ757" s="1784" t="str">
        <f t="shared" si="34"/>
        <v/>
      </c>
      <c r="FK757" s="1785"/>
      <c r="FL757" s="1785"/>
      <c r="FM757" s="1785"/>
      <c r="FN757" s="1786"/>
      <c r="FO757" s="1784" t="str">
        <f t="shared" si="35"/>
        <v/>
      </c>
      <c r="FP757" s="1785"/>
      <c r="FQ757" s="1785"/>
      <c r="FR757" s="1785"/>
      <c r="FS757" s="1786"/>
      <c r="FT757" s="1784" t="str">
        <f t="shared" si="36"/>
        <v/>
      </c>
      <c r="FU757" s="1785"/>
      <c r="FV757" s="1785"/>
      <c r="FW757" s="1785"/>
      <c r="FX757" s="1786"/>
      <c r="FY757" s="1784" t="str">
        <f t="shared" si="37"/>
        <v/>
      </c>
      <c r="FZ757" s="1785"/>
      <c r="GA757" s="1785"/>
      <c r="GB757" s="1785"/>
      <c r="GC757" s="1786"/>
    </row>
    <row r="758" spans="1:185" s="3" customFormat="1" ht="13.05" customHeight="1">
      <c r="A758"/>
      <c r="B758" s="1623"/>
      <c r="C758" s="1624"/>
      <c r="D758" s="1624"/>
      <c r="E758" s="1624"/>
      <c r="F758" s="1625"/>
      <c r="G758" s="1617"/>
      <c r="H758" s="1618"/>
      <c r="I758" s="1618"/>
      <c r="J758" s="1619"/>
      <c r="K758" s="1620"/>
      <c r="L758" s="1621"/>
      <c r="M758" s="1621"/>
      <c r="N758" s="1622"/>
      <c r="O758" s="1662"/>
      <c r="P758" s="1663"/>
      <c r="Q758" s="1663"/>
      <c r="R758" s="1663"/>
      <c r="S758" s="1664"/>
      <c r="T758" s="1662"/>
      <c r="U758" s="1663"/>
      <c r="V758" s="1663"/>
      <c r="W758" s="1664"/>
      <c r="X758" s="1665">
        <f t="shared" si="41"/>
        <v>0</v>
      </c>
      <c r="Y758" s="1661"/>
      <c r="Z758" s="1661"/>
      <c r="AA758" s="1661"/>
      <c r="AB758" s="1666"/>
      <c r="AC758" s="1667"/>
      <c r="AD758" s="1668"/>
      <c r="AE758" s="1668"/>
      <c r="AF758" s="1668"/>
      <c r="AG758" s="1669"/>
      <c r="AH758" s="1685" t="str">
        <f t="shared" si="38"/>
        <v/>
      </c>
      <c r="AI758" s="1686"/>
      <c r="AJ758" s="1687"/>
      <c r="AK758" s="1623" t="s">
        <v>591</v>
      </c>
      <c r="AL758" s="1624"/>
      <c r="AM758" s="1624"/>
      <c r="AN758" s="1624"/>
      <c r="AO758" s="1625"/>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784">
        <f t="shared" si="39"/>
        <v>0</v>
      </c>
      <c r="CH758" s="1786"/>
      <c r="CI758" s="1787">
        <f t="shared" si="40"/>
        <v>0</v>
      </c>
      <c r="CJ758" s="1789"/>
      <c r="CK758" s="1784">
        <f t="shared" si="18"/>
        <v>0</v>
      </c>
      <c r="CL758" s="1786"/>
      <c r="CM758" s="1787">
        <f t="shared" si="19"/>
        <v>0</v>
      </c>
      <c r="CN758" s="1789"/>
      <c r="CP758" s="1781">
        <f t="shared" si="20"/>
        <v>0</v>
      </c>
      <c r="CQ758" s="1782"/>
      <c r="CR758" s="1782"/>
      <c r="CS758" s="1782"/>
      <c r="CT758" s="1783"/>
      <c r="CU758" s="1779">
        <f t="shared" si="21"/>
        <v>0</v>
      </c>
      <c r="CV758" s="1779"/>
      <c r="CW758" s="1779"/>
      <c r="CX758" s="1779"/>
      <c r="CY758" s="1779"/>
      <c r="CZ758" s="1779">
        <f t="shared" si="22"/>
        <v>0</v>
      </c>
      <c r="DA758" s="1779"/>
      <c r="DB758" s="1779"/>
      <c r="DC758" s="1779"/>
      <c r="DD758" s="1779"/>
      <c r="DE758" s="1779">
        <f t="shared" si="23"/>
        <v>0</v>
      </c>
      <c r="DF758" s="1779"/>
      <c r="DG758" s="1779"/>
      <c r="DH758" s="1779"/>
      <c r="DI758" s="1779"/>
      <c r="DJ758" s="1779">
        <f t="shared" si="24"/>
        <v>0</v>
      </c>
      <c r="DK758" s="1779"/>
      <c r="DL758" s="1779"/>
      <c r="DM758" s="1779"/>
      <c r="DN758" s="1779"/>
      <c r="DO758" s="1779">
        <f t="shared" si="25"/>
        <v>0</v>
      </c>
      <c r="DP758" s="1779"/>
      <c r="DQ758" s="1779"/>
      <c r="DR758" s="1779"/>
      <c r="DS758" s="1779"/>
      <c r="DT758" s="6"/>
      <c r="DU758" s="1780">
        <f t="shared" si="26"/>
        <v>0</v>
      </c>
      <c r="DV758" s="1780"/>
      <c r="DW758" s="1780"/>
      <c r="DX758" s="1780"/>
      <c r="DY758" s="1780"/>
      <c r="DZ758" s="1780">
        <f t="shared" si="27"/>
        <v>0</v>
      </c>
      <c r="EA758" s="1780"/>
      <c r="EB758" s="1780"/>
      <c r="EC758" s="1780"/>
      <c r="ED758" s="1780"/>
      <c r="EE758" s="1780">
        <f t="shared" si="28"/>
        <v>0</v>
      </c>
      <c r="EF758" s="1780"/>
      <c r="EG758" s="1780"/>
      <c r="EH758" s="1780"/>
      <c r="EI758" s="1780"/>
      <c r="EJ758" s="1780">
        <f t="shared" si="29"/>
        <v>0</v>
      </c>
      <c r="EK758" s="1780"/>
      <c r="EL758" s="1780"/>
      <c r="EM758" s="1780"/>
      <c r="EN758" s="1780"/>
      <c r="EO758" s="1780">
        <f t="shared" si="30"/>
        <v>0</v>
      </c>
      <c r="EP758" s="1780"/>
      <c r="EQ758" s="1780"/>
      <c r="ER758" s="1780"/>
      <c r="ES758" s="1780"/>
      <c r="ET758" s="1780">
        <f t="shared" si="31"/>
        <v>0</v>
      </c>
      <c r="EU758" s="1780"/>
      <c r="EV758" s="1780"/>
      <c r="EW758" s="1780"/>
      <c r="EX758" s="1780"/>
      <c r="EY758"/>
      <c r="EZ758" s="1784" t="str">
        <f t="shared" si="32"/>
        <v/>
      </c>
      <c r="FA758" s="1785"/>
      <c r="FB758" s="1785"/>
      <c r="FC758" s="1785"/>
      <c r="FD758" s="1786"/>
      <c r="FE758" s="1784" t="str">
        <f t="shared" si="33"/>
        <v/>
      </c>
      <c r="FF758" s="1785"/>
      <c r="FG758" s="1785"/>
      <c r="FH758" s="1785"/>
      <c r="FI758" s="1786"/>
      <c r="FJ758" s="1784" t="str">
        <f t="shared" si="34"/>
        <v/>
      </c>
      <c r="FK758" s="1785"/>
      <c r="FL758" s="1785"/>
      <c r="FM758" s="1785"/>
      <c r="FN758" s="1786"/>
      <c r="FO758" s="1784" t="str">
        <f t="shared" si="35"/>
        <v/>
      </c>
      <c r="FP758" s="1785"/>
      <c r="FQ758" s="1785"/>
      <c r="FR758" s="1785"/>
      <c r="FS758" s="1786"/>
      <c r="FT758" s="1784" t="str">
        <f t="shared" si="36"/>
        <v/>
      </c>
      <c r="FU758" s="1785"/>
      <c r="FV758" s="1785"/>
      <c r="FW758" s="1785"/>
      <c r="FX758" s="1786"/>
      <c r="FY758" s="1784" t="str">
        <f t="shared" si="37"/>
        <v/>
      </c>
      <c r="FZ758" s="1785"/>
      <c r="GA758" s="1785"/>
      <c r="GB758" s="1785"/>
      <c r="GC758" s="1786"/>
    </row>
    <row r="759" spans="1:185" s="3" customFormat="1" ht="13.05" customHeight="1">
      <c r="A759"/>
      <c r="B759" s="1623"/>
      <c r="C759" s="1624"/>
      <c r="D759" s="1624"/>
      <c r="E759" s="1624"/>
      <c r="F759" s="1625"/>
      <c r="G759" s="1617"/>
      <c r="H759" s="1618"/>
      <c r="I759" s="1618"/>
      <c r="J759" s="1619"/>
      <c r="K759" s="1620"/>
      <c r="L759" s="1621"/>
      <c r="M759" s="1621"/>
      <c r="N759" s="1622"/>
      <c r="O759" s="1662"/>
      <c r="P759" s="1663"/>
      <c r="Q759" s="1663"/>
      <c r="R759" s="1663"/>
      <c r="S759" s="1664"/>
      <c r="T759" s="1662"/>
      <c r="U759" s="1663"/>
      <c r="V759" s="1663"/>
      <c r="W759" s="1664"/>
      <c r="X759" s="1665">
        <f t="shared" si="41"/>
        <v>0</v>
      </c>
      <c r="Y759" s="1661"/>
      <c r="Z759" s="1661"/>
      <c r="AA759" s="1661"/>
      <c r="AB759" s="1666"/>
      <c r="AC759" s="1667"/>
      <c r="AD759" s="1668"/>
      <c r="AE759" s="1668"/>
      <c r="AF759" s="1668"/>
      <c r="AG759" s="1669"/>
      <c r="AH759" s="1685" t="str">
        <f t="shared" si="38"/>
        <v/>
      </c>
      <c r="AI759" s="1686"/>
      <c r="AJ759" s="1687"/>
      <c r="AK759" s="1623" t="s">
        <v>591</v>
      </c>
      <c r="AL759" s="1624"/>
      <c r="AM759" s="1624"/>
      <c r="AN759" s="1624"/>
      <c r="AO759" s="1625"/>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784">
        <f t="shared" si="39"/>
        <v>0</v>
      </c>
      <c r="CH759" s="1786"/>
      <c r="CI759" s="1787">
        <f t="shared" si="40"/>
        <v>0</v>
      </c>
      <c r="CJ759" s="1789"/>
      <c r="CK759" s="1784">
        <f t="shared" si="18"/>
        <v>0</v>
      </c>
      <c r="CL759" s="1786"/>
      <c r="CM759" s="1787">
        <f t="shared" si="19"/>
        <v>0</v>
      </c>
      <c r="CN759" s="1789"/>
      <c r="CP759" s="1781">
        <f t="shared" si="20"/>
        <v>0</v>
      </c>
      <c r="CQ759" s="1782"/>
      <c r="CR759" s="1782"/>
      <c r="CS759" s="1782"/>
      <c r="CT759" s="1783"/>
      <c r="CU759" s="1779">
        <f t="shared" si="21"/>
        <v>0</v>
      </c>
      <c r="CV759" s="1779"/>
      <c r="CW759" s="1779"/>
      <c r="CX759" s="1779"/>
      <c r="CY759" s="1779"/>
      <c r="CZ759" s="1779">
        <f t="shared" si="22"/>
        <v>0</v>
      </c>
      <c r="DA759" s="1779"/>
      <c r="DB759" s="1779"/>
      <c r="DC759" s="1779"/>
      <c r="DD759" s="1779"/>
      <c r="DE759" s="1779">
        <f t="shared" si="23"/>
        <v>0</v>
      </c>
      <c r="DF759" s="1779"/>
      <c r="DG759" s="1779"/>
      <c r="DH759" s="1779"/>
      <c r="DI759" s="1779"/>
      <c r="DJ759" s="1779">
        <f t="shared" si="24"/>
        <v>0</v>
      </c>
      <c r="DK759" s="1779"/>
      <c r="DL759" s="1779"/>
      <c r="DM759" s="1779"/>
      <c r="DN759" s="1779"/>
      <c r="DO759" s="1779">
        <f t="shared" si="25"/>
        <v>0</v>
      </c>
      <c r="DP759" s="1779"/>
      <c r="DQ759" s="1779"/>
      <c r="DR759" s="1779"/>
      <c r="DS759" s="1779"/>
      <c r="DT759" s="6"/>
      <c r="DU759" s="1780">
        <f t="shared" si="26"/>
        <v>0</v>
      </c>
      <c r="DV759" s="1780"/>
      <c r="DW759" s="1780"/>
      <c r="DX759" s="1780"/>
      <c r="DY759" s="1780"/>
      <c r="DZ759" s="1780">
        <f t="shared" si="27"/>
        <v>0</v>
      </c>
      <c r="EA759" s="1780"/>
      <c r="EB759" s="1780"/>
      <c r="EC759" s="1780"/>
      <c r="ED759" s="1780"/>
      <c r="EE759" s="1780">
        <f t="shared" si="28"/>
        <v>0</v>
      </c>
      <c r="EF759" s="1780"/>
      <c r="EG759" s="1780"/>
      <c r="EH759" s="1780"/>
      <c r="EI759" s="1780"/>
      <c r="EJ759" s="1780">
        <f t="shared" si="29"/>
        <v>0</v>
      </c>
      <c r="EK759" s="1780"/>
      <c r="EL759" s="1780"/>
      <c r="EM759" s="1780"/>
      <c r="EN759" s="1780"/>
      <c r="EO759" s="1780">
        <f t="shared" si="30"/>
        <v>0</v>
      </c>
      <c r="EP759" s="1780"/>
      <c r="EQ759" s="1780"/>
      <c r="ER759" s="1780"/>
      <c r="ES759" s="1780"/>
      <c r="ET759" s="1780">
        <f t="shared" si="31"/>
        <v>0</v>
      </c>
      <c r="EU759" s="1780"/>
      <c r="EV759" s="1780"/>
      <c r="EW759" s="1780"/>
      <c r="EX759" s="1780"/>
      <c r="EY759"/>
      <c r="EZ759" s="1784" t="str">
        <f t="shared" si="32"/>
        <v/>
      </c>
      <c r="FA759" s="1785"/>
      <c r="FB759" s="1785"/>
      <c r="FC759" s="1785"/>
      <c r="FD759" s="1786"/>
      <c r="FE759" s="1784" t="str">
        <f t="shared" si="33"/>
        <v/>
      </c>
      <c r="FF759" s="1785"/>
      <c r="FG759" s="1785"/>
      <c r="FH759" s="1785"/>
      <c r="FI759" s="1786"/>
      <c r="FJ759" s="1784" t="str">
        <f t="shared" si="34"/>
        <v/>
      </c>
      <c r="FK759" s="1785"/>
      <c r="FL759" s="1785"/>
      <c r="FM759" s="1785"/>
      <c r="FN759" s="1786"/>
      <c r="FO759" s="1784" t="str">
        <f t="shared" si="35"/>
        <v/>
      </c>
      <c r="FP759" s="1785"/>
      <c r="FQ759" s="1785"/>
      <c r="FR759" s="1785"/>
      <c r="FS759" s="1786"/>
      <c r="FT759" s="1784" t="str">
        <f t="shared" si="36"/>
        <v/>
      </c>
      <c r="FU759" s="1785"/>
      <c r="FV759" s="1785"/>
      <c r="FW759" s="1785"/>
      <c r="FX759" s="1786"/>
      <c r="FY759" s="1784" t="str">
        <f t="shared" si="37"/>
        <v/>
      </c>
      <c r="FZ759" s="1785"/>
      <c r="GA759" s="1785"/>
      <c r="GB759" s="1785"/>
      <c r="GC759" s="1786"/>
    </row>
    <row r="760" spans="1:185" s="3" customFormat="1" ht="13.05" customHeight="1">
      <c r="A760"/>
      <c r="B760" s="1623"/>
      <c r="C760" s="1624"/>
      <c r="D760" s="1624"/>
      <c r="E760" s="1624"/>
      <c r="F760" s="1625"/>
      <c r="G760" s="1617"/>
      <c r="H760" s="1618"/>
      <c r="I760" s="1618"/>
      <c r="J760" s="1619"/>
      <c r="K760" s="1620"/>
      <c r="L760" s="1621"/>
      <c r="M760" s="1621"/>
      <c r="N760" s="1622"/>
      <c r="O760" s="1662"/>
      <c r="P760" s="1663"/>
      <c r="Q760" s="1663"/>
      <c r="R760" s="1663"/>
      <c r="S760" s="1664"/>
      <c r="T760" s="1662"/>
      <c r="U760" s="1663"/>
      <c r="V760" s="1663"/>
      <c r="W760" s="1664"/>
      <c r="X760" s="1665">
        <f>O760+T760</f>
        <v>0</v>
      </c>
      <c r="Y760" s="1661"/>
      <c r="Z760" s="1661"/>
      <c r="AA760" s="1661"/>
      <c r="AB760" s="1666"/>
      <c r="AC760" s="1667"/>
      <c r="AD760" s="1668"/>
      <c r="AE760" s="1668"/>
      <c r="AF760" s="1668"/>
      <c r="AG760" s="1669"/>
      <c r="AH760" s="1685" t="str">
        <f t="shared" si="38"/>
        <v/>
      </c>
      <c r="AI760" s="1686"/>
      <c r="AJ760" s="1687"/>
      <c r="AK760" s="1623" t="s">
        <v>591</v>
      </c>
      <c r="AL760" s="1624"/>
      <c r="AM760" s="1624"/>
      <c r="AN760" s="1624"/>
      <c r="AO760" s="1625"/>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784">
        <f t="shared" si="39"/>
        <v>0</v>
      </c>
      <c r="CH760" s="1786"/>
      <c r="CI760" s="1787">
        <f t="shared" si="40"/>
        <v>0</v>
      </c>
      <c r="CJ760" s="1789"/>
      <c r="CK760" s="1784">
        <f t="shared" si="18"/>
        <v>0</v>
      </c>
      <c r="CL760" s="1786"/>
      <c r="CM760" s="1787">
        <f t="shared" si="19"/>
        <v>0</v>
      </c>
      <c r="CN760" s="1789"/>
      <c r="CP760" s="1781">
        <f t="shared" si="20"/>
        <v>0</v>
      </c>
      <c r="CQ760" s="1782"/>
      <c r="CR760" s="1782"/>
      <c r="CS760" s="1782"/>
      <c r="CT760" s="1783"/>
      <c r="CU760" s="1779">
        <f t="shared" si="21"/>
        <v>0</v>
      </c>
      <c r="CV760" s="1779"/>
      <c r="CW760" s="1779"/>
      <c r="CX760" s="1779"/>
      <c r="CY760" s="1779"/>
      <c r="CZ760" s="1779">
        <f t="shared" si="22"/>
        <v>0</v>
      </c>
      <c r="DA760" s="1779"/>
      <c r="DB760" s="1779"/>
      <c r="DC760" s="1779"/>
      <c r="DD760" s="1779"/>
      <c r="DE760" s="1779">
        <f t="shared" si="23"/>
        <v>0</v>
      </c>
      <c r="DF760" s="1779"/>
      <c r="DG760" s="1779"/>
      <c r="DH760" s="1779"/>
      <c r="DI760" s="1779"/>
      <c r="DJ760" s="1779">
        <f t="shared" si="24"/>
        <v>0</v>
      </c>
      <c r="DK760" s="1779"/>
      <c r="DL760" s="1779"/>
      <c r="DM760" s="1779"/>
      <c r="DN760" s="1779"/>
      <c r="DO760" s="1779">
        <f t="shared" si="25"/>
        <v>0</v>
      </c>
      <c r="DP760" s="1779"/>
      <c r="DQ760" s="1779"/>
      <c r="DR760" s="1779"/>
      <c r="DS760" s="1779"/>
      <c r="DT760" s="6"/>
      <c r="DU760" s="1780">
        <f t="shared" si="26"/>
        <v>0</v>
      </c>
      <c r="DV760" s="1780"/>
      <c r="DW760" s="1780"/>
      <c r="DX760" s="1780"/>
      <c r="DY760" s="1780"/>
      <c r="DZ760" s="1780">
        <f t="shared" si="27"/>
        <v>0</v>
      </c>
      <c r="EA760" s="1780"/>
      <c r="EB760" s="1780"/>
      <c r="EC760" s="1780"/>
      <c r="ED760" s="1780"/>
      <c r="EE760" s="1780">
        <f t="shared" si="28"/>
        <v>0</v>
      </c>
      <c r="EF760" s="1780"/>
      <c r="EG760" s="1780"/>
      <c r="EH760" s="1780"/>
      <c r="EI760" s="1780"/>
      <c r="EJ760" s="1780">
        <f t="shared" si="29"/>
        <v>0</v>
      </c>
      <c r="EK760" s="1780"/>
      <c r="EL760" s="1780"/>
      <c r="EM760" s="1780"/>
      <c r="EN760" s="1780"/>
      <c r="EO760" s="1780">
        <f t="shared" si="30"/>
        <v>0</v>
      </c>
      <c r="EP760" s="1780"/>
      <c r="EQ760" s="1780"/>
      <c r="ER760" s="1780"/>
      <c r="ES760" s="1780"/>
      <c r="ET760" s="1780">
        <f t="shared" si="31"/>
        <v>0</v>
      </c>
      <c r="EU760" s="1780"/>
      <c r="EV760" s="1780"/>
      <c r="EW760" s="1780"/>
      <c r="EX760" s="1780"/>
      <c r="EY760"/>
      <c r="EZ760" s="1784" t="str">
        <f t="shared" si="32"/>
        <v/>
      </c>
      <c r="FA760" s="1785"/>
      <c r="FB760" s="1785"/>
      <c r="FC760" s="1785"/>
      <c r="FD760" s="1786"/>
      <c r="FE760" s="1784" t="str">
        <f t="shared" si="33"/>
        <v/>
      </c>
      <c r="FF760" s="1785"/>
      <c r="FG760" s="1785"/>
      <c r="FH760" s="1785"/>
      <c r="FI760" s="1786"/>
      <c r="FJ760" s="1784" t="str">
        <f t="shared" si="34"/>
        <v/>
      </c>
      <c r="FK760" s="1785"/>
      <c r="FL760" s="1785"/>
      <c r="FM760" s="1785"/>
      <c r="FN760" s="1786"/>
      <c r="FO760" s="1784" t="str">
        <f t="shared" si="35"/>
        <v/>
      </c>
      <c r="FP760" s="1785"/>
      <c r="FQ760" s="1785"/>
      <c r="FR760" s="1785"/>
      <c r="FS760" s="1786"/>
      <c r="FT760" s="1784" t="str">
        <f t="shared" si="36"/>
        <v/>
      </c>
      <c r="FU760" s="1785"/>
      <c r="FV760" s="1785"/>
      <c r="FW760" s="1785"/>
      <c r="FX760" s="1786"/>
      <c r="FY760" s="1784" t="str">
        <f t="shared" si="37"/>
        <v/>
      </c>
      <c r="FZ760" s="1785"/>
      <c r="GA760" s="1785"/>
      <c r="GB760" s="1785"/>
      <c r="GC760" s="1786"/>
    </row>
    <row r="761" spans="1:185" s="3" customFormat="1" ht="13.05" customHeight="1">
      <c r="A761"/>
      <c r="B761" s="1770" t="s">
        <v>125</v>
      </c>
      <c r="C761" s="1771"/>
      <c r="D761" s="1771"/>
      <c r="E761" s="1771"/>
      <c r="F761" s="1772"/>
      <c r="G761" s="1905">
        <f>SUM(G726:G760)</f>
        <v>101</v>
      </c>
      <c r="H761" s="1906"/>
      <c r="I761" s="1906"/>
      <c r="J761" s="1907"/>
      <c r="K761" s="898" t="s">
        <v>124</v>
      </c>
      <c r="L761" s="5"/>
      <c r="M761" s="5"/>
      <c r="N761" s="46"/>
      <c r="O761" s="1665">
        <f>SUMPRODUCT(G726:G760,O726:O760)</f>
        <v>275468</v>
      </c>
      <c r="P761" s="1661"/>
      <c r="Q761" s="1661"/>
      <c r="R761" s="1661"/>
      <c r="S761" s="1666"/>
      <c r="T761"/>
      <c r="U761"/>
      <c r="V761"/>
      <c r="W761"/>
      <c r="X761" s="900" t="s">
        <v>900</v>
      </c>
      <c r="Y761" s="899"/>
      <c r="Z761" s="899"/>
      <c r="AA761" s="899"/>
      <c r="AB761" s="901"/>
      <c r="AC761" s="1874">
        <f>BH761</f>
        <v>0.60000000000000009</v>
      </c>
      <c r="AD761" s="1875"/>
      <c r="AE761" s="1875"/>
      <c r="AF761" s="1875"/>
      <c r="AG761" s="1876"/>
      <c r="AH761" s="1874">
        <f>IFERROR(BU761,"")</f>
        <v>0.59996071952586161</v>
      </c>
      <c r="AI761" s="1875"/>
      <c r="AJ761" s="1876"/>
      <c r="AK761"/>
      <c r="AL761"/>
      <c r="AM761"/>
      <c r="AN761"/>
      <c r="AO761"/>
      <c r="AP761" s="205"/>
      <c r="AQ761" s="205"/>
      <c r="AR761" s="205"/>
      <c r="AS761" s="205"/>
      <c r="AT761"/>
      <c r="AU761"/>
      <c r="AV761"/>
      <c r="AW761"/>
      <c r="AX761"/>
      <c r="AY761"/>
      <c r="AZ761" s="34"/>
      <c r="BA761" s="34"/>
      <c r="BB761" s="34"/>
      <c r="BC761" s="34"/>
      <c r="BE761" s="290" t="s">
        <v>899</v>
      </c>
      <c r="BF761" s="299">
        <f>SUM(BF726:BF760)</f>
        <v>101</v>
      </c>
      <c r="BG761" s="300">
        <f>SUM(BG726:BG760)</f>
        <v>1</v>
      </c>
      <c r="BH761" s="300">
        <f>SUM(BH726:BH760)</f>
        <v>0.60000000000000009</v>
      </c>
      <c r="BI761"/>
      <c r="BJ761"/>
      <c r="BK761"/>
      <c r="BL761"/>
      <c r="BO761"/>
      <c r="BP761"/>
      <c r="BQ761"/>
      <c r="BR761"/>
      <c r="BS761" s="855">
        <f>SUM(BS726:BS760)</f>
        <v>101</v>
      </c>
      <c r="BT761" s="300">
        <f>SUM(BT726:BT760)</f>
        <v>1</v>
      </c>
      <c r="BU761" s="300">
        <f>SUM(BU726:BU760)</f>
        <v>0.59996071952586161</v>
      </c>
      <c r="CI761" s="1784">
        <f>SUM(CI726:CJ760)</f>
        <v>22</v>
      </c>
      <c r="CJ761" s="1786"/>
      <c r="CM761" s="1784">
        <f>SUM(CM726:CN760)</f>
        <v>11</v>
      </c>
      <c r="CN761" s="1786"/>
      <c r="CP761" s="1784">
        <f>SUM(CP726:CT760)</f>
        <v>0</v>
      </c>
      <c r="CQ761" s="1785"/>
      <c r="CR761" s="1785"/>
      <c r="CS761" s="1785"/>
      <c r="CT761" s="1786"/>
      <c r="CU761" s="1790">
        <f>SUM(CU726:CY760)</f>
        <v>0</v>
      </c>
      <c r="CV761" s="1790"/>
      <c r="CW761" s="1790"/>
      <c r="CX761" s="1790"/>
      <c r="CY761" s="1790"/>
      <c r="CZ761" s="1790">
        <f>SUM(CZ726:DD760)</f>
        <v>34</v>
      </c>
      <c r="DA761" s="1790"/>
      <c r="DB761" s="1790"/>
      <c r="DC761" s="1790"/>
      <c r="DD761" s="1790"/>
      <c r="DE761" s="1790">
        <f>SUM(DE726:DI760)</f>
        <v>67</v>
      </c>
      <c r="DF761" s="1790"/>
      <c r="DG761" s="1790"/>
      <c r="DH761" s="1790"/>
      <c r="DI761" s="1790"/>
      <c r="DJ761" s="1790">
        <f>SUM(DJ726:DN760)</f>
        <v>0</v>
      </c>
      <c r="DK761" s="1790"/>
      <c r="DL761" s="1790"/>
      <c r="DM761" s="1790"/>
      <c r="DN761" s="1790"/>
      <c r="DO761" s="1790">
        <f>SUM(DO726:DS760)</f>
        <v>0</v>
      </c>
      <c r="DP761" s="1790"/>
      <c r="DQ761" s="1790"/>
      <c r="DR761" s="1790"/>
      <c r="DS761" s="1790"/>
      <c r="DT761" s="354"/>
      <c r="DU761" s="1790">
        <f>SUM(DU726:DY760)</f>
        <v>0</v>
      </c>
      <c r="DV761" s="1790"/>
      <c r="DW761" s="1790"/>
      <c r="DX761" s="1790"/>
      <c r="DY761" s="1790"/>
      <c r="DZ761" s="1790">
        <f>SUM(DZ726:ED760)</f>
        <v>0</v>
      </c>
      <c r="EA761" s="1790"/>
      <c r="EB761" s="1790"/>
      <c r="EC761" s="1790"/>
      <c r="ED761" s="1790"/>
      <c r="EE761" s="1790">
        <f>SUM(EE726:EI760)</f>
        <v>4</v>
      </c>
      <c r="EF761" s="1790"/>
      <c r="EG761" s="1790"/>
      <c r="EH761" s="1790"/>
      <c r="EI761" s="1790"/>
      <c r="EJ761" s="1790">
        <f>SUM(EJ726:EN760)</f>
        <v>7</v>
      </c>
      <c r="EK761" s="1790"/>
      <c r="EL761" s="1790"/>
      <c r="EM761" s="1790"/>
      <c r="EN761" s="1790"/>
      <c r="EO761" s="1790">
        <f>SUM(EO726:ES760)</f>
        <v>0</v>
      </c>
      <c r="EP761" s="1790"/>
      <c r="EQ761" s="1790"/>
      <c r="ER761" s="1790"/>
      <c r="ES761" s="1790"/>
      <c r="ET761" s="1790">
        <f>SUM(ET726:EX760)</f>
        <v>0</v>
      </c>
      <c r="EU761" s="1790"/>
      <c r="EV761" s="1790"/>
      <c r="EW761" s="1790"/>
      <c r="EX761" s="1790"/>
      <c r="EY761"/>
      <c r="EZ761" s="1790">
        <f>SUM(EZ726:FD760)</f>
        <v>0</v>
      </c>
      <c r="FA761" s="1790"/>
      <c r="FB761" s="1790"/>
      <c r="FC761" s="1790"/>
      <c r="FD761" s="1790"/>
      <c r="FE761" s="1790">
        <f>SUM(FE726:FI760)</f>
        <v>0</v>
      </c>
      <c r="FF761" s="1790"/>
      <c r="FG761" s="1790"/>
      <c r="FH761" s="1790"/>
      <c r="FI761" s="1790"/>
      <c r="FJ761" s="1790">
        <f>SUM(FJ726:FN760)</f>
        <v>8617</v>
      </c>
      <c r="FK761" s="1790"/>
      <c r="FL761" s="1790"/>
      <c r="FM761" s="1790"/>
      <c r="FN761" s="1790"/>
      <c r="FO761" s="1790">
        <f>SUM(FO726:FS760)</f>
        <v>9853</v>
      </c>
      <c r="FP761" s="1790"/>
      <c r="FQ761" s="1790"/>
      <c r="FR761" s="1790"/>
      <c r="FS761" s="1790"/>
      <c r="FT761" s="1790">
        <f>SUM(FT726:FX760)</f>
        <v>0</v>
      </c>
      <c r="FU761" s="1790"/>
      <c r="FV761" s="1790"/>
      <c r="FW761" s="1790"/>
      <c r="FX761" s="1790"/>
      <c r="FY761" s="1790">
        <f>SUM(FY726:GC760)</f>
        <v>0</v>
      </c>
      <c r="FZ761" s="1790"/>
      <c r="GA761" s="1790"/>
      <c r="GB761" s="1790"/>
      <c r="GC761" s="1790"/>
    </row>
    <row r="762" spans="1:185" s="3" customFormat="1" ht="13.05" customHeight="1">
      <c r="A762"/>
      <c r="B762" s="1997" t="s">
        <v>1865</v>
      </c>
      <c r="C762" s="1997"/>
      <c r="D762" s="1997"/>
      <c r="E762" s="1997"/>
      <c r="F762" s="1997"/>
      <c r="G762" s="1997"/>
      <c r="H762" s="1997"/>
      <c r="I762" s="1997"/>
      <c r="J762" s="1997"/>
      <c r="K762" s="1997"/>
      <c r="L762" s="1997"/>
      <c r="M762" s="1997"/>
      <c r="N762" s="1997"/>
      <c r="O762" s="1997"/>
      <c r="P762" s="1997"/>
      <c r="Q762" s="1997"/>
      <c r="R762" s="1997"/>
      <c r="S762" s="1997"/>
      <c r="T762" s="1997"/>
      <c r="U762" s="1997"/>
      <c r="V762" s="1997"/>
      <c r="W762" s="1997"/>
      <c r="X762" s="1997"/>
      <c r="Y762" s="1997"/>
      <c r="Z762" s="1997"/>
      <c r="AA762" s="1997"/>
      <c r="AB762" s="1997"/>
      <c r="AC762" s="1997"/>
      <c r="AD762" s="1997"/>
      <c r="AE762" s="1997"/>
      <c r="AF762" s="1997"/>
      <c r="AG762" s="1997"/>
      <c r="AH762" s="1997"/>
      <c r="AI762"/>
      <c r="AJ762"/>
      <c r="AK762"/>
      <c r="AT762"/>
      <c r="AU762"/>
      <c r="AV762"/>
      <c r="AW762"/>
      <c r="AX762"/>
      <c r="AY762"/>
      <c r="CD762"/>
      <c r="DN762" s="56" t="s">
        <v>1833</v>
      </c>
      <c r="DO762" s="1784">
        <f>CP761+CU761+CZ761+DE761+DJ761+DO761</f>
        <v>101</v>
      </c>
      <c r="DP762" s="1785"/>
      <c r="DQ762" s="1785"/>
      <c r="DR762" s="1785"/>
      <c r="DS762" s="1786"/>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05" customHeight="1">
      <c r="B763" s="1997"/>
      <c r="C763" s="1997"/>
      <c r="D763" s="1997"/>
      <c r="E763" s="1997"/>
      <c r="F763" s="1997"/>
      <c r="G763" s="1997"/>
      <c r="H763" s="1997"/>
      <c r="I763" s="1997"/>
      <c r="J763" s="1997"/>
      <c r="K763" s="1997"/>
      <c r="L763" s="1997"/>
      <c r="M763" s="1997"/>
      <c r="N763" s="1997"/>
      <c r="O763" s="1997"/>
      <c r="P763" s="1997"/>
      <c r="Q763" s="1997"/>
      <c r="R763" s="1997"/>
      <c r="S763" s="1997"/>
      <c r="T763" s="1997"/>
      <c r="U763" s="1997"/>
      <c r="V763" s="1997"/>
      <c r="W763" s="1997"/>
      <c r="X763" s="1997"/>
      <c r="Y763" s="1997"/>
      <c r="Z763" s="1997"/>
      <c r="AA763" s="1997"/>
      <c r="AB763" s="1997"/>
      <c r="AC763" s="1997"/>
      <c r="AD763" s="1997"/>
      <c r="AE763" s="1997"/>
      <c r="AF763" s="1997"/>
      <c r="AG763" s="1997"/>
      <c r="AH763" s="1997"/>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0</v>
      </c>
      <c r="CZ763" s="3"/>
      <c r="DA763" s="3"/>
      <c r="DB763" s="3"/>
      <c r="DC763" s="3"/>
      <c r="DD763" s="857">
        <f>CZ761*2</f>
        <v>68</v>
      </c>
      <c r="DE763" s="3"/>
      <c r="DF763" s="3"/>
      <c r="DG763" s="3"/>
      <c r="DH763" s="3"/>
      <c r="DI763" s="857">
        <f>DE761*3</f>
        <v>201</v>
      </c>
      <c r="DJ763" s="3"/>
      <c r="DK763" s="3"/>
      <c r="DL763" s="3"/>
      <c r="DM763" s="3"/>
      <c r="DN763" s="857">
        <f>DJ761*4</f>
        <v>0</v>
      </c>
      <c r="DO763" s="3"/>
      <c r="DP763" s="3"/>
      <c r="DQ763" s="3"/>
      <c r="DR763" s="3"/>
      <c r="DS763" s="857">
        <f>DO761*5</f>
        <v>0</v>
      </c>
      <c r="DU763" s="857">
        <f>CT763+CY763+DD763+DI763+DN763+DS763</f>
        <v>269</v>
      </c>
      <c r="DV763" s="57" t="s">
        <v>1835</v>
      </c>
      <c r="DW763" s="3"/>
      <c r="DX763" s="3"/>
      <c r="DY763" s="3"/>
      <c r="DZ763" s="3"/>
      <c r="EA763" s="3"/>
      <c r="EB763" s="3"/>
      <c r="EC763" s="3"/>
      <c r="ED763" s="3"/>
      <c r="EE763" s="3"/>
      <c r="EF763" s="3"/>
      <c r="EG763" s="3"/>
      <c r="EH763" s="3"/>
    </row>
    <row r="764" spans="1:185" ht="13.05" customHeight="1">
      <c r="A764" s="3"/>
      <c r="B764" s="3"/>
      <c r="C764" s="118" t="s">
        <v>1863</v>
      </c>
      <c r="D764" s="1027"/>
      <c r="E764" s="1027"/>
      <c r="F764" s="1027"/>
      <c r="G764" s="1028"/>
      <c r="H764" s="1028"/>
      <c r="I764" s="1028"/>
      <c r="J764" s="1028"/>
      <c r="K764" s="1027"/>
      <c r="L764" s="1027"/>
      <c r="M764" s="1027"/>
      <c r="N764" s="1027"/>
      <c r="O764" s="1790">
        <f>DU763</f>
        <v>269</v>
      </c>
      <c r="P764" s="1790"/>
      <c r="Q764" s="1790"/>
      <c r="R764" s="1790"/>
      <c r="S764" s="965"/>
      <c r="T764" s="965"/>
      <c r="U764" s="118" t="s">
        <v>1864</v>
      </c>
      <c r="V764" s="1027"/>
      <c r="W764" s="1027"/>
      <c r="X764" s="1027"/>
      <c r="Y764" s="1028"/>
      <c r="Z764" s="1028"/>
      <c r="AA764" s="1028"/>
      <c r="AB764" s="1028"/>
      <c r="AC764" s="1027"/>
      <c r="AD764" s="1027"/>
      <c r="AE764" s="1027"/>
      <c r="AF764" s="1027"/>
      <c r="AG764" s="1700"/>
      <c r="AH764" s="1700"/>
      <c r="AI764" s="1700"/>
      <c r="AJ764" s="1700"/>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3.05" customHeight="1">
      <c r="B765" s="57"/>
      <c r="C765" s="1616" t="str">
        <f>IF(G761&lt;&gt;AG449,"! Total Low-Income Units in the Unit Mix Table above does not match the number of Total Low-Income Units on row #"&amp;TEXT(ROW(D449),"#"),"")</f>
        <v/>
      </c>
      <c r="D765" s="1616"/>
      <c r="E765" s="1616"/>
      <c r="F765" s="1616"/>
      <c r="G765" s="1616"/>
      <c r="H765" s="1616"/>
      <c r="I765" s="1616"/>
      <c r="J765" s="1616"/>
      <c r="K765" s="1616"/>
      <c r="L765" s="1616"/>
      <c r="M765" s="1616"/>
      <c r="N765" s="1616"/>
      <c r="O765" s="1616"/>
      <c r="P765" s="1616"/>
      <c r="Q765" s="1616"/>
      <c r="R765" s="1616"/>
      <c r="S765" s="1616"/>
      <c r="T765" s="1616"/>
      <c r="U765" s="1616"/>
      <c r="V765" s="1616"/>
      <c r="W765" s="1616"/>
      <c r="X765" s="1616"/>
      <c r="Y765" s="1616"/>
      <c r="Z765" s="1616"/>
      <c r="AA765" s="1616"/>
      <c r="AB765" s="1616"/>
      <c r="AC765" s="1616"/>
      <c r="AD765" s="1616"/>
      <c r="AE765" s="1616"/>
      <c r="AF765" s="1616"/>
      <c r="AG765" s="1616"/>
      <c r="AH765" s="1616"/>
      <c r="AI765" s="1616"/>
      <c r="AJ765" s="1616"/>
      <c r="AK765" s="1616"/>
      <c r="AL765" s="1616"/>
      <c r="AM765" s="1616"/>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05" customHeight="1">
      <c r="B766" s="57"/>
      <c r="C766" s="1616"/>
      <c r="D766" s="1616"/>
      <c r="E766" s="1616"/>
      <c r="F766" s="1616"/>
      <c r="G766" s="1616"/>
      <c r="H766" s="1616"/>
      <c r="I766" s="1616"/>
      <c r="J766" s="1616"/>
      <c r="K766" s="1616"/>
      <c r="L766" s="1616"/>
      <c r="M766" s="1616"/>
      <c r="N766" s="1616"/>
      <c r="O766" s="1616"/>
      <c r="P766" s="1616"/>
      <c r="Q766" s="1616"/>
      <c r="R766" s="1616"/>
      <c r="S766" s="1616"/>
      <c r="T766" s="1616"/>
      <c r="U766" s="1616"/>
      <c r="V766" s="1616"/>
      <c r="W766" s="1616"/>
      <c r="X766" s="1616"/>
      <c r="Y766" s="1616"/>
      <c r="Z766" s="1616"/>
      <c r="AA766" s="1616"/>
      <c r="AB766" s="1616"/>
      <c r="AC766" s="1616"/>
      <c r="AD766" s="1616"/>
      <c r="AE766" s="1616"/>
      <c r="AF766" s="1616"/>
      <c r="AG766" s="1616"/>
      <c r="AH766" s="1616"/>
      <c r="AI766" s="1616"/>
      <c r="AJ766" s="1616"/>
      <c r="AK766" s="1616"/>
      <c r="AL766" s="1616"/>
      <c r="AM766" s="1616"/>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05" customHeight="1">
      <c r="B767" s="3"/>
      <c r="C767" s="118" t="s">
        <v>1862</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908" t="s">
        <v>591</v>
      </c>
      <c r="AE767" s="1908"/>
      <c r="AF767" s="1908"/>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05" customHeight="1">
      <c r="C768" s="1030" t="s">
        <v>2042</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05"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0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05" customHeight="1">
      <c r="A771" s="3"/>
      <c r="B771" s="1027"/>
      <c r="C771" s="1529" t="s">
        <v>2043</v>
      </c>
      <c r="D771" s="1529"/>
      <c r="E771" s="1529"/>
      <c r="F771" s="1529"/>
      <c r="G771" s="1529"/>
      <c r="H771" s="1529"/>
      <c r="I771" s="1529"/>
      <c r="J771" s="1529"/>
      <c r="K771" s="1529"/>
      <c r="L771" s="1529"/>
      <c r="M771" s="1529"/>
      <c r="N771" s="1529"/>
      <c r="O771" s="1529"/>
      <c r="P771" s="1529"/>
      <c r="Q771" s="1529"/>
      <c r="R771" s="1529"/>
      <c r="S771" s="1529"/>
      <c r="T771" s="1529"/>
      <c r="U771" s="1529"/>
      <c r="V771" s="1529"/>
      <c r="W771" s="1529"/>
      <c r="X771" s="1529"/>
      <c r="Y771" s="1529"/>
      <c r="Z771" s="1529"/>
      <c r="AA771" s="1529"/>
      <c r="AB771" s="1529"/>
      <c r="AC771" s="1529"/>
      <c r="AD771" s="1529"/>
      <c r="AE771" s="1529"/>
      <c r="AF771" s="1529"/>
      <c r="AG771" s="1529"/>
      <c r="AH771" s="1529"/>
      <c r="AI771" s="1529"/>
      <c r="AJ771" s="1529"/>
      <c r="AK771" s="1529"/>
      <c r="AL771" s="1529"/>
      <c r="AM771" s="1529"/>
      <c r="AN771" s="1529"/>
      <c r="AO771" s="1529"/>
      <c r="AP771" s="1529"/>
      <c r="AQ771" s="1529"/>
      <c r="AR771" s="1529"/>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05" customHeight="1">
      <c r="A772" s="3"/>
      <c r="B772" s="1027"/>
      <c r="C772" s="1529"/>
      <c r="D772" s="1529"/>
      <c r="E772" s="1529"/>
      <c r="F772" s="1529"/>
      <c r="G772" s="1529"/>
      <c r="H772" s="1529"/>
      <c r="I772" s="1529"/>
      <c r="J772" s="1529"/>
      <c r="K772" s="1529"/>
      <c r="L772" s="1529"/>
      <c r="M772" s="1529"/>
      <c r="N772" s="1529"/>
      <c r="O772" s="1529"/>
      <c r="P772" s="1529"/>
      <c r="Q772" s="1529"/>
      <c r="R772" s="1529"/>
      <c r="S772" s="1529"/>
      <c r="T772" s="1529"/>
      <c r="U772" s="1529"/>
      <c r="V772" s="1529"/>
      <c r="W772" s="1529"/>
      <c r="X772" s="1529"/>
      <c r="Y772" s="1529"/>
      <c r="Z772" s="1529"/>
      <c r="AA772" s="1529"/>
      <c r="AB772" s="1529"/>
      <c r="AC772" s="1529"/>
      <c r="AD772" s="1529"/>
      <c r="AE772" s="1529"/>
      <c r="AF772" s="1529"/>
      <c r="AG772" s="1529"/>
      <c r="AH772" s="1529"/>
      <c r="AI772" s="1529"/>
      <c r="AJ772" s="1529"/>
      <c r="AK772" s="1529"/>
      <c r="AL772" s="1529"/>
      <c r="AM772" s="1529"/>
      <c r="AN772" s="1529"/>
      <c r="AO772" s="1529"/>
      <c r="AP772" s="1529"/>
      <c r="AQ772" s="1529"/>
      <c r="AR772" s="1529"/>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05" customHeight="1">
      <c r="A773" s="3"/>
      <c r="B773" s="1027"/>
      <c r="C773" s="1529"/>
      <c r="D773" s="1529"/>
      <c r="E773" s="1529"/>
      <c r="F773" s="1529"/>
      <c r="G773" s="1529"/>
      <c r="H773" s="1529"/>
      <c r="I773" s="1529"/>
      <c r="J773" s="1529"/>
      <c r="K773" s="1529"/>
      <c r="L773" s="1529"/>
      <c r="M773" s="1529"/>
      <c r="N773" s="1529"/>
      <c r="O773" s="1529"/>
      <c r="P773" s="1529"/>
      <c r="Q773" s="1529"/>
      <c r="R773" s="1529"/>
      <c r="S773" s="1529"/>
      <c r="T773" s="1529"/>
      <c r="U773" s="1529"/>
      <c r="V773" s="1529"/>
      <c r="W773" s="1529"/>
      <c r="X773" s="1529"/>
      <c r="Y773" s="1529"/>
      <c r="Z773" s="1529"/>
      <c r="AA773" s="1529"/>
      <c r="AB773" s="1529"/>
      <c r="AC773" s="1529"/>
      <c r="AD773" s="1529"/>
      <c r="AE773" s="1529"/>
      <c r="AF773" s="1529"/>
      <c r="AG773" s="1529"/>
      <c r="AH773" s="1529"/>
      <c r="AI773" s="1529"/>
      <c r="AJ773" s="1529"/>
      <c r="AK773" s="1529"/>
      <c r="AL773" s="1529"/>
      <c r="AM773" s="1529"/>
      <c r="AN773" s="1529"/>
      <c r="AO773" s="1529"/>
      <c r="AP773" s="1529"/>
      <c r="AQ773" s="1529"/>
      <c r="AR773" s="1529"/>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05" customHeight="1">
      <c r="A774" s="3"/>
      <c r="B774" s="1027"/>
      <c r="C774" s="1529" t="s">
        <v>2044</v>
      </c>
      <c r="D774" s="1529"/>
      <c r="E774" s="1529"/>
      <c r="F774" s="1529"/>
      <c r="G774" s="1529"/>
      <c r="H774" s="1529"/>
      <c r="I774" s="1529"/>
      <c r="J774" s="1529"/>
      <c r="K774" s="1529"/>
      <c r="L774" s="1529"/>
      <c r="M774" s="1529"/>
      <c r="N774" s="1529"/>
      <c r="O774" s="1529"/>
      <c r="P774" s="1529"/>
      <c r="Q774" s="1529"/>
      <c r="R774" s="1529"/>
      <c r="S774" s="1529"/>
      <c r="T774" s="1529"/>
      <c r="U774" s="1529"/>
      <c r="V774" s="1529"/>
      <c r="W774" s="1529"/>
      <c r="X774" s="1529"/>
      <c r="Y774" s="1529"/>
      <c r="Z774" s="1529"/>
      <c r="AA774" s="1529"/>
      <c r="AB774" s="1529"/>
      <c r="AC774" s="1529"/>
      <c r="AD774" s="1529"/>
      <c r="AE774" s="1529"/>
      <c r="AF774" s="1529"/>
      <c r="AG774" s="1529"/>
      <c r="AH774" s="1529"/>
      <c r="AI774" s="1529"/>
      <c r="AJ774" s="1529"/>
      <c r="AK774" s="1529"/>
      <c r="AL774" s="1529"/>
      <c r="AM774" s="1529"/>
      <c r="AN774" s="1529"/>
      <c r="AO774" s="1529"/>
      <c r="AP774" s="1529"/>
      <c r="AQ774" s="1529"/>
      <c r="AR774" s="1529"/>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3.05" customHeight="1">
      <c r="A775" s="3"/>
      <c r="B775" s="1027"/>
      <c r="C775" s="1529"/>
      <c r="D775" s="1529"/>
      <c r="E775" s="1529"/>
      <c r="F775" s="1529"/>
      <c r="G775" s="1529"/>
      <c r="H775" s="1529"/>
      <c r="I775" s="1529"/>
      <c r="J775" s="1529"/>
      <c r="K775" s="1529"/>
      <c r="L775" s="1529"/>
      <c r="M775" s="1529"/>
      <c r="N775" s="1529"/>
      <c r="O775" s="1529"/>
      <c r="P775" s="1529"/>
      <c r="Q775" s="1529"/>
      <c r="R775" s="1529"/>
      <c r="S775" s="1529"/>
      <c r="T775" s="1529"/>
      <c r="U775" s="1529"/>
      <c r="V775" s="1529"/>
      <c r="W775" s="1529"/>
      <c r="X775" s="1529"/>
      <c r="Y775" s="1529"/>
      <c r="Z775" s="1529"/>
      <c r="AA775" s="1529"/>
      <c r="AB775" s="1529"/>
      <c r="AC775" s="1529"/>
      <c r="AD775" s="1529"/>
      <c r="AE775" s="1529"/>
      <c r="AF775" s="1529"/>
      <c r="AG775" s="1529"/>
      <c r="AH775" s="1529"/>
      <c r="AI775" s="1529"/>
      <c r="AJ775" s="1529"/>
      <c r="AK775" s="1529"/>
      <c r="AL775" s="1529"/>
      <c r="AM775" s="1529"/>
      <c r="AN775" s="1529"/>
      <c r="AO775" s="1529"/>
      <c r="AP775" s="1529"/>
      <c r="AQ775" s="1529"/>
      <c r="AR775" s="1529"/>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05" customHeight="1">
      <c r="A776" s="3"/>
      <c r="B776" s="1027"/>
      <c r="C776" s="1529"/>
      <c r="D776" s="1529"/>
      <c r="E776" s="1529"/>
      <c r="F776" s="1529"/>
      <c r="G776" s="1529"/>
      <c r="H776" s="1529"/>
      <c r="I776" s="1529"/>
      <c r="J776" s="1529"/>
      <c r="K776" s="1529"/>
      <c r="L776" s="1529"/>
      <c r="M776" s="1529"/>
      <c r="N776" s="1529"/>
      <c r="O776" s="1529"/>
      <c r="P776" s="1529"/>
      <c r="Q776" s="1529"/>
      <c r="R776" s="1529"/>
      <c r="S776" s="1529"/>
      <c r="T776" s="1529"/>
      <c r="U776" s="1529"/>
      <c r="V776" s="1529"/>
      <c r="W776" s="1529"/>
      <c r="X776" s="1529"/>
      <c r="Y776" s="1529"/>
      <c r="Z776" s="1529"/>
      <c r="AA776" s="1529"/>
      <c r="AB776" s="1529"/>
      <c r="AC776" s="1529"/>
      <c r="AD776" s="1529"/>
      <c r="AE776" s="1529"/>
      <c r="AF776" s="1529"/>
      <c r="AG776" s="1529"/>
      <c r="AH776" s="1529"/>
      <c r="AI776" s="1529"/>
      <c r="AJ776" s="1529"/>
      <c r="AK776" s="1529"/>
      <c r="AL776" s="1529"/>
      <c r="AM776" s="1529"/>
      <c r="AN776" s="1529"/>
      <c r="AO776" s="1529"/>
      <c r="AP776" s="1529"/>
      <c r="AQ776" s="1529"/>
      <c r="AR776" s="1529"/>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05" customHeight="1">
      <c r="J777" s="1676" t="s">
        <v>389</v>
      </c>
      <c r="K777" s="1677"/>
      <c r="L777" s="1677"/>
      <c r="M777" s="1677"/>
      <c r="N777" s="1678"/>
      <c r="O777" s="1704" t="s">
        <v>285</v>
      </c>
      <c r="P777" s="1704"/>
      <c r="Q777" s="1704"/>
      <c r="R777" s="1704"/>
      <c r="S777" s="1704"/>
      <c r="T777" s="1978" t="s">
        <v>1667</v>
      </c>
      <c r="U777" s="1979"/>
      <c r="V777" s="1979"/>
      <c r="W777" s="1980"/>
      <c r="X777" s="1676" t="s">
        <v>447</v>
      </c>
      <c r="Y777" s="1677"/>
      <c r="Z777" s="1677"/>
      <c r="AA777" s="1677"/>
      <c r="AB777" s="1678"/>
      <c r="AC777" s="1676" t="s">
        <v>286</v>
      </c>
      <c r="AD777" s="1677"/>
      <c r="AE777" s="1677"/>
      <c r="AF777" s="1677"/>
      <c r="AG777" s="1678"/>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05" customHeight="1">
      <c r="J778" s="1679"/>
      <c r="K778" s="1680"/>
      <c r="L778" s="1680"/>
      <c r="M778" s="1680"/>
      <c r="N778" s="1681"/>
      <c r="O778" s="1704"/>
      <c r="P778" s="1704"/>
      <c r="Q778" s="1704"/>
      <c r="R778" s="1704"/>
      <c r="S778" s="1704"/>
      <c r="T778" s="1981"/>
      <c r="U778" s="1982"/>
      <c r="V778" s="1982"/>
      <c r="W778" s="1983"/>
      <c r="X778" s="1679"/>
      <c r="Y778" s="1680"/>
      <c r="Z778" s="1680"/>
      <c r="AA778" s="1680"/>
      <c r="AB778" s="1681"/>
      <c r="AC778" s="1679"/>
      <c r="AD778" s="1680"/>
      <c r="AE778" s="1680"/>
      <c r="AF778" s="1680"/>
      <c r="AG778" s="1681"/>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05" customHeight="1">
      <c r="J779" s="1679"/>
      <c r="K779" s="1680"/>
      <c r="L779" s="1680"/>
      <c r="M779" s="1680"/>
      <c r="N779" s="1681"/>
      <c r="O779" s="1704"/>
      <c r="P779" s="1704"/>
      <c r="Q779" s="1704"/>
      <c r="R779" s="1704"/>
      <c r="S779" s="1704"/>
      <c r="T779" s="1981"/>
      <c r="U779" s="1982"/>
      <c r="V779" s="1982"/>
      <c r="W779" s="1983"/>
      <c r="X779" s="1679"/>
      <c r="Y779" s="1680"/>
      <c r="Z779" s="1680"/>
      <c r="AA779" s="1680"/>
      <c r="AB779" s="1681"/>
      <c r="AC779" s="1679"/>
      <c r="AD779" s="1680"/>
      <c r="AE779" s="1680"/>
      <c r="AF779" s="1680"/>
      <c r="AG779" s="1681"/>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05" customHeight="1">
      <c r="J780" s="1682"/>
      <c r="K780" s="1683"/>
      <c r="L780" s="1683"/>
      <c r="M780" s="1683"/>
      <c r="N780" s="1684"/>
      <c r="O780" s="1704"/>
      <c r="P780" s="1704"/>
      <c r="Q780" s="1704"/>
      <c r="R780" s="1704"/>
      <c r="S780" s="1704"/>
      <c r="T780" s="1993"/>
      <c r="U780" s="1994"/>
      <c r="V780" s="1994"/>
      <c r="W780" s="1995"/>
      <c r="X780" s="1682"/>
      <c r="Y780" s="1683"/>
      <c r="Z780" s="1683"/>
      <c r="AA780" s="1683"/>
      <c r="AB780" s="1684"/>
      <c r="AC780" s="1682"/>
      <c r="AD780" s="1683"/>
      <c r="AE780" s="1683"/>
      <c r="AF780" s="1683"/>
      <c r="AG780" s="1684"/>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3.05" customHeight="1">
      <c r="J781" s="1623" t="s">
        <v>164</v>
      </c>
      <c r="K781" s="1624"/>
      <c r="L781" s="1624"/>
      <c r="M781" s="1624"/>
      <c r="N781" s="1625"/>
      <c r="O781" s="1703">
        <v>1</v>
      </c>
      <c r="P781" s="1703"/>
      <c r="Q781" s="1703"/>
      <c r="R781" s="1703"/>
      <c r="S781" s="1703"/>
      <c r="T781" s="1620">
        <v>1031</v>
      </c>
      <c r="U781" s="1621"/>
      <c r="V781" s="1621"/>
      <c r="W781" s="1622"/>
      <c r="X781" s="1662"/>
      <c r="Y781" s="1663"/>
      <c r="Z781" s="1663"/>
      <c r="AA781" s="1663"/>
      <c r="AB781" s="1664"/>
      <c r="AC781" s="1665">
        <f>X781*O781</f>
        <v>0</v>
      </c>
      <c r="AD781" s="1661"/>
      <c r="AE781" s="1661"/>
      <c r="AF781" s="1661"/>
      <c r="AG781" s="1666"/>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781">
        <f>IF(J781="SRO/Studio",O781,0)</f>
        <v>0</v>
      </c>
      <c r="CQ781" s="1782"/>
      <c r="CR781" s="1782"/>
      <c r="CS781" s="1782"/>
      <c r="CT781" s="1783"/>
      <c r="CU781" s="1779">
        <f>IF(J781="1 Bedroom",O781,0)</f>
        <v>0</v>
      </c>
      <c r="CV781" s="1779"/>
      <c r="CW781" s="1779"/>
      <c r="CX781" s="1779"/>
      <c r="CY781" s="1779"/>
      <c r="CZ781" s="1779">
        <f>IF(J781="2 Bedrooms",O781,0)</f>
        <v>0</v>
      </c>
      <c r="DA781" s="1779"/>
      <c r="DB781" s="1779"/>
      <c r="DC781" s="1779"/>
      <c r="DD781" s="1779"/>
      <c r="DE781" s="1779">
        <f>IF(J781="3 Bedrooms",O781,0)</f>
        <v>1</v>
      </c>
      <c r="DF781" s="1779"/>
      <c r="DG781" s="1779"/>
      <c r="DH781" s="1779"/>
      <c r="DI781" s="1779"/>
      <c r="DJ781" s="1779">
        <f>IF(J781="4 Bedrooms",O781,0)</f>
        <v>0</v>
      </c>
      <c r="DK781" s="1779"/>
      <c r="DL781" s="1779"/>
      <c r="DM781" s="1779"/>
      <c r="DN781" s="1779"/>
      <c r="DO781" s="1779">
        <f>IF(J781="5 Bedrooms",O781,0)</f>
        <v>0</v>
      </c>
      <c r="DP781" s="1779"/>
      <c r="DQ781" s="1779"/>
      <c r="DR781" s="1779"/>
      <c r="DS781" s="1779"/>
      <c r="DT781" s="6"/>
      <c r="DU781" s="3"/>
      <c r="DV781" s="3"/>
    </row>
    <row r="782" spans="1:159" ht="13.05" customHeight="1">
      <c r="J782" s="1623"/>
      <c r="K782" s="1624"/>
      <c r="L782" s="1624"/>
      <c r="M782" s="1624"/>
      <c r="N782" s="1625"/>
      <c r="O782" s="1703"/>
      <c r="P782" s="1703"/>
      <c r="Q782" s="1703"/>
      <c r="R782" s="1703"/>
      <c r="S782" s="1703"/>
      <c r="T782" s="1620"/>
      <c r="U782" s="1621"/>
      <c r="V782" s="1621"/>
      <c r="W782" s="1622"/>
      <c r="X782" s="1662"/>
      <c r="Y782" s="1663"/>
      <c r="Z782" s="1663"/>
      <c r="AA782" s="1663"/>
      <c r="AB782" s="1664"/>
      <c r="AC782" s="1665">
        <f>X782*O782</f>
        <v>0</v>
      </c>
      <c r="AD782" s="1661"/>
      <c r="AE782" s="1661"/>
      <c r="AF782" s="1661"/>
      <c r="AG782" s="1666"/>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781">
        <f>IF(J782="SRO/Studio",O782,0)</f>
        <v>0</v>
      </c>
      <c r="CQ782" s="1782"/>
      <c r="CR782" s="1782"/>
      <c r="CS782" s="1782"/>
      <c r="CT782" s="1783"/>
      <c r="CU782" s="1779">
        <f>IF(J782="1 Bedroom",O782,0)</f>
        <v>0</v>
      </c>
      <c r="CV782" s="1779"/>
      <c r="CW782" s="1779"/>
      <c r="CX782" s="1779"/>
      <c r="CY782" s="1779"/>
      <c r="CZ782" s="1779">
        <f>IF(J782="2 Bedrooms",O782,0)</f>
        <v>0</v>
      </c>
      <c r="DA782" s="1779"/>
      <c r="DB782" s="1779"/>
      <c r="DC782" s="1779"/>
      <c r="DD782" s="1779"/>
      <c r="DE782" s="1779">
        <f>IF(J782="3 Bedrooms",O782,0)</f>
        <v>0</v>
      </c>
      <c r="DF782" s="1779"/>
      <c r="DG782" s="1779"/>
      <c r="DH782" s="1779"/>
      <c r="DI782" s="1779"/>
      <c r="DJ782" s="1779">
        <f>IF(J782="4 Bedrooms",O782,0)</f>
        <v>0</v>
      </c>
      <c r="DK782" s="1779"/>
      <c r="DL782" s="1779"/>
      <c r="DM782" s="1779"/>
      <c r="DN782" s="1779"/>
      <c r="DO782" s="1779">
        <f>IF(J782="5 Bedrooms",O782,0)</f>
        <v>0</v>
      </c>
      <c r="DP782" s="1779"/>
      <c r="DQ782" s="1779"/>
      <c r="DR782" s="1779"/>
      <c r="DS782" s="1779"/>
      <c r="DT782" s="6"/>
      <c r="DU782" s="3"/>
      <c r="DV782" s="3"/>
    </row>
    <row r="783" spans="1:159" ht="13.05" customHeight="1">
      <c r="J783" s="1623"/>
      <c r="K783" s="1624"/>
      <c r="L783" s="1624"/>
      <c r="M783" s="1624"/>
      <c r="N783" s="1625"/>
      <c r="O783" s="1703"/>
      <c r="P783" s="1703"/>
      <c r="Q783" s="1703"/>
      <c r="R783" s="1703"/>
      <c r="S783" s="1703"/>
      <c r="T783" s="1620"/>
      <c r="U783" s="1621"/>
      <c r="V783" s="1621"/>
      <c r="W783" s="1622"/>
      <c r="X783" s="1662"/>
      <c r="Y783" s="1663"/>
      <c r="Z783" s="1663"/>
      <c r="AA783" s="1663"/>
      <c r="AB783" s="1664"/>
      <c r="AC783" s="1665">
        <f>X783*O783</f>
        <v>0</v>
      </c>
      <c r="AD783" s="1661"/>
      <c r="AE783" s="1661"/>
      <c r="AF783" s="1661"/>
      <c r="AG783" s="1666"/>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781">
        <f>IF(J783="SRO/Studio",O783,0)</f>
        <v>0</v>
      </c>
      <c r="CQ783" s="1782"/>
      <c r="CR783" s="1782"/>
      <c r="CS783" s="1782"/>
      <c r="CT783" s="1783"/>
      <c r="CU783" s="1779">
        <f>IF(J783="1 Bedroom",O783,0)</f>
        <v>0</v>
      </c>
      <c r="CV783" s="1779"/>
      <c r="CW783" s="1779"/>
      <c r="CX783" s="1779"/>
      <c r="CY783" s="1779"/>
      <c r="CZ783" s="1779">
        <f>IF(J783="2 Bedrooms",O783,0)</f>
        <v>0</v>
      </c>
      <c r="DA783" s="1779"/>
      <c r="DB783" s="1779"/>
      <c r="DC783" s="1779"/>
      <c r="DD783" s="1779"/>
      <c r="DE783" s="1779">
        <f>IF(J783="3 Bedrooms",O783,0)</f>
        <v>0</v>
      </c>
      <c r="DF783" s="1779"/>
      <c r="DG783" s="1779"/>
      <c r="DH783" s="1779"/>
      <c r="DI783" s="1779"/>
      <c r="DJ783" s="1779">
        <f>IF(J783="4 Bedrooms",O783,0)</f>
        <v>0</v>
      </c>
      <c r="DK783" s="1779"/>
      <c r="DL783" s="1779"/>
      <c r="DM783" s="1779"/>
      <c r="DN783" s="1779"/>
      <c r="DO783" s="1779">
        <f>IF(J783="5 Bedrooms",O783,0)</f>
        <v>0</v>
      </c>
      <c r="DP783" s="1779"/>
      <c r="DQ783" s="1779"/>
      <c r="DR783" s="1779"/>
      <c r="DS783" s="1779"/>
      <c r="DT783" s="1007"/>
    </row>
    <row r="784" spans="1:159" ht="13.05" customHeight="1">
      <c r="J784" s="1623"/>
      <c r="K784" s="1624"/>
      <c r="L784" s="1624"/>
      <c r="M784" s="1624"/>
      <c r="N784" s="1625"/>
      <c r="O784" s="1703"/>
      <c r="P784" s="1703"/>
      <c r="Q784" s="1703"/>
      <c r="R784" s="1703"/>
      <c r="S784" s="1703"/>
      <c r="T784" s="1620"/>
      <c r="U784" s="1621"/>
      <c r="V784" s="1621"/>
      <c r="W784" s="1622"/>
      <c r="X784" s="1662"/>
      <c r="Y784" s="1663"/>
      <c r="Z784" s="1663"/>
      <c r="AA784" s="1663"/>
      <c r="AB784" s="1664"/>
      <c r="AC784" s="1665">
        <f>X784*O784</f>
        <v>0</v>
      </c>
      <c r="AD784" s="1661"/>
      <c r="AE784" s="1661"/>
      <c r="AF784" s="1661"/>
      <c r="AG784" s="1666"/>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781">
        <f>IF(J784="SRO/Studio",O784,0)</f>
        <v>0</v>
      </c>
      <c r="CQ784" s="1782"/>
      <c r="CR784" s="1782"/>
      <c r="CS784" s="1782"/>
      <c r="CT784" s="1783"/>
      <c r="CU784" s="1779">
        <f>IF(J784="1 Bedroom",O784,0)</f>
        <v>0</v>
      </c>
      <c r="CV784" s="1779"/>
      <c r="CW784" s="1779"/>
      <c r="CX784" s="1779"/>
      <c r="CY784" s="1779"/>
      <c r="CZ784" s="1779">
        <f>IF(J784="2 Bedrooms",O784,0)</f>
        <v>0</v>
      </c>
      <c r="DA784" s="1779"/>
      <c r="DB784" s="1779"/>
      <c r="DC784" s="1779"/>
      <c r="DD784" s="1779"/>
      <c r="DE784" s="1779">
        <f>IF(J784="3 Bedrooms",O784,0)</f>
        <v>0</v>
      </c>
      <c r="DF784" s="1779"/>
      <c r="DG784" s="1779"/>
      <c r="DH784" s="1779"/>
      <c r="DI784" s="1779"/>
      <c r="DJ784" s="1779">
        <f>IF(J784="4 Bedrooms",O784,0)</f>
        <v>0</v>
      </c>
      <c r="DK784" s="1779"/>
      <c r="DL784" s="1779"/>
      <c r="DM784" s="1779"/>
      <c r="DN784" s="1779"/>
      <c r="DO784" s="1779">
        <f>IF(J784="5 Bedrooms",O784,0)</f>
        <v>0</v>
      </c>
      <c r="DP784" s="1779"/>
      <c r="DQ784" s="1779"/>
      <c r="DR784" s="1779"/>
      <c r="DS784" s="1779"/>
    </row>
    <row r="785" spans="1:154" ht="13.05" customHeight="1">
      <c r="J785" s="1770" t="s">
        <v>125</v>
      </c>
      <c r="K785" s="1771"/>
      <c r="L785" s="1771"/>
      <c r="M785" s="1771"/>
      <c r="N785" s="1772"/>
      <c r="O785" s="1787">
        <f>SUM(O781:S784)</f>
        <v>1</v>
      </c>
      <c r="P785" s="1788"/>
      <c r="Q785" s="1788"/>
      <c r="R785" s="1788"/>
      <c r="S785" s="1789"/>
      <c r="X785" s="1770" t="s">
        <v>124</v>
      </c>
      <c r="Y785" s="1771"/>
      <c r="Z785" s="1771"/>
      <c r="AA785" s="1771"/>
      <c r="AB785" s="1772"/>
      <c r="AC785" s="1665">
        <f>SUM(AC781:AG784)</f>
        <v>0</v>
      </c>
      <c r="AD785" s="1661"/>
      <c r="AE785" s="1661"/>
      <c r="AF785" s="1661"/>
      <c r="AG785" s="1666"/>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787">
        <f>SUM(CP781:CT784)</f>
        <v>0</v>
      </c>
      <c r="CQ785" s="1788"/>
      <c r="CR785" s="1788"/>
      <c r="CS785" s="1788"/>
      <c r="CT785" s="1789"/>
      <c r="CU785" s="1791">
        <f>SUM(CU781:CY784)</f>
        <v>0</v>
      </c>
      <c r="CV785" s="1792"/>
      <c r="CW785" s="1792"/>
      <c r="CX785" s="1792"/>
      <c r="CY785" s="1793"/>
      <c r="CZ785" s="1791">
        <f>SUM(CZ781:DD784)</f>
        <v>0</v>
      </c>
      <c r="DA785" s="1792"/>
      <c r="DB785" s="1792"/>
      <c r="DC785" s="1792"/>
      <c r="DD785" s="1793"/>
      <c r="DE785" s="1791">
        <f>SUM(DE781:DI784)</f>
        <v>1</v>
      </c>
      <c r="DF785" s="1792"/>
      <c r="DG785" s="1792"/>
      <c r="DH785" s="1792"/>
      <c r="DI785" s="1793"/>
      <c r="DJ785" s="1791">
        <f>SUM(DJ781:DN784)</f>
        <v>0</v>
      </c>
      <c r="DK785" s="1792"/>
      <c r="DL785" s="1792"/>
      <c r="DM785" s="1792"/>
      <c r="DN785" s="1793"/>
      <c r="DO785" s="1791">
        <f>SUM(DO781:DS784)</f>
        <v>0</v>
      </c>
      <c r="DP785" s="1792"/>
      <c r="DQ785" s="1792"/>
      <c r="DR785" s="1792"/>
      <c r="DS785" s="1793"/>
      <c r="DU785" s="857">
        <f>CP785+CU785+CZ785+DE785+DJ785+DO785</f>
        <v>1</v>
      </c>
      <c r="DV785" s="57" t="s">
        <v>1832</v>
      </c>
    </row>
    <row r="786" spans="1:154" ht="13.0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0</v>
      </c>
      <c r="DE786" s="3"/>
      <c r="DF786" s="3"/>
      <c r="DG786" s="3"/>
      <c r="DH786" s="3"/>
      <c r="DI786" s="857">
        <f>DE785*3</f>
        <v>3</v>
      </c>
      <c r="DJ786" s="3"/>
      <c r="DK786" s="3"/>
      <c r="DL786" s="3"/>
      <c r="DM786" s="3"/>
      <c r="DN786" s="857">
        <f>DJ785*4</f>
        <v>0</v>
      </c>
      <c r="DO786" s="3"/>
      <c r="DP786" s="3"/>
      <c r="DQ786" s="3"/>
      <c r="DR786" s="3"/>
      <c r="DS786" s="857">
        <f>DO785*5</f>
        <v>0</v>
      </c>
      <c r="DU786" s="857">
        <f>CT786+CY786+DD786+DI786+DN786+DS786</f>
        <v>3</v>
      </c>
      <c r="DV786" s="57" t="s">
        <v>1834</v>
      </c>
    </row>
    <row r="787" spans="1:154" ht="13.05" customHeight="1">
      <c r="B787" s="56"/>
      <c r="C787" s="56"/>
      <c r="D787" s="56"/>
      <c r="E787" s="56"/>
      <c r="F787" s="56"/>
      <c r="G787" s="6"/>
      <c r="H787" s="6"/>
      <c r="I787" s="6"/>
      <c r="J787" s="1760" t="s">
        <v>669</v>
      </c>
      <c r="K787" s="1760"/>
      <c r="L787" s="56"/>
      <c r="M787" s="35" t="s">
        <v>976</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05" customHeight="1">
      <c r="B788" s="56"/>
      <c r="C788" s="56"/>
      <c r="D788" s="56"/>
      <c r="E788" s="56"/>
      <c r="F788" s="56"/>
      <c r="G788" s="6"/>
      <c r="H788" s="6"/>
      <c r="I788" s="6"/>
      <c r="J788" s="6"/>
      <c r="K788" s="6"/>
      <c r="L788" s="56"/>
      <c r="M788" s="35" t="s">
        <v>2045</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05"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0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05" customHeight="1">
      <c r="J791" s="1676" t="s">
        <v>389</v>
      </c>
      <c r="K791" s="1677"/>
      <c r="L791" s="1677"/>
      <c r="M791" s="1677"/>
      <c r="N791" s="1678"/>
      <c r="O791" s="1704" t="s">
        <v>285</v>
      </c>
      <c r="P791" s="1704"/>
      <c r="Q791" s="1704"/>
      <c r="R791" s="1704"/>
      <c r="S791" s="1704"/>
      <c r="T791" s="1978" t="s">
        <v>1667</v>
      </c>
      <c r="U791" s="1979"/>
      <c r="V791" s="1979"/>
      <c r="W791" s="1980"/>
      <c r="X791" s="1676" t="s">
        <v>447</v>
      </c>
      <c r="Y791" s="1677"/>
      <c r="Z791" s="1677"/>
      <c r="AA791" s="1677"/>
      <c r="AB791" s="1678"/>
      <c r="AC791" s="1676" t="s">
        <v>286</v>
      </c>
      <c r="AD791" s="1677"/>
      <c r="AE791" s="1677"/>
      <c r="AF791" s="1677"/>
      <c r="AG791" s="1678"/>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05" customHeight="1">
      <c r="J792" s="1679"/>
      <c r="K792" s="1680"/>
      <c r="L792" s="1680"/>
      <c r="M792" s="1680"/>
      <c r="N792" s="1681"/>
      <c r="O792" s="1704"/>
      <c r="P792" s="1704"/>
      <c r="Q792" s="1704"/>
      <c r="R792" s="1704"/>
      <c r="S792" s="1704"/>
      <c r="T792" s="1981"/>
      <c r="U792" s="1982"/>
      <c r="V792" s="1982"/>
      <c r="W792" s="1983"/>
      <c r="X792" s="1679"/>
      <c r="Y792" s="1680"/>
      <c r="Z792" s="1680"/>
      <c r="AA792" s="1680"/>
      <c r="AB792" s="1681"/>
      <c r="AC792" s="1679"/>
      <c r="AD792" s="1680"/>
      <c r="AE792" s="1680"/>
      <c r="AF792" s="1680"/>
      <c r="AG792" s="1681"/>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05" customHeight="1">
      <c r="J793" s="1679"/>
      <c r="K793" s="1680"/>
      <c r="L793" s="1680"/>
      <c r="M793" s="1680"/>
      <c r="N793" s="1681"/>
      <c r="O793" s="1704"/>
      <c r="P793" s="1704"/>
      <c r="Q793" s="1704"/>
      <c r="R793" s="1704"/>
      <c r="S793" s="1704"/>
      <c r="T793" s="1981"/>
      <c r="U793" s="1982"/>
      <c r="V793" s="1982"/>
      <c r="W793" s="1983"/>
      <c r="X793" s="1679"/>
      <c r="Y793" s="1680"/>
      <c r="Z793" s="1680"/>
      <c r="AA793" s="1680"/>
      <c r="AB793" s="1681"/>
      <c r="AC793" s="1679"/>
      <c r="AD793" s="1680"/>
      <c r="AE793" s="1680"/>
      <c r="AF793" s="1680"/>
      <c r="AG793" s="1681"/>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05" customHeight="1">
      <c r="J794" s="1682"/>
      <c r="K794" s="1683"/>
      <c r="L794" s="1683"/>
      <c r="M794" s="1683"/>
      <c r="N794" s="1684"/>
      <c r="O794" s="1704"/>
      <c r="P794" s="1704"/>
      <c r="Q794" s="1704"/>
      <c r="R794" s="1704"/>
      <c r="S794" s="1704"/>
      <c r="T794" s="1993"/>
      <c r="U794" s="1994"/>
      <c r="V794" s="1994"/>
      <c r="W794" s="1995"/>
      <c r="X794" s="1682"/>
      <c r="Y794" s="1683"/>
      <c r="Z794" s="1683"/>
      <c r="AA794" s="1683"/>
      <c r="AB794" s="1684"/>
      <c r="AC794" s="1682"/>
      <c r="AD794" s="1683"/>
      <c r="AE794" s="1683"/>
      <c r="AF794" s="1683"/>
      <c r="AG794" s="168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1839</v>
      </c>
      <c r="DV794" s="3"/>
      <c r="DW794" s="3"/>
      <c r="DX794" s="3"/>
      <c r="DY794" s="3"/>
      <c r="DZ794" s="3"/>
      <c r="EA794" s="3"/>
      <c r="EB794" s="3"/>
      <c r="EC794" s="3"/>
      <c r="ED794" s="3"/>
      <c r="EE794" s="3"/>
      <c r="EF794" s="3"/>
      <c r="EG794" s="3"/>
      <c r="EH794" s="3"/>
    </row>
    <row r="795" spans="1:154" ht="13.05" customHeight="1">
      <c r="J795" s="1623"/>
      <c r="K795" s="1624"/>
      <c r="L795" s="1624"/>
      <c r="M795" s="1624"/>
      <c r="N795" s="1625"/>
      <c r="O795" s="1703"/>
      <c r="P795" s="1703"/>
      <c r="Q795" s="1703"/>
      <c r="R795" s="1703"/>
      <c r="S795" s="1703"/>
      <c r="T795" s="1620"/>
      <c r="U795" s="1621"/>
      <c r="V795" s="1621"/>
      <c r="W795" s="1622"/>
      <c r="X795" s="1662"/>
      <c r="Y795" s="1663"/>
      <c r="Z795" s="1663"/>
      <c r="AA795" s="1663"/>
      <c r="AB795" s="1664"/>
      <c r="AC795" s="1665">
        <f t="shared" ref="AC795:AC804" si="42">X795*O795</f>
        <v>0</v>
      </c>
      <c r="AD795" s="1661"/>
      <c r="AE795" s="1661"/>
      <c r="AF795" s="1661"/>
      <c r="AG795" s="1666"/>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781">
        <f t="shared" ref="CP795:CP804" si="43">IF(J795="SRO/Studio",O795,0)</f>
        <v>0</v>
      </c>
      <c r="CQ795" s="1782"/>
      <c r="CR795" s="1782"/>
      <c r="CS795" s="1782"/>
      <c r="CT795" s="1783"/>
      <c r="CU795" s="1781">
        <f t="shared" ref="CU795:CU804" si="44">IF(J795="1 Bedroom",O795,0)</f>
        <v>0</v>
      </c>
      <c r="CV795" s="1782"/>
      <c r="CW795" s="1782"/>
      <c r="CX795" s="1782"/>
      <c r="CY795" s="1783"/>
      <c r="CZ795" s="1781">
        <f t="shared" ref="CZ795:CZ804" si="45">IF(J795="2 Bedrooms",O795,0)</f>
        <v>0</v>
      </c>
      <c r="DA795" s="1782"/>
      <c r="DB795" s="1782"/>
      <c r="DC795" s="1782"/>
      <c r="DD795" s="1783"/>
      <c r="DE795" s="1781">
        <f t="shared" ref="DE795:DE804" si="46">IF(J795="3 Bedrooms",O795,0)</f>
        <v>0</v>
      </c>
      <c r="DF795" s="1782"/>
      <c r="DG795" s="1782"/>
      <c r="DH795" s="1782"/>
      <c r="DI795" s="1783"/>
      <c r="DJ795" s="1781">
        <f t="shared" ref="DJ795:DJ804" si="47">IF(J795="4 Bedrooms",O795,0)</f>
        <v>0</v>
      </c>
      <c r="DK795" s="1782"/>
      <c r="DL795" s="1782"/>
      <c r="DM795" s="1782"/>
      <c r="DN795" s="1783"/>
      <c r="DO795" s="1781">
        <f t="shared" ref="DO795:DO804" si="48">IF(J795="5 Bedrooms",O795,0)</f>
        <v>0</v>
      </c>
      <c r="DP795" s="1782"/>
      <c r="DQ795" s="1782"/>
      <c r="DR795" s="1782"/>
      <c r="DS795" s="1783"/>
      <c r="DT795" s="6"/>
      <c r="DU795" s="1781">
        <f t="shared" ref="DU795:DU804" si="49">IF(AND(CP795&gt;=1,AH795&gt;=0.1,AH795&lt;=1),O795,0)</f>
        <v>0</v>
      </c>
      <c r="DV795" s="1782"/>
      <c r="DW795" s="1782"/>
      <c r="DX795" s="1782"/>
      <c r="DY795" s="1783"/>
      <c r="DZ795" s="1781">
        <f t="shared" ref="DZ795:DZ804" si="50">IF(AND(CU795&gt;=1,AH795&gt;=0.1,AH795&lt;=1),O795,0)</f>
        <v>0</v>
      </c>
      <c r="EA795" s="1782"/>
      <c r="EB795" s="1782"/>
      <c r="EC795" s="1782"/>
      <c r="ED795" s="1783"/>
      <c r="EE795" s="1781">
        <f t="shared" ref="EE795:EE804" si="51">IF(AND(CZ795&gt;=1,AH795&gt;=0.1,AH795&lt;=1),O795,0)</f>
        <v>0</v>
      </c>
      <c r="EF795" s="1782"/>
      <c r="EG795" s="1782"/>
      <c r="EH795" s="1782"/>
      <c r="EI795" s="1783"/>
      <c r="EJ795" s="1781">
        <f t="shared" ref="EJ795:EJ804" si="52">IF(AND(DE795&gt;=1,AH795&gt;=0.1,AH795&lt;=1),O795,0)</f>
        <v>0</v>
      </c>
      <c r="EK795" s="1782"/>
      <c r="EL795" s="1782"/>
      <c r="EM795" s="1782"/>
      <c r="EN795" s="1783"/>
      <c r="EO795" s="1781">
        <f t="shared" ref="EO795:EO804" si="53">IF(AND(DJ795&gt;=1,AH795&gt;=0.1,AH795&lt;=1),O795,0)</f>
        <v>0</v>
      </c>
      <c r="EP795" s="1782"/>
      <c r="EQ795" s="1782"/>
      <c r="ER795" s="1782"/>
      <c r="ES795" s="1783"/>
      <c r="ET795" s="1781">
        <f t="shared" ref="ET795:ET804" si="54">IF(AND(DO795&gt;=1,AH795&gt;=0.1,AH795&lt;=1),O795,0)</f>
        <v>0</v>
      </c>
      <c r="EU795" s="1782"/>
      <c r="EV795" s="1782"/>
      <c r="EW795" s="1782"/>
      <c r="EX795" s="1783"/>
    </row>
    <row r="796" spans="1:154" s="14" customFormat="1" ht="13.05" customHeight="1">
      <c r="A796"/>
      <c r="B796"/>
      <c r="C796"/>
      <c r="D796"/>
      <c r="E796"/>
      <c r="F796"/>
      <c r="G796"/>
      <c r="H796"/>
      <c r="I796"/>
      <c r="J796" s="1623"/>
      <c r="K796" s="1624"/>
      <c r="L796" s="1624"/>
      <c r="M796" s="1624"/>
      <c r="N796" s="1625"/>
      <c r="O796" s="1703"/>
      <c r="P796" s="1703"/>
      <c r="Q796" s="1703"/>
      <c r="R796" s="1703"/>
      <c r="S796" s="1703"/>
      <c r="T796" s="1620"/>
      <c r="U796" s="1621"/>
      <c r="V796" s="1621"/>
      <c r="W796" s="1622"/>
      <c r="X796" s="1662"/>
      <c r="Y796" s="1663"/>
      <c r="Z796" s="1663"/>
      <c r="AA796" s="1663"/>
      <c r="AB796" s="1664"/>
      <c r="AC796" s="1665">
        <f t="shared" si="42"/>
        <v>0</v>
      </c>
      <c r="AD796" s="1661"/>
      <c r="AE796" s="1661"/>
      <c r="AF796" s="1661"/>
      <c r="AG796" s="1666"/>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781">
        <f t="shared" si="43"/>
        <v>0</v>
      </c>
      <c r="CQ796" s="1782"/>
      <c r="CR796" s="1782"/>
      <c r="CS796" s="1782"/>
      <c r="CT796" s="1783"/>
      <c r="CU796" s="1781">
        <f t="shared" si="44"/>
        <v>0</v>
      </c>
      <c r="CV796" s="1782"/>
      <c r="CW796" s="1782"/>
      <c r="CX796" s="1782"/>
      <c r="CY796" s="1783"/>
      <c r="CZ796" s="1781">
        <f t="shared" si="45"/>
        <v>0</v>
      </c>
      <c r="DA796" s="1782"/>
      <c r="DB796" s="1782"/>
      <c r="DC796" s="1782"/>
      <c r="DD796" s="1783"/>
      <c r="DE796" s="1781">
        <f t="shared" si="46"/>
        <v>0</v>
      </c>
      <c r="DF796" s="1782"/>
      <c r="DG796" s="1782"/>
      <c r="DH796" s="1782"/>
      <c r="DI796" s="1783"/>
      <c r="DJ796" s="1781">
        <f t="shared" si="47"/>
        <v>0</v>
      </c>
      <c r="DK796" s="1782"/>
      <c r="DL796" s="1782"/>
      <c r="DM796" s="1782"/>
      <c r="DN796" s="1783"/>
      <c r="DO796" s="1781">
        <f t="shared" si="48"/>
        <v>0</v>
      </c>
      <c r="DP796" s="1782"/>
      <c r="DQ796" s="1782"/>
      <c r="DR796" s="1782"/>
      <c r="DS796" s="1783"/>
      <c r="DT796" s="6"/>
      <c r="DU796" s="1781">
        <f t="shared" si="49"/>
        <v>0</v>
      </c>
      <c r="DV796" s="1782"/>
      <c r="DW796" s="1782"/>
      <c r="DX796" s="1782"/>
      <c r="DY796" s="1783"/>
      <c r="DZ796" s="1781">
        <f t="shared" si="50"/>
        <v>0</v>
      </c>
      <c r="EA796" s="1782"/>
      <c r="EB796" s="1782"/>
      <c r="EC796" s="1782"/>
      <c r="ED796" s="1783"/>
      <c r="EE796" s="1781">
        <f t="shared" si="51"/>
        <v>0</v>
      </c>
      <c r="EF796" s="1782"/>
      <c r="EG796" s="1782"/>
      <c r="EH796" s="1782"/>
      <c r="EI796" s="1783"/>
      <c r="EJ796" s="1781">
        <f t="shared" si="52"/>
        <v>0</v>
      </c>
      <c r="EK796" s="1782"/>
      <c r="EL796" s="1782"/>
      <c r="EM796" s="1782"/>
      <c r="EN796" s="1783"/>
      <c r="EO796" s="1781">
        <f t="shared" si="53"/>
        <v>0</v>
      </c>
      <c r="EP796" s="1782"/>
      <c r="EQ796" s="1782"/>
      <c r="ER796" s="1782"/>
      <c r="ES796" s="1783"/>
      <c r="ET796" s="1781">
        <f t="shared" si="54"/>
        <v>0</v>
      </c>
      <c r="EU796" s="1782"/>
      <c r="EV796" s="1782"/>
      <c r="EW796" s="1782"/>
      <c r="EX796" s="1783"/>
    </row>
    <row r="797" spans="1:154" s="14" customFormat="1" ht="13.05" customHeight="1">
      <c r="A797"/>
      <c r="B797"/>
      <c r="C797"/>
      <c r="D797"/>
      <c r="E797"/>
      <c r="F797"/>
      <c r="G797"/>
      <c r="H797"/>
      <c r="I797"/>
      <c r="J797" s="1623"/>
      <c r="K797" s="1624"/>
      <c r="L797" s="1624"/>
      <c r="M797" s="1624"/>
      <c r="N797" s="1625"/>
      <c r="O797" s="1703"/>
      <c r="P797" s="1703"/>
      <c r="Q797" s="1703"/>
      <c r="R797" s="1703"/>
      <c r="S797" s="1703"/>
      <c r="T797" s="1620"/>
      <c r="U797" s="1621"/>
      <c r="V797" s="1621"/>
      <c r="W797" s="1622"/>
      <c r="X797" s="1662"/>
      <c r="Y797" s="1663"/>
      <c r="Z797" s="1663"/>
      <c r="AA797" s="1663"/>
      <c r="AB797" s="1664"/>
      <c r="AC797" s="1665">
        <f t="shared" si="42"/>
        <v>0</v>
      </c>
      <c r="AD797" s="1661"/>
      <c r="AE797" s="1661"/>
      <c r="AF797" s="1661"/>
      <c r="AG797" s="1666"/>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781">
        <f t="shared" si="43"/>
        <v>0</v>
      </c>
      <c r="CQ797" s="1782"/>
      <c r="CR797" s="1782"/>
      <c r="CS797" s="1782"/>
      <c r="CT797" s="1783"/>
      <c r="CU797" s="1781">
        <f t="shared" si="44"/>
        <v>0</v>
      </c>
      <c r="CV797" s="1782"/>
      <c r="CW797" s="1782"/>
      <c r="CX797" s="1782"/>
      <c r="CY797" s="1783"/>
      <c r="CZ797" s="1781">
        <f t="shared" si="45"/>
        <v>0</v>
      </c>
      <c r="DA797" s="1782"/>
      <c r="DB797" s="1782"/>
      <c r="DC797" s="1782"/>
      <c r="DD797" s="1783"/>
      <c r="DE797" s="1781">
        <f t="shared" si="46"/>
        <v>0</v>
      </c>
      <c r="DF797" s="1782"/>
      <c r="DG797" s="1782"/>
      <c r="DH797" s="1782"/>
      <c r="DI797" s="1783"/>
      <c r="DJ797" s="1781">
        <f t="shared" si="47"/>
        <v>0</v>
      </c>
      <c r="DK797" s="1782"/>
      <c r="DL797" s="1782"/>
      <c r="DM797" s="1782"/>
      <c r="DN797" s="1783"/>
      <c r="DO797" s="1781">
        <f t="shared" si="48"/>
        <v>0</v>
      </c>
      <c r="DP797" s="1782"/>
      <c r="DQ797" s="1782"/>
      <c r="DR797" s="1782"/>
      <c r="DS797" s="1783"/>
      <c r="DT797" s="6"/>
      <c r="DU797" s="1781">
        <f t="shared" si="49"/>
        <v>0</v>
      </c>
      <c r="DV797" s="1782"/>
      <c r="DW797" s="1782"/>
      <c r="DX797" s="1782"/>
      <c r="DY797" s="1783"/>
      <c r="DZ797" s="1781">
        <f t="shared" si="50"/>
        <v>0</v>
      </c>
      <c r="EA797" s="1782"/>
      <c r="EB797" s="1782"/>
      <c r="EC797" s="1782"/>
      <c r="ED797" s="1783"/>
      <c r="EE797" s="1781">
        <f t="shared" si="51"/>
        <v>0</v>
      </c>
      <c r="EF797" s="1782"/>
      <c r="EG797" s="1782"/>
      <c r="EH797" s="1782"/>
      <c r="EI797" s="1783"/>
      <c r="EJ797" s="1781">
        <f t="shared" si="52"/>
        <v>0</v>
      </c>
      <c r="EK797" s="1782"/>
      <c r="EL797" s="1782"/>
      <c r="EM797" s="1782"/>
      <c r="EN797" s="1783"/>
      <c r="EO797" s="1781">
        <f t="shared" si="53"/>
        <v>0</v>
      </c>
      <c r="EP797" s="1782"/>
      <c r="EQ797" s="1782"/>
      <c r="ER797" s="1782"/>
      <c r="ES797" s="1783"/>
      <c r="ET797" s="1781">
        <f t="shared" si="54"/>
        <v>0</v>
      </c>
      <c r="EU797" s="1782"/>
      <c r="EV797" s="1782"/>
      <c r="EW797" s="1782"/>
      <c r="EX797" s="1783"/>
    </row>
    <row r="798" spans="1:154" s="14" customFormat="1" ht="13.05" customHeight="1">
      <c r="A798"/>
      <c r="B798"/>
      <c r="C798"/>
      <c r="D798"/>
      <c r="E798"/>
      <c r="F798"/>
      <c r="G798"/>
      <c r="H798"/>
      <c r="I798"/>
      <c r="J798" s="1623"/>
      <c r="K798" s="1624"/>
      <c r="L798" s="1624"/>
      <c r="M798" s="1624"/>
      <c r="N798" s="1625"/>
      <c r="O798" s="1703"/>
      <c r="P798" s="1703"/>
      <c r="Q798" s="1703"/>
      <c r="R798" s="1703"/>
      <c r="S798" s="1703"/>
      <c r="T798" s="1620"/>
      <c r="U798" s="1621"/>
      <c r="V798" s="1621"/>
      <c r="W798" s="1622"/>
      <c r="X798" s="1662"/>
      <c r="Y798" s="1663"/>
      <c r="Z798" s="1663"/>
      <c r="AA798" s="1663"/>
      <c r="AB798" s="1664"/>
      <c r="AC798" s="1665">
        <f t="shared" si="42"/>
        <v>0</v>
      </c>
      <c r="AD798" s="1661"/>
      <c r="AE798" s="1661"/>
      <c r="AF798" s="1661"/>
      <c r="AG798" s="1666"/>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781">
        <f t="shared" si="43"/>
        <v>0</v>
      </c>
      <c r="CQ798" s="1782"/>
      <c r="CR798" s="1782"/>
      <c r="CS798" s="1782"/>
      <c r="CT798" s="1783"/>
      <c r="CU798" s="1781">
        <f t="shared" si="44"/>
        <v>0</v>
      </c>
      <c r="CV798" s="1782"/>
      <c r="CW798" s="1782"/>
      <c r="CX798" s="1782"/>
      <c r="CY798" s="1783"/>
      <c r="CZ798" s="1781">
        <f t="shared" si="45"/>
        <v>0</v>
      </c>
      <c r="DA798" s="1782"/>
      <c r="DB798" s="1782"/>
      <c r="DC798" s="1782"/>
      <c r="DD798" s="1783"/>
      <c r="DE798" s="1781">
        <f t="shared" si="46"/>
        <v>0</v>
      </c>
      <c r="DF798" s="1782"/>
      <c r="DG798" s="1782"/>
      <c r="DH798" s="1782"/>
      <c r="DI798" s="1783"/>
      <c r="DJ798" s="1781">
        <f t="shared" si="47"/>
        <v>0</v>
      </c>
      <c r="DK798" s="1782"/>
      <c r="DL798" s="1782"/>
      <c r="DM798" s="1782"/>
      <c r="DN798" s="1783"/>
      <c r="DO798" s="1781">
        <f t="shared" si="48"/>
        <v>0</v>
      </c>
      <c r="DP798" s="1782"/>
      <c r="DQ798" s="1782"/>
      <c r="DR798" s="1782"/>
      <c r="DS798" s="1783"/>
      <c r="DT798" s="6"/>
      <c r="DU798" s="1781">
        <f t="shared" si="49"/>
        <v>0</v>
      </c>
      <c r="DV798" s="1782"/>
      <c r="DW798" s="1782"/>
      <c r="DX798" s="1782"/>
      <c r="DY798" s="1783"/>
      <c r="DZ798" s="1781">
        <f t="shared" si="50"/>
        <v>0</v>
      </c>
      <c r="EA798" s="1782"/>
      <c r="EB798" s="1782"/>
      <c r="EC798" s="1782"/>
      <c r="ED798" s="1783"/>
      <c r="EE798" s="1781">
        <f t="shared" si="51"/>
        <v>0</v>
      </c>
      <c r="EF798" s="1782"/>
      <c r="EG798" s="1782"/>
      <c r="EH798" s="1782"/>
      <c r="EI798" s="1783"/>
      <c r="EJ798" s="1781">
        <f t="shared" si="52"/>
        <v>0</v>
      </c>
      <c r="EK798" s="1782"/>
      <c r="EL798" s="1782"/>
      <c r="EM798" s="1782"/>
      <c r="EN798" s="1783"/>
      <c r="EO798" s="1781">
        <f t="shared" si="53"/>
        <v>0</v>
      </c>
      <c r="EP798" s="1782"/>
      <c r="EQ798" s="1782"/>
      <c r="ER798" s="1782"/>
      <c r="ES798" s="1783"/>
      <c r="ET798" s="1781">
        <f t="shared" si="54"/>
        <v>0</v>
      </c>
      <c r="EU798" s="1782"/>
      <c r="EV798" s="1782"/>
      <c r="EW798" s="1782"/>
      <c r="EX798" s="1783"/>
    </row>
    <row r="799" spans="1:154" s="14" customFormat="1" ht="13.05" customHeight="1">
      <c r="A799"/>
      <c r="B799"/>
      <c r="C799"/>
      <c r="D799"/>
      <c r="E799"/>
      <c r="F799"/>
      <c r="G799"/>
      <c r="H799"/>
      <c r="I799"/>
      <c r="J799" s="1623"/>
      <c r="K799" s="1624"/>
      <c r="L799" s="1624"/>
      <c r="M799" s="1624"/>
      <c r="N799" s="1625"/>
      <c r="O799" s="1703"/>
      <c r="P799" s="1703"/>
      <c r="Q799" s="1703"/>
      <c r="R799" s="1703"/>
      <c r="S799" s="1703"/>
      <c r="T799" s="1620"/>
      <c r="U799" s="1621"/>
      <c r="V799" s="1621"/>
      <c r="W799" s="1622"/>
      <c r="X799" s="1662"/>
      <c r="Y799" s="1663"/>
      <c r="Z799" s="1663"/>
      <c r="AA799" s="1663"/>
      <c r="AB799" s="1664"/>
      <c r="AC799" s="1665">
        <f t="shared" si="42"/>
        <v>0</v>
      </c>
      <c r="AD799" s="1661"/>
      <c r="AE799" s="1661"/>
      <c r="AF799" s="1661"/>
      <c r="AG799" s="1666"/>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781">
        <f t="shared" si="43"/>
        <v>0</v>
      </c>
      <c r="CQ799" s="1782"/>
      <c r="CR799" s="1782"/>
      <c r="CS799" s="1782"/>
      <c r="CT799" s="1783"/>
      <c r="CU799" s="1781">
        <f t="shared" si="44"/>
        <v>0</v>
      </c>
      <c r="CV799" s="1782"/>
      <c r="CW799" s="1782"/>
      <c r="CX799" s="1782"/>
      <c r="CY799" s="1783"/>
      <c r="CZ799" s="1781">
        <f t="shared" si="45"/>
        <v>0</v>
      </c>
      <c r="DA799" s="1782"/>
      <c r="DB799" s="1782"/>
      <c r="DC799" s="1782"/>
      <c r="DD799" s="1783"/>
      <c r="DE799" s="1781">
        <f t="shared" si="46"/>
        <v>0</v>
      </c>
      <c r="DF799" s="1782"/>
      <c r="DG799" s="1782"/>
      <c r="DH799" s="1782"/>
      <c r="DI799" s="1783"/>
      <c r="DJ799" s="1781">
        <f t="shared" si="47"/>
        <v>0</v>
      </c>
      <c r="DK799" s="1782"/>
      <c r="DL799" s="1782"/>
      <c r="DM799" s="1782"/>
      <c r="DN799" s="1783"/>
      <c r="DO799" s="1781">
        <f t="shared" si="48"/>
        <v>0</v>
      </c>
      <c r="DP799" s="1782"/>
      <c r="DQ799" s="1782"/>
      <c r="DR799" s="1782"/>
      <c r="DS799" s="1783"/>
      <c r="DT799" s="6"/>
      <c r="DU799" s="1781">
        <f t="shared" si="49"/>
        <v>0</v>
      </c>
      <c r="DV799" s="1782"/>
      <c r="DW799" s="1782"/>
      <c r="DX799" s="1782"/>
      <c r="DY799" s="1783"/>
      <c r="DZ799" s="1781">
        <f t="shared" si="50"/>
        <v>0</v>
      </c>
      <c r="EA799" s="1782"/>
      <c r="EB799" s="1782"/>
      <c r="EC799" s="1782"/>
      <c r="ED799" s="1783"/>
      <c r="EE799" s="1781">
        <f t="shared" si="51"/>
        <v>0</v>
      </c>
      <c r="EF799" s="1782"/>
      <c r="EG799" s="1782"/>
      <c r="EH799" s="1782"/>
      <c r="EI799" s="1783"/>
      <c r="EJ799" s="1781">
        <f t="shared" si="52"/>
        <v>0</v>
      </c>
      <c r="EK799" s="1782"/>
      <c r="EL799" s="1782"/>
      <c r="EM799" s="1782"/>
      <c r="EN799" s="1783"/>
      <c r="EO799" s="1781">
        <f t="shared" si="53"/>
        <v>0</v>
      </c>
      <c r="EP799" s="1782"/>
      <c r="EQ799" s="1782"/>
      <c r="ER799" s="1782"/>
      <c r="ES799" s="1783"/>
      <c r="ET799" s="1781">
        <f t="shared" si="54"/>
        <v>0</v>
      </c>
      <c r="EU799" s="1782"/>
      <c r="EV799" s="1782"/>
      <c r="EW799" s="1782"/>
      <c r="EX799" s="1783"/>
    </row>
    <row r="800" spans="1:154" s="14" customFormat="1" ht="13.05" customHeight="1">
      <c r="A800"/>
      <c r="B800"/>
      <c r="C800"/>
      <c r="D800"/>
      <c r="E800"/>
      <c r="F800"/>
      <c r="G800"/>
      <c r="H800"/>
      <c r="I800"/>
      <c r="J800" s="1623"/>
      <c r="K800" s="1624"/>
      <c r="L800" s="1624"/>
      <c r="M800" s="1624"/>
      <c r="N800" s="1625"/>
      <c r="O800" s="1703"/>
      <c r="P800" s="1703"/>
      <c r="Q800" s="1703"/>
      <c r="R800" s="1703"/>
      <c r="S800" s="1703"/>
      <c r="T800" s="1620"/>
      <c r="U800" s="1621"/>
      <c r="V800" s="1621"/>
      <c r="W800" s="1622"/>
      <c r="X800" s="1662"/>
      <c r="Y800" s="1663"/>
      <c r="Z800" s="1663"/>
      <c r="AA800" s="1663"/>
      <c r="AB800" s="1664"/>
      <c r="AC800" s="1665">
        <f t="shared" si="42"/>
        <v>0</v>
      </c>
      <c r="AD800" s="1661"/>
      <c r="AE800" s="1661"/>
      <c r="AF800" s="1661"/>
      <c r="AG800" s="1666"/>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781">
        <f t="shared" si="43"/>
        <v>0</v>
      </c>
      <c r="CQ800" s="1782"/>
      <c r="CR800" s="1782"/>
      <c r="CS800" s="1782"/>
      <c r="CT800" s="1783"/>
      <c r="CU800" s="1781">
        <f t="shared" si="44"/>
        <v>0</v>
      </c>
      <c r="CV800" s="1782"/>
      <c r="CW800" s="1782"/>
      <c r="CX800" s="1782"/>
      <c r="CY800" s="1783"/>
      <c r="CZ800" s="1781">
        <f t="shared" si="45"/>
        <v>0</v>
      </c>
      <c r="DA800" s="1782"/>
      <c r="DB800" s="1782"/>
      <c r="DC800" s="1782"/>
      <c r="DD800" s="1783"/>
      <c r="DE800" s="1781">
        <f t="shared" si="46"/>
        <v>0</v>
      </c>
      <c r="DF800" s="1782"/>
      <c r="DG800" s="1782"/>
      <c r="DH800" s="1782"/>
      <c r="DI800" s="1783"/>
      <c r="DJ800" s="1781">
        <f t="shared" si="47"/>
        <v>0</v>
      </c>
      <c r="DK800" s="1782"/>
      <c r="DL800" s="1782"/>
      <c r="DM800" s="1782"/>
      <c r="DN800" s="1783"/>
      <c r="DO800" s="1781">
        <f t="shared" si="48"/>
        <v>0</v>
      </c>
      <c r="DP800" s="1782"/>
      <c r="DQ800" s="1782"/>
      <c r="DR800" s="1782"/>
      <c r="DS800" s="1783"/>
      <c r="DT800" s="6"/>
      <c r="DU800" s="1781">
        <f t="shared" si="49"/>
        <v>0</v>
      </c>
      <c r="DV800" s="1782"/>
      <c r="DW800" s="1782"/>
      <c r="DX800" s="1782"/>
      <c r="DY800" s="1783"/>
      <c r="DZ800" s="1781">
        <f t="shared" si="50"/>
        <v>0</v>
      </c>
      <c r="EA800" s="1782"/>
      <c r="EB800" s="1782"/>
      <c r="EC800" s="1782"/>
      <c r="ED800" s="1783"/>
      <c r="EE800" s="1781">
        <f t="shared" si="51"/>
        <v>0</v>
      </c>
      <c r="EF800" s="1782"/>
      <c r="EG800" s="1782"/>
      <c r="EH800" s="1782"/>
      <c r="EI800" s="1783"/>
      <c r="EJ800" s="1781">
        <f t="shared" si="52"/>
        <v>0</v>
      </c>
      <c r="EK800" s="1782"/>
      <c r="EL800" s="1782"/>
      <c r="EM800" s="1782"/>
      <c r="EN800" s="1783"/>
      <c r="EO800" s="1781">
        <f t="shared" si="53"/>
        <v>0</v>
      </c>
      <c r="EP800" s="1782"/>
      <c r="EQ800" s="1782"/>
      <c r="ER800" s="1782"/>
      <c r="ES800" s="1783"/>
      <c r="ET800" s="1781">
        <f t="shared" si="54"/>
        <v>0</v>
      </c>
      <c r="EU800" s="1782"/>
      <c r="EV800" s="1782"/>
      <c r="EW800" s="1782"/>
      <c r="EX800" s="1783"/>
    </row>
    <row r="801" spans="1:154" s="14" customFormat="1" ht="13.05" customHeight="1">
      <c r="A801"/>
      <c r="B801"/>
      <c r="C801"/>
      <c r="D801"/>
      <c r="E801"/>
      <c r="F801"/>
      <c r="G801"/>
      <c r="H801"/>
      <c r="I801"/>
      <c r="J801" s="1623"/>
      <c r="K801" s="1624"/>
      <c r="L801" s="1624"/>
      <c r="M801" s="1624"/>
      <c r="N801" s="1625"/>
      <c r="O801" s="1703"/>
      <c r="P801" s="1703"/>
      <c r="Q801" s="1703"/>
      <c r="R801" s="1703"/>
      <c r="S801" s="1703"/>
      <c r="T801" s="1620"/>
      <c r="U801" s="1621"/>
      <c r="V801" s="1621"/>
      <c r="W801" s="1622"/>
      <c r="X801" s="1662"/>
      <c r="Y801" s="1663"/>
      <c r="Z801" s="1663"/>
      <c r="AA801" s="1663"/>
      <c r="AB801" s="1664"/>
      <c r="AC801" s="1665">
        <f t="shared" si="42"/>
        <v>0</v>
      </c>
      <c r="AD801" s="1661"/>
      <c r="AE801" s="1661"/>
      <c r="AF801" s="1661"/>
      <c r="AG801" s="1666"/>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781">
        <f t="shared" si="43"/>
        <v>0</v>
      </c>
      <c r="CQ801" s="1782"/>
      <c r="CR801" s="1782"/>
      <c r="CS801" s="1782"/>
      <c r="CT801" s="1783"/>
      <c r="CU801" s="1781">
        <f t="shared" si="44"/>
        <v>0</v>
      </c>
      <c r="CV801" s="1782"/>
      <c r="CW801" s="1782"/>
      <c r="CX801" s="1782"/>
      <c r="CY801" s="1783"/>
      <c r="CZ801" s="1781">
        <f t="shared" si="45"/>
        <v>0</v>
      </c>
      <c r="DA801" s="1782"/>
      <c r="DB801" s="1782"/>
      <c r="DC801" s="1782"/>
      <c r="DD801" s="1783"/>
      <c r="DE801" s="1781">
        <f t="shared" si="46"/>
        <v>0</v>
      </c>
      <c r="DF801" s="1782"/>
      <c r="DG801" s="1782"/>
      <c r="DH801" s="1782"/>
      <c r="DI801" s="1783"/>
      <c r="DJ801" s="1781">
        <f t="shared" si="47"/>
        <v>0</v>
      </c>
      <c r="DK801" s="1782"/>
      <c r="DL801" s="1782"/>
      <c r="DM801" s="1782"/>
      <c r="DN801" s="1783"/>
      <c r="DO801" s="1781">
        <f t="shared" si="48"/>
        <v>0</v>
      </c>
      <c r="DP801" s="1782"/>
      <c r="DQ801" s="1782"/>
      <c r="DR801" s="1782"/>
      <c r="DS801" s="1783"/>
      <c r="DT801" s="6"/>
      <c r="DU801" s="1781">
        <f t="shared" si="49"/>
        <v>0</v>
      </c>
      <c r="DV801" s="1782"/>
      <c r="DW801" s="1782"/>
      <c r="DX801" s="1782"/>
      <c r="DY801" s="1783"/>
      <c r="DZ801" s="1781">
        <f t="shared" si="50"/>
        <v>0</v>
      </c>
      <c r="EA801" s="1782"/>
      <c r="EB801" s="1782"/>
      <c r="EC801" s="1782"/>
      <c r="ED801" s="1783"/>
      <c r="EE801" s="1781">
        <f t="shared" si="51"/>
        <v>0</v>
      </c>
      <c r="EF801" s="1782"/>
      <c r="EG801" s="1782"/>
      <c r="EH801" s="1782"/>
      <c r="EI801" s="1783"/>
      <c r="EJ801" s="1781">
        <f t="shared" si="52"/>
        <v>0</v>
      </c>
      <c r="EK801" s="1782"/>
      <c r="EL801" s="1782"/>
      <c r="EM801" s="1782"/>
      <c r="EN801" s="1783"/>
      <c r="EO801" s="1781">
        <f t="shared" si="53"/>
        <v>0</v>
      </c>
      <c r="EP801" s="1782"/>
      <c r="EQ801" s="1782"/>
      <c r="ER801" s="1782"/>
      <c r="ES801" s="1783"/>
      <c r="ET801" s="1781">
        <f t="shared" si="54"/>
        <v>0</v>
      </c>
      <c r="EU801" s="1782"/>
      <c r="EV801" s="1782"/>
      <c r="EW801" s="1782"/>
      <c r="EX801" s="1783"/>
    </row>
    <row r="802" spans="1:154" s="14" customFormat="1" ht="13.05" customHeight="1">
      <c r="A802"/>
      <c r="B802"/>
      <c r="C802"/>
      <c r="D802"/>
      <c r="E802"/>
      <c r="F802"/>
      <c r="G802"/>
      <c r="H802"/>
      <c r="I802"/>
      <c r="J802" s="1623"/>
      <c r="K802" s="1624"/>
      <c r="L802" s="1624"/>
      <c r="M802" s="1624"/>
      <c r="N802" s="1625"/>
      <c r="O802" s="1703"/>
      <c r="P802" s="1703"/>
      <c r="Q802" s="1703"/>
      <c r="R802" s="1703"/>
      <c r="S802" s="1703"/>
      <c r="T802" s="1620"/>
      <c r="U802" s="1621"/>
      <c r="V802" s="1621"/>
      <c r="W802" s="1622"/>
      <c r="X802" s="1662"/>
      <c r="Y802" s="1663"/>
      <c r="Z802" s="1663"/>
      <c r="AA802" s="1663"/>
      <c r="AB802" s="1664"/>
      <c r="AC802" s="1665">
        <f t="shared" si="42"/>
        <v>0</v>
      </c>
      <c r="AD802" s="1661"/>
      <c r="AE802" s="1661"/>
      <c r="AF802" s="1661"/>
      <c r="AG802" s="1666"/>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781">
        <f t="shared" si="43"/>
        <v>0</v>
      </c>
      <c r="CQ802" s="1782"/>
      <c r="CR802" s="1782"/>
      <c r="CS802" s="1782"/>
      <c r="CT802" s="1783"/>
      <c r="CU802" s="1781">
        <f t="shared" si="44"/>
        <v>0</v>
      </c>
      <c r="CV802" s="1782"/>
      <c r="CW802" s="1782"/>
      <c r="CX802" s="1782"/>
      <c r="CY802" s="1783"/>
      <c r="CZ802" s="1781">
        <f t="shared" si="45"/>
        <v>0</v>
      </c>
      <c r="DA802" s="1782"/>
      <c r="DB802" s="1782"/>
      <c r="DC802" s="1782"/>
      <c r="DD802" s="1783"/>
      <c r="DE802" s="1781">
        <f t="shared" si="46"/>
        <v>0</v>
      </c>
      <c r="DF802" s="1782"/>
      <c r="DG802" s="1782"/>
      <c r="DH802" s="1782"/>
      <c r="DI802" s="1783"/>
      <c r="DJ802" s="1781">
        <f t="shared" si="47"/>
        <v>0</v>
      </c>
      <c r="DK802" s="1782"/>
      <c r="DL802" s="1782"/>
      <c r="DM802" s="1782"/>
      <c r="DN802" s="1783"/>
      <c r="DO802" s="1781">
        <f t="shared" si="48"/>
        <v>0</v>
      </c>
      <c r="DP802" s="1782"/>
      <c r="DQ802" s="1782"/>
      <c r="DR802" s="1782"/>
      <c r="DS802" s="1783"/>
      <c r="DT802" s="6"/>
      <c r="DU802" s="1781">
        <f t="shared" si="49"/>
        <v>0</v>
      </c>
      <c r="DV802" s="1782"/>
      <c r="DW802" s="1782"/>
      <c r="DX802" s="1782"/>
      <c r="DY802" s="1783"/>
      <c r="DZ802" s="1781">
        <f t="shared" si="50"/>
        <v>0</v>
      </c>
      <c r="EA802" s="1782"/>
      <c r="EB802" s="1782"/>
      <c r="EC802" s="1782"/>
      <c r="ED802" s="1783"/>
      <c r="EE802" s="1781">
        <f t="shared" si="51"/>
        <v>0</v>
      </c>
      <c r="EF802" s="1782"/>
      <c r="EG802" s="1782"/>
      <c r="EH802" s="1782"/>
      <c r="EI802" s="1783"/>
      <c r="EJ802" s="1781">
        <f t="shared" si="52"/>
        <v>0</v>
      </c>
      <c r="EK802" s="1782"/>
      <c r="EL802" s="1782"/>
      <c r="EM802" s="1782"/>
      <c r="EN802" s="1783"/>
      <c r="EO802" s="1781">
        <f t="shared" si="53"/>
        <v>0</v>
      </c>
      <c r="EP802" s="1782"/>
      <c r="EQ802" s="1782"/>
      <c r="ER802" s="1782"/>
      <c r="ES802" s="1783"/>
      <c r="ET802" s="1781">
        <f t="shared" si="54"/>
        <v>0</v>
      </c>
      <c r="EU802" s="1782"/>
      <c r="EV802" s="1782"/>
      <c r="EW802" s="1782"/>
      <c r="EX802" s="1783"/>
    </row>
    <row r="803" spans="1:154" s="14" customFormat="1" ht="13.05" customHeight="1">
      <c r="A803"/>
      <c r="B803"/>
      <c r="C803"/>
      <c r="D803"/>
      <c r="E803"/>
      <c r="F803"/>
      <c r="G803"/>
      <c r="H803"/>
      <c r="I803"/>
      <c r="J803" s="1623"/>
      <c r="K803" s="1624"/>
      <c r="L803" s="1624"/>
      <c r="M803" s="1624"/>
      <c r="N803" s="1625"/>
      <c r="O803" s="1703"/>
      <c r="P803" s="1703"/>
      <c r="Q803" s="1703"/>
      <c r="R803" s="1703"/>
      <c r="S803" s="1703"/>
      <c r="T803" s="1620"/>
      <c r="U803" s="1621"/>
      <c r="V803" s="1621"/>
      <c r="W803" s="1622"/>
      <c r="X803" s="1662"/>
      <c r="Y803" s="1663"/>
      <c r="Z803" s="1663"/>
      <c r="AA803" s="1663"/>
      <c r="AB803" s="1664"/>
      <c r="AC803" s="1665">
        <f t="shared" si="42"/>
        <v>0</v>
      </c>
      <c r="AD803" s="1661"/>
      <c r="AE803" s="1661"/>
      <c r="AF803" s="1661"/>
      <c r="AG803" s="1666"/>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781">
        <f t="shared" si="43"/>
        <v>0</v>
      </c>
      <c r="CQ803" s="1782"/>
      <c r="CR803" s="1782"/>
      <c r="CS803" s="1782"/>
      <c r="CT803" s="1783"/>
      <c r="CU803" s="1781">
        <f t="shared" si="44"/>
        <v>0</v>
      </c>
      <c r="CV803" s="1782"/>
      <c r="CW803" s="1782"/>
      <c r="CX803" s="1782"/>
      <c r="CY803" s="1783"/>
      <c r="CZ803" s="1781">
        <f t="shared" si="45"/>
        <v>0</v>
      </c>
      <c r="DA803" s="1782"/>
      <c r="DB803" s="1782"/>
      <c r="DC803" s="1782"/>
      <c r="DD803" s="1783"/>
      <c r="DE803" s="1781">
        <f t="shared" si="46"/>
        <v>0</v>
      </c>
      <c r="DF803" s="1782"/>
      <c r="DG803" s="1782"/>
      <c r="DH803" s="1782"/>
      <c r="DI803" s="1783"/>
      <c r="DJ803" s="1781">
        <f t="shared" si="47"/>
        <v>0</v>
      </c>
      <c r="DK803" s="1782"/>
      <c r="DL803" s="1782"/>
      <c r="DM803" s="1782"/>
      <c r="DN803" s="1783"/>
      <c r="DO803" s="1781">
        <f t="shared" si="48"/>
        <v>0</v>
      </c>
      <c r="DP803" s="1782"/>
      <c r="DQ803" s="1782"/>
      <c r="DR803" s="1782"/>
      <c r="DS803" s="1783"/>
      <c r="DT803" s="6"/>
      <c r="DU803" s="1781">
        <f t="shared" si="49"/>
        <v>0</v>
      </c>
      <c r="DV803" s="1782"/>
      <c r="DW803" s="1782"/>
      <c r="DX803" s="1782"/>
      <c r="DY803" s="1783"/>
      <c r="DZ803" s="1781">
        <f t="shared" si="50"/>
        <v>0</v>
      </c>
      <c r="EA803" s="1782"/>
      <c r="EB803" s="1782"/>
      <c r="EC803" s="1782"/>
      <c r="ED803" s="1783"/>
      <c r="EE803" s="1781">
        <f t="shared" si="51"/>
        <v>0</v>
      </c>
      <c r="EF803" s="1782"/>
      <c r="EG803" s="1782"/>
      <c r="EH803" s="1782"/>
      <c r="EI803" s="1783"/>
      <c r="EJ803" s="1781">
        <f t="shared" si="52"/>
        <v>0</v>
      </c>
      <c r="EK803" s="1782"/>
      <c r="EL803" s="1782"/>
      <c r="EM803" s="1782"/>
      <c r="EN803" s="1783"/>
      <c r="EO803" s="1781">
        <f t="shared" si="53"/>
        <v>0</v>
      </c>
      <c r="EP803" s="1782"/>
      <c r="EQ803" s="1782"/>
      <c r="ER803" s="1782"/>
      <c r="ES803" s="1783"/>
      <c r="ET803" s="1781">
        <f t="shared" si="54"/>
        <v>0</v>
      </c>
      <c r="EU803" s="1782"/>
      <c r="EV803" s="1782"/>
      <c r="EW803" s="1782"/>
      <c r="EX803" s="1783"/>
    </row>
    <row r="804" spans="1:154" s="4" customFormat="1" ht="13.05" customHeight="1">
      <c r="A804"/>
      <c r="B804"/>
      <c r="C804"/>
      <c r="D804"/>
      <c r="E804"/>
      <c r="F804"/>
      <c r="G804"/>
      <c r="H804"/>
      <c r="I804"/>
      <c r="J804" s="1623"/>
      <c r="K804" s="1624"/>
      <c r="L804" s="1624"/>
      <c r="M804" s="1624"/>
      <c r="N804" s="1625"/>
      <c r="O804" s="1703"/>
      <c r="P804" s="1703"/>
      <c r="Q804" s="1703"/>
      <c r="R804" s="1703"/>
      <c r="S804" s="1703"/>
      <c r="T804" s="1620"/>
      <c r="U804" s="1621"/>
      <c r="V804" s="1621"/>
      <c r="W804" s="1622"/>
      <c r="X804" s="1662"/>
      <c r="Y804" s="1663"/>
      <c r="Z804" s="1663"/>
      <c r="AA804" s="1663"/>
      <c r="AB804" s="1664"/>
      <c r="AC804" s="1665">
        <f t="shared" si="42"/>
        <v>0</v>
      </c>
      <c r="AD804" s="1661"/>
      <c r="AE804" s="1661"/>
      <c r="AF804" s="1661"/>
      <c r="AG804" s="1666"/>
      <c r="AH804"/>
      <c r="AI804"/>
      <c r="AJ804"/>
      <c r="AK804"/>
      <c r="AL804"/>
      <c r="AM804"/>
      <c r="AN804"/>
      <c r="AO804"/>
      <c r="AP804"/>
      <c r="AQ804"/>
      <c r="AR804"/>
      <c r="AS804"/>
      <c r="AT804"/>
      <c r="AU804"/>
      <c r="AV804"/>
      <c r="AW804"/>
      <c r="AX804"/>
      <c r="AY804"/>
      <c r="AZ804" s="3"/>
      <c r="CP804" s="1781">
        <f t="shared" si="43"/>
        <v>0</v>
      </c>
      <c r="CQ804" s="1782"/>
      <c r="CR804" s="1782"/>
      <c r="CS804" s="1782"/>
      <c r="CT804" s="1783"/>
      <c r="CU804" s="1781">
        <f t="shared" si="44"/>
        <v>0</v>
      </c>
      <c r="CV804" s="1782"/>
      <c r="CW804" s="1782"/>
      <c r="CX804" s="1782"/>
      <c r="CY804" s="1783"/>
      <c r="CZ804" s="1781">
        <f t="shared" si="45"/>
        <v>0</v>
      </c>
      <c r="DA804" s="1782"/>
      <c r="DB804" s="1782"/>
      <c r="DC804" s="1782"/>
      <c r="DD804" s="1783"/>
      <c r="DE804" s="1781">
        <f t="shared" si="46"/>
        <v>0</v>
      </c>
      <c r="DF804" s="1782"/>
      <c r="DG804" s="1782"/>
      <c r="DH804" s="1782"/>
      <c r="DI804" s="1783"/>
      <c r="DJ804" s="1781">
        <f t="shared" si="47"/>
        <v>0</v>
      </c>
      <c r="DK804" s="1782"/>
      <c r="DL804" s="1782"/>
      <c r="DM804" s="1782"/>
      <c r="DN804" s="1783"/>
      <c r="DO804" s="1781">
        <f t="shared" si="48"/>
        <v>0</v>
      </c>
      <c r="DP804" s="1782"/>
      <c r="DQ804" s="1782"/>
      <c r="DR804" s="1782"/>
      <c r="DS804" s="1783"/>
      <c r="DT804" s="6"/>
      <c r="DU804" s="1781">
        <f t="shared" si="49"/>
        <v>0</v>
      </c>
      <c r="DV804" s="1782"/>
      <c r="DW804" s="1782"/>
      <c r="DX804" s="1782"/>
      <c r="DY804" s="1783"/>
      <c r="DZ804" s="1781">
        <f t="shared" si="50"/>
        <v>0</v>
      </c>
      <c r="EA804" s="1782"/>
      <c r="EB804" s="1782"/>
      <c r="EC804" s="1782"/>
      <c r="ED804" s="1783"/>
      <c r="EE804" s="1781">
        <f t="shared" si="51"/>
        <v>0</v>
      </c>
      <c r="EF804" s="1782"/>
      <c r="EG804" s="1782"/>
      <c r="EH804" s="1782"/>
      <c r="EI804" s="1783"/>
      <c r="EJ804" s="1781">
        <f t="shared" si="52"/>
        <v>0</v>
      </c>
      <c r="EK804" s="1782"/>
      <c r="EL804" s="1782"/>
      <c r="EM804" s="1782"/>
      <c r="EN804" s="1783"/>
      <c r="EO804" s="1781">
        <f t="shared" si="53"/>
        <v>0</v>
      </c>
      <c r="EP804" s="1782"/>
      <c r="EQ804" s="1782"/>
      <c r="ER804" s="1782"/>
      <c r="ES804" s="1783"/>
      <c r="ET804" s="1781">
        <f t="shared" si="54"/>
        <v>0</v>
      </c>
      <c r="EU804" s="1782"/>
      <c r="EV804" s="1782"/>
      <c r="EW804" s="1782"/>
      <c r="EX804" s="1783"/>
    </row>
    <row r="805" spans="1:154" s="4" customFormat="1" ht="13.05" customHeight="1">
      <c r="A805"/>
      <c r="B805"/>
      <c r="C805"/>
      <c r="D805"/>
      <c r="E805"/>
      <c r="F805"/>
      <c r="G805"/>
      <c r="H805"/>
      <c r="I805"/>
      <c r="J805" s="1770" t="s">
        <v>125</v>
      </c>
      <c r="K805" s="1771"/>
      <c r="L805" s="1771"/>
      <c r="M805" s="1771"/>
      <c r="N805" s="1772"/>
      <c r="O805" s="1996">
        <f>SUM(O795:S804)</f>
        <v>0</v>
      </c>
      <c r="P805" s="1996"/>
      <c r="Q805" s="1996"/>
      <c r="R805" s="1996"/>
      <c r="S805" s="1996"/>
      <c r="T805"/>
      <c r="U805"/>
      <c r="V805"/>
      <c r="W805"/>
      <c r="X805" s="898" t="s">
        <v>124</v>
      </c>
      <c r="Y805" s="11"/>
      <c r="Z805" s="11"/>
      <c r="AA805" s="11"/>
      <c r="AB805" s="905"/>
      <c r="AC805" s="1665">
        <f>SUM(AC795:AG804)</f>
        <v>0</v>
      </c>
      <c r="AD805" s="1661"/>
      <c r="AE805" s="1661"/>
      <c r="AF805" s="1661"/>
      <c r="AG805" s="1666"/>
      <c r="AH805"/>
      <c r="AI805"/>
      <c r="AJ805"/>
      <c r="AK805"/>
      <c r="AL805"/>
      <c r="AM805"/>
      <c r="AN805"/>
      <c r="AO805"/>
      <c r="AP805"/>
      <c r="AQ805"/>
      <c r="AR805"/>
      <c r="AS805"/>
      <c r="AT805"/>
      <c r="AU805"/>
      <c r="AV805"/>
      <c r="AW805"/>
      <c r="AX805"/>
      <c r="AY805"/>
      <c r="AZ805" s="3"/>
      <c r="BA805"/>
      <c r="CP805" s="1787">
        <f>SUM(CP795:CT804)</f>
        <v>0</v>
      </c>
      <c r="CQ805" s="1788"/>
      <c r="CR805" s="1788"/>
      <c r="CS805" s="1788"/>
      <c r="CT805" s="1789"/>
      <c r="CU805" s="1791">
        <f>SUM(CU795:CY804)</f>
        <v>0</v>
      </c>
      <c r="CV805" s="1792"/>
      <c r="CW805" s="1792"/>
      <c r="CX805" s="1792"/>
      <c r="CY805" s="1793"/>
      <c r="CZ805" s="1791">
        <f>SUM(CZ795:DD804)</f>
        <v>0</v>
      </c>
      <c r="DA805" s="1792"/>
      <c r="DB805" s="1792"/>
      <c r="DC805" s="1792"/>
      <c r="DD805" s="1793"/>
      <c r="DE805" s="1791">
        <f>SUM(DE795:DI804)</f>
        <v>0</v>
      </c>
      <c r="DF805" s="1792"/>
      <c r="DG805" s="1792"/>
      <c r="DH805" s="1792"/>
      <c r="DI805" s="1793"/>
      <c r="DJ805" s="1791">
        <f>SUM(DJ795:DN804)</f>
        <v>0</v>
      </c>
      <c r="DK805" s="1792"/>
      <c r="DL805" s="1792"/>
      <c r="DM805" s="1792"/>
      <c r="DN805" s="1793"/>
      <c r="DO805" s="1791">
        <f>SUM(DO795:DS804)</f>
        <v>0</v>
      </c>
      <c r="DP805" s="1792"/>
      <c r="DQ805" s="1792"/>
      <c r="DR805" s="1792"/>
      <c r="DS805" s="1793"/>
      <c r="DT805" s="1007"/>
      <c r="DU805" s="1787">
        <f>SUM(DU795:DY804)</f>
        <v>0</v>
      </c>
      <c r="DV805" s="1788"/>
      <c r="DW805" s="1788"/>
      <c r="DX805" s="1788"/>
      <c r="DY805" s="1789"/>
      <c r="DZ805" s="1787">
        <f>SUM(DZ795:ED804)</f>
        <v>0</v>
      </c>
      <c r="EA805" s="1788"/>
      <c r="EB805" s="1788"/>
      <c r="EC805" s="1788"/>
      <c r="ED805" s="1789"/>
      <c r="EE805" s="1787">
        <f>SUM(EE795:EI804)</f>
        <v>0</v>
      </c>
      <c r="EF805" s="1788"/>
      <c r="EG805" s="1788"/>
      <c r="EH805" s="1788"/>
      <c r="EI805" s="1789"/>
      <c r="EJ805" s="1787">
        <f>SUM(EJ795:EN804)</f>
        <v>0</v>
      </c>
      <c r="EK805" s="1788"/>
      <c r="EL805" s="1788"/>
      <c r="EM805" s="1788"/>
      <c r="EN805" s="1789"/>
      <c r="EO805" s="1787">
        <f>SUM(EO795:ES804)</f>
        <v>0</v>
      </c>
      <c r="EP805" s="1788"/>
      <c r="EQ805" s="1788"/>
      <c r="ER805" s="1788"/>
      <c r="ES805" s="1789"/>
      <c r="ET805" s="1787">
        <f>SUM(ET795:EX804)</f>
        <v>0</v>
      </c>
      <c r="EU805" s="1788"/>
      <c r="EV805" s="1788"/>
      <c r="EW805" s="1788"/>
      <c r="EX805" s="1789"/>
    </row>
    <row r="806" spans="1:154" s="4" customFormat="1" ht="13.05" customHeight="1">
      <c r="A806"/>
      <c r="B806"/>
      <c r="C806" s="1990" t="str">
        <f>IF(O805&lt;&gt;AG447,"! Total market rate units in the Unit Mix Table above does not match the number of  market rate units on row #"&amp;TEXT(ROW(D447),"#"),"")</f>
        <v/>
      </c>
      <c r="D806" s="1990"/>
      <c r="E806" s="1990"/>
      <c r="F806" s="1990"/>
      <c r="G806" s="1990"/>
      <c r="H806" s="1990"/>
      <c r="I806" s="1990"/>
      <c r="J806" s="1990"/>
      <c r="K806" s="1990"/>
      <c r="L806" s="1990"/>
      <c r="M806" s="1990"/>
      <c r="N806" s="1990"/>
      <c r="O806" s="1990"/>
      <c r="P806" s="1990"/>
      <c r="Q806" s="1990"/>
      <c r="R806" s="1990"/>
      <c r="S806" s="1990"/>
      <c r="T806" s="1990"/>
      <c r="U806" s="1990"/>
      <c r="V806" s="1990"/>
      <c r="W806" s="1990"/>
      <c r="X806" s="1990"/>
      <c r="Y806" s="1990"/>
      <c r="Z806" s="1990"/>
      <c r="AA806" s="1990"/>
      <c r="AB806" s="1990"/>
      <c r="AC806" s="1990"/>
      <c r="AD806" s="1990"/>
      <c r="AE806" s="1990"/>
      <c r="AF806" s="1990"/>
      <c r="AG806" s="1990"/>
      <c r="AH806" s="1990"/>
      <c r="AI806" s="1990"/>
      <c r="AJ806" s="1990"/>
      <c r="AK806" s="1990"/>
      <c r="AL806" s="1990"/>
      <c r="AM806" s="1990"/>
      <c r="AN806" s="1990"/>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05" customHeight="1">
      <c r="A807"/>
      <c r="B807"/>
      <c r="C807" s="1990"/>
      <c r="D807" s="1990"/>
      <c r="E807" s="1990"/>
      <c r="F807" s="1990"/>
      <c r="G807" s="1990"/>
      <c r="H807" s="1990"/>
      <c r="I807" s="1990"/>
      <c r="J807" s="1990"/>
      <c r="K807" s="1990"/>
      <c r="L807" s="1990"/>
      <c r="M807" s="1990"/>
      <c r="N807" s="1990"/>
      <c r="O807" s="1990"/>
      <c r="P807" s="1990"/>
      <c r="Q807" s="1990"/>
      <c r="R807" s="1990"/>
      <c r="S807" s="1990"/>
      <c r="T807" s="1990"/>
      <c r="U807" s="1990"/>
      <c r="V807" s="1990"/>
      <c r="W807" s="1990"/>
      <c r="X807" s="1990"/>
      <c r="Y807" s="1990"/>
      <c r="Z807" s="1990"/>
      <c r="AA807" s="1990"/>
      <c r="AB807" s="1990"/>
      <c r="AC807" s="1990"/>
      <c r="AD807" s="1990"/>
      <c r="AE807" s="1990"/>
      <c r="AF807" s="1990"/>
      <c r="AG807" s="1990"/>
      <c r="AH807" s="1990"/>
      <c r="AI807" s="1990"/>
      <c r="AJ807" s="1990"/>
      <c r="AK807" s="1990"/>
      <c r="AL807" s="1990"/>
      <c r="AM807" s="1990"/>
      <c r="AN807" s="1990"/>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1831</v>
      </c>
      <c r="DW807" s="3"/>
      <c r="DX807" s="3"/>
      <c r="DY807" s="3"/>
      <c r="DZ807" s="3"/>
      <c r="EA807" s="3"/>
      <c r="EB807" s="3"/>
      <c r="EC807" s="3"/>
      <c r="ED807" s="3"/>
      <c r="EE807" s="3"/>
      <c r="EF807" s="3"/>
      <c r="EG807" s="3"/>
      <c r="EH807" s="3"/>
      <c r="EI807"/>
      <c r="EJ807"/>
      <c r="EK807"/>
      <c r="EL807"/>
      <c r="EM807"/>
      <c r="EN807"/>
      <c r="EO807"/>
      <c r="EP807"/>
      <c r="EQ807"/>
      <c r="ER807"/>
      <c r="ES807" s="56" t="s">
        <v>1840</v>
      </c>
      <c r="ET807" s="2115">
        <f>SUM(DU805:EX805)</f>
        <v>0</v>
      </c>
      <c r="EU807" s="2116"/>
      <c r="EV807" s="2116"/>
      <c r="EW807" s="2116"/>
      <c r="EX807" s="2117"/>
    </row>
    <row r="808" spans="1:154" s="4" customFormat="1" ht="13.05" customHeight="1">
      <c r="A808"/>
      <c r="B808"/>
      <c r="C808"/>
      <c r="D808"/>
      <c r="E808"/>
      <c r="F808"/>
      <c r="G808"/>
      <c r="H808"/>
      <c r="I808"/>
      <c r="J808" s="45"/>
      <c r="K808" s="5"/>
      <c r="L808" s="5"/>
      <c r="M808" s="5"/>
      <c r="N808" s="5"/>
      <c r="O808" s="5"/>
      <c r="P808" s="5"/>
      <c r="Q808" s="5"/>
      <c r="R808" s="5"/>
      <c r="S808" s="5"/>
      <c r="T808" s="5"/>
      <c r="U808" s="5"/>
      <c r="V808" s="5"/>
      <c r="W808" s="5"/>
      <c r="X808" s="54" t="s">
        <v>161</v>
      </c>
      <c r="Y808" s="1989">
        <f>O761+AC785+AC805</f>
        <v>275468</v>
      </c>
      <c r="Z808" s="1989"/>
      <c r="AA808" s="1989"/>
      <c r="AB808" s="1989"/>
      <c r="AC808" s="1989"/>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0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989">
        <f>(O761+AC785+AC805)*12</f>
        <v>3305616</v>
      </c>
      <c r="Z809" s="1989"/>
      <c r="AA809" s="1989"/>
      <c r="AB809" s="1989"/>
      <c r="AC809" s="1989"/>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3.0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791">
        <f>CP761+CP785+CP805</f>
        <v>0</v>
      </c>
      <c r="CQ810" s="1792"/>
      <c r="CR810" s="1792"/>
      <c r="CS810" s="1792"/>
      <c r="CT810" s="1793"/>
      <c r="CU810" s="1791">
        <f>CU761+CU785+CU805</f>
        <v>0</v>
      </c>
      <c r="CV810" s="1792"/>
      <c r="CW810" s="1792"/>
      <c r="CX810" s="1792"/>
      <c r="CY810" s="1793"/>
      <c r="CZ810" s="1791">
        <f>CZ761+CZ785+CZ805</f>
        <v>34</v>
      </c>
      <c r="DA810" s="1792"/>
      <c r="DB810" s="1792"/>
      <c r="DC810" s="1792"/>
      <c r="DD810" s="1793"/>
      <c r="DE810" s="1791">
        <f>DE761+DE785+DE805</f>
        <v>68</v>
      </c>
      <c r="DF810" s="1792"/>
      <c r="DG810" s="1792"/>
      <c r="DH810" s="1792"/>
      <c r="DI810" s="1793"/>
      <c r="DJ810" s="1791">
        <f>DJ761+DJ785+DJ805</f>
        <v>0</v>
      </c>
      <c r="DK810" s="1792"/>
      <c r="DL810" s="1792"/>
      <c r="DM810" s="1792"/>
      <c r="DN810" s="1793"/>
      <c r="DO810" s="1784">
        <f>DO805+DO785+DO761</f>
        <v>0</v>
      </c>
      <c r="DP810" s="1785"/>
      <c r="DQ810" s="1785"/>
      <c r="DR810" s="1785"/>
      <c r="DS810" s="1786"/>
      <c r="DT810" s="3"/>
      <c r="DU810" s="857">
        <f>DU763+DU808</f>
        <v>269</v>
      </c>
      <c r="DV810" s="57" t="s">
        <v>1836</v>
      </c>
    </row>
    <row r="811" spans="1:154" s="4" customFormat="1" ht="13.05"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3.05"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3.0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3.0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706"/>
      <c r="AA814" s="1707"/>
      <c r="AB814" s="1707"/>
      <c r="AC814" s="1707"/>
      <c r="AD814" s="1707"/>
      <c r="AE814" s="1708"/>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3.0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992"/>
      <c r="AA815" s="1707"/>
      <c r="AB815" s="1707"/>
      <c r="AC815" s="1707"/>
      <c r="AD815" s="1707"/>
      <c r="AE815" s="1708"/>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3.0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923">
        <v>0</v>
      </c>
      <c r="AA816" s="1798"/>
      <c r="AB816" s="1798"/>
      <c r="AC816" s="1798"/>
      <c r="AD816" s="1798"/>
      <c r="AE816" s="1799"/>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0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909">
        <f>'Subsidy Contract Calculation'!J40</f>
        <v>0</v>
      </c>
      <c r="AA817" s="1910"/>
      <c r="AB817" s="1910"/>
      <c r="AC817" s="1910"/>
      <c r="AD817" s="1910"/>
      <c r="AE817" s="1911"/>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0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05"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0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0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711">
        <v>14688</v>
      </c>
      <c r="AA821" s="1712"/>
      <c r="AB821" s="1712"/>
      <c r="AC821" s="1712"/>
      <c r="AD821" s="1712"/>
      <c r="AE821" s="1713"/>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0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711"/>
      <c r="AA822" s="1712"/>
      <c r="AB822" s="1712"/>
      <c r="AC822" s="1712"/>
      <c r="AD822" s="1712"/>
      <c r="AE822" s="1713"/>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3.0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711"/>
      <c r="AA823" s="1712"/>
      <c r="AB823" s="1712"/>
      <c r="AC823" s="1712"/>
      <c r="AD823" s="1712"/>
      <c r="AE823" s="1713"/>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3.05" customHeight="1">
      <c r="A824"/>
      <c r="B824"/>
      <c r="C824"/>
      <c r="D824"/>
      <c r="E824"/>
      <c r="F824"/>
      <c r="G824"/>
      <c r="H824" s="45" t="s">
        <v>39</v>
      </c>
      <c r="I824" s="5"/>
      <c r="J824" s="5"/>
      <c r="K824" s="5"/>
      <c r="L824" s="5"/>
      <c r="M824" s="5"/>
      <c r="N824" s="5"/>
      <c r="O824" s="5"/>
      <c r="P824" s="1803" t="s">
        <v>2738</v>
      </c>
      <c r="Q824" s="1804"/>
      <c r="R824" s="1804"/>
      <c r="S824" s="1804"/>
      <c r="T824" s="1804"/>
      <c r="U824" s="1804"/>
      <c r="V824" s="1804"/>
      <c r="W824" s="1804"/>
      <c r="X824" s="1804"/>
      <c r="Y824" s="1805"/>
      <c r="Z824" s="1711">
        <v>4896</v>
      </c>
      <c r="AA824" s="1712"/>
      <c r="AB824" s="1712"/>
      <c r="AC824" s="1712"/>
      <c r="AD824" s="1712"/>
      <c r="AE824" s="1713"/>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3.0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909">
        <f>SUM(Z821:AE824)</f>
        <v>19584</v>
      </c>
      <c r="AA825" s="1910"/>
      <c r="AB825" s="1910"/>
      <c r="AC825" s="1910"/>
      <c r="AD825" s="1910"/>
      <c r="AE825" s="1911"/>
      <c r="AF825"/>
      <c r="AG825"/>
      <c r="AH825"/>
      <c r="AI825"/>
      <c r="AJ825"/>
      <c r="AK825"/>
      <c r="AL825"/>
      <c r="AM825"/>
      <c r="AN825"/>
      <c r="AO825"/>
      <c r="AP825"/>
      <c r="AQ825"/>
      <c r="AR825"/>
      <c r="AS825"/>
      <c r="AT825"/>
      <c r="AU825" s="3"/>
      <c r="AV825"/>
      <c r="AW825"/>
      <c r="AX825"/>
      <c r="AY825"/>
      <c r="AZ825" s="30"/>
      <c r="BA825" s="30"/>
      <c r="BB825" s="14"/>
      <c r="BC825" s="14"/>
    </row>
    <row r="826" spans="1:110" s="4" customFormat="1" ht="13.05"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909">
        <f>Z825+Y809+Z817</f>
        <v>3325200</v>
      </c>
      <c r="AA826" s="1910"/>
      <c r="AB826" s="1910"/>
      <c r="AC826" s="1910"/>
      <c r="AD826" s="1910"/>
      <c r="AE826" s="1911"/>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3.0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3.05"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3.05"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3.0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3.05" customHeight="1">
      <c r="A831"/>
      <c r="B831"/>
      <c r="C831" s="41"/>
      <c r="D831" s="42"/>
      <c r="E831" s="42"/>
      <c r="F831" s="42"/>
      <c r="G831" s="42"/>
      <c r="H831" s="42"/>
      <c r="I831" s="42"/>
      <c r="J831" s="42"/>
      <c r="K831" s="42"/>
      <c r="L831" s="58"/>
      <c r="M831" s="1890" t="s">
        <v>126</v>
      </c>
      <c r="N831" s="1890"/>
      <c r="O831" s="1890"/>
      <c r="P831" s="1919"/>
      <c r="Q831" s="1937" t="s">
        <v>290</v>
      </c>
      <c r="R831" s="1937"/>
      <c r="S831" s="1937"/>
      <c r="T831" s="1937"/>
      <c r="U831" s="1937" t="s">
        <v>291</v>
      </c>
      <c r="V831" s="1937"/>
      <c r="W831" s="1937"/>
      <c r="X831" s="1937"/>
      <c r="Y831" s="1937" t="s">
        <v>292</v>
      </c>
      <c r="Z831" s="1937"/>
      <c r="AA831" s="1937"/>
      <c r="AB831" s="1937"/>
      <c r="AC831" s="1937" t="s">
        <v>361</v>
      </c>
      <c r="AD831" s="1937"/>
      <c r="AE831" s="1937"/>
      <c r="AF831" s="1937"/>
      <c r="AG831" s="1991" t="s">
        <v>335</v>
      </c>
      <c r="AH831" s="1991"/>
      <c r="AI831" s="1991"/>
      <c r="AJ831" s="1991"/>
      <c r="AK831"/>
      <c r="AL831" s="3"/>
      <c r="AM831" s="3"/>
      <c r="AN831" s="3"/>
      <c r="AO831" s="3"/>
      <c r="AP831" s="3"/>
      <c r="AQ831" s="3"/>
      <c r="AR831" s="3"/>
      <c r="AS831" s="3"/>
      <c r="AT831" s="3"/>
      <c r="AU831" s="3"/>
      <c r="AV831" s="3"/>
      <c r="AW831" s="3"/>
      <c r="AX831" s="3"/>
      <c r="AY831" s="3"/>
      <c r="AZ831" s="30"/>
      <c r="BA831" s="30"/>
      <c r="BB831" s="14"/>
      <c r="BC831" s="14"/>
    </row>
    <row r="832" spans="1:110" s="14" customFormat="1" ht="13.05" customHeight="1">
      <c r="A832"/>
      <c r="B832"/>
      <c r="C832" s="47"/>
      <c r="D832" s="48"/>
      <c r="E832" s="48"/>
      <c r="F832" s="48"/>
      <c r="G832" s="48"/>
      <c r="H832" s="48"/>
      <c r="I832" s="48"/>
      <c r="J832" s="48"/>
      <c r="K832" s="48"/>
      <c r="L832" s="49"/>
      <c r="M832" s="1884"/>
      <c r="N832" s="1884"/>
      <c r="O832" s="1884"/>
      <c r="P832" s="1885"/>
      <c r="Q832" s="1937"/>
      <c r="R832" s="1937"/>
      <c r="S832" s="1937"/>
      <c r="T832" s="1937"/>
      <c r="U832" s="1937"/>
      <c r="V832" s="1937"/>
      <c r="W832" s="1937"/>
      <c r="X832" s="1937"/>
      <c r="Y832" s="1937"/>
      <c r="Z832" s="1937"/>
      <c r="AA832" s="1937"/>
      <c r="AB832" s="1937"/>
      <c r="AC832" s="1937"/>
      <c r="AD832" s="1937"/>
      <c r="AE832" s="1937"/>
      <c r="AF832" s="1937"/>
      <c r="AG832" s="1991"/>
      <c r="AH832" s="1991"/>
      <c r="AI832" s="1991"/>
      <c r="AJ832" s="1991"/>
      <c r="AK832"/>
      <c r="AL832" s="3"/>
      <c r="AM832" s="3"/>
      <c r="AN832" s="3"/>
      <c r="AO832" s="3"/>
      <c r="AP832" s="3"/>
      <c r="AQ832" s="3"/>
      <c r="AR832" s="3"/>
      <c r="AS832" s="3"/>
      <c r="AT832" s="3"/>
      <c r="AU832"/>
      <c r="AV832" s="3"/>
      <c r="AW832" s="3"/>
      <c r="AX832" s="3"/>
      <c r="AY832" s="3"/>
      <c r="AZ832" s="30"/>
      <c r="BA832" s="30"/>
    </row>
    <row r="833" spans="1:53" s="14" customFormat="1" ht="13.05" customHeight="1">
      <c r="A833"/>
      <c r="B833"/>
      <c r="C833" s="1864" t="s">
        <v>40</v>
      </c>
      <c r="D833" s="1709"/>
      <c r="E833" s="1709"/>
      <c r="F833" s="1709"/>
      <c r="G833" s="1709"/>
      <c r="H833" s="1709"/>
      <c r="I833" s="48"/>
      <c r="J833" s="48"/>
      <c r="K833" s="48"/>
      <c r="L833" s="49"/>
      <c r="M833" s="1893"/>
      <c r="N833" s="1893"/>
      <c r="O833" s="1893"/>
      <c r="P833" s="1893"/>
      <c r="Q833" s="1893"/>
      <c r="R833" s="1893"/>
      <c r="S833" s="1893"/>
      <c r="T833" s="1893"/>
      <c r="U833" s="1893">
        <v>58</v>
      </c>
      <c r="V833" s="1893"/>
      <c r="W833" s="1893"/>
      <c r="X833" s="1893"/>
      <c r="Y833" s="1893">
        <v>71</v>
      </c>
      <c r="Z833" s="1893"/>
      <c r="AA833" s="1893"/>
      <c r="AB833" s="1893"/>
      <c r="AC833" s="1715"/>
      <c r="AD833" s="1716"/>
      <c r="AE833" s="1716"/>
      <c r="AF833" s="1717"/>
      <c r="AG833" s="1715"/>
      <c r="AH833" s="1716"/>
      <c r="AI833" s="1716"/>
      <c r="AJ833" s="1717"/>
      <c r="AK833"/>
      <c r="AL833" s="3"/>
      <c r="AM833" s="3"/>
      <c r="AN833" s="3"/>
      <c r="AO833" s="3"/>
      <c r="AP833" s="3"/>
      <c r="AQ833" s="3"/>
      <c r="AR833" s="3"/>
      <c r="AS833" s="3"/>
      <c r="AT833" s="3"/>
      <c r="AU833"/>
      <c r="AV833" s="3"/>
      <c r="AW833" s="3"/>
      <c r="AX833" s="3"/>
      <c r="AY833" s="3"/>
      <c r="AZ833" s="30"/>
      <c r="BA833" s="30"/>
    </row>
    <row r="834" spans="1:53" s="14" customFormat="1" ht="13.05" customHeight="1">
      <c r="A834"/>
      <c r="B834"/>
      <c r="C834" s="1894" t="s">
        <v>41</v>
      </c>
      <c r="D834" s="1892"/>
      <c r="E834" s="1892"/>
      <c r="F834" s="1892"/>
      <c r="G834" s="1892"/>
      <c r="H834" s="1892"/>
      <c r="I834" s="5"/>
      <c r="J834" s="5"/>
      <c r="K834" s="5"/>
      <c r="L834" s="46"/>
      <c r="M834" s="1893"/>
      <c r="N834" s="1893"/>
      <c r="O834" s="1893"/>
      <c r="P834" s="1893"/>
      <c r="Q834" s="1893"/>
      <c r="R834" s="1893"/>
      <c r="S834" s="1893"/>
      <c r="T834" s="1893"/>
      <c r="U834" s="1893"/>
      <c r="V834" s="1893"/>
      <c r="W834" s="1893"/>
      <c r="X834" s="1893"/>
      <c r="Y834" s="1893"/>
      <c r="Z834" s="1893"/>
      <c r="AA834" s="1893"/>
      <c r="AB834" s="1893"/>
      <c r="AC834" s="1715"/>
      <c r="AD834" s="1716"/>
      <c r="AE834" s="1716"/>
      <c r="AF834" s="1717"/>
      <c r="AG834" s="1715"/>
      <c r="AH834" s="1716"/>
      <c r="AI834" s="1716"/>
      <c r="AJ834" s="1717"/>
      <c r="AK834"/>
      <c r="AL834" s="3"/>
      <c r="AM834" s="3"/>
      <c r="AN834" s="3"/>
      <c r="AO834" s="3"/>
      <c r="AP834" s="3"/>
      <c r="AQ834" s="3"/>
      <c r="AR834" s="3"/>
      <c r="AS834" s="3"/>
      <c r="AT834" s="3"/>
      <c r="AU834"/>
      <c r="AV834" s="3"/>
      <c r="AW834" s="3"/>
      <c r="AX834" s="3"/>
      <c r="AY834" s="3"/>
      <c r="AZ834" s="30"/>
      <c r="BA834" s="30"/>
    </row>
    <row r="835" spans="1:53" s="14" customFormat="1" ht="13.05" customHeight="1">
      <c r="A835"/>
      <c r="B835"/>
      <c r="C835" s="1894" t="s">
        <v>42</v>
      </c>
      <c r="D835" s="1892"/>
      <c r="E835" s="1892"/>
      <c r="F835" s="1892"/>
      <c r="G835" s="1892"/>
      <c r="H835" s="1892"/>
      <c r="I835" s="60"/>
      <c r="J835" s="60"/>
      <c r="K835" s="60"/>
      <c r="L835" s="61"/>
      <c r="M835" s="1893"/>
      <c r="N835" s="1893"/>
      <c r="O835" s="1893"/>
      <c r="P835" s="1893"/>
      <c r="Q835" s="1893"/>
      <c r="R835" s="1893"/>
      <c r="S835" s="1893"/>
      <c r="T835" s="1893"/>
      <c r="U835" s="1893">
        <v>29</v>
      </c>
      <c r="V835" s="1893"/>
      <c r="W835" s="1893"/>
      <c r="X835" s="1893"/>
      <c r="Y835" s="1893">
        <v>37</v>
      </c>
      <c r="Z835" s="1893"/>
      <c r="AA835" s="1893"/>
      <c r="AB835" s="1893"/>
      <c r="AC835" s="1715"/>
      <c r="AD835" s="1716"/>
      <c r="AE835" s="1716"/>
      <c r="AF835" s="1717"/>
      <c r="AG835" s="1715"/>
      <c r="AH835" s="1716"/>
      <c r="AI835" s="1716"/>
      <c r="AJ835" s="1717"/>
      <c r="AK835"/>
      <c r="AL835" s="3"/>
      <c r="AM835" s="3"/>
      <c r="AN835" s="3"/>
      <c r="AO835" s="3"/>
      <c r="AP835" s="3"/>
      <c r="AQ835" s="3"/>
      <c r="AR835" s="3"/>
      <c r="AS835" s="3"/>
      <c r="AT835" s="3"/>
      <c r="AU835"/>
      <c r="AV835" s="3"/>
      <c r="AW835" s="3"/>
      <c r="AX835" s="3"/>
      <c r="AY835" s="3"/>
      <c r="AZ835" s="30"/>
      <c r="BA835" s="30"/>
    </row>
    <row r="836" spans="1:53" s="14" customFormat="1" ht="13.05" customHeight="1">
      <c r="A836"/>
      <c r="B836"/>
      <c r="C836" s="1894" t="s">
        <v>762</v>
      </c>
      <c r="D836" s="1892"/>
      <c r="E836" s="1892"/>
      <c r="F836" s="1892"/>
      <c r="G836" s="1892"/>
      <c r="H836" s="1892"/>
      <c r="I836" s="60"/>
      <c r="J836" s="60"/>
      <c r="K836" s="60"/>
      <c r="L836" s="61"/>
      <c r="M836" s="1893"/>
      <c r="N836" s="1893"/>
      <c r="O836" s="1893"/>
      <c r="P836" s="1893"/>
      <c r="Q836" s="1893"/>
      <c r="R836" s="1893"/>
      <c r="S836" s="1893"/>
      <c r="T836" s="1893"/>
      <c r="U836" s="1893"/>
      <c r="V836" s="1893"/>
      <c r="W836" s="1893"/>
      <c r="X836" s="1893"/>
      <c r="Y836" s="1893"/>
      <c r="Z836" s="1893"/>
      <c r="AA836" s="1893"/>
      <c r="AB836" s="1893"/>
      <c r="AC836" s="1715"/>
      <c r="AD836" s="1716"/>
      <c r="AE836" s="1716"/>
      <c r="AF836" s="1717"/>
      <c r="AG836" s="1715"/>
      <c r="AH836" s="1716"/>
      <c r="AI836" s="1716"/>
      <c r="AJ836" s="1717"/>
      <c r="AK836"/>
      <c r="AL836" s="3"/>
      <c r="AM836" s="3"/>
      <c r="AN836" s="3"/>
      <c r="AO836" s="3"/>
      <c r="AP836" s="3"/>
      <c r="AQ836" s="3"/>
      <c r="AR836" s="3"/>
      <c r="AS836" s="3"/>
      <c r="AT836" s="3"/>
      <c r="AU836"/>
      <c r="AV836" s="3"/>
      <c r="AW836" s="3"/>
      <c r="AX836" s="3"/>
      <c r="AY836" s="3"/>
      <c r="AZ836" s="30"/>
      <c r="BA836" s="30"/>
    </row>
    <row r="837" spans="1:53" s="14" customFormat="1" ht="13.05" customHeight="1">
      <c r="A837"/>
      <c r="B837"/>
      <c r="C837" s="1894" t="s">
        <v>459</v>
      </c>
      <c r="D837" s="1892"/>
      <c r="E837" s="1892"/>
      <c r="F837" s="1892"/>
      <c r="G837" s="1892"/>
      <c r="H837" s="1892"/>
      <c r="I837" s="60"/>
      <c r="J837" s="60"/>
      <c r="K837" s="60"/>
      <c r="L837" s="61"/>
      <c r="M837" s="1893"/>
      <c r="N837" s="1893"/>
      <c r="O837" s="1893"/>
      <c r="P837" s="1893"/>
      <c r="Q837" s="1893"/>
      <c r="R837" s="1893"/>
      <c r="S837" s="1893"/>
      <c r="T837" s="1893"/>
      <c r="U837" s="1893"/>
      <c r="V837" s="1893"/>
      <c r="W837" s="1893"/>
      <c r="X837" s="1893"/>
      <c r="Y837" s="1893"/>
      <c r="Z837" s="1893"/>
      <c r="AA837" s="1893"/>
      <c r="AB837" s="1893"/>
      <c r="AC837" s="1715"/>
      <c r="AD837" s="1716"/>
      <c r="AE837" s="1716"/>
      <c r="AF837" s="1717"/>
      <c r="AG837" s="1715"/>
      <c r="AH837" s="1716"/>
      <c r="AI837" s="1716"/>
      <c r="AJ837" s="1717"/>
      <c r="AK837"/>
      <c r="AL837" s="3"/>
      <c r="AM837" s="3"/>
      <c r="AN837" s="3"/>
      <c r="AO837" s="3"/>
      <c r="AP837" s="3"/>
      <c r="AQ837" s="3"/>
      <c r="AR837" s="3"/>
      <c r="AS837" s="3"/>
      <c r="AT837" s="3"/>
      <c r="AU837"/>
      <c r="AV837" s="3"/>
      <c r="AW837" s="3"/>
      <c r="AX837" s="3"/>
      <c r="AY837" s="3"/>
      <c r="AZ837" s="30"/>
      <c r="BA837" s="30"/>
    </row>
    <row r="838" spans="1:53" s="14" customFormat="1" ht="13.05" customHeight="1">
      <c r="A838"/>
      <c r="B838"/>
      <c r="C838" s="1891" t="s">
        <v>783</v>
      </c>
      <c r="D838" s="1892"/>
      <c r="E838" s="1892"/>
      <c r="F838" s="1892"/>
      <c r="G838" s="1892"/>
      <c r="H838" s="1892"/>
      <c r="I838" s="60"/>
      <c r="J838" s="60"/>
      <c r="K838" s="60"/>
      <c r="L838" s="61"/>
      <c r="M838" s="1893"/>
      <c r="N838" s="1893"/>
      <c r="O838" s="1893"/>
      <c r="P838" s="1893"/>
      <c r="Q838" s="1893"/>
      <c r="R838" s="1893"/>
      <c r="S838" s="1893"/>
      <c r="T838" s="1893"/>
      <c r="U838" s="1893"/>
      <c r="V838" s="1893"/>
      <c r="W838" s="1893"/>
      <c r="X838" s="1893"/>
      <c r="Y838" s="1893"/>
      <c r="Z838" s="1893"/>
      <c r="AA838" s="1893"/>
      <c r="AB838" s="1893"/>
      <c r="AC838" s="1715"/>
      <c r="AD838" s="1716"/>
      <c r="AE838" s="1716"/>
      <c r="AF838" s="1717"/>
      <c r="AG838" s="1715"/>
      <c r="AH838" s="1716"/>
      <c r="AI838" s="1716"/>
      <c r="AJ838" s="1717"/>
      <c r="AK838"/>
      <c r="AL838" s="3"/>
      <c r="AM838" s="3"/>
      <c r="AN838" s="3"/>
      <c r="AO838" s="3"/>
      <c r="AP838" s="3"/>
      <c r="AQ838" s="3"/>
      <c r="AR838" s="3"/>
      <c r="AS838" s="3"/>
      <c r="AT838" s="3"/>
      <c r="AU838"/>
      <c r="AV838" s="3"/>
      <c r="AW838" s="3"/>
      <c r="AX838" s="3"/>
      <c r="AY838" s="3"/>
      <c r="AZ838" s="30"/>
      <c r="BA838" s="30"/>
    </row>
    <row r="839" spans="1:53" s="14" customFormat="1" ht="13.05" customHeight="1">
      <c r="A839"/>
      <c r="B839"/>
      <c r="C839" s="59" t="s">
        <v>293</v>
      </c>
      <c r="D839" s="60"/>
      <c r="E839" s="60"/>
      <c r="F839" s="1803" t="s">
        <v>2739</v>
      </c>
      <c r="G839" s="1804"/>
      <c r="H839" s="1804"/>
      <c r="I839" s="1804"/>
      <c r="J839" s="1804"/>
      <c r="K839" s="1804"/>
      <c r="L839" s="1804"/>
      <c r="M839" s="1893"/>
      <c r="N839" s="1893"/>
      <c r="O839" s="1893"/>
      <c r="P839" s="1893"/>
      <c r="Q839" s="1893"/>
      <c r="R839" s="1893"/>
      <c r="S839" s="1893"/>
      <c r="T839" s="1893"/>
      <c r="U839" s="1893">
        <v>95</v>
      </c>
      <c r="V839" s="1893"/>
      <c r="W839" s="1893"/>
      <c r="X839" s="1893"/>
      <c r="Y839" s="1893">
        <v>128</v>
      </c>
      <c r="Z839" s="1893"/>
      <c r="AA839" s="1893"/>
      <c r="AB839" s="1893"/>
      <c r="AC839" s="1715"/>
      <c r="AD839" s="1716"/>
      <c r="AE839" s="1716"/>
      <c r="AF839" s="1717"/>
      <c r="AG839" s="1715"/>
      <c r="AH839" s="1716"/>
      <c r="AI839" s="1716"/>
      <c r="AJ839" s="1717"/>
      <c r="AK839"/>
      <c r="AL839" s="3"/>
      <c r="AM839" s="3"/>
      <c r="AN839" s="3"/>
      <c r="AO839" s="3"/>
      <c r="AP839" s="3"/>
      <c r="AQ839" s="3"/>
      <c r="AR839" s="3"/>
      <c r="AS839" s="3"/>
      <c r="AT839" s="3"/>
      <c r="AU839"/>
      <c r="AV839" s="3"/>
      <c r="AW839" s="3"/>
      <c r="AX839" s="3"/>
      <c r="AY839" s="3"/>
      <c r="AZ839" s="30"/>
      <c r="BA839" s="30"/>
    </row>
    <row r="840" spans="1:53" s="14" customFormat="1" ht="13.05" customHeight="1">
      <c r="A840"/>
      <c r="B840"/>
      <c r="C840" s="1770" t="s">
        <v>124</v>
      </c>
      <c r="D840" s="1771"/>
      <c r="E840" s="1771"/>
      <c r="F840" s="1771"/>
      <c r="G840" s="1771"/>
      <c r="H840" s="1771"/>
      <c r="I840" s="1771"/>
      <c r="J840" s="1771"/>
      <c r="K840" s="1771"/>
      <c r="L840" s="1772"/>
      <c r="M840" s="1918">
        <f>SUM(M833:P839)</f>
        <v>0</v>
      </c>
      <c r="N840" s="1918"/>
      <c r="O840" s="1918"/>
      <c r="P840" s="1918"/>
      <c r="Q840" s="1918">
        <f>SUM(Q833:T839)</f>
        <v>0</v>
      </c>
      <c r="R840" s="1918"/>
      <c r="S840" s="1918"/>
      <c r="T840" s="1918"/>
      <c r="U840" s="1918">
        <f>SUM(U833:X839)</f>
        <v>182</v>
      </c>
      <c r="V840" s="1918"/>
      <c r="W840" s="1918"/>
      <c r="X840" s="1918"/>
      <c r="Y840" s="1918">
        <f>SUM(Y833:AB839)</f>
        <v>236</v>
      </c>
      <c r="Z840" s="1918"/>
      <c r="AA840" s="1918"/>
      <c r="AB840" s="1918"/>
      <c r="AC840" s="1918">
        <f>SUM(AC833:AF839)</f>
        <v>0</v>
      </c>
      <c r="AD840" s="1918"/>
      <c r="AE840" s="1918"/>
      <c r="AF840" s="1918"/>
      <c r="AG840" s="1918">
        <f>SUM(AG833:AJ839)</f>
        <v>0</v>
      </c>
      <c r="AH840" s="1918"/>
      <c r="AI840" s="1918"/>
      <c r="AJ840" s="1918"/>
      <c r="AK840"/>
      <c r="AL840" s="3"/>
      <c r="AM840" s="3"/>
      <c r="AN840" s="3"/>
      <c r="AO840" s="3"/>
      <c r="AP840" s="3"/>
      <c r="AQ840" s="3"/>
      <c r="AR840" s="3"/>
      <c r="AS840" s="3"/>
      <c r="AT840" s="3"/>
      <c r="AU840"/>
      <c r="AV840" s="3"/>
      <c r="AW840" s="3"/>
      <c r="AX840" s="3"/>
      <c r="AY840" s="3"/>
      <c r="AZ840" s="30"/>
      <c r="BA840" s="30"/>
    </row>
    <row r="841" spans="1:53" s="14" customFormat="1" ht="13.05"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3.05"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3.0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3.0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3.05" customHeight="1">
      <c r="A845"/>
      <c r="B845"/>
      <c r="C845" s="1929" t="s">
        <v>2740</v>
      </c>
      <c r="D845" s="1930"/>
      <c r="E845" s="1930"/>
      <c r="F845" s="1930"/>
      <c r="G845" s="1930"/>
      <c r="H845" s="1930"/>
      <c r="I845" s="1930"/>
      <c r="J845" s="1930"/>
      <c r="K845" s="1930"/>
      <c r="L845" s="1930"/>
      <c r="M845" s="1930"/>
      <c r="N845" s="1930"/>
      <c r="O845" s="1930"/>
      <c r="P845" s="1930"/>
      <c r="Q845" s="1930"/>
      <c r="R845" s="1930"/>
      <c r="S845" s="1930"/>
      <c r="T845" s="1930"/>
      <c r="U845" s="1930"/>
      <c r="V845" s="1930"/>
      <c r="W845" s="1930"/>
      <c r="X845" s="1930"/>
      <c r="Y845" s="1930"/>
      <c r="Z845" s="1930"/>
      <c r="AA845" s="1930"/>
      <c r="AB845" s="1930"/>
      <c r="AC845" s="1930"/>
      <c r="AD845" s="1930"/>
      <c r="AE845" s="1930"/>
      <c r="AF845" s="1930"/>
      <c r="AG845" s="1930"/>
      <c r="AH845" s="1930"/>
      <c r="AI845" s="1930"/>
      <c r="AJ845" s="1931"/>
      <c r="AK845"/>
      <c r="AL845" s="3"/>
      <c r="AM845" s="3"/>
      <c r="AN845" s="3"/>
      <c r="AO845" s="3"/>
      <c r="AP845" s="3"/>
      <c r="AQ845" s="3"/>
      <c r="AR845" s="3"/>
      <c r="AS845" s="3"/>
      <c r="AT845" s="3"/>
      <c r="AU845"/>
      <c r="AV845"/>
      <c r="AW845"/>
      <c r="AX845"/>
      <c r="AY845"/>
      <c r="AZ845" s="30"/>
      <c r="BA845" s="30"/>
    </row>
    <row r="846" spans="1:53" s="14" customFormat="1" ht="13.05" customHeight="1">
      <c r="A846"/>
      <c r="B846" s="4"/>
      <c r="C846" s="3" t="s">
        <v>1156</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3.0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3.05"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3.0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932"/>
      <c r="BJ849" s="1932"/>
      <c r="BK849" s="1932"/>
      <c r="BL849" s="1932"/>
    </row>
    <row r="850" spans="1:64" s="14" customFormat="1" ht="13.05" customHeight="1">
      <c r="A850"/>
      <c r="B850"/>
      <c r="C850" s="2" t="s">
        <v>343</v>
      </c>
      <c r="D850"/>
      <c r="E850"/>
      <c r="F850"/>
      <c r="G850"/>
      <c r="H850"/>
      <c r="I850"/>
      <c r="J850" s="45" t="s">
        <v>356</v>
      </c>
      <c r="K850" s="5"/>
      <c r="L850" s="5"/>
      <c r="M850" s="5"/>
      <c r="N850" s="5"/>
      <c r="O850" s="5"/>
      <c r="P850" s="5"/>
      <c r="Q850" s="5"/>
      <c r="R850" s="5"/>
      <c r="S850" s="5"/>
      <c r="T850" s="5"/>
      <c r="U850" s="5"/>
      <c r="V850" s="46"/>
      <c r="W850" s="1768">
        <v>10000</v>
      </c>
      <c r="X850" s="1768"/>
      <c r="Y850" s="1768"/>
      <c r="Z850" s="1768"/>
      <c r="AA850" s="1768"/>
      <c r="AB850" s="1768"/>
      <c r="AC850" s="1768"/>
      <c r="AD850"/>
      <c r="AE850"/>
      <c r="AF850"/>
      <c r="AG850"/>
      <c r="AH850"/>
      <c r="AI850"/>
      <c r="AJ850"/>
      <c r="AK850"/>
      <c r="AL850"/>
      <c r="AM850"/>
      <c r="AN850"/>
      <c r="AO850"/>
      <c r="AP850"/>
      <c r="AQ850"/>
      <c r="AR850"/>
      <c r="AS850"/>
      <c r="AT850"/>
      <c r="AU850"/>
      <c r="AV850"/>
      <c r="AW850"/>
      <c r="AX850"/>
      <c r="AY850"/>
      <c r="AZ850" s="30"/>
      <c r="BA850" s="30"/>
    </row>
    <row r="851" spans="1:64" s="14" customFormat="1" ht="13.05" customHeight="1">
      <c r="A851"/>
      <c r="B851"/>
      <c r="C851"/>
      <c r="D851"/>
      <c r="E851"/>
      <c r="F851"/>
      <c r="G851"/>
      <c r="H851"/>
      <c r="I851"/>
      <c r="J851" s="45" t="s">
        <v>355</v>
      </c>
      <c r="K851" s="5"/>
      <c r="L851" s="5"/>
      <c r="M851" s="5"/>
      <c r="N851" s="5"/>
      <c r="O851" s="5"/>
      <c r="P851" s="5"/>
      <c r="Q851" s="5"/>
      <c r="R851" s="5"/>
      <c r="S851" s="5"/>
      <c r="T851" s="5"/>
      <c r="U851" s="5"/>
      <c r="V851" s="46"/>
      <c r="W851" s="1768">
        <v>9000</v>
      </c>
      <c r="X851" s="1768"/>
      <c r="Y851" s="1768"/>
      <c r="Z851" s="1768"/>
      <c r="AA851" s="1768"/>
      <c r="AB851" s="1768"/>
      <c r="AC851" s="1768"/>
      <c r="AD851"/>
      <c r="AE851"/>
      <c r="AF851"/>
      <c r="AG851"/>
      <c r="AH851"/>
      <c r="AI851"/>
      <c r="AJ851"/>
      <c r="AK851"/>
      <c r="AL851"/>
      <c r="AM851"/>
      <c r="AN851"/>
      <c r="AO851"/>
      <c r="AP851"/>
      <c r="AQ851"/>
      <c r="AR851"/>
      <c r="AS851"/>
      <c r="AT851"/>
      <c r="AU851"/>
      <c r="AV851"/>
      <c r="AW851"/>
      <c r="AX851"/>
      <c r="AY851"/>
      <c r="AZ851" s="30"/>
      <c r="BA851" s="30"/>
    </row>
    <row r="852" spans="1:64" ht="13.05" customHeight="1">
      <c r="J852" s="45" t="s">
        <v>354</v>
      </c>
      <c r="K852" s="5"/>
      <c r="L852" s="5"/>
      <c r="M852" s="5"/>
      <c r="N852" s="5"/>
      <c r="O852" s="5"/>
      <c r="P852" s="5"/>
      <c r="Q852" s="5"/>
      <c r="R852" s="5"/>
      <c r="S852" s="5"/>
      <c r="T852" s="5"/>
      <c r="U852" s="5"/>
      <c r="V852" s="46"/>
      <c r="W852" s="1768">
        <v>9000</v>
      </c>
      <c r="X852" s="1768"/>
      <c r="Y852" s="1768"/>
      <c r="Z852" s="1768"/>
      <c r="AA852" s="1768"/>
      <c r="AB852" s="1768"/>
      <c r="AC852" s="1768"/>
      <c r="AZ852" s="30"/>
      <c r="BA852" s="30"/>
      <c r="BB852" s="14"/>
      <c r="BC852" s="14"/>
      <c r="BD852" s="14"/>
      <c r="BE852" s="14"/>
      <c r="BF852" s="14"/>
      <c r="BG852" s="14"/>
      <c r="BH852" s="14"/>
      <c r="BI852" s="14"/>
      <c r="BJ852" s="14"/>
      <c r="BK852" s="14"/>
      <c r="BL852" s="14"/>
    </row>
    <row r="853" spans="1:64" ht="13.05" customHeight="1">
      <c r="J853" s="45" t="s">
        <v>353</v>
      </c>
      <c r="K853" s="5"/>
      <c r="L853" s="5"/>
      <c r="M853" s="5"/>
      <c r="N853" s="5"/>
      <c r="O853" s="5"/>
      <c r="P853" s="5"/>
      <c r="Q853" s="5"/>
      <c r="R853" s="5"/>
      <c r="S853" s="5"/>
      <c r="T853" s="5"/>
      <c r="U853" s="5"/>
      <c r="V853" s="46"/>
      <c r="W853" s="1768"/>
      <c r="X853" s="1768"/>
      <c r="Y853" s="1768"/>
      <c r="Z853" s="1768"/>
      <c r="AA853" s="1768"/>
      <c r="AB853" s="1768"/>
      <c r="AC853" s="1768"/>
      <c r="AZ853" s="30"/>
      <c r="BA853" s="30"/>
      <c r="BB853" s="14"/>
      <c r="BC853" s="14"/>
      <c r="BD853" s="14"/>
      <c r="BE853" s="14"/>
      <c r="BF853" s="14"/>
      <c r="BG853" s="14"/>
      <c r="BH853" s="14"/>
      <c r="BI853" s="14"/>
      <c r="BJ853" s="14"/>
      <c r="BK853" s="14"/>
      <c r="BL853" s="14"/>
    </row>
    <row r="854" spans="1:64" ht="13.05" customHeight="1">
      <c r="J854" s="45" t="s">
        <v>170</v>
      </c>
      <c r="K854" s="5"/>
      <c r="L854" s="5"/>
      <c r="M854" s="1803" t="s">
        <v>2741</v>
      </c>
      <c r="N854" s="1804"/>
      <c r="O854" s="1804"/>
      <c r="P854" s="1804"/>
      <c r="Q854" s="1804"/>
      <c r="R854" s="1804"/>
      <c r="S854" s="1804"/>
      <c r="T854" s="1804"/>
      <c r="U854" s="1804"/>
      <c r="V854" s="1805"/>
      <c r="W854" s="1768">
        <v>9000</v>
      </c>
      <c r="X854" s="1768"/>
      <c r="Y854" s="1768"/>
      <c r="Z854" s="1768"/>
      <c r="AA854" s="1768"/>
      <c r="AB854" s="1768"/>
      <c r="AC854" s="1768"/>
      <c r="AZ854" s="30"/>
      <c r="BA854" s="30"/>
      <c r="BB854" s="14"/>
      <c r="BC854" s="14"/>
      <c r="BD854" s="14"/>
      <c r="BE854" s="14"/>
      <c r="BF854" s="14"/>
      <c r="BG854" s="14"/>
      <c r="BH854" s="14"/>
      <c r="BI854" s="14"/>
      <c r="BJ854" s="14"/>
      <c r="BK854" s="14"/>
      <c r="BL854" s="14"/>
    </row>
    <row r="855" spans="1:64" ht="13.05" customHeight="1">
      <c r="J855" s="45"/>
      <c r="K855" s="5"/>
      <c r="L855" s="5"/>
      <c r="M855" s="5"/>
      <c r="N855" s="5"/>
      <c r="O855" s="5"/>
      <c r="P855" s="5"/>
      <c r="Q855" s="5"/>
      <c r="R855" s="5"/>
      <c r="S855" s="5"/>
      <c r="T855" s="5"/>
      <c r="U855" s="5"/>
      <c r="V855" s="54" t="s">
        <v>342</v>
      </c>
      <c r="W855" s="1909">
        <f>SUM(W850:W854)</f>
        <v>37000</v>
      </c>
      <c r="X855" s="1910"/>
      <c r="Y855" s="1910"/>
      <c r="Z855" s="1910"/>
      <c r="AA855" s="1910"/>
      <c r="AB855" s="1910"/>
      <c r="AC855" s="1911"/>
      <c r="AZ855" s="30"/>
      <c r="BA855" s="30"/>
      <c r="BB855" s="14"/>
      <c r="BC855" s="14"/>
      <c r="BD855" s="14"/>
      <c r="BE855" s="14"/>
      <c r="BF855" s="14"/>
      <c r="BG855" s="14"/>
      <c r="BH855" s="14"/>
      <c r="BI855" s="14"/>
      <c r="BJ855" s="14"/>
      <c r="BK855" s="14"/>
      <c r="BL855" s="14"/>
    </row>
    <row r="856" spans="1:64" ht="13.05" customHeight="1">
      <c r="AZ856" s="30"/>
      <c r="BA856" s="30"/>
      <c r="BB856" s="14"/>
      <c r="BC856" s="14"/>
      <c r="BD856" s="14"/>
      <c r="BE856" s="14"/>
      <c r="BF856" s="14"/>
      <c r="BG856" s="1375"/>
      <c r="BH856" s="1375"/>
      <c r="BI856" s="1375"/>
      <c r="BJ856" s="1375"/>
      <c r="BK856" s="1375"/>
      <c r="BL856" s="1375"/>
    </row>
    <row r="857" spans="1:64" ht="13.05" customHeight="1">
      <c r="C857" s="2" t="s">
        <v>344</v>
      </c>
      <c r="J857" s="1770" t="s">
        <v>345</v>
      </c>
      <c r="K857" s="1771"/>
      <c r="L857" s="1771"/>
      <c r="M857" s="1771"/>
      <c r="N857" s="1771"/>
      <c r="O857" s="1771"/>
      <c r="P857" s="1771"/>
      <c r="Q857" s="1771"/>
      <c r="R857" s="1771"/>
      <c r="S857" s="1771"/>
      <c r="T857" s="1771"/>
      <c r="U857" s="1771"/>
      <c r="V857" s="1772"/>
      <c r="W857" s="1711">
        <v>130000</v>
      </c>
      <c r="X857" s="1712"/>
      <c r="Y857" s="1712"/>
      <c r="Z857" s="1712"/>
      <c r="AA857" s="1712"/>
      <c r="AB857" s="1712"/>
      <c r="AC857" s="1713"/>
      <c r="AD857" s="533"/>
      <c r="AZ857" s="30"/>
      <c r="BA857" s="30"/>
      <c r="BB857" s="14"/>
      <c r="BC857" s="14"/>
    </row>
    <row r="858" spans="1:64" ht="13.05" customHeight="1">
      <c r="AD858" s="533"/>
      <c r="AZ858" s="30"/>
      <c r="BA858" s="30"/>
      <c r="BB858" s="14"/>
      <c r="BC858" s="14"/>
    </row>
    <row r="859" spans="1:64" ht="13.05" customHeight="1">
      <c r="C859" s="2" t="s">
        <v>561</v>
      </c>
      <c r="J859" s="45" t="s">
        <v>352</v>
      </c>
      <c r="K859" s="5"/>
      <c r="L859" s="5"/>
      <c r="M859" s="5"/>
      <c r="N859" s="5"/>
      <c r="O859" s="5"/>
      <c r="P859" s="5"/>
      <c r="Q859" s="5"/>
      <c r="R859" s="5"/>
      <c r="S859" s="5"/>
      <c r="T859" s="5"/>
      <c r="U859" s="5"/>
      <c r="V859" s="46"/>
      <c r="W859" s="1898"/>
      <c r="X859" s="1898"/>
      <c r="Y859" s="1898"/>
      <c r="Z859" s="1898"/>
      <c r="AA859" s="1898"/>
      <c r="AB859" s="1898"/>
      <c r="AC859" s="1898"/>
      <c r="AZ859" s="1936"/>
      <c r="BA859" s="1936"/>
      <c r="BB859" s="14"/>
      <c r="BC859" s="14"/>
    </row>
    <row r="860" spans="1:64" ht="13.05" customHeight="1">
      <c r="J860" s="45" t="s">
        <v>351</v>
      </c>
      <c r="K860" s="5"/>
      <c r="L860" s="5"/>
      <c r="M860" s="5"/>
      <c r="N860" s="5"/>
      <c r="O860" s="5"/>
      <c r="P860" s="5"/>
      <c r="Q860" s="5"/>
      <c r="R860" s="5"/>
      <c r="S860" s="5"/>
      <c r="T860" s="5"/>
      <c r="U860" s="5"/>
      <c r="V860" s="46"/>
      <c r="W860" s="1898"/>
      <c r="X860" s="1898"/>
      <c r="Y860" s="1898"/>
      <c r="Z860" s="1898"/>
      <c r="AA860" s="1898"/>
      <c r="AB860" s="1898"/>
      <c r="AC860" s="1898"/>
      <c r="AZ860" s="30"/>
      <c r="BA860" s="30"/>
      <c r="BB860" s="14"/>
      <c r="BC860" s="14"/>
    </row>
    <row r="861" spans="1:64" ht="13.05" customHeight="1">
      <c r="J861" s="45" t="s">
        <v>459</v>
      </c>
      <c r="K861" s="5"/>
      <c r="L861" s="5"/>
      <c r="M861" s="5"/>
      <c r="N861" s="5"/>
      <c r="O861" s="5"/>
      <c r="P861" s="5"/>
      <c r="Q861" s="5"/>
      <c r="R861" s="5"/>
      <c r="S861" s="5"/>
      <c r="T861" s="5"/>
      <c r="U861" s="5"/>
      <c r="V861" s="46"/>
      <c r="W861" s="1898">
        <v>65000</v>
      </c>
      <c r="X861" s="1898"/>
      <c r="Y861" s="1898"/>
      <c r="Z861" s="1898"/>
      <c r="AA861" s="1898"/>
      <c r="AB861" s="1898"/>
      <c r="AC861" s="1898"/>
      <c r="AZ861" s="30"/>
      <c r="BA861" s="30"/>
      <c r="BB861" s="14"/>
      <c r="BC861" s="14"/>
    </row>
    <row r="862" spans="1:64" ht="13.05" customHeight="1">
      <c r="J862" s="62" t="s">
        <v>620</v>
      </c>
      <c r="K862" s="5"/>
      <c r="L862" s="5"/>
      <c r="M862" s="5"/>
      <c r="N862" s="5"/>
      <c r="O862" s="5"/>
      <c r="P862" s="5"/>
      <c r="Q862" s="5"/>
      <c r="R862" s="5"/>
      <c r="S862" s="5"/>
      <c r="T862" s="5"/>
      <c r="U862" s="5"/>
      <c r="V862" s="46"/>
      <c r="W862" s="1898">
        <v>65000</v>
      </c>
      <c r="X862" s="1898"/>
      <c r="Y862" s="1898"/>
      <c r="Z862" s="1898"/>
      <c r="AA862" s="1898"/>
      <c r="AB862" s="1898"/>
      <c r="AC862" s="1898"/>
      <c r="AZ862" s="34"/>
      <c r="BA862" s="34"/>
      <c r="BB862" s="34"/>
      <c r="BC862" s="34"/>
    </row>
    <row r="863" spans="1:64" ht="13.05" customHeight="1">
      <c r="J863" s="63"/>
      <c r="K863" s="48"/>
      <c r="L863" s="48"/>
      <c r="M863" s="48"/>
      <c r="N863" s="48"/>
      <c r="O863" s="48"/>
      <c r="P863" s="48"/>
      <c r="Q863" s="48"/>
      <c r="R863" s="48"/>
      <c r="S863" s="48"/>
      <c r="T863" s="48"/>
      <c r="U863" s="48"/>
      <c r="V863" s="54" t="s">
        <v>272</v>
      </c>
      <c r="W863" s="1985">
        <f>SUM(W859:W862)</f>
        <v>130000</v>
      </c>
      <c r="X863" s="1985"/>
      <c r="Y863" s="1985"/>
      <c r="Z863" s="1985"/>
      <c r="AA863" s="1985"/>
      <c r="AB863" s="1985"/>
      <c r="AC863" s="1985"/>
      <c r="AZ863" s="34"/>
      <c r="BA863" s="34"/>
      <c r="BB863" s="34"/>
      <c r="BC863" s="34"/>
    </row>
    <row r="864" spans="1:64" ht="13.05" customHeight="1">
      <c r="AZ864" s="34"/>
      <c r="BA864" s="34"/>
      <c r="BB864" s="34"/>
      <c r="BC864" s="34"/>
    </row>
    <row r="865" spans="3:55" ht="13.05" customHeight="1">
      <c r="C865" s="2" t="s">
        <v>346</v>
      </c>
      <c r="J865" s="45" t="s">
        <v>619</v>
      </c>
      <c r="K865" s="5"/>
      <c r="L865" s="5"/>
      <c r="M865" s="5"/>
      <c r="N865" s="5"/>
      <c r="O865" s="5"/>
      <c r="P865" s="5"/>
      <c r="Q865" s="5"/>
      <c r="R865" s="5"/>
      <c r="S865" s="5"/>
      <c r="T865" s="5"/>
      <c r="U865" s="5"/>
      <c r="V865" s="46"/>
      <c r="W865" s="1915">
        <v>77000</v>
      </c>
      <c r="X865" s="1916"/>
      <c r="Y865" s="1916"/>
      <c r="Z865" s="1916"/>
      <c r="AA865" s="1916"/>
      <c r="AB865" s="1916"/>
      <c r="AC865" s="1917"/>
      <c r="AD865" s="528"/>
      <c r="AZ865" s="34"/>
      <c r="BA865" s="34"/>
      <c r="BB865" s="34"/>
      <c r="BC865" s="34"/>
    </row>
    <row r="866" spans="3:55" ht="13.05" customHeight="1">
      <c r="C866" s="2" t="s">
        <v>347</v>
      </c>
      <c r="J866" s="121" t="s">
        <v>1643</v>
      </c>
      <c r="K866" s="5"/>
      <c r="L866" s="5"/>
      <c r="M866" s="5"/>
      <c r="N866" s="5"/>
      <c r="O866" s="5"/>
      <c r="P866" s="5"/>
      <c r="Q866" s="5"/>
      <c r="R866" s="5"/>
      <c r="S866" s="5"/>
      <c r="T866" s="1924">
        <v>3</v>
      </c>
      <c r="U866" s="1925"/>
      <c r="V866" s="1926"/>
      <c r="W866" s="870"/>
      <c r="X866" s="871"/>
      <c r="Y866" s="871"/>
      <c r="Z866" s="871"/>
      <c r="AA866" s="871"/>
      <c r="AB866" s="871"/>
      <c r="AC866" s="872"/>
      <c r="AD866" s="528"/>
      <c r="AZ866" s="34"/>
      <c r="BA866" s="34"/>
      <c r="BB866" s="34"/>
      <c r="BC866" s="34"/>
    </row>
    <row r="867" spans="3:55" ht="13.05" customHeight="1">
      <c r="C867" s="2"/>
      <c r="J867" s="45" t="s">
        <v>618</v>
      </c>
      <c r="K867" s="5"/>
      <c r="L867" s="5"/>
      <c r="M867" s="5"/>
      <c r="N867" s="5"/>
      <c r="O867" s="5"/>
      <c r="P867" s="5"/>
      <c r="Q867" s="5"/>
      <c r="R867" s="5"/>
      <c r="S867" s="5"/>
      <c r="T867" s="5"/>
      <c r="U867" s="5"/>
      <c r="V867" s="46"/>
      <c r="W867" s="1915">
        <v>68000</v>
      </c>
      <c r="X867" s="1916"/>
      <c r="Y867" s="1916"/>
      <c r="Z867" s="1916"/>
      <c r="AA867" s="1916"/>
      <c r="AB867" s="1916"/>
      <c r="AC867" s="1917"/>
      <c r="AD867" s="533"/>
      <c r="AZ867" s="34"/>
      <c r="BA867" s="34"/>
      <c r="BB867" s="34"/>
      <c r="BC867" s="34"/>
    </row>
    <row r="868" spans="3:55" ht="13.05" customHeight="1">
      <c r="C868" s="2"/>
      <c r="J868" s="121" t="s">
        <v>1644</v>
      </c>
      <c r="K868" s="5"/>
      <c r="L868" s="5"/>
      <c r="M868" s="5"/>
      <c r="N868" s="5"/>
      <c r="O868" s="5"/>
      <c r="P868" s="5"/>
      <c r="Q868" s="5"/>
      <c r="R868" s="5"/>
      <c r="S868" s="5"/>
      <c r="T868" s="1924">
        <v>1</v>
      </c>
      <c r="U868" s="1925"/>
      <c r="V868" s="1926"/>
      <c r="W868" s="870"/>
      <c r="X868" s="871"/>
      <c r="Y868" s="871"/>
      <c r="Z868" s="871"/>
      <c r="AA868" s="871"/>
      <c r="AB868" s="871"/>
      <c r="AC868" s="872"/>
      <c r="AD868" s="533"/>
      <c r="AZ868" s="34"/>
      <c r="BA868" s="34"/>
      <c r="BB868" s="34"/>
      <c r="BC868" s="34"/>
    </row>
    <row r="869" spans="3:55" ht="13.05" customHeight="1">
      <c r="J869" s="45" t="s">
        <v>170</v>
      </c>
      <c r="K869" s="5"/>
      <c r="L869" s="5"/>
      <c r="M869" s="1803" t="s">
        <v>2769</v>
      </c>
      <c r="N869" s="1804"/>
      <c r="O869" s="1804"/>
      <c r="P869" s="1804"/>
      <c r="Q869" s="1804"/>
      <c r="R869" s="1804"/>
      <c r="S869" s="1804"/>
      <c r="T869" s="1804"/>
      <c r="U869" s="1804"/>
      <c r="V869" s="1805"/>
      <c r="W869" s="1915">
        <v>59145</v>
      </c>
      <c r="X869" s="1916"/>
      <c r="Y869" s="1916"/>
      <c r="Z869" s="1916"/>
      <c r="AA869" s="1916"/>
      <c r="AB869" s="1916"/>
      <c r="AC869" s="1917"/>
      <c r="AD869" s="528"/>
      <c r="AU869" s="14"/>
      <c r="AZ869" s="34"/>
      <c r="BA869" s="34"/>
      <c r="BB869" s="34"/>
      <c r="BC869" s="34"/>
    </row>
    <row r="870" spans="3:55" ht="13.05" customHeight="1">
      <c r="J870" s="45"/>
      <c r="K870" s="5"/>
      <c r="L870" s="5"/>
      <c r="M870" s="5"/>
      <c r="N870" s="5"/>
      <c r="O870" s="5"/>
      <c r="P870" s="5"/>
      <c r="Q870" s="5"/>
      <c r="R870" s="5"/>
      <c r="S870" s="5"/>
      <c r="T870" s="5"/>
      <c r="U870" s="5"/>
      <c r="V870" s="54" t="s">
        <v>273</v>
      </c>
      <c r="W870" s="1920">
        <f>SUM(W865:W869)</f>
        <v>204145</v>
      </c>
      <c r="X870" s="1921"/>
      <c r="Y870" s="1921"/>
      <c r="Z870" s="1921"/>
      <c r="AA870" s="1921"/>
      <c r="AB870" s="1921"/>
      <c r="AC870" s="1922"/>
      <c r="AD870" s="533"/>
      <c r="AU870" s="14"/>
      <c r="AZ870" s="34"/>
      <c r="BA870" s="34"/>
      <c r="BB870" s="34"/>
      <c r="BC870" s="34"/>
    </row>
    <row r="871" spans="3:55" ht="13.05" customHeight="1">
      <c r="AU871" s="14"/>
      <c r="AZ871" s="34"/>
      <c r="BA871" s="34"/>
      <c r="BB871" s="34"/>
      <c r="BC871" s="34"/>
    </row>
    <row r="872" spans="3:55" ht="13.05" customHeight="1">
      <c r="C872" s="2" t="s">
        <v>155</v>
      </c>
      <c r="J872" s="45"/>
      <c r="K872" s="5"/>
      <c r="L872" s="5"/>
      <c r="M872" s="5"/>
      <c r="N872" s="5"/>
      <c r="O872" s="5"/>
      <c r="P872" s="5"/>
      <c r="Q872" s="5"/>
      <c r="R872" s="5"/>
      <c r="S872" s="5"/>
      <c r="T872" s="5"/>
      <c r="U872" s="5"/>
      <c r="V872" s="54" t="s">
        <v>274</v>
      </c>
      <c r="W872" s="1915">
        <f>87000-1545</f>
        <v>85455</v>
      </c>
      <c r="X872" s="1916"/>
      <c r="Y872" s="1916"/>
      <c r="Z872" s="1916"/>
      <c r="AA872" s="1916"/>
      <c r="AB872" s="1916"/>
      <c r="AC872" s="1917"/>
      <c r="AU872" s="14"/>
      <c r="AZ872" s="34"/>
      <c r="BA872" s="34"/>
      <c r="BB872" s="34"/>
      <c r="BC872" s="34"/>
    </row>
    <row r="873" spans="3:55" ht="13.05" customHeight="1">
      <c r="J873" s="512"/>
      <c r="AU873" s="14"/>
      <c r="AZ873" s="34"/>
      <c r="BA873" s="34"/>
      <c r="BB873" s="34"/>
      <c r="BC873" s="34"/>
    </row>
    <row r="874" spans="3:55" ht="13.05" customHeight="1">
      <c r="C874" s="2" t="s">
        <v>390</v>
      </c>
      <c r="J874" s="45" t="s">
        <v>617</v>
      </c>
      <c r="K874" s="5"/>
      <c r="L874" s="5"/>
      <c r="M874" s="5"/>
      <c r="N874" s="5"/>
      <c r="O874" s="5"/>
      <c r="P874" s="5"/>
      <c r="Q874" s="5"/>
      <c r="R874" s="5"/>
      <c r="S874" s="5"/>
      <c r="T874" s="5"/>
      <c r="U874" s="5"/>
      <c r="V874" s="46"/>
      <c r="W874" s="1768"/>
      <c r="X874" s="1768"/>
      <c r="Y874" s="1768"/>
      <c r="Z874" s="1768"/>
      <c r="AA874" s="1768"/>
      <c r="AB874" s="1768"/>
      <c r="AC874" s="1768"/>
      <c r="AU874" s="14"/>
      <c r="AZ874" s="34"/>
      <c r="BA874" s="34"/>
      <c r="BB874" s="34"/>
      <c r="BC874" s="34"/>
    </row>
    <row r="875" spans="3:55" ht="13.05" customHeight="1">
      <c r="J875" s="45" t="s">
        <v>522</v>
      </c>
      <c r="K875" s="5"/>
      <c r="L875" s="5"/>
      <c r="M875" s="5"/>
      <c r="N875" s="5"/>
      <c r="O875" s="5"/>
      <c r="P875" s="5"/>
      <c r="Q875" s="5"/>
      <c r="R875" s="5"/>
      <c r="S875" s="5"/>
      <c r="T875" s="5"/>
      <c r="U875" s="5"/>
      <c r="V875" s="46"/>
      <c r="W875" s="1768"/>
      <c r="X875" s="1768"/>
      <c r="Y875" s="1768"/>
      <c r="Z875" s="1768"/>
      <c r="AA875" s="1768"/>
      <c r="AB875" s="1768"/>
      <c r="AC875" s="1768"/>
      <c r="AU875" s="4"/>
      <c r="AZ875" s="34"/>
      <c r="BA875" s="34"/>
      <c r="BB875" s="34"/>
      <c r="BC875" s="34"/>
    </row>
    <row r="876" spans="3:55" ht="13.05" customHeight="1">
      <c r="J876" s="45" t="s">
        <v>521</v>
      </c>
      <c r="K876" s="5"/>
      <c r="L876" s="5"/>
      <c r="M876" s="5"/>
      <c r="N876" s="5"/>
      <c r="O876" s="5"/>
      <c r="P876" s="5"/>
      <c r="Q876" s="5"/>
      <c r="R876" s="5"/>
      <c r="S876" s="5"/>
      <c r="T876" s="5"/>
      <c r="U876" s="5"/>
      <c r="V876" s="46"/>
      <c r="W876" s="1768">
        <v>32000</v>
      </c>
      <c r="X876" s="1768"/>
      <c r="Y876" s="1768"/>
      <c r="Z876" s="1768"/>
      <c r="AA876" s="1768"/>
      <c r="AB876" s="1768"/>
      <c r="AC876" s="1768"/>
      <c r="AU876" s="4"/>
      <c r="AZ876" s="34"/>
      <c r="BA876" s="34"/>
      <c r="BB876" s="34"/>
      <c r="BC876" s="34"/>
    </row>
    <row r="877" spans="3:55" ht="13.05" customHeight="1">
      <c r="J877" s="45" t="s">
        <v>520</v>
      </c>
      <c r="K877" s="5"/>
      <c r="L877" s="5"/>
      <c r="M877" s="5"/>
      <c r="N877" s="5"/>
      <c r="O877" s="5"/>
      <c r="P877" s="5"/>
      <c r="Q877" s="5"/>
      <c r="R877" s="5"/>
      <c r="S877" s="5"/>
      <c r="T877" s="5"/>
      <c r="U877" s="5"/>
      <c r="V877" s="46"/>
      <c r="W877" s="1768"/>
      <c r="X877" s="1768"/>
      <c r="Y877" s="1768"/>
      <c r="Z877" s="1768"/>
      <c r="AA877" s="1768"/>
      <c r="AB877" s="1768"/>
      <c r="AC877" s="1768"/>
      <c r="AU877" s="4"/>
      <c r="AZ877" s="34"/>
      <c r="BA877" s="34"/>
      <c r="BB877" s="34"/>
      <c r="BC877" s="34"/>
    </row>
    <row r="878" spans="3:55" ht="13.05" customHeight="1">
      <c r="J878" s="45" t="s">
        <v>519</v>
      </c>
      <c r="K878" s="5"/>
      <c r="L878" s="5"/>
      <c r="M878" s="5"/>
      <c r="N878" s="5"/>
      <c r="O878" s="5"/>
      <c r="P878" s="5"/>
      <c r="Q878" s="5"/>
      <c r="R878" s="5"/>
      <c r="S878" s="5"/>
      <c r="T878" s="5"/>
      <c r="U878" s="5"/>
      <c r="V878" s="46"/>
      <c r="W878" s="1768"/>
      <c r="X878" s="1768"/>
      <c r="Y878" s="1768"/>
      <c r="Z878" s="1768"/>
      <c r="AA878" s="1768"/>
      <c r="AB878" s="1768"/>
      <c r="AC878" s="1768"/>
      <c r="AU878" s="4"/>
      <c r="AZ878" s="34"/>
      <c r="BA878" s="34"/>
      <c r="BB878" s="34"/>
      <c r="BC878" s="34"/>
    </row>
    <row r="879" spans="3:55" ht="13.05" customHeight="1">
      <c r="J879" s="45" t="s">
        <v>518</v>
      </c>
      <c r="K879" s="5"/>
      <c r="L879" s="5"/>
      <c r="M879" s="5"/>
      <c r="N879" s="5"/>
      <c r="O879" s="5"/>
      <c r="P879" s="5"/>
      <c r="Q879" s="5"/>
      <c r="R879" s="5"/>
      <c r="S879" s="5"/>
      <c r="T879" s="5"/>
      <c r="U879" s="5"/>
      <c r="V879" s="46"/>
      <c r="W879" s="1768">
        <f>21000+600-102</f>
        <v>21498</v>
      </c>
      <c r="X879" s="1768"/>
      <c r="Y879" s="1768"/>
      <c r="Z879" s="1768"/>
      <c r="AA879" s="1768"/>
      <c r="AB879" s="1768"/>
      <c r="AC879" s="1768"/>
      <c r="AU879" s="4"/>
      <c r="AZ879" s="34"/>
      <c r="BA879" s="34"/>
      <c r="BB879" s="34"/>
      <c r="BC879" s="34"/>
    </row>
    <row r="880" spans="3:55" ht="13.05" customHeight="1">
      <c r="J880" s="45" t="s">
        <v>170</v>
      </c>
      <c r="K880" s="5"/>
      <c r="L880" s="5"/>
      <c r="M880" s="1803" t="s">
        <v>2742</v>
      </c>
      <c r="N880" s="1804"/>
      <c r="O880" s="1804"/>
      <c r="P880" s="1804"/>
      <c r="Q880" s="1804"/>
      <c r="R880" s="1804"/>
      <c r="S880" s="1804"/>
      <c r="T880" s="1804"/>
      <c r="U880" s="1804"/>
      <c r="V880" s="1805"/>
      <c r="W880" s="1768">
        <v>22800</v>
      </c>
      <c r="X880" s="1768"/>
      <c r="Y880" s="1768"/>
      <c r="Z880" s="1768"/>
      <c r="AA880" s="1768"/>
      <c r="AB880" s="1768"/>
      <c r="AC880" s="1768"/>
      <c r="AD880" s="533"/>
      <c r="AU880" s="4"/>
      <c r="AV880" s="14"/>
      <c r="AW880" s="14"/>
      <c r="AX880" s="14"/>
      <c r="AY880" s="14"/>
      <c r="AZ880" s="34"/>
      <c r="BA880" s="34"/>
      <c r="BB880" s="34"/>
      <c r="BC880" s="34"/>
    </row>
    <row r="881" spans="3:55" ht="13.05" customHeight="1">
      <c r="J881" s="45"/>
      <c r="K881" s="5"/>
      <c r="L881" s="5"/>
      <c r="M881" s="5"/>
      <c r="N881" s="5"/>
      <c r="O881" s="5"/>
      <c r="P881" s="5"/>
      <c r="Q881" s="5"/>
      <c r="R881" s="5"/>
      <c r="S881" s="5"/>
      <c r="T881" s="5"/>
      <c r="U881" s="5"/>
      <c r="V881" s="54" t="s">
        <v>275</v>
      </c>
      <c r="W881" s="1989">
        <f>SUM(W874:W880)</f>
        <v>76298</v>
      </c>
      <c r="X881" s="1989"/>
      <c r="Y881" s="1989"/>
      <c r="Z881" s="1989"/>
      <c r="AA881" s="1989"/>
      <c r="AB881" s="1989"/>
      <c r="AC881" s="1989"/>
      <c r="AU881" s="4"/>
      <c r="AV881" s="14"/>
      <c r="AW881" s="14"/>
      <c r="AX881" s="14"/>
      <c r="AY881" s="14"/>
      <c r="AZ881" s="34"/>
      <c r="BA881" s="34"/>
      <c r="BB881" s="34"/>
      <c r="BC881" s="34"/>
    </row>
    <row r="882" spans="3:55" ht="13.05" customHeight="1">
      <c r="AU882" s="4"/>
      <c r="AV882" s="14"/>
      <c r="AW882" s="14"/>
      <c r="AX882" s="14"/>
      <c r="AY882" s="14"/>
      <c r="AZ882" s="34"/>
      <c r="BA882" s="34"/>
      <c r="BB882" s="34"/>
      <c r="BC882" s="34"/>
    </row>
    <row r="883" spans="3:55" ht="13.05" customHeight="1">
      <c r="C883" s="2" t="s">
        <v>1242</v>
      </c>
      <c r="J883" s="45" t="s">
        <v>170</v>
      </c>
      <c r="K883" s="5"/>
      <c r="L883" s="5"/>
      <c r="M883" s="1803"/>
      <c r="N883" s="1804"/>
      <c r="O883" s="1804"/>
      <c r="P883" s="1804"/>
      <c r="Q883" s="1804"/>
      <c r="R883" s="1804"/>
      <c r="S883" s="1804"/>
      <c r="T883" s="1804"/>
      <c r="U883" s="1804"/>
      <c r="V883" s="1805"/>
      <c r="W883" s="1711"/>
      <c r="X883" s="1712"/>
      <c r="Y883" s="1712"/>
      <c r="Z883" s="1712"/>
      <c r="AA883" s="1712"/>
      <c r="AB883" s="1712"/>
      <c r="AC883" s="1713"/>
      <c r="AD883" s="533"/>
      <c r="AV883" s="14"/>
      <c r="AW883" s="14"/>
      <c r="AX883" s="14"/>
      <c r="AY883" s="14"/>
      <c r="AZ883" s="34"/>
      <c r="BA883" s="34"/>
      <c r="BB883" s="34"/>
      <c r="BC883" s="34"/>
    </row>
    <row r="884" spans="3:55" ht="13.05" customHeight="1">
      <c r="C884" s="2" t="s">
        <v>1243</v>
      </c>
      <c r="J884" s="45" t="s">
        <v>170</v>
      </c>
      <c r="K884" s="5"/>
      <c r="L884" s="5"/>
      <c r="M884" s="1803" t="s">
        <v>334</v>
      </c>
      <c r="N884" s="1804"/>
      <c r="O884" s="1804"/>
      <c r="P884" s="1804"/>
      <c r="Q884" s="1804"/>
      <c r="R884" s="1804"/>
      <c r="S884" s="1804"/>
      <c r="T884" s="1804"/>
      <c r="U884" s="1804"/>
      <c r="V884" s="1805"/>
      <c r="W884" s="1711"/>
      <c r="X884" s="1712"/>
      <c r="Y884" s="1712"/>
      <c r="Z884" s="1712"/>
      <c r="AA884" s="1712"/>
      <c r="AB884" s="1712"/>
      <c r="AC884" s="1713"/>
      <c r="AD884" s="533"/>
      <c r="AV884" s="14"/>
      <c r="AW884" s="14"/>
      <c r="AX884" s="14"/>
      <c r="AY884" s="14"/>
      <c r="AZ884" s="34"/>
      <c r="BA884" s="34"/>
      <c r="BB884" s="34"/>
      <c r="BC884" s="34"/>
    </row>
    <row r="885" spans="3:55" ht="13.05" customHeight="1">
      <c r="J885" s="45" t="s">
        <v>170</v>
      </c>
      <c r="K885" s="5"/>
      <c r="L885" s="5"/>
      <c r="M885" s="1803" t="s">
        <v>334</v>
      </c>
      <c r="N885" s="1804"/>
      <c r="O885" s="1804"/>
      <c r="P885" s="1804"/>
      <c r="Q885" s="1804"/>
      <c r="R885" s="1804"/>
      <c r="S885" s="1804"/>
      <c r="T885" s="1804"/>
      <c r="U885" s="1804"/>
      <c r="V885" s="1805"/>
      <c r="W885" s="1711"/>
      <c r="X885" s="1712"/>
      <c r="Y885" s="1712"/>
      <c r="Z885" s="1712"/>
      <c r="AA885" s="1712"/>
      <c r="AB885" s="1712"/>
      <c r="AC885" s="1713"/>
      <c r="AL885" s="14"/>
      <c r="AM885" s="14"/>
      <c r="AN885" s="14"/>
      <c r="AO885" s="14"/>
      <c r="AP885" s="14"/>
      <c r="AQ885" s="14"/>
      <c r="AR885" s="14"/>
      <c r="AS885" s="14"/>
      <c r="AT885" s="14"/>
      <c r="AV885" s="4"/>
      <c r="AW885" s="4"/>
      <c r="AX885" s="4"/>
      <c r="AY885" s="4"/>
      <c r="AZ885" s="34"/>
      <c r="BA885" s="34"/>
      <c r="BB885" s="34"/>
      <c r="BC885" s="34"/>
    </row>
    <row r="886" spans="3:55" ht="13.05" customHeight="1">
      <c r="J886" s="45" t="s">
        <v>170</v>
      </c>
      <c r="K886" s="5"/>
      <c r="L886" s="5"/>
      <c r="M886" s="1803" t="s">
        <v>334</v>
      </c>
      <c r="N886" s="1804"/>
      <c r="O886" s="1804"/>
      <c r="P886" s="1804"/>
      <c r="Q886" s="1804"/>
      <c r="R886" s="1804"/>
      <c r="S886" s="1804"/>
      <c r="T886" s="1804"/>
      <c r="U886" s="1804"/>
      <c r="V886" s="1805"/>
      <c r="W886" s="1711"/>
      <c r="X886" s="1712"/>
      <c r="Y886" s="1712"/>
      <c r="Z886" s="1712"/>
      <c r="AA886" s="1712"/>
      <c r="AB886" s="1712"/>
      <c r="AC886" s="1713"/>
      <c r="AL886" s="14"/>
      <c r="AM886" s="14"/>
      <c r="AN886" s="14"/>
      <c r="AO886" s="14"/>
      <c r="AP886" s="14"/>
      <c r="AQ886" s="14"/>
      <c r="AR886" s="14"/>
      <c r="AS886" s="14"/>
      <c r="AT886" s="14"/>
      <c r="AV886" s="4"/>
      <c r="AW886" s="4"/>
      <c r="AX886" s="4"/>
      <c r="AY886" s="4"/>
      <c r="AZ886" s="34"/>
      <c r="BA886" s="34"/>
      <c r="BB886" s="34"/>
      <c r="BC886" s="34"/>
    </row>
    <row r="887" spans="3:55" ht="13.05" customHeight="1">
      <c r="J887" s="45" t="s">
        <v>170</v>
      </c>
      <c r="K887" s="5"/>
      <c r="L887" s="5"/>
      <c r="M887" s="1803" t="s">
        <v>334</v>
      </c>
      <c r="N887" s="1804"/>
      <c r="O887" s="1804"/>
      <c r="P887" s="1804"/>
      <c r="Q887" s="1804"/>
      <c r="R887" s="1804"/>
      <c r="S887" s="1804"/>
      <c r="T887" s="1804"/>
      <c r="U887" s="1804"/>
      <c r="V887" s="1805"/>
      <c r="W887" s="1711"/>
      <c r="X887" s="1712"/>
      <c r="Y887" s="1712"/>
      <c r="Z887" s="1712"/>
      <c r="AA887" s="1712"/>
      <c r="AB887" s="1712"/>
      <c r="AC887" s="1713"/>
      <c r="AL887" s="14"/>
      <c r="AM887" s="14"/>
      <c r="AN887" s="14"/>
      <c r="AO887" s="14"/>
      <c r="AP887" s="14"/>
      <c r="AQ887" s="14"/>
      <c r="AR887" s="14"/>
      <c r="AS887" s="14"/>
      <c r="AT887" s="14"/>
      <c r="AV887" s="4"/>
      <c r="AW887" s="4"/>
      <c r="AX887" s="4"/>
      <c r="AY887" s="4"/>
      <c r="AZ887" s="34"/>
      <c r="BA887" s="34"/>
      <c r="BB887" s="34"/>
      <c r="BC887" s="34"/>
    </row>
    <row r="888" spans="3:55" ht="13.05" customHeight="1">
      <c r="J888" s="45"/>
      <c r="K888" s="5"/>
      <c r="L888" s="5"/>
      <c r="M888" s="5"/>
      <c r="N888" s="5"/>
      <c r="O888" s="5"/>
      <c r="P888" s="5"/>
      <c r="Q888" s="5"/>
      <c r="R888" s="5"/>
      <c r="S888" s="5"/>
      <c r="T888" s="5"/>
      <c r="U888" s="5"/>
      <c r="V888" s="54" t="s">
        <v>276</v>
      </c>
      <c r="W888" s="1909">
        <f>SUM(W883:W887)</f>
        <v>0</v>
      </c>
      <c r="X888" s="1910"/>
      <c r="Y888" s="1910"/>
      <c r="Z888" s="1910"/>
      <c r="AA888" s="1910"/>
      <c r="AB888" s="1910"/>
      <c r="AC888" s="1911"/>
      <c r="AL888" s="14"/>
      <c r="AM888" s="14"/>
      <c r="AN888" s="14"/>
      <c r="AO888" s="14"/>
      <c r="AP888" s="14"/>
      <c r="AQ888" s="14"/>
      <c r="AR888" s="14"/>
      <c r="AS888" s="14"/>
      <c r="AT888" s="14"/>
      <c r="AV888" s="4"/>
      <c r="AW888" s="4"/>
      <c r="AX888" s="4"/>
      <c r="AY888" s="4"/>
      <c r="AZ888" s="34"/>
      <c r="BA888" s="34"/>
      <c r="BB888" s="34"/>
      <c r="BC888" s="34"/>
    </row>
    <row r="889" spans="3:55" ht="13.0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3.0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3.0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3.0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910">
        <f>W855+W863+W870+W872+W881+W888+W857</f>
        <v>662898</v>
      </c>
      <c r="AD892" s="1910"/>
      <c r="AE892" s="1910"/>
      <c r="AF892" s="1910"/>
      <c r="AG892" s="1910"/>
      <c r="AH892" s="1911"/>
      <c r="AL892" s="4"/>
      <c r="AM892" s="4"/>
      <c r="AN892" s="4"/>
      <c r="AO892" s="4"/>
      <c r="AP892" s="4"/>
      <c r="AQ892" s="4"/>
      <c r="AR892" s="4"/>
      <c r="AS892" s="4"/>
      <c r="AT892" s="4"/>
      <c r="AV892" s="4"/>
      <c r="AW892" s="4"/>
      <c r="AX892" s="4"/>
      <c r="AY892" s="4"/>
      <c r="AZ892" s="34"/>
      <c r="BA892" s="34"/>
      <c r="BB892" s="34"/>
      <c r="BC892" s="34"/>
    </row>
    <row r="893" spans="3:55" ht="13.0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927">
        <f>O805+O785+G761</f>
        <v>102</v>
      </c>
      <c r="AD893" s="1927"/>
      <c r="AE893" s="1927"/>
      <c r="AF893" s="1927"/>
      <c r="AG893" s="1927"/>
      <c r="AH893" s="1928"/>
      <c r="AL893" s="4"/>
      <c r="AM893" s="4"/>
      <c r="AN893" s="4"/>
      <c r="AO893" s="4"/>
      <c r="AP893" s="4"/>
      <c r="AQ893" s="4"/>
      <c r="AR893" s="4"/>
      <c r="AS893" s="4"/>
      <c r="AT893" s="4"/>
      <c r="AZ893" s="34"/>
      <c r="BA893" s="34"/>
      <c r="BB893" s="34"/>
      <c r="BC893" s="34"/>
    </row>
    <row r="894" spans="3:55" ht="13.05" customHeight="1">
      <c r="C894" s="41"/>
      <c r="D894" s="42"/>
      <c r="E894" s="1934" t="s">
        <v>32</v>
      </c>
      <c r="F894" s="1934"/>
      <c r="G894" s="1934"/>
      <c r="H894" s="1934"/>
      <c r="I894" s="1934"/>
      <c r="J894" s="1934"/>
      <c r="K894" s="1934"/>
      <c r="L894" s="1934"/>
      <c r="M894" s="1934"/>
      <c r="N894" s="1934"/>
      <c r="O894" s="1934"/>
      <c r="P894" s="1934"/>
      <c r="Q894" s="1934"/>
      <c r="R894" s="1934"/>
      <c r="S894" s="1934"/>
      <c r="T894" s="1934"/>
      <c r="U894" s="1934"/>
      <c r="V894" s="1934"/>
      <c r="W894" s="1934"/>
      <c r="X894" s="1934"/>
      <c r="Y894" s="1934"/>
      <c r="Z894" s="1934"/>
      <c r="AA894" s="1934"/>
      <c r="AB894" s="1935"/>
      <c r="AC894" s="1989">
        <f>IF(ISERROR((ROUNDDOWN(AC892/AC893,0))),0,(ROUNDDOWN(AC892/AC893,0)))</f>
        <v>6499</v>
      </c>
      <c r="AD894" s="1989"/>
      <c r="AE894" s="1989"/>
      <c r="AF894" s="1989"/>
      <c r="AG894" s="1989"/>
      <c r="AH894" s="1989"/>
      <c r="AL894" s="4"/>
      <c r="AM894" s="4"/>
      <c r="AN894" s="4"/>
      <c r="AO894" s="4"/>
      <c r="AP894" s="4"/>
      <c r="AQ894" s="4"/>
      <c r="AR894" s="4"/>
      <c r="AS894" s="4"/>
      <c r="AT894" s="4"/>
      <c r="AZ894" s="34"/>
      <c r="BA894" s="34"/>
      <c r="BB894" s="34"/>
      <c r="BC894" s="34"/>
    </row>
    <row r="895" spans="3:55" ht="13.0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987">
        <v>1421030</v>
      </c>
      <c r="AD895" s="1988"/>
      <c r="AE895" s="1988"/>
      <c r="AF895" s="1988"/>
      <c r="AG895" s="1988"/>
      <c r="AH895" s="1988"/>
      <c r="AL895" s="4"/>
      <c r="AM895" s="4"/>
      <c r="AN895" s="4"/>
      <c r="AO895" s="4"/>
      <c r="AP895" s="4"/>
      <c r="AQ895" s="4"/>
      <c r="AR895" s="4"/>
      <c r="AS895" s="4"/>
      <c r="AT895" s="4"/>
      <c r="AZ895" s="34"/>
      <c r="BA895" s="34"/>
      <c r="BB895" s="34"/>
      <c r="BC895" s="34"/>
    </row>
    <row r="896" spans="3:55" ht="13.0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1159</v>
      </c>
      <c r="AC896" s="1713"/>
      <c r="AD896" s="1768"/>
      <c r="AE896" s="1768"/>
      <c r="AF896" s="1768"/>
      <c r="AG896" s="1768"/>
      <c r="AH896" s="1768"/>
      <c r="AL896" s="4"/>
      <c r="AM896" s="4"/>
      <c r="AN896" s="4"/>
      <c r="AO896" s="4"/>
      <c r="AP896" s="4"/>
      <c r="AQ896" s="4"/>
      <c r="AR896" s="4"/>
      <c r="AS896" s="4"/>
      <c r="AT896" s="4"/>
      <c r="AZ896" s="34"/>
      <c r="BA896" s="34"/>
      <c r="BB896" s="34"/>
      <c r="BC896" s="34"/>
    </row>
    <row r="897" spans="1:58" ht="13.0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712">
        <v>30000</v>
      </c>
      <c r="AD897" s="1712"/>
      <c r="AE897" s="1712"/>
      <c r="AF897" s="1712"/>
      <c r="AG897" s="1712"/>
      <c r="AH897" s="1713"/>
      <c r="AL897" s="4"/>
      <c r="AM897" s="4"/>
      <c r="AN897" s="4"/>
      <c r="AO897" s="4"/>
      <c r="AP897" s="4"/>
      <c r="AQ897" s="4"/>
      <c r="AR897" s="4"/>
      <c r="AS897" s="4"/>
      <c r="AT897" s="4"/>
      <c r="AZ897" s="34"/>
      <c r="BA897" s="34"/>
      <c r="BB897" s="34"/>
      <c r="BC897" s="34"/>
    </row>
    <row r="898" spans="1:58" ht="13.0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712">
        <v>25500</v>
      </c>
      <c r="AD898" s="1712"/>
      <c r="AE898" s="1712"/>
      <c r="AF898" s="1712"/>
      <c r="AG898" s="1712"/>
      <c r="AH898" s="1713"/>
      <c r="AZ898" s="34"/>
      <c r="BA898" s="34"/>
      <c r="BB898" s="34"/>
      <c r="BC898" s="34"/>
    </row>
    <row r="899" spans="1:58" ht="13.0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1666</v>
      </c>
      <c r="AC899" s="1715">
        <v>10500</v>
      </c>
      <c r="AD899" s="1716"/>
      <c r="AE899" s="1716"/>
      <c r="AF899" s="1716"/>
      <c r="AG899" s="1716"/>
      <c r="AH899" s="1717"/>
      <c r="AZ899" s="34"/>
      <c r="BA899" s="34"/>
      <c r="BB899" s="34"/>
      <c r="BC899" s="34"/>
    </row>
    <row r="900" spans="1:58" ht="13.0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712"/>
      <c r="AD900" s="1712"/>
      <c r="AE900" s="1712"/>
      <c r="AF900" s="1712"/>
      <c r="AG900" s="1712"/>
      <c r="AH900" s="1713"/>
      <c r="AZ900" s="34"/>
      <c r="BA900" s="34"/>
      <c r="BB900" s="34"/>
      <c r="BC900" s="34"/>
    </row>
    <row r="901" spans="1:58" ht="13.05" hidden="1" customHeight="1">
      <c r="C901" s="1770" t="s">
        <v>2185</v>
      </c>
      <c r="D901" s="1771"/>
      <c r="E901" s="1771"/>
      <c r="F901" s="1771"/>
      <c r="G901" s="1771"/>
      <c r="H901" s="1771"/>
      <c r="I901" s="1771"/>
      <c r="J901" s="1771"/>
      <c r="K901" s="1771"/>
      <c r="L901" s="1771"/>
      <c r="M901" s="1771"/>
      <c r="N901" s="1771"/>
      <c r="O901" s="1771"/>
      <c r="P901" s="1771"/>
      <c r="Q901" s="1771"/>
      <c r="R901" s="1771"/>
      <c r="S901" s="1771"/>
      <c r="T901" s="1771"/>
      <c r="U901" s="1771"/>
      <c r="V901" s="1771"/>
      <c r="W901" s="1771"/>
      <c r="X901" s="1771"/>
      <c r="Y901" s="1771"/>
      <c r="Z901" s="1771"/>
      <c r="AA901" s="1771"/>
      <c r="AB901" s="1772"/>
      <c r="AC901" s="1712"/>
      <c r="AD901" s="1712"/>
      <c r="AE901" s="1712"/>
      <c r="AF901" s="1712"/>
      <c r="AG901" s="1712"/>
      <c r="AH901" s="1713"/>
      <c r="AZ901" s="34"/>
      <c r="BA901" s="34"/>
      <c r="BB901" s="34"/>
      <c r="BC901" s="34"/>
    </row>
    <row r="902" spans="1:58" ht="13.0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1645</v>
      </c>
      <c r="AC902" s="1712"/>
      <c r="AD902" s="1712"/>
      <c r="AE902" s="1712"/>
      <c r="AF902" s="1712"/>
      <c r="AG902" s="1712"/>
      <c r="AH902" s="1713"/>
      <c r="AZ902" s="34"/>
      <c r="BA902" s="34"/>
      <c r="BB902" s="34"/>
      <c r="BC902" s="34"/>
    </row>
    <row r="903" spans="1:58" ht="13.05" customHeight="1">
      <c r="C903" s="1899" t="s">
        <v>956</v>
      </c>
      <c r="D903" s="1900"/>
      <c r="E903" s="1900"/>
      <c r="F903" s="1900"/>
      <c r="G903" s="1900"/>
      <c r="H903" s="1900"/>
      <c r="I903" s="1900"/>
      <c r="J903" s="1900"/>
      <c r="K903" s="1900"/>
      <c r="L903" s="1900"/>
      <c r="M903" s="1900"/>
      <c r="N903" s="1900"/>
      <c r="O903" s="1900"/>
      <c r="P903" s="1900"/>
      <c r="Q903" s="1900"/>
      <c r="R903" s="1900"/>
      <c r="S903" s="1900"/>
      <c r="T903" s="1900"/>
      <c r="U903" s="1900"/>
      <c r="V903" s="1900"/>
      <c r="W903" s="1900"/>
      <c r="X903" s="1900"/>
      <c r="Y903" s="1900"/>
      <c r="Z903" s="1900"/>
      <c r="AA903" s="1900"/>
      <c r="AB903" s="1901"/>
      <c r="AC903" s="1768"/>
      <c r="AD903" s="1768"/>
      <c r="AE903" s="1768"/>
      <c r="AF903" s="1768"/>
      <c r="AG903" s="1768"/>
      <c r="AH903" s="1768"/>
      <c r="AZ903" s="34"/>
      <c r="BA903" s="34"/>
      <c r="BB903" s="34"/>
      <c r="BC903" s="34"/>
    </row>
    <row r="904" spans="1:58" ht="13.05" customHeight="1">
      <c r="C904" s="1899" t="s">
        <v>956</v>
      </c>
      <c r="D904" s="1900"/>
      <c r="E904" s="1900"/>
      <c r="F904" s="1900"/>
      <c r="G904" s="1900"/>
      <c r="H904" s="1900"/>
      <c r="I904" s="1900"/>
      <c r="J904" s="1900"/>
      <c r="K904" s="1900"/>
      <c r="L904" s="1900"/>
      <c r="M904" s="1900"/>
      <c r="N904" s="1900"/>
      <c r="O904" s="1900"/>
      <c r="P904" s="1900"/>
      <c r="Q904" s="1900"/>
      <c r="R904" s="1900"/>
      <c r="S904" s="1900"/>
      <c r="T904" s="1900"/>
      <c r="U904" s="1900"/>
      <c r="V904" s="1900"/>
      <c r="W904" s="1900"/>
      <c r="X904" s="1900"/>
      <c r="Y904" s="1900"/>
      <c r="Z904" s="1900"/>
      <c r="AA904" s="1900"/>
      <c r="AB904" s="1901"/>
      <c r="AC904" s="1768"/>
      <c r="AD904" s="1768"/>
      <c r="AE904" s="1768"/>
      <c r="AF904" s="1768"/>
      <c r="AG904" s="1768"/>
      <c r="AH904" s="1768"/>
      <c r="AU904" s="95"/>
      <c r="AZ904" s="34"/>
      <c r="BA904" s="34"/>
      <c r="BB904" s="34"/>
      <c r="BC904" s="34"/>
    </row>
    <row r="905" spans="1:58" ht="13.05" customHeight="1">
      <c r="E905" s="512"/>
      <c r="AB905" s="56"/>
      <c r="AC905" s="123"/>
      <c r="AD905" s="123"/>
      <c r="AE905" s="123"/>
      <c r="AF905" s="123"/>
      <c r="AG905" s="123"/>
      <c r="AH905" s="123"/>
      <c r="AU905" s="95"/>
      <c r="AZ905" s="34"/>
      <c r="BA905" s="34"/>
      <c r="BB905" s="34"/>
      <c r="BC905" s="34"/>
    </row>
    <row r="906" spans="1:58" ht="13.05" customHeight="1">
      <c r="A906" s="2" t="s">
        <v>613</v>
      </c>
      <c r="C906" s="2" t="s">
        <v>237</v>
      </c>
      <c r="X906" s="12"/>
      <c r="Y906" s="12"/>
      <c r="Z906" s="12"/>
      <c r="AA906" s="12"/>
      <c r="AB906" s="12"/>
      <c r="AC906" s="12"/>
      <c r="AD906" s="12"/>
      <c r="AU906" s="95"/>
      <c r="AZ906" s="34"/>
      <c r="BB906" s="30"/>
      <c r="BC906" s="30"/>
    </row>
    <row r="907" spans="1:58" ht="13.05" customHeight="1">
      <c r="X907" s="12"/>
      <c r="Y907" s="12"/>
      <c r="Z907" s="12"/>
      <c r="AA907" s="12"/>
      <c r="AB907" s="12"/>
      <c r="AC907" s="12"/>
      <c r="AD907" s="12"/>
      <c r="AF907" s="533"/>
      <c r="AG907" s="180"/>
      <c r="AH907" s="180"/>
      <c r="AI907" s="180"/>
      <c r="AU907" s="95"/>
      <c r="AZ907" s="34"/>
      <c r="BB907" s="30"/>
      <c r="BC907" s="30"/>
      <c r="BD907" s="14"/>
      <c r="BE907" s="14"/>
      <c r="BF907" s="14"/>
    </row>
    <row r="908" spans="1:58" ht="13.05" customHeight="1">
      <c r="B908" s="2"/>
      <c r="H908" s="121" t="s">
        <v>238</v>
      </c>
      <c r="I908" s="5"/>
      <c r="J908" s="5"/>
      <c r="K908" s="5"/>
      <c r="L908" s="5"/>
      <c r="M908" s="5"/>
      <c r="N908" s="5"/>
      <c r="O908" s="5"/>
      <c r="P908" s="5"/>
      <c r="Q908" s="5"/>
      <c r="R908" s="5"/>
      <c r="S908" s="5"/>
      <c r="T908" s="5"/>
      <c r="U908" s="5"/>
      <c r="V908" s="5"/>
      <c r="W908" s="5"/>
      <c r="X908" s="5"/>
      <c r="Y908" s="46"/>
      <c r="Z908" s="1711"/>
      <c r="AA908" s="1712"/>
      <c r="AB908" s="1712"/>
      <c r="AC908" s="1712"/>
      <c r="AD908" s="1712"/>
      <c r="AE908" s="1713"/>
      <c r="AF908" s="533"/>
      <c r="AZ908" s="34"/>
      <c r="BB908" s="30"/>
      <c r="BC908" s="812"/>
      <c r="BD908" s="1914"/>
      <c r="BE908" s="1914"/>
      <c r="BF908" s="14"/>
    </row>
    <row r="909" spans="1:58" ht="13.05" customHeight="1">
      <c r="H909" s="121" t="s">
        <v>239</v>
      </c>
      <c r="I909" s="5"/>
      <c r="J909" s="5"/>
      <c r="K909" s="5"/>
      <c r="L909" s="5"/>
      <c r="M909" s="5"/>
      <c r="N909" s="5"/>
      <c r="O909" s="5"/>
      <c r="P909" s="5"/>
      <c r="Q909" s="5"/>
      <c r="R909" s="5"/>
      <c r="S909" s="5"/>
      <c r="T909" s="5"/>
      <c r="U909" s="5"/>
      <c r="V909" s="5"/>
      <c r="W909" s="5"/>
      <c r="X909" s="5"/>
      <c r="Y909" s="5"/>
      <c r="Z909" s="1711"/>
      <c r="AA909" s="1712"/>
      <c r="AB909" s="1712"/>
      <c r="AC909" s="1712"/>
      <c r="AD909" s="1712"/>
      <c r="AE909" s="1713"/>
      <c r="AZ909" s="34"/>
      <c r="BB909" s="30"/>
      <c r="BC909" s="812"/>
      <c r="BD909" s="1914"/>
      <c r="BE909" s="1914"/>
      <c r="BF909" s="14"/>
    </row>
    <row r="910" spans="1:58" ht="13.05" customHeight="1">
      <c r="H910" s="121" t="s">
        <v>240</v>
      </c>
      <c r="I910" s="5"/>
      <c r="J910" s="5"/>
      <c r="K910" s="5"/>
      <c r="L910" s="5"/>
      <c r="M910" s="5"/>
      <c r="N910" s="5"/>
      <c r="O910" s="5"/>
      <c r="P910" s="5"/>
      <c r="Q910" s="5"/>
      <c r="R910" s="5"/>
      <c r="S910" s="5"/>
      <c r="T910" s="5"/>
      <c r="U910" s="5"/>
      <c r="V910" s="5"/>
      <c r="W910" s="5"/>
      <c r="X910" s="5"/>
      <c r="Y910" s="5"/>
      <c r="Z910" s="1711"/>
      <c r="AA910" s="1712"/>
      <c r="AB910" s="1712"/>
      <c r="AC910" s="1712"/>
      <c r="AD910" s="1712"/>
      <c r="AE910" s="1713"/>
      <c r="AZ910" s="34"/>
      <c r="BB910" s="30"/>
      <c r="BC910" s="812"/>
      <c r="BD910" s="1375"/>
      <c r="BE910" s="1375"/>
      <c r="BF910" s="14"/>
    </row>
    <row r="911" spans="1:58" ht="13.05" customHeight="1">
      <c r="H911" s="45"/>
      <c r="I911" s="5"/>
      <c r="J911" s="5"/>
      <c r="K911" s="5"/>
      <c r="L911" s="5"/>
      <c r="M911" s="5"/>
      <c r="N911" s="5"/>
      <c r="O911" s="5"/>
      <c r="P911" s="5"/>
      <c r="Q911" s="5"/>
      <c r="R911" s="5"/>
      <c r="S911" s="5"/>
      <c r="T911" s="5"/>
      <c r="U911" s="5"/>
      <c r="V911" s="5"/>
      <c r="W911" s="5"/>
      <c r="X911" s="5"/>
      <c r="Y911" s="181" t="s">
        <v>241</v>
      </c>
      <c r="Z911" s="1909">
        <f>Z908-(Z909+Z910)</f>
        <v>0</v>
      </c>
      <c r="AA911" s="1910"/>
      <c r="AB911" s="1910"/>
      <c r="AC911" s="1910"/>
      <c r="AD911" s="1910"/>
      <c r="AE911" s="1911"/>
      <c r="AZ911" s="34"/>
      <c r="BB911" s="30"/>
      <c r="BC911" s="812"/>
      <c r="BD911" s="1375"/>
      <c r="BE911" s="1375"/>
      <c r="BF911" s="14"/>
    </row>
    <row r="912" spans="1:58" ht="13.0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375"/>
      <c r="BE912" s="1375"/>
      <c r="BF912" s="14"/>
    </row>
    <row r="913" spans="1:58" ht="13.0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914"/>
      <c r="BE913" s="1375"/>
      <c r="BF913" s="14"/>
    </row>
    <row r="914" spans="1:58" ht="13.0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933"/>
      <c r="BE914" s="1933"/>
      <c r="BF914" s="1933"/>
    </row>
    <row r="915" spans="1:58" ht="13.0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932"/>
      <c r="BE915" s="1932"/>
      <c r="BF915" s="1932"/>
    </row>
    <row r="916" spans="1:58" ht="13.05" customHeight="1">
      <c r="C916" s="340" t="s">
        <v>1012</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375"/>
      <c r="BE916" s="1375"/>
      <c r="BF916" s="14"/>
    </row>
    <row r="917" spans="1:58" ht="13.0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914"/>
      <c r="BE917" s="1375"/>
      <c r="BF917" s="14"/>
    </row>
    <row r="918" spans="1:58" ht="13.05" customHeight="1">
      <c r="AZ918" s="34"/>
      <c r="BB918" s="30"/>
      <c r="BC918" s="812"/>
    </row>
    <row r="919" spans="1:58" ht="13.05" customHeight="1">
      <c r="A919" s="1741" t="s">
        <v>96</v>
      </c>
      <c r="B919" s="1741"/>
      <c r="C919" s="1741"/>
      <c r="D919" s="1741"/>
      <c r="E919" s="1741"/>
      <c r="F919" s="1741"/>
      <c r="G919" s="1741"/>
      <c r="H919" s="1741"/>
      <c r="I919" s="1741"/>
      <c r="J919" s="1741"/>
      <c r="K919" s="1741"/>
      <c r="L919" s="1741"/>
      <c r="M919" s="1741"/>
      <c r="N919" s="1741"/>
      <c r="O919" s="1741"/>
      <c r="P919" s="1741"/>
      <c r="Q919" s="1741"/>
      <c r="R919" s="1741"/>
      <c r="S919" s="1741"/>
      <c r="T919" s="1741"/>
      <c r="U919" s="1741"/>
      <c r="V919" s="1741"/>
      <c r="W919" s="1741"/>
      <c r="X919" s="1741"/>
      <c r="Y919" s="1741"/>
      <c r="Z919" s="1741"/>
      <c r="AA919" s="1741"/>
      <c r="AB919" s="1741"/>
      <c r="AC919" s="1741"/>
      <c r="AD919" s="1741"/>
      <c r="AE919" s="1741"/>
      <c r="AF919" s="1741"/>
      <c r="AG919" s="1741"/>
      <c r="AH919" s="1741"/>
      <c r="AI919" s="1741"/>
      <c r="AJ919" s="1741"/>
      <c r="AK919" s="1741"/>
      <c r="AL919" s="1741"/>
      <c r="AM919" s="1741"/>
      <c r="AN919" s="1741"/>
      <c r="AO919" s="1741"/>
      <c r="AP919" s="1741"/>
      <c r="AQ919" s="1741"/>
      <c r="AR919" s="1741"/>
      <c r="AS919" s="1741"/>
      <c r="AT919" s="1741"/>
      <c r="AZ919" s="34"/>
      <c r="BA919" s="34"/>
      <c r="BB919" s="30"/>
      <c r="BC919" s="30"/>
      <c r="BD919" s="1914"/>
      <c r="BE919" s="1375"/>
      <c r="BF919" s="907"/>
    </row>
    <row r="920" spans="1:58" ht="13.05" customHeight="1">
      <c r="A920" s="1741"/>
      <c r="B920" s="1741"/>
      <c r="C920" s="1741"/>
      <c r="D920" s="1741"/>
      <c r="E920" s="1741"/>
      <c r="F920" s="1741"/>
      <c r="G920" s="1741"/>
      <c r="H920" s="1741"/>
      <c r="I920" s="1741"/>
      <c r="J920" s="1741"/>
      <c r="K920" s="1741"/>
      <c r="L920" s="1741"/>
      <c r="M920" s="1741"/>
      <c r="N920" s="1741"/>
      <c r="O920" s="1741"/>
      <c r="P920" s="1741"/>
      <c r="Q920" s="1741"/>
      <c r="R920" s="1741"/>
      <c r="S920" s="1741"/>
      <c r="T920" s="1741"/>
      <c r="U920" s="1741"/>
      <c r="V920" s="1741"/>
      <c r="W920" s="1741"/>
      <c r="X920" s="1741"/>
      <c r="Y920" s="1741"/>
      <c r="Z920" s="1741"/>
      <c r="AA920" s="1741"/>
      <c r="AB920" s="1741"/>
      <c r="AC920" s="1741"/>
      <c r="AD920" s="1741"/>
      <c r="AE920" s="1741"/>
      <c r="AF920" s="1741"/>
      <c r="AG920" s="1741"/>
      <c r="AH920" s="1741"/>
      <c r="AI920" s="1741"/>
      <c r="AJ920" s="1741"/>
      <c r="AK920" s="1741"/>
      <c r="AL920" s="1741"/>
      <c r="AM920" s="1741"/>
      <c r="AN920" s="1741"/>
      <c r="AO920" s="1741"/>
      <c r="AP920" s="1741"/>
      <c r="AQ920" s="1741"/>
      <c r="AR920" s="1741"/>
      <c r="AS920" s="1741"/>
      <c r="AT920" s="1741"/>
      <c r="AZ920" s="34"/>
      <c r="BA920" s="34"/>
      <c r="BB920" s="34"/>
      <c r="BC920" s="34"/>
      <c r="BD920" s="34"/>
      <c r="BE920" s="34"/>
      <c r="BF920" s="34"/>
    </row>
    <row r="921" spans="1:58" ht="13.0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3.0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3.05" customHeight="1">
      <c r="AZ923" s="34"/>
      <c r="BA923" s="34"/>
      <c r="BB923" s="34"/>
      <c r="BC923" s="34"/>
    </row>
    <row r="924" spans="1:58" ht="13.05" customHeight="1">
      <c r="F924" s="1895" t="s">
        <v>792</v>
      </c>
      <c r="G924" s="1896"/>
      <c r="H924" s="1896"/>
      <c r="I924" s="1896"/>
      <c r="J924" s="1896"/>
      <c r="K924" s="1896"/>
      <c r="L924" s="1896"/>
      <c r="M924" s="1896"/>
      <c r="N924" s="1896"/>
      <c r="O924" s="1896"/>
      <c r="P924" s="1896"/>
      <c r="Q924" s="1896"/>
      <c r="R924" s="1896"/>
      <c r="S924" s="1896"/>
      <c r="T924" s="1897"/>
      <c r="U924" s="1889" t="s">
        <v>31</v>
      </c>
      <c r="V924" s="1890"/>
      <c r="W924" s="1890"/>
      <c r="X924" s="1890"/>
      <c r="Y924" s="1890"/>
      <c r="Z924" s="1890"/>
      <c r="AA924" s="43"/>
      <c r="AB924" s="105"/>
      <c r="AC924" s="105"/>
      <c r="AD924" s="105"/>
      <c r="AE924" s="105"/>
      <c r="AF924" s="106"/>
      <c r="AZ924" s="34"/>
      <c r="BA924" s="34"/>
      <c r="BB924" s="34"/>
      <c r="BC924" s="34"/>
    </row>
    <row r="925" spans="1:58" ht="13.05" customHeight="1">
      <c r="B925" s="2"/>
      <c r="F925" s="1880" t="s">
        <v>818</v>
      </c>
      <c r="G925" s="1881"/>
      <c r="H925" s="1881"/>
      <c r="I925" s="1881"/>
      <c r="J925" s="1881"/>
      <c r="K925" s="1881"/>
      <c r="L925" s="1881"/>
      <c r="M925" s="1881"/>
      <c r="N925" s="1881"/>
      <c r="O925" s="1881"/>
      <c r="P925" s="1881"/>
      <c r="Q925" s="1881"/>
      <c r="R925" s="1881"/>
      <c r="S925" s="1881"/>
      <c r="T925" s="1882"/>
      <c r="U925" s="1880"/>
      <c r="V925" s="1881"/>
      <c r="W925" s="1881"/>
      <c r="X925" s="1881"/>
      <c r="Y925" s="1881"/>
      <c r="Z925" s="1881"/>
      <c r="AA925" s="44"/>
      <c r="AB925" s="4"/>
      <c r="AC925" s="4"/>
      <c r="AD925" s="4"/>
      <c r="AE925" s="4"/>
      <c r="AF925" s="107"/>
      <c r="AZ925" s="34"/>
      <c r="BA925" s="34"/>
      <c r="BB925" s="34"/>
      <c r="BC925" s="34"/>
    </row>
    <row r="926" spans="1:58" ht="13.05" customHeight="1">
      <c r="B926" s="2"/>
      <c r="F926" s="1883"/>
      <c r="G926" s="1884"/>
      <c r="H926" s="1884"/>
      <c r="I926" s="1884"/>
      <c r="J926" s="1884"/>
      <c r="K926" s="1884"/>
      <c r="L926" s="1884"/>
      <c r="M926" s="1884"/>
      <c r="N926" s="1884"/>
      <c r="O926" s="1884"/>
      <c r="P926" s="1884"/>
      <c r="Q926" s="1884"/>
      <c r="R926" s="1884"/>
      <c r="S926" s="1884"/>
      <c r="T926" s="1885"/>
      <c r="U926" s="1883"/>
      <c r="V926" s="1884"/>
      <c r="W926" s="1884"/>
      <c r="X926" s="1884"/>
      <c r="Y926" s="1884"/>
      <c r="Z926" s="1884"/>
      <c r="AA926" s="108"/>
      <c r="AB926" s="1912" t="s">
        <v>391</v>
      </c>
      <c r="AC926" s="1912"/>
      <c r="AD926" s="1912"/>
      <c r="AE926" s="1912"/>
      <c r="AF926" s="109"/>
      <c r="AZ926" s="34"/>
      <c r="BA926" s="34"/>
      <c r="BB926" s="34"/>
      <c r="BC926" s="34"/>
    </row>
    <row r="927" spans="1:58" ht="13.05" customHeight="1">
      <c r="B927" s="2"/>
      <c r="F927" s="45" t="s">
        <v>758</v>
      </c>
      <c r="G927" s="48"/>
      <c r="H927" s="48"/>
      <c r="I927" s="48"/>
      <c r="J927" s="48"/>
      <c r="K927" s="48"/>
      <c r="L927" s="48"/>
      <c r="M927" s="48"/>
      <c r="N927" s="48"/>
      <c r="O927" s="48"/>
      <c r="P927" s="48"/>
      <c r="Q927" s="48"/>
      <c r="R927" s="48"/>
      <c r="S927" s="48"/>
      <c r="T927" s="49"/>
      <c r="U927" s="1635" t="s">
        <v>545</v>
      </c>
      <c r="V927" s="1636"/>
      <c r="W927" s="1636"/>
      <c r="X927" s="1636"/>
      <c r="Y927" s="1636"/>
      <c r="Z927" s="1637"/>
      <c r="AA927" s="1673">
        <f>AM562</f>
        <v>21000000</v>
      </c>
      <c r="AB927" s="1674"/>
      <c r="AC927" s="1674"/>
      <c r="AD927" s="1674"/>
      <c r="AE927" s="1674"/>
      <c r="AF927" s="1675"/>
      <c r="AG927" s="1191" t="str">
        <f>IF(NOT(AA927=AW927),"!","")</f>
        <v/>
      </c>
      <c r="AH927" s="3"/>
      <c r="AW927" s="1601">
        <f>SUMIF($M$562:$M$573,"Loan, Tax-Exempt",$AM$562:$AM$573)</f>
        <v>21000000</v>
      </c>
      <c r="AX927" s="1601"/>
      <c r="AY927" s="1601"/>
      <c r="AZ927" s="3" t="s">
        <v>2528</v>
      </c>
      <c r="BA927" s="34"/>
      <c r="BB927" s="34"/>
      <c r="BC927" s="34"/>
    </row>
    <row r="928" spans="1:58" ht="13.05" customHeight="1">
      <c r="B928" s="2"/>
      <c r="F928" s="66" t="s">
        <v>675</v>
      </c>
      <c r="G928" s="48"/>
      <c r="H928" s="48"/>
      <c r="I928" s="48"/>
      <c r="J928" s="48"/>
      <c r="K928" s="48"/>
      <c r="L928" s="48"/>
      <c r="M928" s="48"/>
      <c r="N928" s="48"/>
      <c r="O928" s="48"/>
      <c r="P928" s="48"/>
      <c r="Q928" s="48"/>
      <c r="R928" s="48"/>
      <c r="S928" s="48"/>
      <c r="T928" s="49"/>
      <c r="U928" s="1635" t="s">
        <v>545</v>
      </c>
      <c r="V928" s="1636"/>
      <c r="W928" s="1636"/>
      <c r="X928" s="1636"/>
      <c r="Y928" s="1636"/>
      <c r="Z928" s="1637"/>
      <c r="AA928" s="1673">
        <f>AM563</f>
        <v>12733522</v>
      </c>
      <c r="AB928" s="1674"/>
      <c r="AC928" s="1674"/>
      <c r="AD928" s="1674"/>
      <c r="AE928" s="1674"/>
      <c r="AF928" s="1675"/>
      <c r="AZ928" s="34"/>
      <c r="BA928" s="34"/>
      <c r="BB928" s="34"/>
      <c r="BC928" s="34"/>
    </row>
    <row r="929" spans="6:55" ht="13.05" customHeight="1">
      <c r="F929" s="45" t="s">
        <v>801</v>
      </c>
      <c r="G929" s="5"/>
      <c r="H929" s="5"/>
      <c r="I929" s="5"/>
      <c r="J929" s="5"/>
      <c r="K929" s="5"/>
      <c r="L929" s="5"/>
      <c r="M929" s="5"/>
      <c r="N929" s="5"/>
      <c r="O929" s="5"/>
      <c r="P929" s="5"/>
      <c r="Q929" s="5"/>
      <c r="R929" s="5"/>
      <c r="S929" s="5"/>
      <c r="T929" s="46"/>
      <c r="U929" s="1635" t="s">
        <v>591</v>
      </c>
      <c r="V929" s="1636"/>
      <c r="W929" s="1636"/>
      <c r="X929" s="1636"/>
      <c r="Y929" s="1636"/>
      <c r="Z929" s="1637"/>
      <c r="AA929" s="1673"/>
      <c r="AB929" s="1674"/>
      <c r="AC929" s="1674"/>
      <c r="AD929" s="1674"/>
      <c r="AE929" s="1674"/>
      <c r="AF929" s="1675"/>
      <c r="AZ929" s="34"/>
      <c r="BA929" s="34"/>
      <c r="BB929" s="34"/>
      <c r="BC929" s="34"/>
    </row>
    <row r="930" spans="6:55" ht="13.05" customHeight="1">
      <c r="F930" s="45" t="s">
        <v>678</v>
      </c>
      <c r="G930" s="5"/>
      <c r="H930" s="5"/>
      <c r="I930" s="5"/>
      <c r="J930" s="5"/>
      <c r="K930" s="5"/>
      <c r="L930" s="5"/>
      <c r="M930" s="5"/>
      <c r="N930" s="5"/>
      <c r="O930" s="5"/>
      <c r="P930" s="5"/>
      <c r="Q930" s="5"/>
      <c r="R930" s="5"/>
      <c r="S930" s="5"/>
      <c r="T930" s="46"/>
      <c r="U930" s="1635" t="s">
        <v>591</v>
      </c>
      <c r="V930" s="1636"/>
      <c r="W930" s="1636"/>
      <c r="X930" s="1636"/>
      <c r="Y930" s="1636"/>
      <c r="Z930" s="1637"/>
      <c r="AA930" s="1673"/>
      <c r="AB930" s="1674"/>
      <c r="AC930" s="1674"/>
      <c r="AD930" s="1674"/>
      <c r="AE930" s="1674"/>
      <c r="AF930" s="1675"/>
      <c r="AZ930" s="34"/>
      <c r="BA930" s="34"/>
      <c r="BB930" s="34"/>
      <c r="BC930" s="34"/>
    </row>
    <row r="931" spans="6:55" ht="13.05" customHeight="1">
      <c r="F931" s="66" t="s">
        <v>786</v>
      </c>
      <c r="G931" s="5"/>
      <c r="H931" s="5"/>
      <c r="I931" s="5"/>
      <c r="J931" s="5"/>
      <c r="K931" s="5"/>
      <c r="L931" s="5"/>
      <c r="M931" s="5"/>
      <c r="N931" s="5"/>
      <c r="O931" s="5"/>
      <c r="P931" s="5"/>
      <c r="Q931" s="5"/>
      <c r="R931" s="5"/>
      <c r="S931" s="5"/>
      <c r="T931" s="46"/>
      <c r="U931" s="1635" t="s">
        <v>591</v>
      </c>
      <c r="V931" s="1636"/>
      <c r="W931" s="1636"/>
      <c r="X931" s="1636"/>
      <c r="Y931" s="1636"/>
      <c r="Z931" s="1637"/>
      <c r="AA931" s="1673"/>
      <c r="AB931" s="1674"/>
      <c r="AC931" s="1674"/>
      <c r="AD931" s="1674"/>
      <c r="AE931" s="1674"/>
      <c r="AF931" s="1675"/>
      <c r="AZ931" s="34"/>
      <c r="BA931" s="34"/>
      <c r="BB931" s="34"/>
      <c r="BC931" s="34"/>
    </row>
    <row r="932" spans="6:55" ht="13.05" customHeight="1">
      <c r="F932" s="66" t="s">
        <v>787</v>
      </c>
      <c r="G932" s="5"/>
      <c r="H932" s="5"/>
      <c r="I932" s="5"/>
      <c r="J932" s="5"/>
      <c r="K932" s="5"/>
      <c r="L932" s="5"/>
      <c r="M932" s="5"/>
      <c r="N932" s="5"/>
      <c r="O932" s="5"/>
      <c r="P932" s="5"/>
      <c r="Q932" s="5"/>
      <c r="R932" s="5"/>
      <c r="S932" s="5"/>
      <c r="T932" s="46"/>
      <c r="U932" s="1635" t="s">
        <v>591</v>
      </c>
      <c r="V932" s="1636"/>
      <c r="W932" s="1636"/>
      <c r="X932" s="1636"/>
      <c r="Y932" s="1636"/>
      <c r="Z932" s="1637"/>
      <c r="AA932" s="1673"/>
      <c r="AB932" s="1674"/>
      <c r="AC932" s="1674"/>
      <c r="AD932" s="1674"/>
      <c r="AE932" s="1674"/>
      <c r="AF932" s="1675"/>
      <c r="AZ932" s="34"/>
      <c r="BA932" s="34"/>
      <c r="BB932" s="34"/>
      <c r="BC932" s="34"/>
    </row>
    <row r="933" spans="6:55" ht="13.05" customHeight="1">
      <c r="F933" s="66" t="s">
        <v>788</v>
      </c>
      <c r="G933" s="5"/>
      <c r="H933" s="5"/>
      <c r="I933" s="5"/>
      <c r="J933" s="5"/>
      <c r="K933" s="5"/>
      <c r="L933" s="5"/>
      <c r="M933" s="5"/>
      <c r="N933" s="5"/>
      <c r="O933" s="5"/>
      <c r="P933" s="5"/>
      <c r="Q933" s="5"/>
      <c r="R933" s="5"/>
      <c r="S933" s="5"/>
      <c r="T933" s="46"/>
      <c r="U933" s="1635" t="s">
        <v>591</v>
      </c>
      <c r="V933" s="1636"/>
      <c r="W933" s="1636"/>
      <c r="X933" s="1636"/>
      <c r="Y933" s="1636"/>
      <c r="Z933" s="1637"/>
      <c r="AA933" s="1673"/>
      <c r="AB933" s="1674"/>
      <c r="AC933" s="1674"/>
      <c r="AD933" s="1674"/>
      <c r="AE933" s="1674"/>
      <c r="AF933" s="1675"/>
      <c r="AZ933" s="34"/>
      <c r="BA933" s="34"/>
      <c r="BB933" s="34"/>
      <c r="BC933" s="34"/>
    </row>
    <row r="934" spans="6:55" ht="13.05" customHeight="1">
      <c r="F934" s="45" t="s">
        <v>677</v>
      </c>
      <c r="G934" s="5"/>
      <c r="H934" s="5"/>
      <c r="I934" s="5"/>
      <c r="J934" s="5"/>
      <c r="K934" s="5"/>
      <c r="L934" s="5"/>
      <c r="M934" s="5"/>
      <c r="N934" s="5"/>
      <c r="O934" s="5"/>
      <c r="P934" s="5"/>
      <c r="Q934" s="5"/>
      <c r="R934" s="5"/>
      <c r="S934" s="5"/>
      <c r="T934" s="46"/>
      <c r="U934" s="1635" t="s">
        <v>591</v>
      </c>
      <c r="V934" s="1636"/>
      <c r="W934" s="1636"/>
      <c r="X934" s="1636"/>
      <c r="Y934" s="1636"/>
      <c r="Z934" s="1637"/>
      <c r="AA934" s="1673"/>
      <c r="AB934" s="1674"/>
      <c r="AC934" s="1674"/>
      <c r="AD934" s="1674"/>
      <c r="AE934" s="1674"/>
      <c r="AF934" s="1675"/>
      <c r="AZ934" s="34"/>
      <c r="BA934" s="34"/>
      <c r="BB934" s="34"/>
      <c r="BC934" s="34"/>
    </row>
    <row r="935" spans="6:55" ht="13.05" customHeight="1">
      <c r="F935" s="1865" t="s">
        <v>2145</v>
      </c>
      <c r="G935" s="1866"/>
      <c r="H935" s="1866"/>
      <c r="I935" s="1866"/>
      <c r="J935" s="1866"/>
      <c r="K935" s="1866"/>
      <c r="L935" s="1866"/>
      <c r="M935" s="1866"/>
      <c r="N935" s="1866"/>
      <c r="O935" s="1866"/>
      <c r="P935" s="1866"/>
      <c r="Q935" s="1866"/>
      <c r="R935" s="1866"/>
      <c r="S935" s="1866"/>
      <c r="T935" s="1867"/>
      <c r="U935" s="1635" t="s">
        <v>591</v>
      </c>
      <c r="V935" s="1636"/>
      <c r="W935" s="1636"/>
      <c r="X935" s="1636"/>
      <c r="Y935" s="1636"/>
      <c r="Z935" s="1637"/>
      <c r="AA935" s="1673"/>
      <c r="AB935" s="1674"/>
      <c r="AC935" s="1674"/>
      <c r="AD935" s="1674"/>
      <c r="AE935" s="1674"/>
      <c r="AF935" s="1675"/>
      <c r="AZ935" s="34"/>
      <c r="BA935" s="34"/>
      <c r="BB935" s="34"/>
      <c r="BC935" s="34"/>
    </row>
    <row r="936" spans="6:55" ht="13.05" customHeight="1">
      <c r="F936" s="1865" t="s">
        <v>679</v>
      </c>
      <c r="G936" s="1866"/>
      <c r="H936" s="1866"/>
      <c r="I936" s="1866"/>
      <c r="J936" s="1866"/>
      <c r="K936" s="1866"/>
      <c r="L936" s="1866"/>
      <c r="M936" s="1866"/>
      <c r="N936" s="1866"/>
      <c r="O936" s="1866"/>
      <c r="P936" s="1866"/>
      <c r="Q936" s="1866"/>
      <c r="R936" s="1866"/>
      <c r="S936" s="1866"/>
      <c r="T936" s="1867"/>
      <c r="U936" s="1635" t="s">
        <v>591</v>
      </c>
      <c r="V936" s="1636"/>
      <c r="W936" s="1636"/>
      <c r="X936" s="1636"/>
      <c r="Y936" s="1636"/>
      <c r="Z936" s="1637"/>
      <c r="AA936" s="1673"/>
      <c r="AB936" s="1674"/>
      <c r="AC936" s="1674"/>
      <c r="AD936" s="1674"/>
      <c r="AE936" s="1674"/>
      <c r="AF936" s="1675"/>
      <c r="AU936" s="2"/>
      <c r="AZ936" s="34"/>
      <c r="BA936" s="34"/>
      <c r="BB936" s="34"/>
      <c r="BC936" s="34"/>
    </row>
    <row r="937" spans="6:55" ht="13.05" customHeight="1">
      <c r="F937" s="1865" t="s">
        <v>2146</v>
      </c>
      <c r="G937" s="1866"/>
      <c r="H937" s="1866"/>
      <c r="I937" s="1866"/>
      <c r="J937" s="1866"/>
      <c r="K937" s="1866"/>
      <c r="L937" s="1866"/>
      <c r="M937" s="1866"/>
      <c r="N937" s="1866"/>
      <c r="O937" s="1866"/>
      <c r="P937" s="1866"/>
      <c r="Q937" s="1866"/>
      <c r="R937" s="1866"/>
      <c r="S937" s="1866"/>
      <c r="T937" s="1867"/>
      <c r="U937" s="1635" t="s">
        <v>591</v>
      </c>
      <c r="V937" s="1636"/>
      <c r="W937" s="1636"/>
      <c r="X937" s="1636"/>
      <c r="Y937" s="1636"/>
      <c r="Z937" s="1637"/>
      <c r="AA937" s="1673"/>
      <c r="AB937" s="1674"/>
      <c r="AC937" s="1674"/>
      <c r="AD937" s="1674"/>
      <c r="AE937" s="1674"/>
      <c r="AF937" s="1675"/>
      <c r="AU937" s="2"/>
      <c r="AZ937" s="34"/>
      <c r="BA937" s="34"/>
      <c r="BB937" s="34"/>
      <c r="BC937" s="34"/>
    </row>
    <row r="938" spans="6:55" ht="13.05" customHeight="1">
      <c r="F938" s="1865" t="s">
        <v>2147</v>
      </c>
      <c r="G938" s="1866"/>
      <c r="H938" s="1866"/>
      <c r="I938" s="1866"/>
      <c r="J938" s="1866"/>
      <c r="K938" s="1866"/>
      <c r="L938" s="1866"/>
      <c r="M938" s="1866"/>
      <c r="N938" s="1866"/>
      <c r="O938" s="1866"/>
      <c r="P938" s="1866"/>
      <c r="Q938" s="1866"/>
      <c r="R938" s="1866"/>
      <c r="S938" s="1866"/>
      <c r="T938" s="1867"/>
      <c r="U938" s="1635" t="s">
        <v>591</v>
      </c>
      <c r="V938" s="1636"/>
      <c r="W938" s="1636"/>
      <c r="X938" s="1636"/>
      <c r="Y938" s="1636"/>
      <c r="Z938" s="1637"/>
      <c r="AA938" s="1673"/>
      <c r="AB938" s="1674"/>
      <c r="AC938" s="1674"/>
      <c r="AD938" s="1674"/>
      <c r="AE938" s="1674"/>
      <c r="AF938" s="1675"/>
      <c r="AU938" s="2"/>
      <c r="AZ938" s="34"/>
      <c r="BA938" s="34"/>
      <c r="BB938" s="34"/>
      <c r="BC938" s="34"/>
    </row>
    <row r="939" spans="6:55" ht="13.05" customHeight="1">
      <c r="F939" s="1865" t="s">
        <v>2148</v>
      </c>
      <c r="G939" s="1866"/>
      <c r="H939" s="1866"/>
      <c r="I939" s="1866"/>
      <c r="J939" s="1866"/>
      <c r="K939" s="1866"/>
      <c r="L939" s="1866"/>
      <c r="M939" s="1866"/>
      <c r="N939" s="1866"/>
      <c r="O939" s="1866"/>
      <c r="P939" s="1866"/>
      <c r="Q939" s="1866"/>
      <c r="R939" s="1866"/>
      <c r="S939" s="1866"/>
      <c r="T939" s="1867"/>
      <c r="U939" s="1635" t="s">
        <v>591</v>
      </c>
      <c r="V939" s="1636"/>
      <c r="W939" s="1636"/>
      <c r="X939" s="1636"/>
      <c r="Y939" s="1636"/>
      <c r="Z939" s="1637"/>
      <c r="AA939" s="1673"/>
      <c r="AB939" s="1674"/>
      <c r="AC939" s="1674"/>
      <c r="AD939" s="1674"/>
      <c r="AE939" s="1674"/>
      <c r="AF939" s="1675"/>
      <c r="AU939" s="2"/>
      <c r="AZ939" s="34"/>
      <c r="BA939" s="34"/>
      <c r="BB939" s="34"/>
      <c r="BC939" s="34"/>
    </row>
    <row r="940" spans="6:55" ht="13.05" customHeight="1">
      <c r="F940" s="1865" t="s">
        <v>2149</v>
      </c>
      <c r="G940" s="1866"/>
      <c r="H940" s="1866"/>
      <c r="I940" s="1866"/>
      <c r="J940" s="1866"/>
      <c r="K940" s="1866"/>
      <c r="L940" s="1866"/>
      <c r="M940" s="1866"/>
      <c r="N940" s="1866"/>
      <c r="O940" s="1866"/>
      <c r="P940" s="1866"/>
      <c r="Q940" s="1866"/>
      <c r="R940" s="1866"/>
      <c r="S940" s="1866"/>
      <c r="T940" s="1867"/>
      <c r="U940" s="1635" t="s">
        <v>591</v>
      </c>
      <c r="V940" s="1636"/>
      <c r="W940" s="1636"/>
      <c r="X940" s="1636"/>
      <c r="Y940" s="1636"/>
      <c r="Z940" s="1637"/>
      <c r="AA940" s="1673"/>
      <c r="AB940" s="1674"/>
      <c r="AC940" s="1674"/>
      <c r="AD940" s="1674"/>
      <c r="AE940" s="1674"/>
      <c r="AF940" s="1675"/>
      <c r="AU940" s="2"/>
      <c r="AZ940" s="34"/>
      <c r="BA940" s="34"/>
      <c r="BB940" s="34"/>
      <c r="BC940" s="34"/>
    </row>
    <row r="941" spans="6:55" ht="13.05" customHeight="1">
      <c r="F941" s="1865" t="s">
        <v>2150</v>
      </c>
      <c r="G941" s="1866"/>
      <c r="H941" s="1866"/>
      <c r="I941" s="1866"/>
      <c r="J941" s="1866"/>
      <c r="K941" s="1866"/>
      <c r="L941" s="1866"/>
      <c r="M941" s="1866"/>
      <c r="N941" s="1866"/>
      <c r="O941" s="1866"/>
      <c r="P941" s="1866"/>
      <c r="Q941" s="1866"/>
      <c r="R941" s="1866"/>
      <c r="S941" s="1866"/>
      <c r="T941" s="1867"/>
      <c r="U941" s="1635" t="s">
        <v>591</v>
      </c>
      <c r="V941" s="1636"/>
      <c r="W941" s="1636"/>
      <c r="X941" s="1636"/>
      <c r="Y941" s="1636"/>
      <c r="Z941" s="1637"/>
      <c r="AA941" s="1673"/>
      <c r="AB941" s="1674"/>
      <c r="AC941" s="1674"/>
      <c r="AD941" s="1674"/>
      <c r="AE941" s="1674"/>
      <c r="AF941" s="1675"/>
      <c r="AZ941" s="30"/>
      <c r="BA941" s="30"/>
    </row>
    <row r="942" spans="6:55" ht="13.05" customHeight="1">
      <c r="F942" s="178" t="s">
        <v>676</v>
      </c>
      <c r="G942" s="5"/>
      <c r="H942" s="5"/>
      <c r="I942" s="5"/>
      <c r="J942" s="5"/>
      <c r="K942" s="5"/>
      <c r="L942" s="5"/>
      <c r="M942" s="5"/>
      <c r="N942" s="5"/>
      <c r="O942" s="5"/>
      <c r="P942" s="5"/>
      <c r="Q942" s="5"/>
      <c r="R942" s="5"/>
      <c r="S942" s="5"/>
      <c r="T942" s="46"/>
      <c r="U942" s="1635" t="s">
        <v>591</v>
      </c>
      <c r="V942" s="1636"/>
      <c r="W942" s="1636"/>
      <c r="X942" s="1636"/>
      <c r="Y942" s="1636"/>
      <c r="Z942" s="1637"/>
      <c r="AA942" s="1673"/>
      <c r="AB942" s="1674"/>
      <c r="AC942" s="1674"/>
      <c r="AD942" s="1674"/>
      <c r="AE942" s="1674"/>
      <c r="AF942" s="1675"/>
    </row>
    <row r="943" spans="6:55" ht="13.05" customHeight="1">
      <c r="F943" s="121" t="s">
        <v>1276</v>
      </c>
      <c r="G943" s="5"/>
      <c r="H943" s="5"/>
      <c r="I943" s="5"/>
      <c r="J943" s="5"/>
      <c r="K943" s="5"/>
      <c r="L943" s="5"/>
      <c r="M943" s="5"/>
      <c r="N943" s="5"/>
      <c r="O943" s="5"/>
      <c r="P943" s="5"/>
      <c r="Q943" s="5"/>
      <c r="R943" s="5"/>
      <c r="S943" s="5"/>
      <c r="T943" s="46"/>
      <c r="U943" s="1635" t="s">
        <v>545</v>
      </c>
      <c r="V943" s="1636"/>
      <c r="W943" s="1636"/>
      <c r="X943" s="1636"/>
      <c r="Y943" s="1636"/>
      <c r="Z943" s="1637"/>
      <c r="AA943" s="1673">
        <v>6000000</v>
      </c>
      <c r="AB943" s="1674"/>
      <c r="AC943" s="1674"/>
      <c r="AD943" s="1674"/>
      <c r="AE943" s="1674"/>
      <c r="AF943" s="1675"/>
      <c r="AZ943" s="30"/>
      <c r="BA943" s="14"/>
    </row>
    <row r="944" spans="6:55" ht="13.05" customHeight="1">
      <c r="F944" s="66" t="s">
        <v>802</v>
      </c>
      <c r="G944" s="5"/>
      <c r="H944" s="5"/>
      <c r="I944" s="5"/>
      <c r="J944" s="5"/>
      <c r="K944" s="5"/>
      <c r="L944" s="5"/>
      <c r="M944" s="5"/>
      <c r="N944" s="5"/>
      <c r="O944" s="5"/>
      <c r="P944" s="5"/>
      <c r="Q944" s="5"/>
      <c r="R944" s="5"/>
      <c r="S944" s="5"/>
      <c r="T944" s="46"/>
      <c r="U944" s="1635" t="s">
        <v>591</v>
      </c>
      <c r="V944" s="1636"/>
      <c r="W944" s="1636"/>
      <c r="X944" s="1636"/>
      <c r="Y944" s="1636"/>
      <c r="Z944" s="1637"/>
      <c r="AA944" s="1673"/>
      <c r="AB944" s="1674"/>
      <c r="AC944" s="1674"/>
      <c r="AD944" s="1674"/>
      <c r="AE944" s="1674"/>
      <c r="AF944" s="1675"/>
      <c r="AZ944" s="30"/>
      <c r="BA944" s="14"/>
    </row>
    <row r="945" spans="6:55" ht="13.05" customHeight="1">
      <c r="F945" s="1886" t="s">
        <v>2154</v>
      </c>
      <c r="G945" s="1887"/>
      <c r="H945" s="1887"/>
      <c r="I945" s="1887"/>
      <c r="J945" s="1887"/>
      <c r="K945" s="1887"/>
      <c r="L945" s="1887"/>
      <c r="M945" s="1887"/>
      <c r="N945" s="1887"/>
      <c r="O945" s="1887"/>
      <c r="P945" s="1887"/>
      <c r="Q945" s="1887"/>
      <c r="R945" s="1887"/>
      <c r="S945" s="1887"/>
      <c r="T945" s="1888"/>
      <c r="U945" s="1635" t="s">
        <v>591</v>
      </c>
      <c r="V945" s="1636"/>
      <c r="W945" s="1636"/>
      <c r="X945" s="1636"/>
      <c r="Y945" s="1636"/>
      <c r="Z945" s="1637"/>
      <c r="AA945" s="1673"/>
      <c r="AB945" s="1674"/>
      <c r="AC945" s="1674"/>
      <c r="AD945" s="1674"/>
      <c r="AE945" s="1674"/>
      <c r="AF945" s="1675"/>
      <c r="AZ945" s="30"/>
      <c r="BA945" s="14"/>
    </row>
    <row r="946" spans="6:55" ht="13.05" customHeight="1">
      <c r="F946" s="1886" t="s">
        <v>2155</v>
      </c>
      <c r="G946" s="1887"/>
      <c r="H946" s="1887"/>
      <c r="I946" s="1887"/>
      <c r="J946" s="1887"/>
      <c r="K946" s="1887"/>
      <c r="L946" s="1887"/>
      <c r="M946" s="1887"/>
      <c r="N946" s="1887"/>
      <c r="O946" s="1887"/>
      <c r="P946" s="1887"/>
      <c r="Q946" s="1887"/>
      <c r="R946" s="1887"/>
      <c r="S946" s="1887"/>
      <c r="T946" s="1888"/>
      <c r="U946" s="1635" t="s">
        <v>591</v>
      </c>
      <c r="V946" s="1636"/>
      <c r="W946" s="1636"/>
      <c r="X946" s="1636"/>
      <c r="Y946" s="1636"/>
      <c r="Z946" s="1637"/>
      <c r="AA946" s="1673"/>
      <c r="AB946" s="1674"/>
      <c r="AC946" s="1674"/>
      <c r="AD946" s="1674"/>
      <c r="AE946" s="1674"/>
      <c r="AF946" s="1675"/>
      <c r="AZ946" s="30"/>
      <c r="BA946" s="30"/>
    </row>
    <row r="947" spans="6:55" ht="13.05" customHeight="1">
      <c r="F947" s="1865" t="s">
        <v>2151</v>
      </c>
      <c r="G947" s="1866"/>
      <c r="H947" s="1866"/>
      <c r="I947" s="1866"/>
      <c r="J947" s="1866"/>
      <c r="K947" s="1866"/>
      <c r="L947" s="1866"/>
      <c r="M947" s="1866"/>
      <c r="N947" s="1866"/>
      <c r="O947" s="1866"/>
      <c r="P947" s="1866"/>
      <c r="Q947" s="1866"/>
      <c r="R947" s="1866"/>
      <c r="S947" s="1866"/>
      <c r="T947" s="1867"/>
      <c r="U947" s="1635" t="s">
        <v>591</v>
      </c>
      <c r="V947" s="1636"/>
      <c r="W947" s="1636"/>
      <c r="X947" s="1636"/>
      <c r="Y947" s="1636"/>
      <c r="Z947" s="1637"/>
      <c r="AA947" s="1673"/>
      <c r="AB947" s="1674"/>
      <c r="AC947" s="1674"/>
      <c r="AD947" s="1674"/>
      <c r="AE947" s="1674"/>
      <c r="AF947" s="1675"/>
      <c r="AZ947" s="30"/>
      <c r="BA947" s="30"/>
    </row>
    <row r="948" spans="6:55" ht="13.05" customHeight="1">
      <c r="F948" s="1865" t="s">
        <v>2152</v>
      </c>
      <c r="G948" s="1866"/>
      <c r="H948" s="1866"/>
      <c r="I948" s="1866"/>
      <c r="J948" s="1866"/>
      <c r="K948" s="1866"/>
      <c r="L948" s="1866"/>
      <c r="M948" s="1866"/>
      <c r="N948" s="1866"/>
      <c r="O948" s="1866"/>
      <c r="P948" s="1866"/>
      <c r="Q948" s="1866"/>
      <c r="R948" s="1866"/>
      <c r="S948" s="1866"/>
      <c r="T948" s="1867"/>
      <c r="U948" s="1635" t="s">
        <v>591</v>
      </c>
      <c r="V948" s="1636"/>
      <c r="W948" s="1636"/>
      <c r="X948" s="1636"/>
      <c r="Y948" s="1636"/>
      <c r="Z948" s="1637"/>
      <c r="AA948" s="1673"/>
      <c r="AB948" s="1674"/>
      <c r="AC948" s="1674"/>
      <c r="AD948" s="1674"/>
      <c r="AE948" s="1674"/>
      <c r="AF948" s="1675"/>
      <c r="AZ948" s="30"/>
      <c r="BA948" s="30"/>
    </row>
    <row r="949" spans="6:55" ht="13.05" customHeight="1">
      <c r="F949" s="1865" t="s">
        <v>2153</v>
      </c>
      <c r="G949" s="1866"/>
      <c r="H949" s="1866"/>
      <c r="I949" s="1866"/>
      <c r="J949" s="1866"/>
      <c r="K949" s="1866"/>
      <c r="L949" s="1866"/>
      <c r="M949" s="1866"/>
      <c r="N949" s="1866"/>
      <c r="O949" s="1866"/>
      <c r="P949" s="1866"/>
      <c r="Q949" s="1866"/>
      <c r="R949" s="1866"/>
      <c r="S949" s="1866"/>
      <c r="T949" s="1867"/>
      <c r="U949" s="1635" t="s">
        <v>591</v>
      </c>
      <c r="V949" s="1636"/>
      <c r="W949" s="1636"/>
      <c r="X949" s="1636"/>
      <c r="Y949" s="1636"/>
      <c r="Z949" s="1637"/>
      <c r="AA949" s="1673"/>
      <c r="AB949" s="1674"/>
      <c r="AC949" s="1674"/>
      <c r="AD949" s="1674"/>
      <c r="AE949" s="1674"/>
      <c r="AF949" s="1675"/>
      <c r="AZ949" s="34"/>
      <c r="BA949" s="34"/>
      <c r="BB949" s="14"/>
      <c r="BC949" s="14"/>
    </row>
    <row r="950" spans="6:55" ht="13.05" customHeight="1">
      <c r="F950" s="121" t="s">
        <v>1260</v>
      </c>
      <c r="G950" s="5"/>
      <c r="H950" s="5"/>
      <c r="I950" s="5"/>
      <c r="J950" s="5"/>
      <c r="K950" s="5"/>
      <c r="L950" s="5"/>
      <c r="M950" s="5"/>
      <c r="N950" s="5"/>
      <c r="O950" s="5"/>
      <c r="P950" s="5"/>
      <c r="Q950" s="5"/>
      <c r="R950" s="5"/>
      <c r="S950" s="5"/>
      <c r="T950" s="46"/>
      <c r="U950" s="1635" t="s">
        <v>591</v>
      </c>
      <c r="V950" s="1636"/>
      <c r="W950" s="1636"/>
      <c r="X950" s="1636"/>
      <c r="Y950" s="1636"/>
      <c r="Z950" s="1637"/>
      <c r="AA950" s="1673"/>
      <c r="AB950" s="1674"/>
      <c r="AC950" s="1674"/>
      <c r="AD950" s="1674"/>
      <c r="AE950" s="1674"/>
      <c r="AF950" s="1675"/>
      <c r="AZ950" s="34"/>
      <c r="BA950" s="34"/>
      <c r="BB950" s="14"/>
      <c r="BC950" s="14"/>
    </row>
    <row r="951" spans="6:55" ht="13.05" customHeight="1">
      <c r="F951" s="1886" t="s">
        <v>2156</v>
      </c>
      <c r="G951" s="1887"/>
      <c r="H951" s="1887"/>
      <c r="I951" s="1887"/>
      <c r="J951" s="1887"/>
      <c r="K951" s="1887"/>
      <c r="L951" s="1887"/>
      <c r="M951" s="1887"/>
      <c r="N951" s="1887"/>
      <c r="O951" s="1887"/>
      <c r="P951" s="1887"/>
      <c r="Q951" s="1887"/>
      <c r="R951" s="1887"/>
      <c r="S951" s="1887"/>
      <c r="T951" s="1888"/>
      <c r="U951" s="1635" t="s">
        <v>591</v>
      </c>
      <c r="V951" s="1636"/>
      <c r="W951" s="1636"/>
      <c r="X951" s="1636"/>
      <c r="Y951" s="1636"/>
      <c r="Z951" s="1637"/>
      <c r="AA951" s="1673"/>
      <c r="AB951" s="1674"/>
      <c r="AC951" s="1674"/>
      <c r="AD951" s="1674"/>
      <c r="AE951" s="1674"/>
      <c r="AF951" s="1675"/>
      <c r="AZ951" s="34"/>
      <c r="BA951" s="34"/>
      <c r="BB951" s="34"/>
      <c r="BC951" s="34"/>
    </row>
    <row r="952" spans="6:55" ht="13.05" customHeight="1">
      <c r="F952" s="121" t="s">
        <v>1261</v>
      </c>
      <c r="G952" s="5"/>
      <c r="H952" s="5"/>
      <c r="I952" s="5"/>
      <c r="J952" s="5"/>
      <c r="K952" s="5"/>
      <c r="L952" s="5"/>
      <c r="M952" s="5"/>
      <c r="N952" s="5"/>
      <c r="O952" s="5"/>
      <c r="P952" s="5"/>
      <c r="Q952" s="5"/>
      <c r="R952" s="5"/>
      <c r="S952" s="5"/>
      <c r="T952" s="46"/>
      <c r="U952" s="1635" t="s">
        <v>591</v>
      </c>
      <c r="V952" s="1636"/>
      <c r="W952" s="1636"/>
      <c r="X952" s="1636"/>
      <c r="Y952" s="1636"/>
      <c r="Z952" s="1637"/>
      <c r="AA952" s="1673"/>
      <c r="AB952" s="1674"/>
      <c r="AC952" s="1674"/>
      <c r="AD952" s="1674"/>
      <c r="AE952" s="1674"/>
      <c r="AF952" s="1675"/>
      <c r="AZ952" s="34"/>
      <c r="BA952" s="34"/>
      <c r="BB952" s="34"/>
      <c r="BC952" s="34"/>
    </row>
    <row r="953" spans="6:55" ht="13.05" customHeight="1">
      <c r="F953" s="1886" t="s">
        <v>2157</v>
      </c>
      <c r="G953" s="1887"/>
      <c r="H953" s="1887"/>
      <c r="I953" s="1887"/>
      <c r="J953" s="1887"/>
      <c r="K953" s="1887"/>
      <c r="L953" s="1887"/>
      <c r="M953" s="1887"/>
      <c r="N953" s="1887"/>
      <c r="O953" s="1887"/>
      <c r="P953" s="1887"/>
      <c r="Q953" s="1887"/>
      <c r="R953" s="1887"/>
      <c r="S953" s="1887"/>
      <c r="T953" s="1888"/>
      <c r="U953" s="1635" t="s">
        <v>591</v>
      </c>
      <c r="V953" s="1636"/>
      <c r="W953" s="1636"/>
      <c r="X953" s="1636"/>
      <c r="Y953" s="1636"/>
      <c r="Z953" s="1637"/>
      <c r="AA953" s="1673"/>
      <c r="AB953" s="1674"/>
      <c r="AC953" s="1674"/>
      <c r="AD953" s="1674"/>
      <c r="AE953" s="1674"/>
      <c r="AF953" s="1675"/>
      <c r="AZ953" s="34"/>
      <c r="BA953" s="34"/>
      <c r="BB953" s="34"/>
      <c r="BC953" s="34"/>
    </row>
    <row r="954" spans="6:55" ht="13.05" customHeight="1">
      <c r="F954" s="45" t="s">
        <v>806</v>
      </c>
      <c r="G954" s="5"/>
      <c r="H954" s="5"/>
      <c r="I954" s="5"/>
      <c r="J954" s="5"/>
      <c r="K954" s="5"/>
      <c r="L954" s="5"/>
      <c r="M954" s="5"/>
      <c r="N954" s="5"/>
      <c r="O954" s="5"/>
      <c r="P954" s="1635" t="s">
        <v>669</v>
      </c>
      <c r="Q954" s="1636"/>
      <c r="R954" s="1636"/>
      <c r="S954" s="1636"/>
      <c r="T954" s="1637"/>
      <c r="U954" s="1635" t="s">
        <v>591</v>
      </c>
      <c r="V954" s="1636"/>
      <c r="W954" s="1636"/>
      <c r="X954" s="1636"/>
      <c r="Y954" s="1636"/>
      <c r="Z954" s="1637"/>
      <c r="AA954" s="1673"/>
      <c r="AB954" s="1674"/>
      <c r="AC954" s="1674"/>
      <c r="AD954" s="1674"/>
      <c r="AE954" s="1674"/>
      <c r="AF954" s="1675"/>
      <c r="AZ954" s="34"/>
      <c r="BA954" s="34"/>
      <c r="BB954" s="34"/>
      <c r="BC954" s="34"/>
    </row>
    <row r="955" spans="6:55" ht="13.05" customHeight="1">
      <c r="F955" s="1865" t="s">
        <v>2144</v>
      </c>
      <c r="G955" s="1866"/>
      <c r="H955" s="1867"/>
      <c r="I955" s="1803" t="s">
        <v>2725</v>
      </c>
      <c r="J955" s="1804"/>
      <c r="K955" s="1804"/>
      <c r="L955" s="1804"/>
      <c r="M955" s="1804"/>
      <c r="N955" s="1804"/>
      <c r="O955" s="1804"/>
      <c r="P955" s="1804"/>
      <c r="Q955" s="1804"/>
      <c r="R955" s="1804"/>
      <c r="S955" s="1804"/>
      <c r="T955" s="1805"/>
      <c r="U955" s="1635" t="s">
        <v>545</v>
      </c>
      <c r="V955" s="1636"/>
      <c r="W955" s="1636"/>
      <c r="X955" s="1636"/>
      <c r="Y955" s="1636"/>
      <c r="Z955" s="1637"/>
      <c r="AA955" s="1673">
        <v>30372293</v>
      </c>
      <c r="AB955" s="1674"/>
      <c r="AC955" s="1674"/>
      <c r="AD955" s="1674"/>
      <c r="AE955" s="1674"/>
      <c r="AF955" s="1675"/>
      <c r="AZ955" s="34"/>
      <c r="BA955" s="34"/>
      <c r="BB955" s="34"/>
      <c r="BC955" s="34"/>
    </row>
    <row r="956" spans="6:55" ht="13.05" customHeight="1">
      <c r="F956" s="45" t="s">
        <v>86</v>
      </c>
      <c r="G956" s="48"/>
      <c r="H956" s="48"/>
      <c r="I956" s="1803" t="s">
        <v>2726</v>
      </c>
      <c r="J956" s="1804"/>
      <c r="K956" s="1804"/>
      <c r="L956" s="1804"/>
      <c r="M956" s="1804"/>
      <c r="N956" s="1804"/>
      <c r="O956" s="1804"/>
      <c r="P956" s="1804"/>
      <c r="Q956" s="1804"/>
      <c r="R956" s="1804"/>
      <c r="S956" s="1804"/>
      <c r="T956" s="1805"/>
      <c r="U956" s="1635" t="s">
        <v>545</v>
      </c>
      <c r="V956" s="1636"/>
      <c r="W956" s="1636"/>
      <c r="X956" s="1636"/>
      <c r="Y956" s="1636"/>
      <c r="Z956" s="1637"/>
      <c r="AA956" s="1673">
        <v>4450000</v>
      </c>
      <c r="AB956" s="1674"/>
      <c r="AC956" s="1674"/>
      <c r="AD956" s="1674"/>
      <c r="AE956" s="1674"/>
      <c r="AF956" s="1675"/>
      <c r="AZ956" s="34"/>
      <c r="BA956" s="34"/>
      <c r="BB956" s="34"/>
      <c r="BC956" s="34"/>
    </row>
    <row r="957" spans="6:55" ht="13.05" customHeight="1">
      <c r="F957" s="45" t="s">
        <v>10</v>
      </c>
      <c r="G957" s="48"/>
      <c r="H957" s="48"/>
      <c r="I957" s="1800" t="s">
        <v>334</v>
      </c>
      <c r="J957" s="1801"/>
      <c r="K957" s="1801"/>
      <c r="L957" s="1801"/>
      <c r="M957" s="1801"/>
      <c r="N957" s="1801"/>
      <c r="O957" s="1801"/>
      <c r="P957" s="1801"/>
      <c r="Q957" s="1801"/>
      <c r="R957" s="1801"/>
      <c r="S957" s="1801"/>
      <c r="T957" s="1802"/>
      <c r="U957" s="1635" t="s">
        <v>591</v>
      </c>
      <c r="V957" s="1636"/>
      <c r="W957" s="1636"/>
      <c r="X957" s="1636"/>
      <c r="Y957" s="1636"/>
      <c r="Z957" s="1637"/>
      <c r="AA957" s="1673"/>
      <c r="AB957" s="1674"/>
      <c r="AC957" s="1674"/>
      <c r="AD957" s="1674"/>
      <c r="AE957" s="1674"/>
      <c r="AF957" s="1675"/>
      <c r="AV957" s="2"/>
      <c r="AW957" s="2"/>
      <c r="AX957" s="2"/>
      <c r="AY957" s="2"/>
      <c r="AZ957" s="34"/>
      <c r="BA957" s="34"/>
      <c r="BB957" s="34"/>
      <c r="BC957" s="34"/>
    </row>
    <row r="958" spans="6:55" ht="13.05" customHeight="1">
      <c r="F958" s="47" t="s">
        <v>170</v>
      </c>
      <c r="G958" s="48"/>
      <c r="H958" s="48"/>
      <c r="I958" s="1800" t="s">
        <v>334</v>
      </c>
      <c r="J958" s="1801"/>
      <c r="K958" s="1801"/>
      <c r="L958" s="1801"/>
      <c r="M958" s="1801"/>
      <c r="N958" s="1801"/>
      <c r="O958" s="1801"/>
      <c r="P958" s="1801"/>
      <c r="Q958" s="1801"/>
      <c r="R958" s="1801"/>
      <c r="S958" s="1801"/>
      <c r="T958" s="1802"/>
      <c r="U958" s="1635" t="s">
        <v>591</v>
      </c>
      <c r="V958" s="1636"/>
      <c r="W958" s="1636"/>
      <c r="X958" s="1636"/>
      <c r="Y958" s="1636"/>
      <c r="Z958" s="1637"/>
      <c r="AA958" s="1673"/>
      <c r="AB958" s="1674"/>
      <c r="AC958" s="1674"/>
      <c r="AD958" s="1674"/>
      <c r="AE958" s="1674"/>
      <c r="AF958" s="1675"/>
      <c r="AU958" s="2"/>
      <c r="AZ958" s="34"/>
      <c r="BA958" s="34"/>
      <c r="BB958" s="34"/>
      <c r="BC958" s="34"/>
    </row>
    <row r="959" spans="6:55" ht="13.05" customHeight="1">
      <c r="F959" s="47" t="s">
        <v>170</v>
      </c>
      <c r="G959" s="48"/>
      <c r="H959" s="48"/>
      <c r="I959" s="1800" t="s">
        <v>334</v>
      </c>
      <c r="J959" s="1801"/>
      <c r="K959" s="1801"/>
      <c r="L959" s="1801"/>
      <c r="M959" s="1801"/>
      <c r="N959" s="1801"/>
      <c r="O959" s="1801"/>
      <c r="P959" s="1801"/>
      <c r="Q959" s="1801"/>
      <c r="R959" s="1801"/>
      <c r="S959" s="1801"/>
      <c r="T959" s="1802"/>
      <c r="U959" s="1635" t="s">
        <v>591</v>
      </c>
      <c r="V959" s="1636"/>
      <c r="W959" s="1636"/>
      <c r="X959" s="1636"/>
      <c r="Y959" s="1636"/>
      <c r="Z959" s="1637"/>
      <c r="AA959" s="1673"/>
      <c r="AB959" s="1674"/>
      <c r="AC959" s="1674"/>
      <c r="AD959" s="1674"/>
      <c r="AE959" s="1674"/>
      <c r="AF959" s="1675"/>
      <c r="AU959" s="2"/>
      <c r="AZ959" s="34"/>
      <c r="BA959" s="34"/>
      <c r="BB959" s="34"/>
      <c r="BC959" s="34"/>
    </row>
    <row r="960" spans="6:55" ht="13.05" customHeight="1">
      <c r="AU960" s="2"/>
      <c r="AZ960" s="34"/>
      <c r="BA960" s="34"/>
      <c r="BB960" s="34"/>
      <c r="BC960" s="34"/>
    </row>
    <row r="961" spans="1:64" ht="13.05" customHeight="1">
      <c r="A961" s="2" t="s">
        <v>576</v>
      </c>
      <c r="C961" s="2" t="s">
        <v>751</v>
      </c>
      <c r="AZ961" s="34"/>
      <c r="BA961" s="34"/>
      <c r="BB961" s="34"/>
      <c r="BC961" s="34"/>
    </row>
    <row r="962" spans="1:64" ht="13.0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3.05" customHeight="1">
      <c r="AZ963" s="34"/>
      <c r="BA963" s="34"/>
      <c r="BB963" s="34"/>
      <c r="BC963" s="34"/>
    </row>
    <row r="964" spans="1:64" ht="13.05" customHeight="1">
      <c r="C964" s="66" t="s">
        <v>11</v>
      </c>
      <c r="D964" s="5"/>
      <c r="E964" s="5"/>
      <c r="F964" s="5"/>
      <c r="G964" s="5"/>
      <c r="H964" s="5"/>
      <c r="I964" s="5"/>
      <c r="J964" s="5"/>
      <c r="K964" s="5"/>
      <c r="L964" s="46"/>
      <c r="M964" s="1797"/>
      <c r="N964" s="1798"/>
      <c r="O964" s="1798"/>
      <c r="P964" s="1798"/>
      <c r="Q964" s="1798"/>
      <c r="R964" s="1798"/>
      <c r="S964" s="1799"/>
      <c r="U964" s="66" t="s">
        <v>11</v>
      </c>
      <c r="V964" s="5"/>
      <c r="W964" s="5"/>
      <c r="X964" s="5"/>
      <c r="Y964" s="5"/>
      <c r="Z964" s="5"/>
      <c r="AA964" s="5"/>
      <c r="AB964" s="5"/>
      <c r="AC964" s="5"/>
      <c r="AD964" s="46"/>
      <c r="AE964" s="1797"/>
      <c r="AF964" s="1798"/>
      <c r="AG964" s="1798"/>
      <c r="AH964" s="1798"/>
      <c r="AI964" s="1798"/>
      <c r="AJ964" s="1798"/>
      <c r="AK964" s="1799"/>
      <c r="AZ964" s="34"/>
      <c r="BA964" s="34"/>
      <c r="BB964" s="34"/>
      <c r="BC964" s="34"/>
    </row>
    <row r="965" spans="1:64" ht="13.05" customHeight="1">
      <c r="C965" s="66" t="s">
        <v>12</v>
      </c>
      <c r="D965" s="5"/>
      <c r="E965" s="5"/>
      <c r="F965" s="5"/>
      <c r="G965" s="5"/>
      <c r="H965" s="5"/>
      <c r="I965" s="5"/>
      <c r="J965" s="5"/>
      <c r="K965" s="5"/>
      <c r="L965" s="46"/>
      <c r="M965" s="1641"/>
      <c r="N965" s="1642"/>
      <c r="O965" s="1642"/>
      <c r="P965" s="1642"/>
      <c r="Q965" s="1642"/>
      <c r="R965" s="1642"/>
      <c r="S965" s="1643"/>
      <c r="U965" s="66" t="s">
        <v>12</v>
      </c>
      <c r="V965" s="5"/>
      <c r="W965" s="5"/>
      <c r="X965" s="5"/>
      <c r="Y965" s="5"/>
      <c r="Z965" s="5"/>
      <c r="AA965" s="5"/>
      <c r="AB965" s="5"/>
      <c r="AC965" s="5"/>
      <c r="AD965" s="46"/>
      <c r="AE965" s="1641"/>
      <c r="AF965" s="1642"/>
      <c r="AG965" s="1642"/>
      <c r="AH965" s="1642"/>
      <c r="AI965" s="1642"/>
      <c r="AJ965" s="1642"/>
      <c r="AK965" s="1643"/>
      <c r="AZ965" s="34"/>
      <c r="BA965" s="34"/>
      <c r="BB965" s="34"/>
      <c r="BC965" s="34"/>
    </row>
    <row r="966" spans="1:64" ht="13.05" customHeight="1">
      <c r="C966" s="66" t="s">
        <v>880</v>
      </c>
      <c r="D966" s="5"/>
      <c r="E966" s="5"/>
      <c r="J966" s="1644" t="s">
        <v>307</v>
      </c>
      <c r="K966" s="1645"/>
      <c r="L966" s="1645"/>
      <c r="M966" s="1645"/>
      <c r="N966" s="1645"/>
      <c r="O966" s="1645"/>
      <c r="P966" s="1645"/>
      <c r="Q966" s="1645"/>
      <c r="R966" s="1645"/>
      <c r="S966" s="1646"/>
      <c r="U966" s="66" t="s">
        <v>880</v>
      </c>
      <c r="V966" s="5"/>
      <c r="W966" s="5"/>
      <c r="AB966" s="1644" t="s">
        <v>307</v>
      </c>
      <c r="AC966" s="1645"/>
      <c r="AD966" s="1645"/>
      <c r="AE966" s="1645"/>
      <c r="AF966" s="1645"/>
      <c r="AG966" s="1645"/>
      <c r="AH966" s="1645"/>
      <c r="AI966" s="1645"/>
      <c r="AJ966" s="1645"/>
      <c r="AK966" s="1646"/>
      <c r="AZ966" s="34"/>
      <c r="BA966" s="34"/>
      <c r="BB966" s="34"/>
      <c r="BC966" s="34"/>
    </row>
    <row r="967" spans="1:64" ht="13.05" customHeight="1">
      <c r="C967" s="66" t="s">
        <v>13</v>
      </c>
      <c r="D967" s="5"/>
      <c r="E967" s="5"/>
      <c r="F967" s="5"/>
      <c r="G967" s="5"/>
      <c r="H967" s="5"/>
      <c r="I967" s="5"/>
      <c r="J967" s="5"/>
      <c r="K967" s="5"/>
      <c r="L967" s="46"/>
      <c r="M967" s="1913"/>
      <c r="N967" s="1878"/>
      <c r="O967" s="1878"/>
      <c r="P967" s="1878"/>
      <c r="Q967" s="1878"/>
      <c r="R967" s="1878"/>
      <c r="S967" s="1879"/>
      <c r="U967" s="66" t="s">
        <v>13</v>
      </c>
      <c r="V967" s="5"/>
      <c r="W967" s="5"/>
      <c r="X967" s="5"/>
      <c r="Y967" s="5"/>
      <c r="Z967" s="5"/>
      <c r="AA967" s="5"/>
      <c r="AB967" s="5"/>
      <c r="AC967" s="5"/>
      <c r="AD967" s="46"/>
      <c r="AE967" s="1877"/>
      <c r="AF967" s="1878"/>
      <c r="AG967" s="1878"/>
      <c r="AH967" s="1878"/>
      <c r="AI967" s="1878"/>
      <c r="AJ967" s="1878"/>
      <c r="AK967" s="1879"/>
      <c r="AZ967" s="34"/>
      <c r="BA967" s="34"/>
      <c r="BB967" s="34"/>
      <c r="BC967" s="34"/>
    </row>
    <row r="968" spans="1:64" ht="13.05" customHeight="1">
      <c r="C968" s="66" t="s">
        <v>14</v>
      </c>
      <c r="D968" s="5"/>
      <c r="E968" s="5"/>
      <c r="F968" s="5"/>
      <c r="G968" s="5"/>
      <c r="H968" s="5"/>
      <c r="I968" s="5"/>
      <c r="J968" s="5"/>
      <c r="K968" s="5"/>
      <c r="L968" s="46"/>
      <c r="M968" s="1706"/>
      <c r="N968" s="1707"/>
      <c r="O968" s="1707"/>
      <c r="P968" s="1707"/>
      <c r="Q968" s="1707"/>
      <c r="R968" s="1707"/>
      <c r="S968" s="1708"/>
      <c r="U968" s="66" t="s">
        <v>14</v>
      </c>
      <c r="V968" s="5"/>
      <c r="W968" s="5"/>
      <c r="X968" s="5"/>
      <c r="Y968" s="5"/>
      <c r="Z968" s="5"/>
      <c r="AA968" s="5"/>
      <c r="AB968" s="5"/>
      <c r="AC968" s="5"/>
      <c r="AD968" s="46"/>
      <c r="AE968" s="1706"/>
      <c r="AF968" s="1707"/>
      <c r="AG968" s="1707"/>
      <c r="AH968" s="1707"/>
      <c r="AI968" s="1707"/>
      <c r="AJ968" s="1707"/>
      <c r="AK968" s="1708"/>
      <c r="AV968" s="2"/>
      <c r="AW968" s="2"/>
      <c r="AX968" s="2"/>
      <c r="AY968" s="2"/>
      <c r="AZ968" s="34"/>
      <c r="BA968" s="34"/>
      <c r="BB968" s="34"/>
      <c r="BC968" s="34"/>
    </row>
    <row r="969" spans="1:64" ht="13.05" customHeight="1">
      <c r="C969" s="66" t="s">
        <v>15</v>
      </c>
      <c r="D969" s="5"/>
      <c r="E969" s="5"/>
      <c r="F969" s="5"/>
      <c r="G969" s="5"/>
      <c r="H969" s="5"/>
      <c r="I969" s="5"/>
      <c r="J969" s="5"/>
      <c r="K969" s="5"/>
      <c r="L969" s="46"/>
      <c r="M969" s="1673"/>
      <c r="N969" s="1674"/>
      <c r="O969" s="1674"/>
      <c r="P969" s="1674"/>
      <c r="Q969" s="1674"/>
      <c r="R969" s="1674"/>
      <c r="S969" s="1675"/>
      <c r="U969" s="66" t="s">
        <v>15</v>
      </c>
      <c r="V969" s="5"/>
      <c r="W969" s="5"/>
      <c r="X969" s="5"/>
      <c r="Y969" s="5"/>
      <c r="Z969" s="5"/>
      <c r="AA969" s="5"/>
      <c r="AB969" s="5"/>
      <c r="AC969" s="5"/>
      <c r="AD969" s="46"/>
      <c r="AE969" s="1673"/>
      <c r="AF969" s="1674"/>
      <c r="AG969" s="1674"/>
      <c r="AH969" s="1674"/>
      <c r="AI969" s="1674"/>
      <c r="AJ969" s="1674"/>
      <c r="AK969" s="1675"/>
      <c r="AV969" s="2"/>
      <c r="AW969" s="2"/>
      <c r="AX969" s="2"/>
      <c r="AY969" s="2"/>
      <c r="AZ969" s="34"/>
      <c r="BA969" s="34"/>
      <c r="BB969" s="34"/>
      <c r="BC969" s="34"/>
    </row>
    <row r="970" spans="1:64" ht="13.05" customHeight="1">
      <c r="C970" s="66" t="s">
        <v>16</v>
      </c>
      <c r="D970" s="5"/>
      <c r="E970" s="5"/>
      <c r="F970" s="5"/>
      <c r="G970" s="5"/>
      <c r="H970" s="5"/>
      <c r="I970" s="5"/>
      <c r="J970" s="5"/>
      <c r="K970" s="5"/>
      <c r="L970" s="46"/>
      <c r="M970" s="1673"/>
      <c r="N970" s="1674"/>
      <c r="O970" s="1674"/>
      <c r="P970" s="1674"/>
      <c r="Q970" s="1674"/>
      <c r="R970" s="1674"/>
      <c r="S970" s="1675"/>
      <c r="U970" s="66" t="s">
        <v>16</v>
      </c>
      <c r="V970" s="5"/>
      <c r="W970" s="5"/>
      <c r="X970" s="5"/>
      <c r="Y970" s="5"/>
      <c r="Z970" s="5"/>
      <c r="AA970" s="5"/>
      <c r="AB970" s="5"/>
      <c r="AC970" s="5"/>
      <c r="AD970" s="46"/>
      <c r="AE970" s="1673"/>
      <c r="AF970" s="1674"/>
      <c r="AG970" s="1674"/>
      <c r="AH970" s="1674"/>
      <c r="AI970" s="1674"/>
      <c r="AJ970" s="1674"/>
      <c r="AK970" s="1675"/>
      <c r="AV970" s="2"/>
      <c r="AW970" s="2"/>
      <c r="AX970" s="2"/>
      <c r="AY970" s="2"/>
      <c r="AZ970" s="34"/>
      <c r="BB970" s="34"/>
      <c r="BC970" s="34"/>
    </row>
    <row r="971" spans="1:64" ht="13.05" customHeight="1">
      <c r="C971" s="121" t="s">
        <v>1649</v>
      </c>
      <c r="D971" s="5"/>
      <c r="E971" s="5"/>
      <c r="F971" s="5"/>
      <c r="G971" s="5"/>
      <c r="H971" s="5"/>
      <c r="I971" s="5"/>
      <c r="J971" s="5"/>
      <c r="K971" s="5"/>
      <c r="L971" s="46"/>
      <c r="M971" s="1670"/>
      <c r="N971" s="1671"/>
      <c r="O971" s="1671"/>
      <c r="P971" s="1671"/>
      <c r="Q971" s="1671"/>
      <c r="R971" s="1671"/>
      <c r="S971" s="1672"/>
      <c r="U971" s="121" t="s">
        <v>1649</v>
      </c>
      <c r="V971" s="5"/>
      <c r="W971" s="5"/>
      <c r="X971" s="5"/>
      <c r="Y971" s="5"/>
      <c r="Z971" s="5"/>
      <c r="AA971" s="5"/>
      <c r="AB971" s="5"/>
      <c r="AC971" s="5"/>
      <c r="AD971" s="46"/>
      <c r="AE971" s="1670"/>
      <c r="AF971" s="1671"/>
      <c r="AG971" s="1671"/>
      <c r="AH971" s="1671"/>
      <c r="AI971" s="1671"/>
      <c r="AJ971" s="1671"/>
      <c r="AK971" s="1672"/>
      <c r="AZ971" s="34"/>
      <c r="BB971" s="34"/>
      <c r="BC971" s="34"/>
      <c r="BD971" s="34"/>
      <c r="BE971" s="34"/>
      <c r="BF971" s="34"/>
      <c r="BG971" s="34"/>
      <c r="BH971" s="34"/>
      <c r="BI971" s="34"/>
      <c r="BJ971" s="34"/>
      <c r="BK971" s="34"/>
      <c r="BL971" s="34"/>
    </row>
    <row r="972" spans="1:64" ht="13.05" customHeight="1">
      <c r="AZ972" s="34"/>
      <c r="BB972" s="34"/>
      <c r="BC972" s="34"/>
      <c r="BD972" s="34"/>
      <c r="BE972" s="34"/>
      <c r="BF972" s="34"/>
      <c r="BG972" s="34"/>
      <c r="BH972" s="34"/>
      <c r="BI972" s="34"/>
      <c r="BJ972" s="34"/>
      <c r="BK972" s="34"/>
      <c r="BL972" s="34"/>
    </row>
    <row r="973" spans="1:64" ht="13.05"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3.0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3.0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3.05" customHeight="1">
      <c r="A976"/>
      <c r="B976"/>
      <c r="C976"/>
      <c r="D976"/>
      <c r="E976"/>
      <c r="F976" s="45" t="s">
        <v>571</v>
      </c>
      <c r="G976" s="5"/>
      <c r="H976" s="5"/>
      <c r="I976" s="5"/>
      <c r="J976" s="5"/>
      <c r="K976" s="5"/>
      <c r="L976" s="46"/>
      <c r="M976" s="1638"/>
      <c r="N976" s="1639"/>
      <c r="O976" s="1639"/>
      <c r="P976" s="1639"/>
      <c r="Q976" s="1639"/>
      <c r="R976" s="1639"/>
      <c r="S976" s="1640"/>
      <c r="T976" s="66" t="s">
        <v>790</v>
      </c>
      <c r="U976" s="5"/>
      <c r="V976" s="5"/>
      <c r="W976" s="5"/>
      <c r="X976" s="5"/>
      <c r="Y976" s="5"/>
      <c r="Z976" s="46"/>
      <c r="AA976" s="1638"/>
      <c r="AB976" s="1639"/>
      <c r="AC976" s="1639"/>
      <c r="AD976" s="1639"/>
      <c r="AE976" s="1639"/>
      <c r="AF976" s="1639"/>
      <c r="AG976" s="1640"/>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3.05" customHeight="1">
      <c r="A977"/>
      <c r="B977"/>
      <c r="C977"/>
      <c r="D977"/>
      <c r="E977"/>
      <c r="F977" s="45" t="s">
        <v>572</v>
      </c>
      <c r="G977" s="5"/>
      <c r="H977" s="5"/>
      <c r="I977" s="5"/>
      <c r="J977" s="5"/>
      <c r="K977" s="5"/>
      <c r="L977" s="46"/>
      <c r="M977" s="1638"/>
      <c r="N977" s="1639"/>
      <c r="O977" s="1639"/>
      <c r="P977" s="1639"/>
      <c r="Q977" s="1639"/>
      <c r="R977" s="1639"/>
      <c r="S977" s="1640"/>
      <c r="T977" s="66" t="s">
        <v>789</v>
      </c>
      <c r="U977" s="5"/>
      <c r="V977" s="5"/>
      <c r="W977" s="5"/>
      <c r="X977" s="5"/>
      <c r="Y977" s="5"/>
      <c r="Z977" s="46"/>
      <c r="AA977" s="1638"/>
      <c r="AB977" s="1639"/>
      <c r="AC977" s="1639"/>
      <c r="AD977" s="1639"/>
      <c r="AE977" s="1639"/>
      <c r="AF977" s="1639"/>
      <c r="AG977" s="1640"/>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3.05" customHeight="1">
      <c r="A978"/>
      <c r="B978"/>
      <c r="C978"/>
      <c r="D978"/>
      <c r="E978"/>
      <c r="F978" s="45" t="s">
        <v>901</v>
      </c>
      <c r="G978" s="5"/>
      <c r="H978" s="5"/>
      <c r="I978" s="5"/>
      <c r="J978" s="5"/>
      <c r="K978" s="5"/>
      <c r="L978" s="46"/>
      <c r="M978" s="1902" t="s">
        <v>591</v>
      </c>
      <c r="N978" s="1903"/>
      <c r="O978" s="1903"/>
      <c r="P978" s="1903"/>
      <c r="Q978" s="1903"/>
      <c r="R978" s="1903"/>
      <c r="S978" s="1904"/>
      <c r="T978" s="45" t="s">
        <v>337</v>
      </c>
      <c r="U978" s="5"/>
      <c r="V978" s="5"/>
      <c r="W978" s="5"/>
      <c r="X978" s="5"/>
      <c r="Y978" s="5"/>
      <c r="Z978" s="46"/>
      <c r="AA978" s="1638"/>
      <c r="AB978" s="1639"/>
      <c r="AC978" s="1639"/>
      <c r="AD978" s="1639"/>
      <c r="AE978" s="1639"/>
      <c r="AF978" s="1639"/>
      <c r="AG978" s="1640"/>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3.05" customHeight="1">
      <c r="A979"/>
      <c r="B979"/>
      <c r="C979"/>
      <c r="D979"/>
      <c r="E979"/>
      <c r="F979" s="45" t="s">
        <v>573</v>
      </c>
      <c r="G979" s="5"/>
      <c r="H979" s="5"/>
      <c r="I979" s="5"/>
      <c r="J979" s="5"/>
      <c r="K979" s="5"/>
      <c r="L979" s="46"/>
      <c r="M979" s="1638"/>
      <c r="N979" s="1639"/>
      <c r="O979" s="1639"/>
      <c r="P979" s="1639"/>
      <c r="Q979" s="1639"/>
      <c r="R979" s="1639"/>
      <c r="S979" s="1640"/>
      <c r="T979" s="45" t="s">
        <v>338</v>
      </c>
      <c r="U979" s="5"/>
      <c r="V979" s="5"/>
      <c r="W979" s="5"/>
      <c r="X979" s="5"/>
      <c r="Y979" s="5"/>
      <c r="Z979" s="46"/>
      <c r="AA979" s="1638"/>
      <c r="AB979" s="1639"/>
      <c r="AC979" s="1639"/>
      <c r="AD979" s="1639"/>
      <c r="AE979" s="1639"/>
      <c r="AF979" s="1639"/>
      <c r="AG979" s="1640"/>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3.05" customHeight="1">
      <c r="A980"/>
      <c r="B980"/>
      <c r="C980"/>
      <c r="D980"/>
      <c r="E980"/>
      <c r="F980" s="45" t="s">
        <v>464</v>
      </c>
      <c r="G980" s="5"/>
      <c r="H980" s="5"/>
      <c r="I980" s="5"/>
      <c r="J980" s="5"/>
      <c r="K980" s="5"/>
      <c r="L980" s="46"/>
      <c r="M980" s="1638"/>
      <c r="N980" s="1639"/>
      <c r="O980" s="1639"/>
      <c r="P980" s="1639"/>
      <c r="Q980" s="1639"/>
      <c r="R980" s="1639"/>
      <c r="S980" s="1640"/>
      <c r="T980" s="45" t="s">
        <v>376</v>
      </c>
      <c r="U980" s="5"/>
      <c r="V980" s="5"/>
      <c r="W980" s="5"/>
      <c r="X980" s="5"/>
      <c r="Y980" s="5"/>
      <c r="Z980" s="46"/>
      <c r="AA980" s="1638"/>
      <c r="AB980" s="1639"/>
      <c r="AC980" s="1639"/>
      <c r="AD980" s="1639"/>
      <c r="AE980" s="1639"/>
      <c r="AF980" s="1639"/>
      <c r="AG980" s="1640"/>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3.05" customHeight="1">
      <c r="A981"/>
      <c r="B981"/>
      <c r="C981"/>
      <c r="D981"/>
      <c r="E981"/>
      <c r="F981" s="242" t="s">
        <v>880</v>
      </c>
      <c r="G981" s="42"/>
      <c r="H981" s="42"/>
      <c r="I981" s="42"/>
      <c r="J981" s="42"/>
      <c r="K981" s="42"/>
      <c r="L981" s="58"/>
      <c r="M981" s="1644" t="s">
        <v>307</v>
      </c>
      <c r="N981" s="1645"/>
      <c r="O981" s="1645"/>
      <c r="P981" s="1645"/>
      <c r="Q981" s="1645"/>
      <c r="R981" s="1645"/>
      <c r="S981" s="1646"/>
      <c r="T981" s="1648"/>
      <c r="U981" s="1649"/>
      <c r="V981" s="1649"/>
      <c r="W981" s="1649"/>
      <c r="X981" s="1649"/>
      <c r="Y981" s="1649"/>
      <c r="Z981" s="1650"/>
      <c r="AA981" s="1638"/>
      <c r="AB981" s="1639"/>
      <c r="AC981" s="1639"/>
      <c r="AD981" s="1639"/>
      <c r="AE981" s="1639"/>
      <c r="AF981" s="1639"/>
      <c r="AG981" s="1640"/>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3.05" customHeight="1">
      <c r="A982"/>
      <c r="B982"/>
      <c r="C982"/>
      <c r="D982"/>
      <c r="E982"/>
      <c r="F982" s="41" t="s">
        <v>465</v>
      </c>
      <c r="G982" s="42"/>
      <c r="H982" s="42"/>
      <c r="I982" s="42"/>
      <c r="J982" s="42"/>
      <c r="K982" s="42"/>
      <c r="L982" s="58"/>
      <c r="M982" s="1638"/>
      <c r="N982" s="1639"/>
      <c r="O982" s="1639"/>
      <c r="P982" s="1639"/>
      <c r="Q982" s="1639"/>
      <c r="R982" s="1639"/>
      <c r="S982" s="1640"/>
      <c r="T982" s="1648"/>
      <c r="U982" s="1649"/>
      <c r="V982" s="1649"/>
      <c r="W982" s="1649"/>
      <c r="X982" s="1649"/>
      <c r="Y982" s="1649"/>
      <c r="Z982" s="1650"/>
      <c r="AA982" s="1638"/>
      <c r="AB982" s="1639"/>
      <c r="AC982" s="1639"/>
      <c r="AD982" s="1639"/>
      <c r="AE982" s="1639"/>
      <c r="AF982" s="1639"/>
      <c r="AG982" s="1640"/>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3.05" customHeight="1">
      <c r="F983" s="41" t="s">
        <v>336</v>
      </c>
      <c r="G983" s="42"/>
      <c r="H983" s="42"/>
      <c r="I983" s="42"/>
      <c r="J983" s="42"/>
      <c r="K983" s="42"/>
      <c r="L983" s="42"/>
      <c r="M983" s="42"/>
      <c r="N983" s="42"/>
      <c r="O983" s="1795" t="s">
        <v>669</v>
      </c>
      <c r="P983" s="1796"/>
      <c r="Q983" s="92"/>
      <c r="R983" s="92"/>
      <c r="S983" s="93"/>
      <c r="T983" s="41" t="s">
        <v>170</v>
      </c>
      <c r="U983" s="42"/>
      <c r="V983" s="42"/>
      <c r="W983" s="1828" t="s">
        <v>334</v>
      </c>
      <c r="X983" s="1829"/>
      <c r="Y983" s="1829"/>
      <c r="Z983" s="1829"/>
      <c r="AA983" s="1829"/>
      <c r="AB983" s="1829"/>
      <c r="AC983" s="1829"/>
      <c r="AD983" s="1829"/>
      <c r="AE983" s="1829"/>
      <c r="AF983" s="1829"/>
      <c r="AG983" s="1830"/>
      <c r="AU983" s="68"/>
      <c r="AV983" s="95"/>
      <c r="AW983" s="95"/>
      <c r="AX983" s="95"/>
      <c r="AY983" s="95"/>
      <c r="AZ983" s="34"/>
      <c r="BB983" s="34"/>
      <c r="BC983" s="34"/>
      <c r="BD983" s="34"/>
      <c r="BE983" s="34"/>
      <c r="BF983" s="34"/>
      <c r="BG983" s="34"/>
      <c r="BH983" s="34"/>
      <c r="BI983" s="34"/>
      <c r="BJ983" s="34"/>
      <c r="BK983" s="34"/>
      <c r="BL983" s="34"/>
    </row>
    <row r="984" spans="1:64" ht="13.05" customHeight="1">
      <c r="F984" s="1864" t="s">
        <v>33</v>
      </c>
      <c r="G984" s="1709"/>
      <c r="H984" s="1709"/>
      <c r="I984" s="1709"/>
      <c r="J984" s="1709"/>
      <c r="K984" s="1709"/>
      <c r="L984" s="1709"/>
      <c r="M984" s="1638"/>
      <c r="N984" s="1639"/>
      <c r="O984" s="1639"/>
      <c r="P984" s="1639"/>
      <c r="Q984" s="1639"/>
      <c r="R984" s="1639"/>
      <c r="S984" s="1640"/>
      <c r="T984" s="47"/>
      <c r="U984" s="48"/>
      <c r="V984" s="48"/>
      <c r="W984" s="48"/>
      <c r="X984" s="48"/>
      <c r="Y984" s="48"/>
      <c r="Z984" s="124" t="s">
        <v>134</v>
      </c>
      <c r="AA984" s="1847"/>
      <c r="AB984" s="1848"/>
      <c r="AC984" s="1848"/>
      <c r="AD984" s="1848"/>
      <c r="AE984" s="1848"/>
      <c r="AF984" s="1848"/>
      <c r="AG984" s="1849"/>
      <c r="AU984" s="68"/>
      <c r="AV984" s="95"/>
      <c r="AW984" s="95"/>
      <c r="AX984" s="95"/>
      <c r="AY984" s="95"/>
      <c r="AZ984" s="14"/>
      <c r="BA984" s="14"/>
      <c r="BB984" s="34"/>
      <c r="BC984" s="34"/>
      <c r="BD984" s="34"/>
      <c r="BE984" s="34"/>
      <c r="BF984" s="34"/>
      <c r="BG984" s="14"/>
      <c r="BH984" s="14"/>
      <c r="BI984" s="14"/>
      <c r="BJ984" s="14"/>
      <c r="BK984" s="14"/>
      <c r="BL984" s="14"/>
    </row>
    <row r="985" spans="1:64" ht="13.05" customHeight="1">
      <c r="AU985" s="68"/>
      <c r="AV985" s="68"/>
      <c r="AW985" s="68"/>
      <c r="AX985" s="68"/>
      <c r="AY985" s="68"/>
      <c r="AZ985" s="14"/>
      <c r="BA985" s="14"/>
      <c r="BB985" s="14"/>
      <c r="BC985" s="14"/>
      <c r="BD985" s="14"/>
      <c r="BE985" s="14"/>
      <c r="BF985" s="14"/>
      <c r="BG985" s="1375"/>
      <c r="BH985" s="1375"/>
      <c r="BI985" s="1375"/>
      <c r="BJ985" s="1375"/>
      <c r="BK985" s="1375"/>
      <c r="BL985" s="1375"/>
    </row>
    <row r="986" spans="1:64" ht="13.05" customHeight="1">
      <c r="AU986" s="68"/>
      <c r="AV986" s="68"/>
      <c r="AW986" s="68"/>
      <c r="AX986" s="68"/>
      <c r="AY986" s="68"/>
      <c r="AZ986" s="14"/>
      <c r="BA986" s="14"/>
      <c r="BB986" s="908"/>
      <c r="BC986" s="908"/>
      <c r="BD986" s="14"/>
      <c r="BE986" s="14"/>
      <c r="BF986" s="14"/>
      <c r="BG986" s="14"/>
      <c r="BH986" s="14"/>
      <c r="BI986" s="14"/>
      <c r="BJ986" s="14"/>
      <c r="BK986" s="14"/>
      <c r="BL986" s="14"/>
    </row>
    <row r="987" spans="1:64" ht="13.05" customHeight="1">
      <c r="AU987" s="68"/>
      <c r="AV987" s="68"/>
      <c r="AW987" s="68"/>
      <c r="AX987" s="68"/>
      <c r="AY987" s="68"/>
      <c r="AZ987" s="14"/>
      <c r="BA987" s="14"/>
      <c r="BB987" s="908"/>
      <c r="BC987" s="908"/>
    </row>
    <row r="988" spans="1:64" ht="13.05" customHeight="1">
      <c r="A988" s="1741" t="s">
        <v>548</v>
      </c>
      <c r="B988" s="1741"/>
      <c r="C988" s="1741"/>
      <c r="D988" s="1741"/>
      <c r="E988" s="1741"/>
      <c r="F988" s="1741"/>
      <c r="G988" s="1741"/>
      <c r="H988" s="1741"/>
      <c r="I988" s="1741"/>
      <c r="J988" s="1741"/>
      <c r="K988" s="1741"/>
      <c r="L988" s="1741"/>
      <c r="M988" s="1741"/>
      <c r="N988" s="1741"/>
      <c r="O988" s="1741"/>
      <c r="P988" s="1741"/>
      <c r="Q988" s="1741"/>
      <c r="R988" s="1741"/>
      <c r="S988" s="1741"/>
      <c r="T988" s="1741"/>
      <c r="U988" s="1741"/>
      <c r="V988" s="1741"/>
      <c r="W988" s="1741"/>
      <c r="X988" s="1741"/>
      <c r="Y988" s="1741"/>
      <c r="Z988" s="1741"/>
      <c r="AA988" s="1741"/>
      <c r="AB988" s="1741"/>
      <c r="AC988" s="1741"/>
      <c r="AD988" s="1741"/>
      <c r="AE988" s="1741"/>
      <c r="AF988" s="1741"/>
      <c r="AG988" s="1741"/>
      <c r="AH988" s="1741"/>
      <c r="AI988" s="1741"/>
      <c r="AJ988" s="1741"/>
      <c r="AK988" s="1741"/>
      <c r="AL988" s="1741"/>
      <c r="AM988" s="1741"/>
      <c r="AN988" s="1741"/>
      <c r="AO988" s="1741"/>
      <c r="AP988" s="1741"/>
      <c r="AQ988" s="1741"/>
      <c r="AR988" s="1741"/>
      <c r="AS988" s="1741"/>
      <c r="AT988" s="1741"/>
      <c r="AU988" s="68"/>
      <c r="AV988" s="68"/>
      <c r="AW988" s="68"/>
      <c r="AX988" s="68"/>
      <c r="AY988" s="68"/>
      <c r="AZ988" s="14"/>
      <c r="BA988" s="14"/>
      <c r="BB988" s="908"/>
      <c r="BC988" s="908"/>
    </row>
    <row r="989" spans="1:64" ht="13.05" customHeight="1">
      <c r="A989" s="1741"/>
      <c r="B989" s="1741"/>
      <c r="C989" s="1741"/>
      <c r="D989" s="1741"/>
      <c r="E989" s="1741"/>
      <c r="F989" s="1741"/>
      <c r="G989" s="1741"/>
      <c r="H989" s="1741"/>
      <c r="I989" s="1741"/>
      <c r="J989" s="1741"/>
      <c r="K989" s="1741"/>
      <c r="L989" s="1741"/>
      <c r="M989" s="1741"/>
      <c r="N989" s="1741"/>
      <c r="O989" s="1741"/>
      <c r="P989" s="1741"/>
      <c r="Q989" s="1741"/>
      <c r="R989" s="1741"/>
      <c r="S989" s="1741"/>
      <c r="T989" s="1741"/>
      <c r="U989" s="1741"/>
      <c r="V989" s="1741"/>
      <c r="W989" s="1741"/>
      <c r="X989" s="1741"/>
      <c r="Y989" s="1741"/>
      <c r="Z989" s="1741"/>
      <c r="AA989" s="1741"/>
      <c r="AB989" s="1741"/>
      <c r="AC989" s="1741"/>
      <c r="AD989" s="1741"/>
      <c r="AE989" s="1741"/>
      <c r="AF989" s="1741"/>
      <c r="AG989" s="1741"/>
      <c r="AH989" s="1741"/>
      <c r="AI989" s="1741"/>
      <c r="AJ989" s="1741"/>
      <c r="AK989" s="1741"/>
      <c r="AL989" s="1741"/>
      <c r="AM989" s="1741"/>
      <c r="AN989" s="1741"/>
      <c r="AO989" s="1741"/>
      <c r="AP989" s="1741"/>
      <c r="AQ989" s="1741"/>
      <c r="AR989" s="1741"/>
      <c r="AS989" s="1741"/>
      <c r="AT989" s="1741"/>
      <c r="AU989" s="68"/>
      <c r="AV989" s="68"/>
      <c r="AW989" s="68"/>
      <c r="AX989" s="68"/>
      <c r="AY989" s="68"/>
      <c r="AZ989" s="30"/>
      <c r="BA989" s="14"/>
      <c r="BB989" s="14"/>
      <c r="BC989" s="14"/>
    </row>
    <row r="990" spans="1:64" ht="13.05" customHeight="1">
      <c r="A990" s="1741"/>
      <c r="B990" s="1741"/>
      <c r="C990" s="1741"/>
      <c r="D990" s="1741"/>
      <c r="E990" s="1741"/>
      <c r="F990" s="1741"/>
      <c r="G990" s="1741"/>
      <c r="H990" s="1741"/>
      <c r="I990" s="1741"/>
      <c r="J990" s="1741"/>
      <c r="K990" s="1741"/>
      <c r="L990" s="1741"/>
      <c r="M990" s="1741"/>
      <c r="N990" s="1741"/>
      <c r="O990" s="1741"/>
      <c r="P990" s="1741"/>
      <c r="Q990" s="1741"/>
      <c r="R990" s="1741"/>
      <c r="S990" s="1741"/>
      <c r="T990" s="1741"/>
      <c r="U990" s="1741"/>
      <c r="V990" s="1741"/>
      <c r="W990" s="1741"/>
      <c r="X990" s="1741"/>
      <c r="Y990" s="1741"/>
      <c r="Z990" s="1741"/>
      <c r="AA990" s="1741"/>
      <c r="AB990" s="1741"/>
      <c r="AC990" s="1741"/>
      <c r="AD990" s="1741"/>
      <c r="AE990" s="1741"/>
      <c r="AF990" s="1741"/>
      <c r="AG990" s="1741"/>
      <c r="AH990" s="1741"/>
      <c r="AI990" s="1741"/>
      <c r="AJ990" s="1741"/>
      <c r="AK990" s="1741"/>
      <c r="AL990" s="1741"/>
      <c r="AM990" s="1741"/>
      <c r="AN990" s="1741"/>
      <c r="AO990" s="1741"/>
      <c r="AP990" s="1741"/>
      <c r="AQ990" s="1741"/>
      <c r="AR990" s="1741"/>
      <c r="AS990" s="1741"/>
      <c r="AT990" s="1741"/>
      <c r="AU990" s="68"/>
      <c r="AV990" s="68"/>
      <c r="AW990" s="68"/>
      <c r="AX990" s="68"/>
      <c r="AY990" s="68"/>
      <c r="AZ990" s="30"/>
      <c r="BA990" s="14"/>
      <c r="BB990" s="14"/>
      <c r="BC990" s="14"/>
    </row>
    <row r="991" spans="1:64" ht="13.0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3.05"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3.0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3.05" customHeight="1">
      <c r="A994" s="67"/>
      <c r="B994" s="79"/>
      <c r="C994" s="924"/>
      <c r="D994" s="1825" t="s">
        <v>638</v>
      </c>
      <c r="E994" s="1826"/>
      <c r="F994" s="1826"/>
      <c r="G994" s="1826"/>
      <c r="H994" s="1826"/>
      <c r="I994" s="1826"/>
      <c r="J994" s="1826"/>
      <c r="K994" s="1826"/>
      <c r="L994" s="1826"/>
      <c r="M994" s="1826"/>
      <c r="N994" s="1826"/>
      <c r="O994" s="1826"/>
      <c r="P994" s="1826"/>
      <c r="Q994" s="1827"/>
      <c r="R994" s="1825" t="s">
        <v>639</v>
      </c>
      <c r="S994" s="1826"/>
      <c r="T994" s="1826"/>
      <c r="U994" s="1826"/>
      <c r="V994" s="1826"/>
      <c r="W994" s="1826"/>
      <c r="X994" s="1826"/>
      <c r="Y994" s="1826"/>
      <c r="Z994" s="1826"/>
      <c r="AA994" s="1827"/>
      <c r="AB994" s="1825" t="s">
        <v>640</v>
      </c>
      <c r="AC994" s="1826"/>
      <c r="AD994" s="1826"/>
      <c r="AE994" s="1826"/>
      <c r="AF994" s="1826"/>
      <c r="AG994" s="1826"/>
      <c r="AH994" s="1826"/>
      <c r="AI994" s="1827"/>
      <c r="AJ994" s="1825" t="s">
        <v>641</v>
      </c>
      <c r="AK994" s="1826"/>
      <c r="AL994" s="1826"/>
      <c r="AM994" s="1826"/>
      <c r="AN994" s="1826"/>
      <c r="AO994" s="1826"/>
      <c r="AP994" s="1826"/>
      <c r="AQ994" s="1827"/>
      <c r="AR994" s="68"/>
      <c r="AS994" s="68"/>
      <c r="AT994" s="68"/>
      <c r="AU994" s="68"/>
      <c r="AV994" s="68"/>
      <c r="AW994" s="68"/>
      <c r="AX994" s="68"/>
      <c r="AY994" s="68"/>
      <c r="AZ994" s="30"/>
      <c r="BB994" s="14"/>
      <c r="BC994" s="14"/>
    </row>
    <row r="995" spans="1:55" ht="13.05" customHeight="1">
      <c r="A995" s="14"/>
      <c r="B995" s="73"/>
      <c r="C995" s="925"/>
      <c r="D995" s="1831" t="s">
        <v>633</v>
      </c>
      <c r="E995" s="1832"/>
      <c r="F995" s="1832"/>
      <c r="G995" s="1832"/>
      <c r="H995" s="1832"/>
      <c r="I995" s="1832"/>
      <c r="J995" s="1832"/>
      <c r="K995" s="1832"/>
      <c r="L995" s="1832"/>
      <c r="M995" s="1832"/>
      <c r="N995" s="1832"/>
      <c r="O995" s="1832"/>
      <c r="P995" s="1832"/>
      <c r="Q995" s="1833"/>
      <c r="R995" s="1598">
        <f>IF(ISNA(IF($CU$122="4%",(INDEX($CS$160:$CW$217,MATCH($DG$122,$CR$160:$CR$217,0),MATCH(D995,$CS$159:$CW$159,0))),(INDEX($CZ$160:$DD$217,MATCH($DG$122,$CY$160:$CY$217,0),MATCH(D995,$CZ$159:$DD$159,0))))),0,IF($CU$122="4%",(INDEX($CS$160:$CW$217,MATCH($DG$122,$CR$160:$CR$217,0),MATCH(D995,$CS$159:$CW$159,0))),(INDEX($CZ$160:$DD$217,MATCH($DG$122,$CY$160:$CY$217,0),MATCH(D995,$CZ$159:$DD$159,0)))))</f>
        <v>442904</v>
      </c>
      <c r="S995" s="1598"/>
      <c r="T995" s="1598"/>
      <c r="U995" s="1598"/>
      <c r="V995" s="1598"/>
      <c r="W995" s="1598"/>
      <c r="X995" s="1598"/>
      <c r="Y995" s="1598"/>
      <c r="Z995" s="1598"/>
      <c r="AA995" s="1598"/>
      <c r="AB995" s="1806">
        <f>CP810</f>
        <v>0</v>
      </c>
      <c r="AC995" s="1807"/>
      <c r="AD995" s="1807"/>
      <c r="AE995" s="1807"/>
      <c r="AF995" s="1807"/>
      <c r="AG995" s="1807"/>
      <c r="AH995" s="1807"/>
      <c r="AI995" s="1808"/>
      <c r="AJ995" s="1651">
        <f>IF(ISERROR((R995*AB995)),0,(R995*AB995))</f>
        <v>0</v>
      </c>
      <c r="AK995" s="1652"/>
      <c r="AL995" s="1652"/>
      <c r="AM995" s="1652"/>
      <c r="AN995" s="1652"/>
      <c r="AO995" s="1652"/>
      <c r="AP995" s="1652"/>
      <c r="AQ995" s="1653"/>
      <c r="AR995" s="68"/>
      <c r="AS995" s="68"/>
      <c r="AT995" s="68"/>
      <c r="AU995" s="68"/>
      <c r="AV995" s="68"/>
      <c r="AW995" s="68"/>
      <c r="AX995" s="68"/>
      <c r="AY995" s="68"/>
      <c r="AZ995" s="30"/>
      <c r="BB995" s="14"/>
      <c r="BC995" s="14"/>
    </row>
    <row r="996" spans="1:55" ht="13.05" customHeight="1">
      <c r="A996" s="14"/>
      <c r="B996" s="73"/>
      <c r="C996" s="83"/>
      <c r="D996" s="1831" t="s">
        <v>325</v>
      </c>
      <c r="E996" s="1832"/>
      <c r="F996" s="1832"/>
      <c r="G996" s="1832"/>
      <c r="H996" s="1832"/>
      <c r="I996" s="1832"/>
      <c r="J996" s="1832"/>
      <c r="K996" s="1832"/>
      <c r="L996" s="1832"/>
      <c r="M996" s="1832"/>
      <c r="N996" s="1832"/>
      <c r="O996" s="1832"/>
      <c r="P996" s="1832"/>
      <c r="Q996" s="1833"/>
      <c r="R996" s="1598">
        <f>IF(ISNA(IF($CU$122="4%",(INDEX($CS$160:$CW$217,MATCH($DG$122,$CR$160:$CR$217,0),MATCH(D996,$CS$159:$CW$159,0))),(INDEX($CZ$160:$DD$217,MATCH($DG$122,$CY$160:$CY$217,0),MATCH(D996,$CZ$159:$DD$159,0))))),0,IF($CU$122="4%",(INDEX($CS$160:$CW$217,MATCH($DG$122,$CR$160:$CR$217,0),MATCH(D996,$CS$159:$CW$159,0))),(INDEX($CZ$160:$DD$217,MATCH($DG$122,$CY$160:$CY$217,0),MATCH(D996,$CZ$159:$DD$159,0)))))</f>
        <v>510664</v>
      </c>
      <c r="S996" s="1598"/>
      <c r="T996" s="1598"/>
      <c r="U996" s="1598"/>
      <c r="V996" s="1598"/>
      <c r="W996" s="1598"/>
      <c r="X996" s="1598"/>
      <c r="Y996" s="1598"/>
      <c r="Z996" s="1598"/>
      <c r="AA996" s="1598"/>
      <c r="AB996" s="1806">
        <f>CU810</f>
        <v>0</v>
      </c>
      <c r="AC996" s="1807"/>
      <c r="AD996" s="1807"/>
      <c r="AE996" s="1807"/>
      <c r="AF996" s="1807"/>
      <c r="AG996" s="1807"/>
      <c r="AH996" s="1807"/>
      <c r="AI996" s="1808"/>
      <c r="AJ996" s="1651">
        <f>IF(ISERROR((R996*AB996)),0,(R996*AB996))</f>
        <v>0</v>
      </c>
      <c r="AK996" s="1652"/>
      <c r="AL996" s="1652"/>
      <c r="AM996" s="1652"/>
      <c r="AN996" s="1652"/>
      <c r="AO996" s="1652"/>
      <c r="AP996" s="1652"/>
      <c r="AQ996" s="1653"/>
      <c r="AR996" s="68"/>
      <c r="AS996" s="68"/>
      <c r="AT996" s="68"/>
      <c r="AU996" s="68"/>
      <c r="AV996" s="68"/>
      <c r="AW996" s="68"/>
      <c r="AX996" s="68"/>
      <c r="AY996" s="68"/>
      <c r="AZ996" s="30"/>
      <c r="BB996" s="14"/>
      <c r="BC996" s="14"/>
    </row>
    <row r="997" spans="1:55" ht="13.05" customHeight="1">
      <c r="A997" s="14"/>
      <c r="B997" s="73"/>
      <c r="C997" s="83"/>
      <c r="D997" s="1831" t="s">
        <v>163</v>
      </c>
      <c r="E997" s="1832"/>
      <c r="F997" s="1832"/>
      <c r="G997" s="1832"/>
      <c r="H997" s="1832"/>
      <c r="I997" s="1832"/>
      <c r="J997" s="1832"/>
      <c r="K997" s="1832"/>
      <c r="L997" s="1832"/>
      <c r="M997" s="1832"/>
      <c r="N997" s="1832"/>
      <c r="O997" s="1832"/>
      <c r="P997" s="1832"/>
      <c r="Q997" s="1833"/>
      <c r="R997" s="1598">
        <f>IF(ISNA(IF($CU$122="4%",(INDEX($CS$160:$CW$217,MATCH($DG$122,$CR$160:$CR$217,0),MATCH(D997,$CS$159:$CW$159,0))),(INDEX($CZ$160:$DD$217,MATCH($DG$122,$CY$160:$CY$217,0),MATCH(D997,$CZ$159:$DD$159,0))))),0,IF($CU$122="4%",(INDEX($CS$160:$CW$217,MATCH($DG$122,$CR$160:$CR$217,0),MATCH(D997,$CS$159:$CW$159,0))),(INDEX($CZ$160:$DD$217,MATCH($DG$122,$CY$160:$CY$217,0),MATCH(D997,$CZ$159:$DD$159,0)))))</f>
        <v>616000</v>
      </c>
      <c r="S997" s="1598"/>
      <c r="T997" s="1598"/>
      <c r="U997" s="1598"/>
      <c r="V997" s="1598"/>
      <c r="W997" s="1598"/>
      <c r="X997" s="1598"/>
      <c r="Y997" s="1598"/>
      <c r="Z997" s="1598"/>
      <c r="AA997" s="1598"/>
      <c r="AB997" s="1806">
        <f>CZ810</f>
        <v>34</v>
      </c>
      <c r="AC997" s="1807"/>
      <c r="AD997" s="1807"/>
      <c r="AE997" s="1807"/>
      <c r="AF997" s="1807"/>
      <c r="AG997" s="1807"/>
      <c r="AH997" s="1807"/>
      <c r="AI997" s="1808"/>
      <c r="AJ997" s="1651">
        <f>IF(ISERROR((R997*AB997)),0,(R997*AB997))</f>
        <v>20944000</v>
      </c>
      <c r="AK997" s="1652"/>
      <c r="AL997" s="1652"/>
      <c r="AM997" s="1652"/>
      <c r="AN997" s="1652"/>
      <c r="AO997" s="1652"/>
      <c r="AP997" s="1652"/>
      <c r="AQ997" s="1653"/>
      <c r="AR997" s="68"/>
      <c r="AS997" s="68"/>
      <c r="AT997" s="68"/>
      <c r="AU997" s="68"/>
      <c r="AV997" s="68"/>
      <c r="AW997" s="68"/>
      <c r="AX997" s="68"/>
      <c r="AY997" s="68"/>
      <c r="AZ997" s="30"/>
      <c r="BB997" s="14"/>
      <c r="BC997" s="14"/>
    </row>
    <row r="998" spans="1:55" ht="13.05" customHeight="1">
      <c r="A998" s="14"/>
      <c r="B998" s="73"/>
      <c r="C998" s="83"/>
      <c r="D998" s="1831" t="s">
        <v>164</v>
      </c>
      <c r="E998" s="1832"/>
      <c r="F998" s="1832"/>
      <c r="G998" s="1832"/>
      <c r="H998" s="1832"/>
      <c r="I998" s="1832"/>
      <c r="J998" s="1832"/>
      <c r="K998" s="1832"/>
      <c r="L998" s="1832"/>
      <c r="M998" s="1832"/>
      <c r="N998" s="1832"/>
      <c r="O998" s="1832"/>
      <c r="P998" s="1832"/>
      <c r="Q998" s="1833"/>
      <c r="R998" s="1598">
        <f>IF(ISNA(IF($CU$122="4%",(INDEX($CS$160:$CW$217,MATCH($DG$122,$CR$160:$CR$217,0),MATCH(D998,$CS$159:$CW$159,0))),(INDEX($CZ$160:$DD$217,MATCH($DG$122,$CY$160:$CY$217,0),MATCH(D998,$CZ$159:$DD$159,0))))),0,IF($CU$122="4%",(INDEX($CS$160:$CW$217,MATCH($DG$122,$CR$160:$CR$217,0),MATCH(D998,$CS$159:$CW$159,0))),(INDEX($CZ$160:$DD$217,MATCH($DG$122,$CY$160:$CY$217,0),MATCH(D998,$CZ$159:$DD$159,0)))))</f>
        <v>788480</v>
      </c>
      <c r="S998" s="1598"/>
      <c r="T998" s="1598"/>
      <c r="U998" s="1598"/>
      <c r="V998" s="1598"/>
      <c r="W998" s="1598"/>
      <c r="X998" s="1598"/>
      <c r="Y998" s="1598"/>
      <c r="Z998" s="1598"/>
      <c r="AA998" s="1598"/>
      <c r="AB998" s="1806">
        <f>DE810</f>
        <v>68</v>
      </c>
      <c r="AC998" s="1807"/>
      <c r="AD998" s="1807"/>
      <c r="AE998" s="1807"/>
      <c r="AF998" s="1807"/>
      <c r="AG998" s="1807"/>
      <c r="AH998" s="1807"/>
      <c r="AI998" s="1808"/>
      <c r="AJ998" s="1651">
        <f>IF(ISERROR((R998*AB998)),0,(R998*AB998))</f>
        <v>53616640</v>
      </c>
      <c r="AK998" s="1652"/>
      <c r="AL998" s="1652"/>
      <c r="AM998" s="1652"/>
      <c r="AN998" s="1652"/>
      <c r="AO998" s="1652"/>
      <c r="AP998" s="1652"/>
      <c r="AQ998" s="1653"/>
      <c r="AR998" s="68"/>
      <c r="AS998" s="68"/>
      <c r="AT998" s="68"/>
      <c r="AU998" s="68"/>
      <c r="AV998" s="68"/>
      <c r="AW998" s="68"/>
      <c r="AX998" s="68"/>
      <c r="AY998" s="68"/>
      <c r="AZ998" s="30"/>
      <c r="BA998" s="34"/>
      <c r="BB998" s="14"/>
      <c r="BC998" s="14"/>
    </row>
    <row r="999" spans="1:55" ht="13.05" customHeight="1">
      <c r="A999" s="14"/>
      <c r="B999" s="47"/>
      <c r="C999" s="78"/>
      <c r="D999" s="1831" t="s">
        <v>460</v>
      </c>
      <c r="E999" s="1832"/>
      <c r="F999" s="1832"/>
      <c r="G999" s="1832"/>
      <c r="H999" s="1832"/>
      <c r="I999" s="1832"/>
      <c r="J999" s="1832"/>
      <c r="K999" s="1832"/>
      <c r="L999" s="1832"/>
      <c r="M999" s="1832"/>
      <c r="N999" s="1832"/>
      <c r="O999" s="1832"/>
      <c r="P999" s="1832"/>
      <c r="Q999" s="1833"/>
      <c r="R999" s="1598">
        <f>IF(ISNA(IF($CU$122="4%",(INDEX($CS$160:$CW$217,MATCH($DG$122,$CR$160:$CR$217,0),MATCH(D999,$CS$159:$CW$159,0))),(INDEX($CZ$160:$DD$217,MATCH($DG$122,$CY$160:$CY$217,0),MATCH(D999,$CZ$159:$DD$159,0))))),0,IF($CU$122="4%",(INDEX($CS$160:$CW$217,MATCH($DG$122,$CR$160:$CR$217,0),MATCH(D999,$CS$159:$CW$159,0))),(INDEX($CZ$160:$DD$217,MATCH($DG$122,$CY$160:$CY$217,0),MATCH(D999,$CZ$159:$DD$159,0)))))</f>
        <v>878416</v>
      </c>
      <c r="S999" s="1598"/>
      <c r="T999" s="1598"/>
      <c r="U999" s="1598"/>
      <c r="V999" s="1598"/>
      <c r="W999" s="1598"/>
      <c r="X999" s="1598"/>
      <c r="Y999" s="1598"/>
      <c r="Z999" s="1598"/>
      <c r="AA999" s="1598"/>
      <c r="AB999" s="1806">
        <f>DO810+DJ810</f>
        <v>0</v>
      </c>
      <c r="AC999" s="1807"/>
      <c r="AD999" s="1807"/>
      <c r="AE999" s="1807"/>
      <c r="AF999" s="1807"/>
      <c r="AG999" s="1807"/>
      <c r="AH999" s="1807"/>
      <c r="AI999" s="1808"/>
      <c r="AJ999" s="1651">
        <f>IF(ISERROR((R999*AB999)),0,(R999*AB999))</f>
        <v>0</v>
      </c>
      <c r="AK999" s="1652"/>
      <c r="AL999" s="1652"/>
      <c r="AM999" s="1652"/>
      <c r="AN999" s="1652"/>
      <c r="AO999" s="1652"/>
      <c r="AP999" s="1652"/>
      <c r="AQ999" s="1653"/>
      <c r="AR999" s="68"/>
      <c r="AS999" s="68"/>
      <c r="AT999" s="68"/>
      <c r="AU999" s="68"/>
      <c r="AV999" s="68"/>
      <c r="AW999" s="68"/>
      <c r="AX999" s="68"/>
      <c r="AY999" s="68"/>
      <c r="AZ999" s="30"/>
      <c r="BB999" s="14"/>
      <c r="BC999" s="14"/>
    </row>
    <row r="1000" spans="1:55" ht="13.05" customHeight="1">
      <c r="A1000" s="14"/>
      <c r="B1000" s="1871" t="s">
        <v>791</v>
      </c>
      <c r="C1000" s="1872"/>
      <c r="D1000" s="1872"/>
      <c r="E1000" s="1872"/>
      <c r="F1000" s="1872"/>
      <c r="G1000" s="1872"/>
      <c r="H1000" s="1872"/>
      <c r="I1000" s="1872"/>
      <c r="J1000" s="1872"/>
      <c r="K1000" s="1872"/>
      <c r="L1000" s="1872"/>
      <c r="M1000" s="1872"/>
      <c r="N1000" s="1872"/>
      <c r="O1000" s="1872"/>
      <c r="P1000" s="1872"/>
      <c r="Q1000" s="1872"/>
      <c r="R1000" s="1872"/>
      <c r="S1000" s="1872"/>
      <c r="T1000" s="1872"/>
      <c r="U1000" s="1872"/>
      <c r="V1000" s="1872"/>
      <c r="W1000" s="1872"/>
      <c r="X1000" s="1872"/>
      <c r="Y1000" s="1872"/>
      <c r="Z1000" s="1872"/>
      <c r="AA1000" s="1873"/>
      <c r="AB1000" s="1806">
        <f>SUM(AB995:AI999)</f>
        <v>102</v>
      </c>
      <c r="AC1000" s="1807"/>
      <c r="AD1000" s="1807"/>
      <c r="AE1000" s="1807"/>
      <c r="AF1000" s="1807"/>
      <c r="AG1000" s="1807"/>
      <c r="AH1000" s="1807"/>
      <c r="AI1000" s="1808"/>
      <c r="AJ1000" s="1651"/>
      <c r="AK1000" s="1652"/>
      <c r="AL1000" s="1652"/>
      <c r="AM1000" s="1652"/>
      <c r="AN1000" s="1652"/>
      <c r="AO1000" s="1652"/>
      <c r="AP1000" s="1652"/>
      <c r="AQ1000" s="1653"/>
      <c r="AR1000" s="68"/>
      <c r="AS1000" s="68"/>
      <c r="AT1000" s="68"/>
      <c r="AU1000" s="68"/>
      <c r="AV1000" s="68"/>
      <c r="AW1000" s="68"/>
      <c r="AX1000" s="68"/>
      <c r="AY1000" s="68"/>
      <c r="AZ1000" s="34"/>
      <c r="BA1000" s="34"/>
      <c r="BB1000" s="14"/>
      <c r="BC1000" s="14"/>
    </row>
    <row r="1001" spans="1:55" ht="13.05" customHeight="1">
      <c r="A1001" s="14"/>
      <c r="B1001" s="1868" t="s">
        <v>512</v>
      </c>
      <c r="C1001" s="1869"/>
      <c r="D1001" s="1869"/>
      <c r="E1001" s="1869"/>
      <c r="F1001" s="1869"/>
      <c r="G1001" s="1869"/>
      <c r="H1001" s="1869"/>
      <c r="I1001" s="1869"/>
      <c r="J1001" s="1869"/>
      <c r="K1001" s="1869"/>
      <c r="L1001" s="1869"/>
      <c r="M1001" s="1869"/>
      <c r="N1001" s="1869"/>
      <c r="O1001" s="1869"/>
      <c r="P1001" s="1869"/>
      <c r="Q1001" s="1869"/>
      <c r="R1001" s="1869"/>
      <c r="S1001" s="1869"/>
      <c r="T1001" s="1869"/>
      <c r="U1001" s="1869"/>
      <c r="V1001" s="1869"/>
      <c r="W1001" s="1869"/>
      <c r="X1001" s="1869"/>
      <c r="Y1001" s="1869"/>
      <c r="Z1001" s="1869"/>
      <c r="AA1001" s="1869"/>
      <c r="AB1001" s="1869"/>
      <c r="AC1001" s="1869"/>
      <c r="AD1001" s="1869"/>
      <c r="AE1001" s="1869"/>
      <c r="AF1001" s="1869"/>
      <c r="AG1001" s="1869"/>
      <c r="AH1001" s="1869"/>
      <c r="AI1001" s="1870"/>
      <c r="AJ1001" s="1651">
        <f>SUM(AJ995:AQ999)</f>
        <v>74560640</v>
      </c>
      <c r="AK1001" s="1652"/>
      <c r="AL1001" s="1652"/>
      <c r="AM1001" s="1652"/>
      <c r="AN1001" s="1652"/>
      <c r="AO1001" s="1652"/>
      <c r="AP1001" s="1652"/>
      <c r="AQ1001" s="1653"/>
      <c r="AR1001" s="68"/>
      <c r="AS1001" s="68"/>
      <c r="AT1001" s="68"/>
      <c r="AU1001" s="68"/>
      <c r="AV1001" s="68"/>
      <c r="AW1001" s="68"/>
      <c r="AX1001" s="68"/>
      <c r="AY1001" s="68"/>
      <c r="AZ1001" s="34"/>
      <c r="BB1001" s="34"/>
      <c r="BC1001" s="34"/>
    </row>
    <row r="1002" spans="1:55" ht="13.05" customHeight="1">
      <c r="A1002" s="14"/>
      <c r="B1002" s="1657"/>
      <c r="C1002" s="1658"/>
      <c r="D1002" s="1658"/>
      <c r="E1002" s="1658"/>
      <c r="F1002" s="1658"/>
      <c r="G1002" s="1658"/>
      <c r="H1002" s="1658"/>
      <c r="I1002" s="1658"/>
      <c r="J1002" s="1658"/>
      <c r="K1002" s="1658"/>
      <c r="L1002" s="1658"/>
      <c r="M1002" s="1658"/>
      <c r="N1002" s="1658"/>
      <c r="O1002" s="1658"/>
      <c r="P1002" s="1658"/>
      <c r="Q1002" s="1658"/>
      <c r="R1002" s="1658"/>
      <c r="S1002" s="1658"/>
      <c r="T1002" s="1658"/>
      <c r="U1002" s="1658"/>
      <c r="V1002" s="1658"/>
      <c r="W1002" s="1658"/>
      <c r="X1002" s="1658"/>
      <c r="Y1002" s="1658"/>
      <c r="Z1002" s="1658"/>
      <c r="AA1002" s="1658"/>
      <c r="AB1002" s="1658"/>
      <c r="AC1002" s="1658"/>
      <c r="AD1002" s="1658"/>
      <c r="AE1002" s="1659"/>
      <c r="AF1002" s="1850" t="s">
        <v>666</v>
      </c>
      <c r="AG1002" s="1851"/>
      <c r="AH1002" s="1851"/>
      <c r="AI1002" s="1852"/>
      <c r="AJ1002" s="1657"/>
      <c r="AK1002" s="1658"/>
      <c r="AL1002" s="1658"/>
      <c r="AM1002" s="1658"/>
      <c r="AN1002" s="1658"/>
      <c r="AO1002" s="1658"/>
      <c r="AP1002" s="1658"/>
      <c r="AQ1002" s="1659"/>
      <c r="AR1002" s="68"/>
      <c r="AS1002" s="68"/>
      <c r="AT1002" s="68"/>
      <c r="AU1002" s="68"/>
      <c r="AV1002" s="68"/>
      <c r="AW1002" s="68"/>
      <c r="AX1002" s="68"/>
      <c r="AY1002" s="68"/>
      <c r="AZ1002" s="34"/>
      <c r="BA1002" s="34"/>
      <c r="BB1002" s="34"/>
      <c r="BC1002" s="34"/>
    </row>
    <row r="1003" spans="1:55" ht="13.05" customHeight="1">
      <c r="A1003" s="14"/>
      <c r="B1003" s="73"/>
      <c r="C1003" s="923" t="s">
        <v>668</v>
      </c>
      <c r="D1003" s="1688" t="s">
        <v>1219</v>
      </c>
      <c r="E1003" s="1689"/>
      <c r="F1003" s="1689"/>
      <c r="G1003" s="1689"/>
      <c r="H1003" s="1689"/>
      <c r="I1003" s="1689"/>
      <c r="J1003" s="1689"/>
      <c r="K1003" s="1689"/>
      <c r="L1003" s="1689"/>
      <c r="M1003" s="1689"/>
      <c r="N1003" s="1689"/>
      <c r="O1003" s="1689"/>
      <c r="P1003" s="1689"/>
      <c r="Q1003" s="1689"/>
      <c r="R1003" s="1689"/>
      <c r="S1003" s="1689"/>
      <c r="T1003" s="1689"/>
      <c r="U1003" s="1689"/>
      <c r="V1003" s="1689"/>
      <c r="W1003" s="1689"/>
      <c r="X1003" s="1689"/>
      <c r="Y1003" s="1689"/>
      <c r="Z1003" s="1689"/>
      <c r="AA1003" s="1689"/>
      <c r="AB1003" s="1689"/>
      <c r="AC1003" s="1689"/>
      <c r="AD1003" s="1689"/>
      <c r="AE1003" s="1690"/>
      <c r="AF1003" s="79"/>
      <c r="AG1003" s="1853" t="s">
        <v>669</v>
      </c>
      <c r="AH1003" s="1854"/>
      <c r="AI1003" s="87"/>
      <c r="AJ1003" s="1626">
        <f>ROUND(IF(AND(AG1003="yes",D1009&gt;0),AJ1001*0.2,0),0)</f>
        <v>0</v>
      </c>
      <c r="AK1003" s="1627"/>
      <c r="AL1003" s="1627"/>
      <c r="AM1003" s="1627"/>
      <c r="AN1003" s="1627"/>
      <c r="AO1003" s="1627"/>
      <c r="AP1003" s="1627"/>
      <c r="AQ1003" s="1628"/>
      <c r="AR1003" s="68"/>
      <c r="AS1003" s="68"/>
      <c r="AT1003" s="68"/>
      <c r="AU1003" s="68"/>
      <c r="AV1003" s="68"/>
      <c r="AW1003" s="68"/>
      <c r="AX1003" s="68"/>
      <c r="AY1003" s="68"/>
      <c r="AZ1003" s="34"/>
      <c r="BA1003" s="34"/>
      <c r="BB1003" s="34"/>
      <c r="BC1003" s="34"/>
    </row>
    <row r="1004" spans="1:55" ht="13.05" customHeight="1">
      <c r="A1004" s="14"/>
      <c r="B1004" s="257"/>
      <c r="C1004" s="256"/>
      <c r="D1004" s="1694" t="s">
        <v>2187</v>
      </c>
      <c r="E1004" s="1695"/>
      <c r="F1004" s="1695"/>
      <c r="G1004" s="1695"/>
      <c r="H1004" s="1695"/>
      <c r="I1004" s="1695"/>
      <c r="J1004" s="1695"/>
      <c r="K1004" s="1695"/>
      <c r="L1004" s="1695"/>
      <c r="M1004" s="1695"/>
      <c r="N1004" s="1695"/>
      <c r="O1004" s="1695"/>
      <c r="P1004" s="1695"/>
      <c r="Q1004" s="1695"/>
      <c r="R1004" s="1695"/>
      <c r="S1004" s="1695"/>
      <c r="T1004" s="1695"/>
      <c r="U1004" s="1695"/>
      <c r="V1004" s="1695"/>
      <c r="W1004" s="1695"/>
      <c r="X1004" s="1695"/>
      <c r="Y1004" s="1695"/>
      <c r="Z1004" s="1695"/>
      <c r="AA1004" s="1695"/>
      <c r="AB1004" s="1695"/>
      <c r="AC1004" s="1695"/>
      <c r="AD1004" s="1695"/>
      <c r="AE1004" s="1696"/>
      <c r="AF1004" s="73"/>
      <c r="AG1004" s="14"/>
      <c r="AH1004" s="14"/>
      <c r="AI1004" s="83"/>
      <c r="AJ1004" s="1629"/>
      <c r="AK1004" s="1630"/>
      <c r="AL1004" s="1630"/>
      <c r="AM1004" s="1630"/>
      <c r="AN1004" s="1630"/>
      <c r="AO1004" s="1630"/>
      <c r="AP1004" s="1630"/>
      <c r="AQ1004" s="1631"/>
      <c r="AR1004" s="68"/>
      <c r="AS1004" s="68"/>
      <c r="AT1004" s="68"/>
      <c r="AU1004" s="68"/>
      <c r="AV1004" s="68"/>
      <c r="AW1004" s="68"/>
      <c r="AX1004" s="68"/>
      <c r="AY1004" s="68"/>
      <c r="AZ1004" s="34"/>
      <c r="BA1004" s="34"/>
      <c r="BB1004" s="34"/>
      <c r="BC1004" s="34"/>
    </row>
    <row r="1005" spans="1:55" ht="13.05" customHeight="1">
      <c r="A1005" s="14"/>
      <c r="B1005" s="257"/>
      <c r="C1005" s="256"/>
      <c r="D1005" s="1694"/>
      <c r="E1005" s="1695"/>
      <c r="F1005" s="1695"/>
      <c r="G1005" s="1695"/>
      <c r="H1005" s="1695"/>
      <c r="I1005" s="1695"/>
      <c r="J1005" s="1695"/>
      <c r="K1005" s="1695"/>
      <c r="L1005" s="1695"/>
      <c r="M1005" s="1695"/>
      <c r="N1005" s="1695"/>
      <c r="O1005" s="1695"/>
      <c r="P1005" s="1695"/>
      <c r="Q1005" s="1695"/>
      <c r="R1005" s="1695"/>
      <c r="S1005" s="1695"/>
      <c r="T1005" s="1695"/>
      <c r="U1005" s="1695"/>
      <c r="V1005" s="1695"/>
      <c r="W1005" s="1695"/>
      <c r="X1005" s="1695"/>
      <c r="Y1005" s="1695"/>
      <c r="Z1005" s="1695"/>
      <c r="AA1005" s="1695"/>
      <c r="AB1005" s="1695"/>
      <c r="AC1005" s="1695"/>
      <c r="AD1005" s="1695"/>
      <c r="AE1005" s="1696"/>
      <c r="AF1005" s="73"/>
      <c r="AG1005" s="14"/>
      <c r="AH1005" s="14"/>
      <c r="AI1005" s="83"/>
      <c r="AJ1005" s="1629"/>
      <c r="AK1005" s="1630"/>
      <c r="AL1005" s="1630"/>
      <c r="AM1005" s="1630"/>
      <c r="AN1005" s="1630"/>
      <c r="AO1005" s="1630"/>
      <c r="AP1005" s="1630"/>
      <c r="AQ1005" s="1631"/>
      <c r="AR1005" s="68"/>
      <c r="AS1005" s="68"/>
      <c r="AT1005" s="68"/>
      <c r="AU1005" s="68"/>
      <c r="AV1005" s="68"/>
      <c r="AW1005" s="68"/>
      <c r="AX1005" s="68"/>
      <c r="AY1005" s="68"/>
      <c r="AZ1005" s="34"/>
      <c r="BA1005" s="34"/>
      <c r="BB1005" s="34"/>
      <c r="BC1005" s="34"/>
    </row>
    <row r="1006" spans="1:55" ht="13.05" customHeight="1">
      <c r="A1006" s="14"/>
      <c r="B1006" s="257"/>
      <c r="C1006" s="256"/>
      <c r="D1006" s="1694"/>
      <c r="E1006" s="1695"/>
      <c r="F1006" s="1695"/>
      <c r="G1006" s="1695"/>
      <c r="H1006" s="1695"/>
      <c r="I1006" s="1695"/>
      <c r="J1006" s="1695"/>
      <c r="K1006" s="1695"/>
      <c r="L1006" s="1695"/>
      <c r="M1006" s="1695"/>
      <c r="N1006" s="1695"/>
      <c r="O1006" s="1695"/>
      <c r="P1006" s="1695"/>
      <c r="Q1006" s="1695"/>
      <c r="R1006" s="1695"/>
      <c r="S1006" s="1695"/>
      <c r="T1006" s="1695"/>
      <c r="U1006" s="1695"/>
      <c r="V1006" s="1695"/>
      <c r="W1006" s="1695"/>
      <c r="X1006" s="1695"/>
      <c r="Y1006" s="1695"/>
      <c r="Z1006" s="1695"/>
      <c r="AA1006" s="1695"/>
      <c r="AB1006" s="1695"/>
      <c r="AC1006" s="1695"/>
      <c r="AD1006" s="1695"/>
      <c r="AE1006" s="1696"/>
      <c r="AF1006" s="73"/>
      <c r="AG1006" s="14"/>
      <c r="AH1006" s="14"/>
      <c r="AI1006" s="83"/>
      <c r="AJ1006" s="1629"/>
      <c r="AK1006" s="1630"/>
      <c r="AL1006" s="1630"/>
      <c r="AM1006" s="1630"/>
      <c r="AN1006" s="1630"/>
      <c r="AO1006" s="1630"/>
      <c r="AP1006" s="1630"/>
      <c r="AQ1006" s="1631"/>
      <c r="AR1006" s="68"/>
      <c r="AS1006" s="68"/>
      <c r="AT1006" s="68"/>
      <c r="AU1006" s="68"/>
      <c r="AV1006" s="68"/>
      <c r="AW1006" s="68"/>
      <c r="AX1006" s="68"/>
      <c r="AY1006" s="68"/>
      <c r="AZ1006" s="34"/>
      <c r="BA1006" s="34"/>
      <c r="BB1006" s="34"/>
      <c r="BC1006" s="34"/>
    </row>
    <row r="1007" spans="1:55" ht="13.05" customHeight="1">
      <c r="A1007" s="14"/>
      <c r="B1007" s="257"/>
      <c r="C1007" s="256"/>
      <c r="D1007" s="1694"/>
      <c r="E1007" s="1695"/>
      <c r="F1007" s="1695"/>
      <c r="G1007" s="1695"/>
      <c r="H1007" s="1695"/>
      <c r="I1007" s="1695"/>
      <c r="J1007" s="1695"/>
      <c r="K1007" s="1695"/>
      <c r="L1007" s="1695"/>
      <c r="M1007" s="1695"/>
      <c r="N1007" s="1695"/>
      <c r="O1007" s="1695"/>
      <c r="P1007" s="1695"/>
      <c r="Q1007" s="1695"/>
      <c r="R1007" s="1695"/>
      <c r="S1007" s="1695"/>
      <c r="T1007" s="1695"/>
      <c r="U1007" s="1695"/>
      <c r="V1007" s="1695"/>
      <c r="W1007" s="1695"/>
      <c r="X1007" s="1695"/>
      <c r="Y1007" s="1695"/>
      <c r="Z1007" s="1695"/>
      <c r="AA1007" s="1695"/>
      <c r="AB1007" s="1695"/>
      <c r="AC1007" s="1695"/>
      <c r="AD1007" s="1695"/>
      <c r="AE1007" s="1696"/>
      <c r="AF1007" s="73"/>
      <c r="AG1007" s="14"/>
      <c r="AH1007" s="14"/>
      <c r="AI1007" s="83"/>
      <c r="AJ1007" s="1629"/>
      <c r="AK1007" s="1630"/>
      <c r="AL1007" s="1630"/>
      <c r="AM1007" s="1630"/>
      <c r="AN1007" s="1630"/>
      <c r="AO1007" s="1630"/>
      <c r="AP1007" s="1630"/>
      <c r="AQ1007" s="1631"/>
      <c r="AR1007" s="68"/>
      <c r="AS1007" s="68"/>
      <c r="AT1007" s="68"/>
      <c r="AU1007" s="68"/>
      <c r="AV1007" s="68"/>
      <c r="AW1007" s="68"/>
      <c r="AX1007" s="68"/>
      <c r="AY1007" s="68"/>
      <c r="AZ1007" s="34"/>
      <c r="BA1007" s="34"/>
      <c r="BB1007" s="34"/>
      <c r="BC1007" s="34"/>
    </row>
    <row r="1008" spans="1:55" ht="13.05" customHeight="1">
      <c r="A1008" s="14"/>
      <c r="B1008" s="257"/>
      <c r="C1008" s="256"/>
      <c r="D1008" s="1697" t="s">
        <v>2158</v>
      </c>
      <c r="E1008" s="1698"/>
      <c r="F1008" s="1698"/>
      <c r="G1008" s="1698"/>
      <c r="H1008" s="1698"/>
      <c r="I1008" s="1698"/>
      <c r="J1008" s="1698"/>
      <c r="K1008" s="1698"/>
      <c r="L1008" s="1698"/>
      <c r="M1008" s="1698"/>
      <c r="N1008" s="1698"/>
      <c r="O1008" s="1698"/>
      <c r="P1008" s="1698"/>
      <c r="Q1008" s="1698"/>
      <c r="R1008" s="1698"/>
      <c r="S1008" s="1698"/>
      <c r="T1008" s="1698"/>
      <c r="U1008" s="1698"/>
      <c r="V1008" s="1698"/>
      <c r="W1008" s="1698"/>
      <c r="X1008" s="1698"/>
      <c r="Y1008" s="1698"/>
      <c r="Z1008" s="1698"/>
      <c r="AA1008" s="1698"/>
      <c r="AB1008" s="1698"/>
      <c r="AC1008" s="1698"/>
      <c r="AD1008" s="1698"/>
      <c r="AE1008" s="1699"/>
      <c r="AF1008" s="73"/>
      <c r="AG1008" s="14"/>
      <c r="AH1008" s="14"/>
      <c r="AI1008" s="83"/>
      <c r="AJ1008" s="1629"/>
      <c r="AK1008" s="1630"/>
      <c r="AL1008" s="1630"/>
      <c r="AM1008" s="1630"/>
      <c r="AN1008" s="1630"/>
      <c r="AO1008" s="1630"/>
      <c r="AP1008" s="1630"/>
      <c r="AQ1008" s="1631"/>
      <c r="AR1008" s="68"/>
      <c r="AS1008" s="68"/>
      <c r="AT1008" s="68"/>
      <c r="AU1008" s="68"/>
      <c r="AV1008" s="68"/>
      <c r="AW1008" s="68"/>
      <c r="AX1008" s="68"/>
      <c r="AY1008" s="68"/>
      <c r="AZ1008" s="34"/>
      <c r="BA1008" s="34"/>
      <c r="BB1008" s="34"/>
      <c r="BC1008" s="34"/>
    </row>
    <row r="1009" spans="1:55" ht="13.05" customHeight="1">
      <c r="A1009" s="14"/>
      <c r="B1009" s="257"/>
      <c r="C1009" s="256"/>
      <c r="D1009" s="1691"/>
      <c r="E1009" s="1692"/>
      <c r="F1009" s="1692"/>
      <c r="G1009" s="1692"/>
      <c r="H1009" s="1692"/>
      <c r="I1009" s="1692"/>
      <c r="J1009" s="1692"/>
      <c r="K1009" s="1692"/>
      <c r="L1009" s="1692"/>
      <c r="M1009" s="1692"/>
      <c r="N1009" s="1692"/>
      <c r="O1009" s="1692"/>
      <c r="P1009" s="1692"/>
      <c r="Q1009" s="1692"/>
      <c r="R1009" s="1692"/>
      <c r="S1009" s="1692"/>
      <c r="T1009" s="1692"/>
      <c r="U1009" s="1692"/>
      <c r="V1009" s="1692"/>
      <c r="W1009" s="1692"/>
      <c r="X1009" s="1692"/>
      <c r="Y1009" s="1692"/>
      <c r="Z1009" s="1692"/>
      <c r="AA1009" s="1692"/>
      <c r="AB1009" s="1692"/>
      <c r="AC1009" s="1692"/>
      <c r="AD1009" s="1692"/>
      <c r="AE1009" s="1693"/>
      <c r="AF1009" s="77"/>
      <c r="AG1009" s="7"/>
      <c r="AH1009" s="7"/>
      <c r="AI1009" s="78"/>
      <c r="AJ1009" s="1632"/>
      <c r="AK1009" s="1633"/>
      <c r="AL1009" s="1633"/>
      <c r="AM1009" s="1633"/>
      <c r="AN1009" s="1633"/>
      <c r="AO1009" s="1633"/>
      <c r="AP1009" s="1633"/>
      <c r="AQ1009" s="1634"/>
      <c r="AR1009" s="68"/>
      <c r="AS1009" s="68"/>
      <c r="AT1009" s="68"/>
      <c r="AU1009" s="68"/>
      <c r="AV1009" s="68"/>
      <c r="AW1009" s="68"/>
      <c r="AX1009" s="68"/>
      <c r="AY1009" s="68"/>
      <c r="AZ1009" s="34"/>
      <c r="BA1009" s="34"/>
      <c r="BB1009" s="34"/>
      <c r="BC1009" s="34"/>
    </row>
    <row r="1010" spans="1:55" ht="13.05" customHeight="1">
      <c r="A1010" s="14"/>
      <c r="B1010" s="255"/>
      <c r="C1010" s="318"/>
      <c r="D1010" s="1811" t="s">
        <v>1285</v>
      </c>
      <c r="E1010" s="1812"/>
      <c r="F1010" s="1812"/>
      <c r="G1010" s="1812"/>
      <c r="H1010" s="1812"/>
      <c r="I1010" s="1812"/>
      <c r="J1010" s="1812"/>
      <c r="K1010" s="1812"/>
      <c r="L1010" s="1812"/>
      <c r="M1010" s="1812"/>
      <c r="N1010" s="1812"/>
      <c r="O1010" s="1812"/>
      <c r="P1010" s="1812"/>
      <c r="Q1010" s="1812"/>
      <c r="R1010" s="1812"/>
      <c r="S1010" s="1812"/>
      <c r="T1010" s="1812"/>
      <c r="U1010" s="1812"/>
      <c r="V1010" s="1812"/>
      <c r="W1010" s="1812"/>
      <c r="X1010" s="1812"/>
      <c r="Y1010" s="1812"/>
      <c r="Z1010" s="1812"/>
      <c r="AA1010" s="1812"/>
      <c r="AB1010" s="1812"/>
      <c r="AC1010" s="1812"/>
      <c r="AD1010" s="1812"/>
      <c r="AE1010" s="1813"/>
      <c r="AF1010" s="79"/>
      <c r="AG1010" s="1823" t="s">
        <v>669</v>
      </c>
      <c r="AH1010" s="1824"/>
      <c r="AI1010" s="87"/>
      <c r="AJ1010" s="1626">
        <f>ROUND(IF(AG1010="yes",AJ1001*0.05,0),0)</f>
        <v>0</v>
      </c>
      <c r="AK1010" s="1627"/>
      <c r="AL1010" s="1627"/>
      <c r="AM1010" s="1627"/>
      <c r="AN1010" s="1627"/>
      <c r="AO1010" s="1627"/>
      <c r="AP1010" s="1627"/>
      <c r="AQ1010" s="1628"/>
      <c r="AR1010" s="68"/>
      <c r="AS1010" s="68"/>
      <c r="AT1010" s="68"/>
      <c r="AU1010" s="68"/>
      <c r="AV1010" s="68"/>
      <c r="AW1010" s="68"/>
      <c r="AX1010" s="68"/>
      <c r="AY1010" s="68"/>
      <c r="AZ1010" s="34"/>
      <c r="BA1010" s="34"/>
      <c r="BB1010" s="34"/>
      <c r="BC1010" s="34"/>
    </row>
    <row r="1011" spans="1:55" ht="13.05" customHeight="1">
      <c r="A1011" s="14"/>
      <c r="B1011" s="257"/>
      <c r="C1011" s="82"/>
      <c r="D1011" s="1694" t="s">
        <v>1283</v>
      </c>
      <c r="E1011" s="1695"/>
      <c r="F1011" s="1695"/>
      <c r="G1011" s="1695"/>
      <c r="H1011" s="1695"/>
      <c r="I1011" s="1695"/>
      <c r="J1011" s="1695"/>
      <c r="K1011" s="1695"/>
      <c r="L1011" s="1695"/>
      <c r="M1011" s="1695"/>
      <c r="N1011" s="1695"/>
      <c r="O1011" s="1695"/>
      <c r="P1011" s="1695"/>
      <c r="Q1011" s="1695"/>
      <c r="R1011" s="1695"/>
      <c r="S1011" s="1695"/>
      <c r="T1011" s="1695"/>
      <c r="U1011" s="1695"/>
      <c r="V1011" s="1695"/>
      <c r="W1011" s="1695"/>
      <c r="X1011" s="1695"/>
      <c r="Y1011" s="1695"/>
      <c r="Z1011" s="1695"/>
      <c r="AA1011" s="1695"/>
      <c r="AB1011" s="1695"/>
      <c r="AC1011" s="1695"/>
      <c r="AD1011" s="1695"/>
      <c r="AE1011" s="1696"/>
      <c r="AF1011" s="73"/>
      <c r="AG1011" s="14"/>
      <c r="AH1011" s="14"/>
      <c r="AI1011" s="83"/>
      <c r="AJ1011" s="1629"/>
      <c r="AK1011" s="1630"/>
      <c r="AL1011" s="1630"/>
      <c r="AM1011" s="1630"/>
      <c r="AN1011" s="1630"/>
      <c r="AO1011" s="1630"/>
      <c r="AP1011" s="1630"/>
      <c r="AQ1011" s="1631"/>
      <c r="AR1011" s="68"/>
      <c r="AS1011" s="68"/>
      <c r="AT1011" s="68"/>
      <c r="AU1011" s="68"/>
      <c r="AV1011" s="68"/>
      <c r="AW1011" s="68"/>
      <c r="AX1011" s="68"/>
      <c r="AY1011" s="34"/>
      <c r="AZ1011" s="34"/>
      <c r="BB1011" s="34"/>
    </row>
    <row r="1012" spans="1:55" ht="13.05" customHeight="1">
      <c r="A1012" s="14"/>
      <c r="B1012" s="257"/>
      <c r="C1012" s="82"/>
      <c r="D1012" s="1694"/>
      <c r="E1012" s="1695"/>
      <c r="F1012" s="1695"/>
      <c r="G1012" s="1695"/>
      <c r="H1012" s="1695"/>
      <c r="I1012" s="1695"/>
      <c r="J1012" s="1695"/>
      <c r="K1012" s="1695"/>
      <c r="L1012" s="1695"/>
      <c r="M1012" s="1695"/>
      <c r="N1012" s="1695"/>
      <c r="O1012" s="1695"/>
      <c r="P1012" s="1695"/>
      <c r="Q1012" s="1695"/>
      <c r="R1012" s="1695"/>
      <c r="S1012" s="1695"/>
      <c r="T1012" s="1695"/>
      <c r="U1012" s="1695"/>
      <c r="V1012" s="1695"/>
      <c r="W1012" s="1695"/>
      <c r="X1012" s="1695"/>
      <c r="Y1012" s="1695"/>
      <c r="Z1012" s="1695"/>
      <c r="AA1012" s="1695"/>
      <c r="AB1012" s="1695"/>
      <c r="AC1012" s="1695"/>
      <c r="AD1012" s="1695"/>
      <c r="AE1012" s="1696"/>
      <c r="AF1012" s="73"/>
      <c r="AG1012" s="14"/>
      <c r="AH1012" s="14"/>
      <c r="AI1012" s="83"/>
      <c r="AJ1012" s="1629"/>
      <c r="AK1012" s="1630"/>
      <c r="AL1012" s="1630"/>
      <c r="AM1012" s="1630"/>
      <c r="AN1012" s="1630"/>
      <c r="AO1012" s="1630"/>
      <c r="AP1012" s="1630"/>
      <c r="AQ1012" s="1631"/>
      <c r="AR1012" s="68"/>
      <c r="AS1012" s="68"/>
      <c r="AT1012" s="68"/>
      <c r="AU1012" s="68"/>
      <c r="AV1012" s="68"/>
      <c r="AW1012" s="68"/>
      <c r="AX1012" s="68"/>
      <c r="AY1012" s="910">
        <f>G761+O805</f>
        <v>101</v>
      </c>
      <c r="AZ1012" s="34"/>
      <c r="BB1012" s="34"/>
    </row>
    <row r="1013" spans="1:55" ht="13.05" customHeight="1">
      <c r="A1013" s="14"/>
      <c r="B1013" s="257"/>
      <c r="C1013" s="82"/>
      <c r="D1013" s="1694"/>
      <c r="E1013" s="1695"/>
      <c r="F1013" s="1695"/>
      <c r="G1013" s="1695"/>
      <c r="H1013" s="1695"/>
      <c r="I1013" s="1695"/>
      <c r="J1013" s="1695"/>
      <c r="K1013" s="1695"/>
      <c r="L1013" s="1695"/>
      <c r="M1013" s="1695"/>
      <c r="N1013" s="1695"/>
      <c r="O1013" s="1695"/>
      <c r="P1013" s="1695"/>
      <c r="Q1013" s="1695"/>
      <c r="R1013" s="1695"/>
      <c r="S1013" s="1695"/>
      <c r="T1013" s="1695"/>
      <c r="U1013" s="1695"/>
      <c r="V1013" s="1695"/>
      <c r="W1013" s="1695"/>
      <c r="X1013" s="1695"/>
      <c r="Y1013" s="1695"/>
      <c r="Z1013" s="1695"/>
      <c r="AA1013" s="1695"/>
      <c r="AB1013" s="1695"/>
      <c r="AC1013" s="1695"/>
      <c r="AD1013" s="1695"/>
      <c r="AE1013" s="1696"/>
      <c r="AF1013" s="73"/>
      <c r="AG1013" s="14"/>
      <c r="AH1013" s="14"/>
      <c r="AI1013" s="83"/>
      <c r="AJ1013" s="1629"/>
      <c r="AK1013" s="1630"/>
      <c r="AL1013" s="1630"/>
      <c r="AM1013" s="1630"/>
      <c r="AN1013" s="1630"/>
      <c r="AO1013" s="1630"/>
      <c r="AP1013" s="1630"/>
      <c r="AQ1013" s="1631"/>
      <c r="AR1013" s="68"/>
      <c r="AS1013" s="68"/>
      <c r="AT1013" s="68"/>
      <c r="AU1013" s="68"/>
      <c r="AV1013" s="68"/>
      <c r="AW1013" s="68"/>
      <c r="AX1013" s="68"/>
      <c r="AY1013" s="14"/>
      <c r="AZ1013" s="34"/>
      <c r="BB1013" s="34"/>
    </row>
    <row r="1014" spans="1:55" ht="13.05" customHeight="1">
      <c r="A1014" s="14"/>
      <c r="B1014" s="257"/>
      <c r="C1014" s="82"/>
      <c r="D1014" s="1694"/>
      <c r="E1014" s="1695"/>
      <c r="F1014" s="1695"/>
      <c r="G1014" s="1695"/>
      <c r="H1014" s="1695"/>
      <c r="I1014" s="1695"/>
      <c r="J1014" s="1695"/>
      <c r="K1014" s="1695"/>
      <c r="L1014" s="1695"/>
      <c r="M1014" s="1695"/>
      <c r="N1014" s="1695"/>
      <c r="O1014" s="1695"/>
      <c r="P1014" s="1695"/>
      <c r="Q1014" s="1695"/>
      <c r="R1014" s="1695"/>
      <c r="S1014" s="1695"/>
      <c r="T1014" s="1695"/>
      <c r="U1014" s="1695"/>
      <c r="V1014" s="1695"/>
      <c r="W1014" s="1695"/>
      <c r="X1014" s="1695"/>
      <c r="Y1014" s="1695"/>
      <c r="Z1014" s="1695"/>
      <c r="AA1014" s="1695"/>
      <c r="AB1014" s="1695"/>
      <c r="AC1014" s="1695"/>
      <c r="AD1014" s="1695"/>
      <c r="AE1014" s="1696"/>
      <c r="AF1014" s="73"/>
      <c r="AG1014" s="14"/>
      <c r="AH1014" s="14"/>
      <c r="AI1014" s="83"/>
      <c r="AJ1014" s="1629"/>
      <c r="AK1014" s="1630"/>
      <c r="AL1014" s="1630"/>
      <c r="AM1014" s="1630"/>
      <c r="AN1014" s="1630"/>
      <c r="AO1014" s="1630"/>
      <c r="AP1014" s="1630"/>
      <c r="AQ1014" s="1631"/>
      <c r="AR1014" s="68"/>
      <c r="AS1014" s="68"/>
      <c r="AT1014" s="68"/>
      <c r="AU1014" s="68"/>
      <c r="AV1014" s="68"/>
      <c r="AW1014" s="68"/>
      <c r="AX1014" s="68"/>
      <c r="AY1014" s="909">
        <f>ROUNDDOWN(X1057/I1057,2)</f>
        <v>0.21</v>
      </c>
      <c r="AZ1014" s="34"/>
      <c r="BB1014" s="34"/>
    </row>
    <row r="1015" spans="1:55" ht="13.05" customHeight="1">
      <c r="A1015" s="14"/>
      <c r="B1015" s="75"/>
      <c r="C1015" s="76"/>
      <c r="D1015" s="1697"/>
      <c r="E1015" s="1698"/>
      <c r="F1015" s="1698"/>
      <c r="G1015" s="1698"/>
      <c r="H1015" s="1698"/>
      <c r="I1015" s="1698"/>
      <c r="J1015" s="1698"/>
      <c r="K1015" s="1698"/>
      <c r="L1015" s="1698"/>
      <c r="M1015" s="1698"/>
      <c r="N1015" s="1698"/>
      <c r="O1015" s="1698"/>
      <c r="P1015" s="1698"/>
      <c r="Q1015" s="1698"/>
      <c r="R1015" s="1698"/>
      <c r="S1015" s="1698"/>
      <c r="T1015" s="1698"/>
      <c r="U1015" s="1698"/>
      <c r="V1015" s="1698"/>
      <c r="W1015" s="1698"/>
      <c r="X1015" s="1698"/>
      <c r="Y1015" s="1698"/>
      <c r="Z1015" s="1698"/>
      <c r="AA1015" s="1698"/>
      <c r="AB1015" s="1698"/>
      <c r="AC1015" s="1698"/>
      <c r="AD1015" s="1698"/>
      <c r="AE1015" s="1699"/>
      <c r="AF1015" s="77"/>
      <c r="AG1015" s="7"/>
      <c r="AH1015" s="7"/>
      <c r="AI1015" s="78"/>
      <c r="AJ1015" s="1632"/>
      <c r="AK1015" s="1633"/>
      <c r="AL1015" s="1633"/>
      <c r="AM1015" s="1633"/>
      <c r="AN1015" s="1633"/>
      <c r="AO1015" s="1633"/>
      <c r="AP1015" s="1633"/>
      <c r="AQ1015" s="1634"/>
      <c r="AR1015" s="68"/>
      <c r="AS1015" s="68"/>
      <c r="AT1015" s="68"/>
      <c r="AU1015" s="68"/>
      <c r="AV1015" s="68"/>
      <c r="AW1015" s="68"/>
      <c r="AX1015" s="68"/>
      <c r="AY1015" s="909">
        <f>ROUNDDOWN(X1061/I1061,2)</f>
        <v>0.1</v>
      </c>
      <c r="AZ1015" s="34"/>
      <c r="BB1015" s="34"/>
    </row>
    <row r="1016" spans="1:55" ht="13.05" customHeight="1">
      <c r="A1016" s="14"/>
      <c r="B1016" s="255"/>
      <c r="C1016" s="80" t="s">
        <v>672</v>
      </c>
      <c r="D1016" s="1811" t="s">
        <v>1671</v>
      </c>
      <c r="E1016" s="1812"/>
      <c r="F1016" s="1812"/>
      <c r="G1016" s="1812"/>
      <c r="H1016" s="1812"/>
      <c r="I1016" s="1812"/>
      <c r="J1016" s="1812"/>
      <c r="K1016" s="1812"/>
      <c r="L1016" s="1812"/>
      <c r="M1016" s="1812"/>
      <c r="N1016" s="1812"/>
      <c r="O1016" s="1812"/>
      <c r="P1016" s="1812"/>
      <c r="Q1016" s="1812"/>
      <c r="R1016" s="1812"/>
      <c r="S1016" s="1812"/>
      <c r="T1016" s="1812"/>
      <c r="U1016" s="1812"/>
      <c r="V1016" s="1812"/>
      <c r="W1016" s="1812"/>
      <c r="X1016" s="1812"/>
      <c r="Y1016" s="1812"/>
      <c r="Z1016" s="1812"/>
      <c r="AA1016" s="1812"/>
      <c r="AB1016" s="1812"/>
      <c r="AC1016" s="1812"/>
      <c r="AD1016" s="1812"/>
      <c r="AE1016" s="1813"/>
      <c r="AF1016" s="86"/>
      <c r="AG1016" s="1823" t="s">
        <v>669</v>
      </c>
      <c r="AH1016" s="1824"/>
      <c r="AI1016" s="87"/>
      <c r="AJ1016" s="1626">
        <f>ROUND(IF(AG1016="yes",AJ1001*0.1,0),0)</f>
        <v>0</v>
      </c>
      <c r="AK1016" s="1627"/>
      <c r="AL1016" s="1627"/>
      <c r="AM1016" s="1627"/>
      <c r="AN1016" s="1627"/>
      <c r="AO1016" s="1627"/>
      <c r="AP1016" s="1627"/>
      <c r="AQ1016" s="1628"/>
      <c r="AR1016" s="68"/>
      <c r="AS1016" s="68"/>
      <c r="AT1016" s="68"/>
      <c r="AU1016" s="68"/>
      <c r="AV1016" s="68"/>
      <c r="AW1016" s="68"/>
      <c r="AX1016" s="68"/>
      <c r="BB1016" s="34"/>
    </row>
    <row r="1017" spans="1:55" ht="13.05" customHeight="1">
      <c r="A1017" s="14"/>
      <c r="B1017" s="73"/>
      <c r="C1017" s="74"/>
      <c r="D1017" s="1814" t="s">
        <v>1284</v>
      </c>
      <c r="E1017" s="1815"/>
      <c r="F1017" s="1815"/>
      <c r="G1017" s="1815"/>
      <c r="H1017" s="1815"/>
      <c r="I1017" s="1815"/>
      <c r="J1017" s="1815"/>
      <c r="K1017" s="1815"/>
      <c r="L1017" s="1815"/>
      <c r="M1017" s="1815"/>
      <c r="N1017" s="1815"/>
      <c r="O1017" s="1815"/>
      <c r="P1017" s="1815"/>
      <c r="Q1017" s="1815"/>
      <c r="R1017" s="1815"/>
      <c r="S1017" s="1815"/>
      <c r="T1017" s="1815"/>
      <c r="U1017" s="1815"/>
      <c r="V1017" s="1815"/>
      <c r="W1017" s="1815"/>
      <c r="X1017" s="1815"/>
      <c r="Y1017" s="1815"/>
      <c r="Z1017" s="1815"/>
      <c r="AA1017" s="1815"/>
      <c r="AB1017" s="1815"/>
      <c r="AC1017" s="1815"/>
      <c r="AD1017" s="1815"/>
      <c r="AE1017" s="1816"/>
      <c r="AF1017" s="73"/>
      <c r="AI1017" s="83"/>
      <c r="AJ1017" s="1629"/>
      <c r="AK1017" s="1630"/>
      <c r="AL1017" s="1630"/>
      <c r="AM1017" s="1630"/>
      <c r="AN1017" s="1630"/>
      <c r="AO1017" s="1630"/>
      <c r="AP1017" s="1630"/>
      <c r="AQ1017" s="1631"/>
      <c r="AR1017" s="68"/>
      <c r="AS1017" s="68"/>
      <c r="AT1017" s="68"/>
      <c r="AU1017" s="68"/>
      <c r="AV1017" s="68"/>
      <c r="AW1017" s="68"/>
      <c r="AX1017" s="68"/>
    </row>
    <row r="1018" spans="1:55" ht="13.05" customHeight="1">
      <c r="A1018" s="14"/>
      <c r="B1018" s="73"/>
      <c r="C1018" s="74"/>
      <c r="D1018" s="1814"/>
      <c r="E1018" s="1815"/>
      <c r="F1018" s="1815"/>
      <c r="G1018" s="1815"/>
      <c r="H1018" s="1815"/>
      <c r="I1018" s="1815"/>
      <c r="J1018" s="1815"/>
      <c r="K1018" s="1815"/>
      <c r="L1018" s="1815"/>
      <c r="M1018" s="1815"/>
      <c r="N1018" s="1815"/>
      <c r="O1018" s="1815"/>
      <c r="P1018" s="1815"/>
      <c r="Q1018" s="1815"/>
      <c r="R1018" s="1815"/>
      <c r="S1018" s="1815"/>
      <c r="T1018" s="1815"/>
      <c r="U1018" s="1815"/>
      <c r="V1018" s="1815"/>
      <c r="W1018" s="1815"/>
      <c r="X1018" s="1815"/>
      <c r="Y1018" s="1815"/>
      <c r="Z1018" s="1815"/>
      <c r="AA1018" s="1815"/>
      <c r="AB1018" s="1815"/>
      <c r="AC1018" s="1815"/>
      <c r="AD1018" s="1815"/>
      <c r="AE1018" s="1816"/>
      <c r="AF1018" s="73"/>
      <c r="AG1018" s="14"/>
      <c r="AH1018" s="14"/>
      <c r="AI1018" s="83"/>
      <c r="AJ1018" s="1629"/>
      <c r="AK1018" s="1630"/>
      <c r="AL1018" s="1630"/>
      <c r="AM1018" s="1630"/>
      <c r="AN1018" s="1630"/>
      <c r="AO1018" s="1630"/>
      <c r="AP1018" s="1630"/>
      <c r="AQ1018" s="1631"/>
      <c r="AR1018" s="68"/>
      <c r="AS1018" s="68"/>
      <c r="AT1018" s="68"/>
      <c r="AU1018" s="68"/>
      <c r="AV1018" s="68"/>
      <c r="AW1018" s="68"/>
      <c r="AX1018" s="68"/>
    </row>
    <row r="1019" spans="1:55" ht="13.05" customHeight="1">
      <c r="A1019" s="14"/>
      <c r="B1019" s="85"/>
      <c r="C1019" s="76"/>
      <c r="D1019" s="1595"/>
      <c r="E1019" s="1596"/>
      <c r="F1019" s="1596"/>
      <c r="G1019" s="1596"/>
      <c r="H1019" s="1596"/>
      <c r="I1019" s="1596"/>
      <c r="J1019" s="1596"/>
      <c r="K1019" s="1596"/>
      <c r="L1019" s="1596"/>
      <c r="M1019" s="1596"/>
      <c r="N1019" s="1596"/>
      <c r="O1019" s="1596"/>
      <c r="P1019" s="1596"/>
      <c r="Q1019" s="1596"/>
      <c r="R1019" s="1596"/>
      <c r="S1019" s="1596"/>
      <c r="T1019" s="1596"/>
      <c r="U1019" s="1596"/>
      <c r="V1019" s="1596"/>
      <c r="W1019" s="1596"/>
      <c r="X1019" s="1596"/>
      <c r="Y1019" s="1596"/>
      <c r="Z1019" s="1596"/>
      <c r="AA1019" s="1596"/>
      <c r="AB1019" s="1596"/>
      <c r="AC1019" s="1596"/>
      <c r="AD1019" s="1596"/>
      <c r="AE1019" s="1597"/>
      <c r="AF1019" s="77"/>
      <c r="AG1019" s="7"/>
      <c r="AH1019" s="7"/>
      <c r="AI1019" s="78"/>
      <c r="AJ1019" s="1632"/>
      <c r="AK1019" s="1633"/>
      <c r="AL1019" s="1633"/>
      <c r="AM1019" s="1633"/>
      <c r="AN1019" s="1633"/>
      <c r="AO1019" s="1633"/>
      <c r="AP1019" s="1633"/>
      <c r="AQ1019" s="1634"/>
      <c r="AR1019" s="68"/>
      <c r="AS1019" s="68"/>
      <c r="AT1019" s="68"/>
      <c r="AU1019" s="68"/>
      <c r="AV1019" s="68"/>
      <c r="AW1019" s="68"/>
      <c r="AX1019" s="68"/>
    </row>
    <row r="1020" spans="1:55" ht="13.05" customHeight="1">
      <c r="A1020" s="14"/>
      <c r="B1020" s="79"/>
      <c r="C1020" s="80" t="s">
        <v>212</v>
      </c>
      <c r="D1020" s="1811" t="s">
        <v>1286</v>
      </c>
      <c r="E1020" s="1812"/>
      <c r="F1020" s="1812"/>
      <c r="G1020" s="1812"/>
      <c r="H1020" s="1812"/>
      <c r="I1020" s="1812"/>
      <c r="J1020" s="1812"/>
      <c r="K1020" s="1812"/>
      <c r="L1020" s="1812"/>
      <c r="M1020" s="1812"/>
      <c r="N1020" s="1812"/>
      <c r="O1020" s="1812"/>
      <c r="P1020" s="1812"/>
      <c r="Q1020" s="1812"/>
      <c r="R1020" s="1812"/>
      <c r="S1020" s="1812"/>
      <c r="T1020" s="1812"/>
      <c r="U1020" s="1812"/>
      <c r="V1020" s="1812"/>
      <c r="W1020" s="1812"/>
      <c r="X1020" s="1812"/>
      <c r="Y1020" s="1812"/>
      <c r="Z1020" s="1812"/>
      <c r="AA1020" s="1812"/>
      <c r="AB1020" s="1812"/>
      <c r="AC1020" s="1812"/>
      <c r="AD1020" s="1812"/>
      <c r="AE1020" s="1813"/>
      <c r="AF1020" s="79"/>
      <c r="AG1020" s="1823" t="s">
        <v>669</v>
      </c>
      <c r="AH1020" s="1824"/>
      <c r="AI1020" s="87"/>
      <c r="AJ1020" s="1626">
        <f>ROUND(IF(AG1020="yes",AJ1001*0.02,0),0)</f>
        <v>0</v>
      </c>
      <c r="AK1020" s="1627"/>
      <c r="AL1020" s="1627"/>
      <c r="AM1020" s="1627"/>
      <c r="AN1020" s="1627"/>
      <c r="AO1020" s="1627"/>
      <c r="AP1020" s="1627"/>
      <c r="AQ1020" s="1628"/>
      <c r="AR1020" s="68"/>
      <c r="AS1020" s="68"/>
      <c r="AT1020" s="68"/>
      <c r="AU1020" s="68"/>
      <c r="AV1020" s="68"/>
      <c r="AW1020" s="68"/>
      <c r="AX1020" s="68"/>
    </row>
    <row r="1021" spans="1:55" ht="14.25" customHeight="1">
      <c r="A1021" s="14"/>
      <c r="B1021" s="73"/>
      <c r="C1021" s="74"/>
      <c r="D1021" s="1595" t="s">
        <v>1287</v>
      </c>
      <c r="E1021" s="1596"/>
      <c r="F1021" s="1596"/>
      <c r="G1021" s="1596"/>
      <c r="H1021" s="1596"/>
      <c r="I1021" s="1596"/>
      <c r="J1021" s="1596"/>
      <c r="K1021" s="1596"/>
      <c r="L1021" s="1596"/>
      <c r="M1021" s="1596"/>
      <c r="N1021" s="1596"/>
      <c r="O1021" s="1596"/>
      <c r="P1021" s="1596"/>
      <c r="Q1021" s="1596"/>
      <c r="R1021" s="1596"/>
      <c r="S1021" s="1596"/>
      <c r="T1021" s="1596"/>
      <c r="U1021" s="1596"/>
      <c r="V1021" s="1596"/>
      <c r="W1021" s="1596"/>
      <c r="X1021" s="1596"/>
      <c r="Y1021" s="1596"/>
      <c r="Z1021" s="1596"/>
      <c r="AA1021" s="1596"/>
      <c r="AB1021" s="1596"/>
      <c r="AC1021" s="1596"/>
      <c r="AD1021" s="1596"/>
      <c r="AE1021" s="1597"/>
      <c r="AF1021" s="77"/>
      <c r="AG1021" s="7"/>
      <c r="AH1021" s="7"/>
      <c r="AI1021" s="78"/>
      <c r="AJ1021" s="1632"/>
      <c r="AK1021" s="1633"/>
      <c r="AL1021" s="1633"/>
      <c r="AM1021" s="1633"/>
      <c r="AN1021" s="1633"/>
      <c r="AO1021" s="1633"/>
      <c r="AP1021" s="1633"/>
      <c r="AQ1021" s="1634"/>
      <c r="AR1021" s="68"/>
      <c r="AS1021" s="68"/>
      <c r="AT1021" s="68"/>
      <c r="AU1021" s="68"/>
      <c r="AV1021" s="68"/>
      <c r="AW1021" s="68"/>
      <c r="AX1021" s="3" t="s">
        <v>1816</v>
      </c>
      <c r="AZ1021" s="3" t="s">
        <v>2522</v>
      </c>
    </row>
    <row r="1022" spans="1:55" ht="13.05" customHeight="1">
      <c r="A1022" s="14"/>
      <c r="B1022" s="79"/>
      <c r="C1022" s="80" t="s">
        <v>215</v>
      </c>
      <c r="D1022" s="1811" t="s">
        <v>1288</v>
      </c>
      <c r="E1022" s="1812"/>
      <c r="F1022" s="1812"/>
      <c r="G1022" s="1812"/>
      <c r="H1022" s="1812"/>
      <c r="I1022" s="1812"/>
      <c r="J1022" s="1812"/>
      <c r="K1022" s="1812"/>
      <c r="L1022" s="1812"/>
      <c r="M1022" s="1812"/>
      <c r="N1022" s="1812"/>
      <c r="O1022" s="1812"/>
      <c r="P1022" s="1812"/>
      <c r="Q1022" s="1812"/>
      <c r="R1022" s="1812"/>
      <c r="S1022" s="1812"/>
      <c r="T1022" s="1812"/>
      <c r="U1022" s="1812"/>
      <c r="V1022" s="1812"/>
      <c r="W1022" s="1812"/>
      <c r="X1022" s="1812"/>
      <c r="Y1022" s="1812"/>
      <c r="Z1022" s="1812"/>
      <c r="AA1022" s="1812"/>
      <c r="AB1022" s="1812"/>
      <c r="AC1022" s="1812"/>
      <c r="AD1022" s="1812"/>
      <c r="AE1022" s="1813"/>
      <c r="AF1022" s="79"/>
      <c r="AG1022" s="1823" t="s">
        <v>669</v>
      </c>
      <c r="AH1022" s="1824"/>
      <c r="AI1022" s="79"/>
      <c r="AJ1022" s="1626">
        <f>ROUND(IF(AG1022="yes",AJ1001*0.02,0),0)</f>
        <v>0</v>
      </c>
      <c r="AK1022" s="1627"/>
      <c r="AL1022" s="1627"/>
      <c r="AM1022" s="1627"/>
      <c r="AN1022" s="1627"/>
      <c r="AO1022" s="1627"/>
      <c r="AP1022" s="1627"/>
      <c r="AQ1022" s="1628"/>
      <c r="AR1022" s="68"/>
      <c r="AS1022" s="68"/>
      <c r="AT1022" s="68"/>
      <c r="AU1022" s="68"/>
      <c r="AV1022" s="68"/>
      <c r="AW1022" s="68"/>
      <c r="AX1022" s="3">
        <v>1</v>
      </c>
      <c r="AY1022" s="200">
        <f>IF((_xlfn.XLOOKUP(AX1022,$C$1074:$C$1112,$A$1074:$A$1112,"",0,1))="Yes",AZ1022,0)</f>
        <v>0.2</v>
      </c>
      <c r="AZ1022" s="1189">
        <v>0.2</v>
      </c>
    </row>
    <row r="1023" spans="1:55" ht="13.05" customHeight="1">
      <c r="A1023" s="14"/>
      <c r="B1023" s="73"/>
      <c r="C1023" s="74"/>
      <c r="D1023" s="1814" t="s">
        <v>1289</v>
      </c>
      <c r="E1023" s="1815"/>
      <c r="F1023" s="1815"/>
      <c r="G1023" s="1815"/>
      <c r="H1023" s="1815"/>
      <c r="I1023" s="1815"/>
      <c r="J1023" s="1815"/>
      <c r="K1023" s="1815"/>
      <c r="L1023" s="1815"/>
      <c r="M1023" s="1815"/>
      <c r="N1023" s="1815"/>
      <c r="O1023" s="1815"/>
      <c r="P1023" s="1815"/>
      <c r="Q1023" s="1815"/>
      <c r="R1023" s="1815"/>
      <c r="S1023" s="1815"/>
      <c r="T1023" s="1815"/>
      <c r="U1023" s="1815"/>
      <c r="V1023" s="1815"/>
      <c r="W1023" s="1815"/>
      <c r="X1023" s="1815"/>
      <c r="Y1023" s="1815"/>
      <c r="Z1023" s="1815"/>
      <c r="AA1023" s="1815"/>
      <c r="AB1023" s="1815"/>
      <c r="AC1023" s="1815"/>
      <c r="AD1023" s="1815"/>
      <c r="AE1023" s="1816"/>
      <c r="AF1023" s="1610" t="str">
        <f>IF(AND(AG1022="yes",T212&lt;&gt;1),"The project may not be eligible for this boost","")</f>
        <v/>
      </c>
      <c r="AG1023" s="1611"/>
      <c r="AH1023" s="1611"/>
      <c r="AI1023" s="1612"/>
      <c r="AJ1023" s="1629"/>
      <c r="AK1023" s="1630"/>
      <c r="AL1023" s="1630"/>
      <c r="AM1023" s="1630"/>
      <c r="AN1023" s="1630"/>
      <c r="AO1023" s="1630"/>
      <c r="AP1023" s="1630"/>
      <c r="AQ1023" s="1631"/>
      <c r="AR1023" s="68"/>
      <c r="AS1023" s="68"/>
      <c r="AT1023" s="68"/>
      <c r="AU1023" s="68"/>
      <c r="AV1023" s="68"/>
      <c r="AW1023" s="68"/>
      <c r="AX1023" s="3">
        <v>2</v>
      </c>
      <c r="AY1023" s="200">
        <f t="shared" ref="AY1023:AY1032" si="55">IF((_xlfn.XLOOKUP(AX1023,$C$1074:$C$1112,$A$1074:$A$1112,"",0,1))="Yes",AZ1023,0)</f>
        <v>0</v>
      </c>
      <c r="AZ1023" s="1189">
        <v>0.15</v>
      </c>
    </row>
    <row r="1024" spans="1:55" ht="13.05" customHeight="1">
      <c r="A1024" s="14"/>
      <c r="B1024" s="75"/>
      <c r="C1024" s="76"/>
      <c r="D1024" s="1595"/>
      <c r="E1024" s="1596"/>
      <c r="F1024" s="1596"/>
      <c r="G1024" s="1596"/>
      <c r="H1024" s="1596"/>
      <c r="I1024" s="1596"/>
      <c r="J1024" s="1596"/>
      <c r="K1024" s="1596"/>
      <c r="L1024" s="1596"/>
      <c r="M1024" s="1596"/>
      <c r="N1024" s="1596"/>
      <c r="O1024" s="1596"/>
      <c r="P1024" s="1596"/>
      <c r="Q1024" s="1596"/>
      <c r="R1024" s="1596"/>
      <c r="S1024" s="1596"/>
      <c r="T1024" s="1596"/>
      <c r="U1024" s="1596"/>
      <c r="V1024" s="1596"/>
      <c r="W1024" s="1596"/>
      <c r="X1024" s="1596"/>
      <c r="Y1024" s="1596"/>
      <c r="Z1024" s="1596"/>
      <c r="AA1024" s="1596"/>
      <c r="AB1024" s="1596"/>
      <c r="AC1024" s="1596"/>
      <c r="AD1024" s="1596"/>
      <c r="AE1024" s="1597"/>
      <c r="AF1024" s="1613"/>
      <c r="AG1024" s="1614"/>
      <c r="AH1024" s="1614"/>
      <c r="AI1024" s="1615"/>
      <c r="AJ1024" s="1632"/>
      <c r="AK1024" s="1633"/>
      <c r="AL1024" s="1633"/>
      <c r="AM1024" s="1633"/>
      <c r="AN1024" s="1633"/>
      <c r="AO1024" s="1633"/>
      <c r="AP1024" s="1633"/>
      <c r="AQ1024" s="1634"/>
      <c r="AR1024" s="68"/>
      <c r="AS1024" s="68"/>
      <c r="AT1024" s="68"/>
      <c r="AU1024" s="68"/>
      <c r="AV1024" s="68"/>
      <c r="AW1024" s="68"/>
      <c r="AX1024" s="3">
        <v>3</v>
      </c>
      <c r="AY1024" s="200">
        <f t="shared" si="55"/>
        <v>0</v>
      </c>
      <c r="AZ1024" s="1189">
        <v>0.05</v>
      </c>
    </row>
    <row r="1025" spans="1:52" ht="13.05" customHeight="1">
      <c r="A1025" s="14"/>
      <c r="B1025" s="79"/>
      <c r="C1025" s="80" t="s">
        <v>218</v>
      </c>
      <c r="D1025" s="1688" t="s">
        <v>2188</v>
      </c>
      <c r="E1025" s="1689"/>
      <c r="F1025" s="1689"/>
      <c r="G1025" s="1689"/>
      <c r="H1025" s="1689"/>
      <c r="I1025" s="1689"/>
      <c r="J1025" s="1689"/>
      <c r="K1025" s="1689"/>
      <c r="L1025" s="1689"/>
      <c r="M1025" s="1689"/>
      <c r="N1025" s="1689"/>
      <c r="O1025" s="1689"/>
      <c r="P1025" s="1689"/>
      <c r="Q1025" s="1689"/>
      <c r="R1025" s="1689"/>
      <c r="S1025" s="1689"/>
      <c r="T1025" s="1689"/>
      <c r="U1025" s="1689"/>
      <c r="V1025" s="1689"/>
      <c r="W1025" s="1689"/>
      <c r="X1025" s="1689"/>
      <c r="Y1025" s="1689"/>
      <c r="Z1025" s="1689"/>
      <c r="AA1025" s="1689"/>
      <c r="AB1025" s="1689"/>
      <c r="AC1025" s="1689"/>
      <c r="AD1025" s="1689"/>
      <c r="AE1025" s="1690"/>
      <c r="AF1025" s="79"/>
      <c r="AG1025" s="1823" t="s">
        <v>545</v>
      </c>
      <c r="AH1025" s="1824"/>
      <c r="AI1025" s="87"/>
      <c r="AJ1025" s="1626">
        <f>IF(AG1025="yes",AJ1001*AY1033,0)</f>
        <v>14912128</v>
      </c>
      <c r="AK1025" s="1627"/>
      <c r="AL1025" s="1627"/>
      <c r="AM1025" s="1627"/>
      <c r="AN1025" s="1627"/>
      <c r="AO1025" s="1627"/>
      <c r="AP1025" s="1627"/>
      <c r="AQ1025" s="1628"/>
      <c r="AR1025" s="68"/>
      <c r="AS1025" s="68"/>
      <c r="AT1025" s="68"/>
      <c r="AU1025" s="68"/>
      <c r="AV1025" s="68"/>
      <c r="AW1025" s="68"/>
      <c r="AX1025" s="3">
        <v>4</v>
      </c>
      <c r="AY1025" s="200">
        <f t="shared" si="55"/>
        <v>0</v>
      </c>
      <c r="AZ1025" s="1189">
        <v>0.02</v>
      </c>
    </row>
    <row r="1026" spans="1:52" ht="13.05" customHeight="1">
      <c r="A1026" s="14"/>
      <c r="B1026" s="73"/>
      <c r="C1026" s="74"/>
      <c r="D1026" s="1814" t="s">
        <v>2584</v>
      </c>
      <c r="E1026" s="1815"/>
      <c r="F1026" s="1815"/>
      <c r="G1026" s="1815"/>
      <c r="H1026" s="1815"/>
      <c r="I1026" s="1815"/>
      <c r="J1026" s="1815"/>
      <c r="K1026" s="1815"/>
      <c r="L1026" s="1815"/>
      <c r="M1026" s="1815"/>
      <c r="N1026" s="1815"/>
      <c r="O1026" s="1815"/>
      <c r="P1026" s="1815"/>
      <c r="Q1026" s="1815"/>
      <c r="R1026" s="1815"/>
      <c r="S1026" s="1815"/>
      <c r="T1026" s="1815"/>
      <c r="U1026" s="1815"/>
      <c r="V1026" s="1815"/>
      <c r="W1026" s="1815"/>
      <c r="X1026" s="1815"/>
      <c r="Y1026" s="1815"/>
      <c r="Z1026" s="1815"/>
      <c r="AA1026" s="1815"/>
      <c r="AB1026" s="1815"/>
      <c r="AC1026" s="1815"/>
      <c r="AD1026" s="1815"/>
      <c r="AE1026" s="1816"/>
      <c r="AF1026" s="1604" t="str">
        <f>IF(AND(AG1025="Yes",AY1033=0),AY1036,"")</f>
        <v/>
      </c>
      <c r="AG1026" s="1605"/>
      <c r="AH1026" s="1605"/>
      <c r="AI1026" s="1606"/>
      <c r="AJ1026" s="1629"/>
      <c r="AK1026" s="1630"/>
      <c r="AL1026" s="1630"/>
      <c r="AM1026" s="1630"/>
      <c r="AN1026" s="1630"/>
      <c r="AO1026" s="1630"/>
      <c r="AP1026" s="1630"/>
      <c r="AQ1026" s="1631"/>
      <c r="AR1026" s="68"/>
      <c r="AS1026" s="68"/>
      <c r="AT1026" s="68"/>
      <c r="AU1026" s="68"/>
      <c r="AV1026" s="68"/>
      <c r="AW1026" s="68"/>
      <c r="AX1026" s="3">
        <v>5</v>
      </c>
      <c r="AY1026" s="200">
        <f t="shared" si="55"/>
        <v>0</v>
      </c>
      <c r="AZ1026" s="1189">
        <v>0.04</v>
      </c>
    </row>
    <row r="1027" spans="1:52" ht="13.05" customHeight="1">
      <c r="A1027" s="14"/>
      <c r="B1027" s="73"/>
      <c r="C1027" s="74"/>
      <c r="D1027" s="1814"/>
      <c r="E1027" s="1815"/>
      <c r="F1027" s="1815"/>
      <c r="G1027" s="1815"/>
      <c r="H1027" s="1815"/>
      <c r="I1027" s="1815"/>
      <c r="J1027" s="1815"/>
      <c r="K1027" s="1815"/>
      <c r="L1027" s="1815"/>
      <c r="M1027" s="1815"/>
      <c r="N1027" s="1815"/>
      <c r="O1027" s="1815"/>
      <c r="P1027" s="1815"/>
      <c r="Q1027" s="1815"/>
      <c r="R1027" s="1815"/>
      <c r="S1027" s="1815"/>
      <c r="T1027" s="1815"/>
      <c r="U1027" s="1815"/>
      <c r="V1027" s="1815"/>
      <c r="W1027" s="1815"/>
      <c r="X1027" s="1815"/>
      <c r="Y1027" s="1815"/>
      <c r="Z1027" s="1815"/>
      <c r="AA1027" s="1815"/>
      <c r="AB1027" s="1815"/>
      <c r="AC1027" s="1815"/>
      <c r="AD1027" s="1815"/>
      <c r="AE1027" s="1816"/>
      <c r="AF1027" s="1604"/>
      <c r="AG1027" s="1605"/>
      <c r="AH1027" s="1605"/>
      <c r="AI1027" s="1606"/>
      <c r="AJ1027" s="1629"/>
      <c r="AK1027" s="1630"/>
      <c r="AL1027" s="1630"/>
      <c r="AM1027" s="1630"/>
      <c r="AN1027" s="1630"/>
      <c r="AO1027" s="1630"/>
      <c r="AP1027" s="1630"/>
      <c r="AQ1027" s="1631"/>
      <c r="AR1027" s="68"/>
      <c r="AS1027" s="68"/>
      <c r="AT1027" s="68"/>
      <c r="AU1027" s="68"/>
      <c r="AV1027" s="68"/>
      <c r="AW1027" s="68"/>
      <c r="AX1027" s="3">
        <v>6</v>
      </c>
      <c r="AY1027" s="200">
        <f t="shared" si="55"/>
        <v>0</v>
      </c>
      <c r="AZ1027" s="1189">
        <v>0.04</v>
      </c>
    </row>
    <row r="1028" spans="1:52" ht="13.05" customHeight="1">
      <c r="A1028" s="14"/>
      <c r="B1028" s="81"/>
      <c r="C1028" s="82"/>
      <c r="D1028" s="1595"/>
      <c r="E1028" s="1596"/>
      <c r="F1028" s="1596"/>
      <c r="G1028" s="1596"/>
      <c r="H1028" s="1596"/>
      <c r="I1028" s="1596"/>
      <c r="J1028" s="1596"/>
      <c r="K1028" s="1596"/>
      <c r="L1028" s="1596"/>
      <c r="M1028" s="1596"/>
      <c r="N1028" s="1596"/>
      <c r="O1028" s="1596"/>
      <c r="P1028" s="1596"/>
      <c r="Q1028" s="1596"/>
      <c r="R1028" s="1596"/>
      <c r="S1028" s="1596"/>
      <c r="T1028" s="1596"/>
      <c r="U1028" s="1596"/>
      <c r="V1028" s="1596"/>
      <c r="W1028" s="1596"/>
      <c r="X1028" s="1596"/>
      <c r="Y1028" s="1596"/>
      <c r="Z1028" s="1596"/>
      <c r="AA1028" s="1596"/>
      <c r="AB1028" s="1596"/>
      <c r="AC1028" s="1596"/>
      <c r="AD1028" s="1596"/>
      <c r="AE1028" s="1597"/>
      <c r="AF1028" s="1607"/>
      <c r="AG1028" s="1608"/>
      <c r="AH1028" s="1608"/>
      <c r="AI1028" s="1609"/>
      <c r="AJ1028" s="1632"/>
      <c r="AK1028" s="1633"/>
      <c r="AL1028" s="1633"/>
      <c r="AM1028" s="1633"/>
      <c r="AN1028" s="1633"/>
      <c r="AO1028" s="1633"/>
      <c r="AP1028" s="1633"/>
      <c r="AQ1028" s="1634"/>
      <c r="AR1028" s="68"/>
      <c r="AS1028" s="68"/>
      <c r="AT1028" s="68"/>
      <c r="AU1028" s="68"/>
      <c r="AV1028" s="68"/>
      <c r="AW1028" s="68"/>
      <c r="AX1028" s="3">
        <v>7</v>
      </c>
      <c r="AY1028" s="200">
        <f t="shared" si="55"/>
        <v>0</v>
      </c>
      <c r="AZ1028" s="1189">
        <v>0.01</v>
      </c>
    </row>
    <row r="1029" spans="1:52" ht="13.05" customHeight="1">
      <c r="A1029" s="14"/>
      <c r="B1029" s="79"/>
      <c r="C1029" s="80" t="s">
        <v>223</v>
      </c>
      <c r="D1029" s="1855" t="s">
        <v>1290</v>
      </c>
      <c r="E1029" s="1856"/>
      <c r="F1029" s="1856"/>
      <c r="G1029" s="1856"/>
      <c r="H1029" s="1856"/>
      <c r="I1029" s="1856"/>
      <c r="J1029" s="1856"/>
      <c r="K1029" s="1856"/>
      <c r="L1029" s="1856"/>
      <c r="M1029" s="1856"/>
      <c r="N1029" s="1856"/>
      <c r="O1029" s="1856"/>
      <c r="P1029" s="1856"/>
      <c r="Q1029" s="1856"/>
      <c r="R1029" s="1856"/>
      <c r="S1029" s="1856"/>
      <c r="T1029" s="1856"/>
      <c r="U1029" s="1856"/>
      <c r="V1029" s="1856"/>
      <c r="W1029" s="1856"/>
      <c r="X1029" s="1856"/>
      <c r="Y1029" s="1856"/>
      <c r="Z1029" s="1856"/>
      <c r="AA1029" s="1856"/>
      <c r="AB1029" s="1856"/>
      <c r="AC1029" s="1856"/>
      <c r="AD1029" s="1856"/>
      <c r="AE1029" s="1857"/>
      <c r="AF1029" s="79"/>
      <c r="AG1029" s="1823" t="s">
        <v>669</v>
      </c>
      <c r="AH1029" s="1824"/>
      <c r="AI1029" s="87"/>
      <c r="AJ1029" s="1626">
        <f>ROUND(IF(AND(AG1029="Yes",J1033&lt;&gt;"N/A",AF1032&lt;&gt;""),MIN(AF1032,(0.15*AJ1001)),0),0)</f>
        <v>0</v>
      </c>
      <c r="AK1029" s="1627"/>
      <c r="AL1029" s="1627"/>
      <c r="AM1029" s="1627"/>
      <c r="AN1029" s="1627"/>
      <c r="AO1029" s="1627"/>
      <c r="AP1029" s="1627"/>
      <c r="AQ1029" s="1628"/>
      <c r="AR1029" s="68"/>
      <c r="AS1029" s="68"/>
      <c r="AT1029" s="68"/>
      <c r="AU1029" s="68"/>
      <c r="AV1029" s="68"/>
      <c r="AW1029" s="68"/>
      <c r="AX1029" s="3">
        <v>8</v>
      </c>
      <c r="AY1029" s="200">
        <f t="shared" si="55"/>
        <v>0</v>
      </c>
      <c r="AZ1029" s="1189">
        <v>0.01</v>
      </c>
    </row>
    <row r="1030" spans="1:52" ht="13.05" customHeight="1">
      <c r="A1030" s="14"/>
      <c r="B1030" s="81"/>
      <c r="C1030" s="84"/>
      <c r="D1030" s="1858"/>
      <c r="E1030" s="1859"/>
      <c r="F1030" s="1859"/>
      <c r="G1030" s="1859"/>
      <c r="H1030" s="1859"/>
      <c r="I1030" s="1859"/>
      <c r="J1030" s="1859"/>
      <c r="K1030" s="1859"/>
      <c r="L1030" s="1859"/>
      <c r="M1030" s="1859"/>
      <c r="N1030" s="1859"/>
      <c r="O1030" s="1859"/>
      <c r="P1030" s="1859"/>
      <c r="Q1030" s="1859"/>
      <c r="R1030" s="1859"/>
      <c r="S1030" s="1859"/>
      <c r="T1030" s="1859"/>
      <c r="U1030" s="1859"/>
      <c r="V1030" s="1859"/>
      <c r="W1030" s="1859"/>
      <c r="X1030" s="1859"/>
      <c r="Y1030" s="1859"/>
      <c r="Z1030" s="1859"/>
      <c r="AA1030" s="1859"/>
      <c r="AB1030" s="1859"/>
      <c r="AC1030" s="1859"/>
      <c r="AD1030" s="1859"/>
      <c r="AE1030" s="1860"/>
      <c r="AF1030" s="1834" t="str">
        <f>IF(AG1029="yes","Please Select Type and Enter Amount:","")</f>
        <v/>
      </c>
      <c r="AG1030" s="1835"/>
      <c r="AH1030" s="1835"/>
      <c r="AI1030" s="1836"/>
      <c r="AJ1030" s="1629"/>
      <c r="AK1030" s="1630"/>
      <c r="AL1030" s="1630"/>
      <c r="AM1030" s="1630"/>
      <c r="AN1030" s="1630"/>
      <c r="AO1030" s="1630"/>
      <c r="AP1030" s="1630"/>
      <c r="AQ1030" s="1631"/>
      <c r="AR1030" s="68"/>
      <c r="AS1030" s="68"/>
      <c r="AT1030" s="68"/>
      <c r="AU1030" s="68"/>
      <c r="AV1030" s="68"/>
      <c r="AW1030" s="68"/>
      <c r="AX1030" s="3">
        <v>9</v>
      </c>
      <c r="AY1030" s="200">
        <f t="shared" si="55"/>
        <v>0</v>
      </c>
      <c r="AZ1030" s="1189">
        <v>0.01</v>
      </c>
    </row>
    <row r="1031" spans="1:52" ht="13.05" customHeight="1">
      <c r="A1031" s="14"/>
      <c r="B1031" s="81"/>
      <c r="C1031" s="84"/>
      <c r="D1031" s="1814" t="s">
        <v>1291</v>
      </c>
      <c r="E1031" s="1815"/>
      <c r="F1031" s="1815"/>
      <c r="G1031" s="1815"/>
      <c r="H1031" s="1815"/>
      <c r="I1031" s="1815"/>
      <c r="J1031" s="1815"/>
      <c r="K1031" s="1815"/>
      <c r="L1031" s="1815"/>
      <c r="M1031" s="1815"/>
      <c r="N1031" s="1815"/>
      <c r="O1031" s="1815"/>
      <c r="P1031" s="1815"/>
      <c r="Q1031" s="1815"/>
      <c r="R1031" s="1815"/>
      <c r="S1031" s="1815"/>
      <c r="T1031" s="1815"/>
      <c r="U1031" s="1815"/>
      <c r="V1031" s="1815"/>
      <c r="W1031" s="1815"/>
      <c r="X1031" s="1815"/>
      <c r="Y1031" s="1815"/>
      <c r="Z1031" s="1815"/>
      <c r="AA1031" s="1815"/>
      <c r="AB1031" s="1815"/>
      <c r="AC1031" s="1815"/>
      <c r="AD1031" s="1815"/>
      <c r="AE1031" s="1816"/>
      <c r="AF1031" s="1834"/>
      <c r="AG1031" s="1835"/>
      <c r="AH1031" s="1835"/>
      <c r="AI1031" s="1836"/>
      <c r="AJ1031" s="1629"/>
      <c r="AK1031" s="1630"/>
      <c r="AL1031" s="1630"/>
      <c r="AM1031" s="1630"/>
      <c r="AN1031" s="1630"/>
      <c r="AO1031" s="1630"/>
      <c r="AP1031" s="1630"/>
      <c r="AQ1031" s="1631"/>
      <c r="AR1031" s="68"/>
      <c r="AS1031" s="68"/>
      <c r="AT1031" s="68"/>
      <c r="AU1031" s="68"/>
      <c r="AV1031" s="68"/>
      <c r="AW1031" s="68"/>
      <c r="AX1031" s="3">
        <v>10</v>
      </c>
      <c r="AY1031" s="200">
        <f t="shared" si="55"/>
        <v>0</v>
      </c>
      <c r="AZ1031" s="1189">
        <v>0.02</v>
      </c>
    </row>
    <row r="1032" spans="1:52" ht="13.05" customHeight="1">
      <c r="A1032" s="14"/>
      <c r="B1032" s="81"/>
      <c r="C1032" s="84"/>
      <c r="D1032" s="1814"/>
      <c r="E1032" s="1815"/>
      <c r="F1032" s="1815"/>
      <c r="G1032" s="1815"/>
      <c r="H1032" s="1815"/>
      <c r="I1032" s="1815"/>
      <c r="J1032" s="1815"/>
      <c r="K1032" s="1815"/>
      <c r="L1032" s="1815"/>
      <c r="M1032" s="1815"/>
      <c r="N1032" s="1815"/>
      <c r="O1032" s="1815"/>
      <c r="P1032" s="1815"/>
      <c r="Q1032" s="1815"/>
      <c r="R1032" s="1815"/>
      <c r="S1032" s="1815"/>
      <c r="T1032" s="1815"/>
      <c r="U1032" s="1815"/>
      <c r="V1032" s="1815"/>
      <c r="W1032" s="1815"/>
      <c r="X1032" s="1815"/>
      <c r="Y1032" s="1815"/>
      <c r="Z1032" s="1815"/>
      <c r="AA1032" s="1815"/>
      <c r="AB1032" s="1815"/>
      <c r="AC1032" s="1815"/>
      <c r="AD1032" s="1815"/>
      <c r="AE1032" s="1816"/>
      <c r="AF1032" s="1647"/>
      <c r="AG1032" s="1647"/>
      <c r="AH1032" s="1647"/>
      <c r="AI1032" s="1647"/>
      <c r="AJ1032" s="1629"/>
      <c r="AK1032" s="1630"/>
      <c r="AL1032" s="1630"/>
      <c r="AM1032" s="1630"/>
      <c r="AN1032" s="1630"/>
      <c r="AO1032" s="1630"/>
      <c r="AP1032" s="1630"/>
      <c r="AQ1032" s="1631"/>
      <c r="AR1032" s="68"/>
      <c r="AS1032" s="68"/>
      <c r="AT1032" s="68"/>
      <c r="AU1032" s="68"/>
      <c r="AV1032" s="68"/>
      <c r="AW1032" s="68"/>
      <c r="AX1032" s="3">
        <v>11</v>
      </c>
      <c r="AY1032" s="200">
        <f t="shared" si="55"/>
        <v>0</v>
      </c>
      <c r="AZ1032" s="1189">
        <v>0.02</v>
      </c>
    </row>
    <row r="1033" spans="1:52" ht="13.05" customHeight="1">
      <c r="A1033" s="14"/>
      <c r="B1033" s="81"/>
      <c r="C1033" s="84"/>
      <c r="D1033" s="526" t="s">
        <v>359</v>
      </c>
      <c r="E1033" s="90"/>
      <c r="F1033" s="90"/>
      <c r="G1033" s="104"/>
      <c r="H1033" s="104"/>
      <c r="I1033" s="49"/>
      <c r="J1033" s="1654" t="s">
        <v>591</v>
      </c>
      <c r="K1033" s="1655"/>
      <c r="L1033" s="1655"/>
      <c r="M1033" s="1655"/>
      <c r="N1033" s="1655"/>
      <c r="O1033" s="1655"/>
      <c r="P1033" s="1655"/>
      <c r="Q1033" s="1655"/>
      <c r="R1033" s="1655"/>
      <c r="S1033" s="1655"/>
      <c r="T1033" s="1655"/>
      <c r="U1033" s="1655"/>
      <c r="V1033" s="1655"/>
      <c r="W1033" s="1655"/>
      <c r="X1033" s="1655"/>
      <c r="Y1033" s="1655"/>
      <c r="Z1033" s="1655"/>
      <c r="AA1033" s="1655"/>
      <c r="AB1033" s="1655"/>
      <c r="AC1033" s="1655"/>
      <c r="AD1033" s="1655"/>
      <c r="AE1033" s="1656"/>
      <c r="AF1033" s="1647"/>
      <c r="AG1033" s="1647"/>
      <c r="AH1033" s="1647"/>
      <c r="AI1033" s="1647"/>
      <c r="AJ1033" s="1632"/>
      <c r="AK1033" s="1633"/>
      <c r="AL1033" s="1633"/>
      <c r="AM1033" s="1633"/>
      <c r="AN1033" s="1633"/>
      <c r="AO1033" s="1633"/>
      <c r="AP1033" s="1633"/>
      <c r="AQ1033" s="1634"/>
      <c r="AR1033" s="68"/>
      <c r="AS1033" s="68"/>
      <c r="AT1033" s="68"/>
      <c r="AU1033" s="68"/>
      <c r="AV1033" s="68"/>
      <c r="AW1033" s="68"/>
      <c r="AX1033" s="1027" t="s">
        <v>2521</v>
      </c>
      <c r="AY1033" s="201">
        <f>IF(SUM(AY1022:AY1032)&lt;=0.2,SUM(AY1022:AY1032),0.2)</f>
        <v>0.2</v>
      </c>
    </row>
    <row r="1034" spans="1:52" ht="13.05" customHeight="1">
      <c r="A1034" s="14"/>
      <c r="B1034" s="79"/>
      <c r="C1034" s="80" t="s">
        <v>229</v>
      </c>
      <c r="D1034" s="1811" t="s">
        <v>1292</v>
      </c>
      <c r="E1034" s="1812"/>
      <c r="F1034" s="1812"/>
      <c r="G1034" s="1812"/>
      <c r="H1034" s="1812"/>
      <c r="I1034" s="1812"/>
      <c r="J1034" s="1812"/>
      <c r="K1034" s="1812"/>
      <c r="L1034" s="1812"/>
      <c r="M1034" s="1812"/>
      <c r="N1034" s="1812"/>
      <c r="O1034" s="1812"/>
      <c r="P1034" s="1812"/>
      <c r="Q1034" s="1812"/>
      <c r="R1034" s="1812"/>
      <c r="S1034" s="1812"/>
      <c r="T1034" s="1812"/>
      <c r="U1034" s="1812"/>
      <c r="V1034" s="1812"/>
      <c r="W1034" s="1812"/>
      <c r="X1034" s="1812"/>
      <c r="Y1034" s="1812"/>
      <c r="Z1034" s="1812"/>
      <c r="AA1034" s="1812"/>
      <c r="AB1034" s="1812"/>
      <c r="AC1034" s="1812"/>
      <c r="AD1034" s="1812"/>
      <c r="AE1034" s="1813"/>
      <c r="AF1034" s="79"/>
      <c r="AG1034" s="1823" t="s">
        <v>545</v>
      </c>
      <c r="AH1034" s="1824"/>
      <c r="AI1034" s="87"/>
      <c r="AJ1034" s="1626">
        <f>ROUND(IF(AG1034="Yes",AF1036,0),0)</f>
        <v>3570000</v>
      </c>
      <c r="AK1034" s="1627"/>
      <c r="AL1034" s="1627"/>
      <c r="AM1034" s="1627"/>
      <c r="AN1034" s="1627"/>
      <c r="AO1034" s="1627"/>
      <c r="AP1034" s="1627"/>
      <c r="AQ1034" s="1628"/>
      <c r="AR1034" s="68"/>
      <c r="AS1034" s="68"/>
      <c r="AT1034" s="68"/>
      <c r="AU1034" s="68"/>
      <c r="AV1034" s="68"/>
      <c r="AW1034" s="68"/>
      <c r="AX1034" s="68"/>
      <c r="AY1034" s="68"/>
    </row>
    <row r="1035" spans="1:52" ht="13.05" customHeight="1">
      <c r="A1035" s="14"/>
      <c r="B1035" s="73"/>
      <c r="C1035" s="74"/>
      <c r="D1035" s="1814" t="s">
        <v>1678</v>
      </c>
      <c r="E1035" s="1815"/>
      <c r="F1035" s="1815"/>
      <c r="G1035" s="1815"/>
      <c r="H1035" s="1815"/>
      <c r="I1035" s="1815"/>
      <c r="J1035" s="1815"/>
      <c r="K1035" s="1815"/>
      <c r="L1035" s="1815"/>
      <c r="M1035" s="1815"/>
      <c r="N1035" s="1815"/>
      <c r="O1035" s="1815"/>
      <c r="P1035" s="1815"/>
      <c r="Q1035" s="1815"/>
      <c r="R1035" s="1815"/>
      <c r="S1035" s="1815"/>
      <c r="T1035" s="1815"/>
      <c r="U1035" s="1815"/>
      <c r="V1035" s="1815"/>
      <c r="W1035" s="1815"/>
      <c r="X1035" s="1815"/>
      <c r="Y1035" s="1815"/>
      <c r="Z1035" s="1815"/>
      <c r="AA1035" s="1815"/>
      <c r="AB1035" s="1815"/>
      <c r="AC1035" s="1815"/>
      <c r="AD1035" s="1815"/>
      <c r="AE1035" s="1816"/>
      <c r="AF1035" s="1861" t="str">
        <f>IF(AG1034="yes","Enter Amount:","")</f>
        <v>Enter Amount:</v>
      </c>
      <c r="AG1035" s="1862"/>
      <c r="AH1035" s="1862"/>
      <c r="AI1035" s="1863"/>
      <c r="AJ1035" s="1629"/>
      <c r="AK1035" s="1630"/>
      <c r="AL1035" s="1630"/>
      <c r="AM1035" s="1630"/>
      <c r="AN1035" s="1630"/>
      <c r="AO1035" s="1630"/>
      <c r="AP1035" s="1630"/>
      <c r="AQ1035" s="1631"/>
      <c r="AR1035" s="68"/>
      <c r="AS1035" s="68"/>
      <c r="AT1035" s="68"/>
      <c r="AU1035" s="68"/>
      <c r="AV1035" s="68"/>
      <c r="AW1035" s="68"/>
      <c r="AX1035" s="68"/>
      <c r="AY1035" s="68"/>
    </row>
    <row r="1036" spans="1:52" ht="13.05" customHeight="1">
      <c r="A1036" s="14"/>
      <c r="B1036" s="73"/>
      <c r="C1036" s="74"/>
      <c r="D1036" s="1814"/>
      <c r="E1036" s="1815"/>
      <c r="F1036" s="1815"/>
      <c r="G1036" s="1815"/>
      <c r="H1036" s="1815"/>
      <c r="I1036" s="1815"/>
      <c r="J1036" s="1815"/>
      <c r="K1036" s="1815"/>
      <c r="L1036" s="1815"/>
      <c r="M1036" s="1815"/>
      <c r="N1036" s="1815"/>
      <c r="O1036" s="1815"/>
      <c r="P1036" s="1815"/>
      <c r="Q1036" s="1815"/>
      <c r="R1036" s="1815"/>
      <c r="S1036" s="1815"/>
      <c r="T1036" s="1815"/>
      <c r="U1036" s="1815"/>
      <c r="V1036" s="1815"/>
      <c r="W1036" s="1815"/>
      <c r="X1036" s="1815"/>
      <c r="Y1036" s="1815"/>
      <c r="Z1036" s="1815"/>
      <c r="AA1036" s="1815"/>
      <c r="AB1036" s="1815"/>
      <c r="AC1036" s="1815"/>
      <c r="AD1036" s="1815"/>
      <c r="AE1036" s="1816"/>
      <c r="AF1036" s="1647">
        <v>3570000</v>
      </c>
      <c r="AG1036" s="1647"/>
      <c r="AH1036" s="1647"/>
      <c r="AI1036" s="1647"/>
      <c r="AJ1036" s="1629"/>
      <c r="AK1036" s="1630"/>
      <c r="AL1036" s="1630"/>
      <c r="AM1036" s="1630"/>
      <c r="AN1036" s="1630"/>
      <c r="AO1036" s="1630"/>
      <c r="AP1036" s="1630"/>
      <c r="AQ1036" s="1631"/>
      <c r="AR1036" s="68"/>
      <c r="AS1036" s="68"/>
      <c r="AT1036" s="68"/>
      <c r="AU1036" s="68"/>
      <c r="AV1036" s="68"/>
      <c r="AW1036" s="68"/>
      <c r="AX1036" s="68"/>
      <c r="AY1036" s="14" t="str">
        <f>"Select items beginning on row #"&amp;TEXT(ROW(A1070),"#")&amp;" to claim this boost"</f>
        <v>Select items beginning on row #1070 to claim this boost</v>
      </c>
    </row>
    <row r="1037" spans="1:52" ht="13.05" customHeight="1">
      <c r="A1037" s="14"/>
      <c r="B1037" s="85"/>
      <c r="C1037" s="84"/>
      <c r="D1037" s="1595"/>
      <c r="E1037" s="1596"/>
      <c r="F1037" s="1596"/>
      <c r="G1037" s="1596"/>
      <c r="H1037" s="1596"/>
      <c r="I1037" s="1596"/>
      <c r="J1037" s="1596"/>
      <c r="K1037" s="1596"/>
      <c r="L1037" s="1596"/>
      <c r="M1037" s="1596"/>
      <c r="N1037" s="1596"/>
      <c r="O1037" s="1596"/>
      <c r="P1037" s="1596"/>
      <c r="Q1037" s="1596"/>
      <c r="R1037" s="1596"/>
      <c r="S1037" s="1596"/>
      <c r="T1037" s="1596"/>
      <c r="U1037" s="1596"/>
      <c r="V1037" s="1596"/>
      <c r="W1037" s="1596"/>
      <c r="X1037" s="1596"/>
      <c r="Y1037" s="1596"/>
      <c r="Z1037" s="1596"/>
      <c r="AA1037" s="1596"/>
      <c r="AB1037" s="1596"/>
      <c r="AC1037" s="1596"/>
      <c r="AD1037" s="1596"/>
      <c r="AE1037" s="1597"/>
      <c r="AF1037" s="1647"/>
      <c r="AG1037" s="1647"/>
      <c r="AH1037" s="1647"/>
      <c r="AI1037" s="1647"/>
      <c r="AJ1037" s="1632"/>
      <c r="AK1037" s="1633"/>
      <c r="AL1037" s="1633"/>
      <c r="AM1037" s="1633"/>
      <c r="AN1037" s="1633"/>
      <c r="AO1037" s="1633"/>
      <c r="AP1037" s="1633"/>
      <c r="AQ1037" s="1634"/>
      <c r="AR1037" s="68"/>
      <c r="AS1037" s="68"/>
      <c r="AT1037" s="68"/>
      <c r="AU1037" s="68"/>
      <c r="AV1037" s="68"/>
      <c r="AW1037" s="68"/>
      <c r="AX1037" s="68"/>
      <c r="AY1037" s="68"/>
    </row>
    <row r="1038" spans="1:52" ht="13.05" customHeight="1">
      <c r="A1038" s="14"/>
      <c r="B1038" s="79"/>
      <c r="C1038" s="80" t="s">
        <v>234</v>
      </c>
      <c r="D1038" s="1688" t="s">
        <v>1293</v>
      </c>
      <c r="E1038" s="1689"/>
      <c r="F1038" s="1689"/>
      <c r="G1038" s="1689"/>
      <c r="H1038" s="1689"/>
      <c r="I1038" s="1689"/>
      <c r="J1038" s="1689"/>
      <c r="K1038" s="1689"/>
      <c r="L1038" s="1689"/>
      <c r="M1038" s="1689"/>
      <c r="N1038" s="1689"/>
      <c r="O1038" s="1689"/>
      <c r="P1038" s="1689"/>
      <c r="Q1038" s="1689"/>
      <c r="R1038" s="1689"/>
      <c r="S1038" s="1689"/>
      <c r="T1038" s="1689"/>
      <c r="U1038" s="1689"/>
      <c r="V1038" s="1689"/>
      <c r="W1038" s="1689"/>
      <c r="X1038" s="1689"/>
      <c r="Y1038" s="1689"/>
      <c r="Z1038" s="1689"/>
      <c r="AA1038" s="1689"/>
      <c r="AB1038" s="1689"/>
      <c r="AC1038" s="1689"/>
      <c r="AD1038" s="1689"/>
      <c r="AE1038" s="1690"/>
      <c r="AF1038" s="79"/>
      <c r="AG1038" s="1823" t="s">
        <v>545</v>
      </c>
      <c r="AH1038" s="1824"/>
      <c r="AI1038" s="87"/>
      <c r="AJ1038" s="1626">
        <f>ROUND(IF(AG1038="yes",(AJ1001*0.1),0),0)</f>
        <v>7456064</v>
      </c>
      <c r="AK1038" s="1627"/>
      <c r="AL1038" s="1627"/>
      <c r="AM1038" s="1627"/>
      <c r="AN1038" s="1627"/>
      <c r="AO1038" s="1627"/>
      <c r="AP1038" s="1627"/>
      <c r="AQ1038" s="1628"/>
      <c r="AR1038" s="68"/>
      <c r="AS1038" s="68"/>
      <c r="AT1038" s="68"/>
      <c r="AU1038" s="68"/>
      <c r="AV1038" s="68"/>
      <c r="AW1038" s="68"/>
      <c r="AX1038" s="68"/>
      <c r="AY1038" s="68"/>
    </row>
    <row r="1039" spans="1:52" ht="13.05" customHeight="1">
      <c r="A1039" s="14"/>
      <c r="B1039" s="73"/>
      <c r="C1039" s="74"/>
      <c r="D1039" s="1814" t="s">
        <v>1294</v>
      </c>
      <c r="E1039" s="1815"/>
      <c r="F1039" s="1815"/>
      <c r="G1039" s="1815"/>
      <c r="H1039" s="1815"/>
      <c r="I1039" s="1815"/>
      <c r="J1039" s="1815"/>
      <c r="K1039" s="1815"/>
      <c r="L1039" s="1815"/>
      <c r="M1039" s="1815"/>
      <c r="N1039" s="1815"/>
      <c r="O1039" s="1815"/>
      <c r="P1039" s="1815"/>
      <c r="Q1039" s="1815"/>
      <c r="R1039" s="1815"/>
      <c r="S1039" s="1815"/>
      <c r="T1039" s="1815"/>
      <c r="U1039" s="1815"/>
      <c r="V1039" s="1815"/>
      <c r="W1039" s="1815"/>
      <c r="X1039" s="1815"/>
      <c r="Y1039" s="1815"/>
      <c r="Z1039" s="1815"/>
      <c r="AA1039" s="1815"/>
      <c r="AB1039" s="1815"/>
      <c r="AC1039" s="1815"/>
      <c r="AD1039" s="1815"/>
      <c r="AE1039" s="1816"/>
      <c r="AF1039" s="73"/>
      <c r="AG1039" s="14"/>
      <c r="AH1039" s="14"/>
      <c r="AI1039" s="83"/>
      <c r="AJ1039" s="1629"/>
      <c r="AK1039" s="1630"/>
      <c r="AL1039" s="1630"/>
      <c r="AM1039" s="1630"/>
      <c r="AN1039" s="1630"/>
      <c r="AO1039" s="1630"/>
      <c r="AP1039" s="1630"/>
      <c r="AQ1039" s="1631"/>
      <c r="AR1039" s="68"/>
      <c r="AS1039" s="68"/>
      <c r="AT1039" s="68"/>
      <c r="AU1039" s="68"/>
      <c r="AV1039" s="68"/>
      <c r="AW1039" s="68"/>
      <c r="AX1039" s="68"/>
      <c r="AY1039" s="68"/>
    </row>
    <row r="1040" spans="1:52" ht="13.05" customHeight="1">
      <c r="A1040" s="14"/>
      <c r="B1040" s="77"/>
      <c r="C1040" s="74"/>
      <c r="D1040" s="1595"/>
      <c r="E1040" s="1596"/>
      <c r="F1040" s="1596"/>
      <c r="G1040" s="1596"/>
      <c r="H1040" s="1596"/>
      <c r="I1040" s="1596"/>
      <c r="J1040" s="1596"/>
      <c r="K1040" s="1596"/>
      <c r="L1040" s="1596"/>
      <c r="M1040" s="1596"/>
      <c r="N1040" s="1596"/>
      <c r="O1040" s="1596"/>
      <c r="P1040" s="1596"/>
      <c r="Q1040" s="1596"/>
      <c r="R1040" s="1596"/>
      <c r="S1040" s="1596"/>
      <c r="T1040" s="1596"/>
      <c r="U1040" s="1596"/>
      <c r="V1040" s="1596"/>
      <c r="W1040" s="1596"/>
      <c r="X1040" s="1596"/>
      <c r="Y1040" s="1596"/>
      <c r="Z1040" s="1596"/>
      <c r="AA1040" s="1596"/>
      <c r="AB1040" s="1596"/>
      <c r="AC1040" s="1596"/>
      <c r="AD1040" s="1596"/>
      <c r="AE1040" s="1597"/>
      <c r="AF1040" s="73"/>
      <c r="AG1040" s="14"/>
      <c r="AH1040" s="14"/>
      <c r="AI1040" s="83"/>
      <c r="AJ1040" s="1632"/>
      <c r="AK1040" s="1633"/>
      <c r="AL1040" s="1633"/>
      <c r="AM1040" s="1633"/>
      <c r="AN1040" s="1633"/>
      <c r="AO1040" s="1633"/>
      <c r="AP1040" s="1633"/>
      <c r="AQ1040" s="1634"/>
      <c r="AR1040" s="68"/>
      <c r="AS1040" s="68"/>
      <c r="AT1040" s="68"/>
      <c r="AU1040" s="68"/>
      <c r="AV1040" s="68"/>
      <c r="AW1040" s="68"/>
      <c r="AX1040" s="68"/>
      <c r="AY1040" s="68"/>
    </row>
    <row r="1041" spans="1:57" ht="13.05" customHeight="1">
      <c r="A1041" s="14"/>
      <c r="B1041" s="73"/>
      <c r="C1041" s="339" t="s">
        <v>687</v>
      </c>
      <c r="D1041" s="1811" t="s">
        <v>1674</v>
      </c>
      <c r="E1041" s="1812"/>
      <c r="F1041" s="1812"/>
      <c r="G1041" s="1812"/>
      <c r="H1041" s="1812"/>
      <c r="I1041" s="1812"/>
      <c r="J1041" s="1812"/>
      <c r="K1041" s="1812"/>
      <c r="L1041" s="1812"/>
      <c r="M1041" s="1812"/>
      <c r="N1041" s="1812"/>
      <c r="O1041" s="1812"/>
      <c r="P1041" s="1812"/>
      <c r="Q1041" s="1812"/>
      <c r="R1041" s="1812"/>
      <c r="S1041" s="1812"/>
      <c r="T1041" s="1812"/>
      <c r="U1041" s="1812"/>
      <c r="V1041" s="1812"/>
      <c r="W1041" s="1812"/>
      <c r="X1041" s="1812"/>
      <c r="Y1041" s="1812"/>
      <c r="Z1041" s="1812"/>
      <c r="AA1041" s="1812"/>
      <c r="AB1041" s="1812"/>
      <c r="AC1041" s="1812"/>
      <c r="AD1041" s="1812"/>
      <c r="AE1041" s="1813"/>
      <c r="AF1041" s="79"/>
      <c r="AG1041" s="1823" t="s">
        <v>669</v>
      </c>
      <c r="AH1041" s="1824"/>
      <c r="AI1041" s="87"/>
      <c r="AJ1041" s="1626">
        <f>ROUND(IF(AG1041="yes",(AJ1001*0.15),0),0)</f>
        <v>0</v>
      </c>
      <c r="AK1041" s="1627"/>
      <c r="AL1041" s="1627"/>
      <c r="AM1041" s="1627"/>
      <c r="AN1041" s="1627"/>
      <c r="AO1041" s="1627"/>
      <c r="AP1041" s="1627"/>
      <c r="AQ1041" s="1628"/>
      <c r="AR1041" s="68"/>
      <c r="AS1041" s="68"/>
      <c r="AT1041" s="68"/>
      <c r="AU1041" s="68"/>
      <c r="AV1041" s="68"/>
      <c r="AW1041" s="68"/>
      <c r="AX1041" s="68"/>
      <c r="AY1041" s="68"/>
    </row>
    <row r="1042" spans="1:57" ht="13.05" customHeight="1">
      <c r="A1042" s="14"/>
      <c r="B1042" s="73"/>
      <c r="C1042" s="74"/>
      <c r="D1042" s="1840" t="s">
        <v>1675</v>
      </c>
      <c r="E1042" s="1529"/>
      <c r="F1042" s="1529"/>
      <c r="G1042" s="1529"/>
      <c r="H1042" s="1529"/>
      <c r="I1042" s="1529"/>
      <c r="J1042" s="1529"/>
      <c r="K1042" s="1529"/>
      <c r="L1042" s="1529"/>
      <c r="M1042" s="1529"/>
      <c r="N1042" s="1529"/>
      <c r="O1042" s="1529"/>
      <c r="P1042" s="1529"/>
      <c r="Q1042" s="1529"/>
      <c r="R1042" s="1529"/>
      <c r="S1042" s="1529"/>
      <c r="T1042" s="1529"/>
      <c r="U1042" s="1529"/>
      <c r="V1042" s="1529"/>
      <c r="W1042" s="1529"/>
      <c r="X1042" s="1529"/>
      <c r="Y1042" s="1529"/>
      <c r="Z1042" s="1529"/>
      <c r="AA1042" s="1529"/>
      <c r="AB1042" s="1529"/>
      <c r="AC1042" s="1529"/>
      <c r="AD1042" s="1529"/>
      <c r="AE1042" s="1841"/>
      <c r="AF1042" s="911"/>
      <c r="AG1042" s="912"/>
      <c r="AH1042" s="912"/>
      <c r="AI1042" s="913"/>
      <c r="AJ1042" s="1629"/>
      <c r="AK1042" s="1630"/>
      <c r="AL1042" s="1630"/>
      <c r="AM1042" s="1630"/>
      <c r="AN1042" s="1630"/>
      <c r="AO1042" s="1630"/>
      <c r="AP1042" s="1630"/>
      <c r="AQ1042" s="1631"/>
      <c r="AR1042" s="68"/>
      <c r="AS1042" s="68"/>
      <c r="AT1042" s="68"/>
      <c r="AU1042" s="68"/>
      <c r="AV1042" s="68"/>
      <c r="AW1042" s="68"/>
      <c r="AX1042" s="68"/>
      <c r="AY1042" s="68"/>
    </row>
    <row r="1043" spans="1:57" ht="13.05" customHeight="1">
      <c r="A1043" s="14"/>
      <c r="B1043" s="73"/>
      <c r="C1043" s="74"/>
      <c r="D1043" s="1840"/>
      <c r="E1043" s="1529"/>
      <c r="F1043" s="1529"/>
      <c r="G1043" s="1529"/>
      <c r="H1043" s="1529"/>
      <c r="I1043" s="1529"/>
      <c r="J1043" s="1529"/>
      <c r="K1043" s="1529"/>
      <c r="L1043" s="1529"/>
      <c r="M1043" s="1529"/>
      <c r="N1043" s="1529"/>
      <c r="O1043" s="1529"/>
      <c r="P1043" s="1529"/>
      <c r="Q1043" s="1529"/>
      <c r="R1043" s="1529"/>
      <c r="S1043" s="1529"/>
      <c r="T1043" s="1529"/>
      <c r="U1043" s="1529"/>
      <c r="V1043" s="1529"/>
      <c r="W1043" s="1529"/>
      <c r="X1043" s="1529"/>
      <c r="Y1043" s="1529"/>
      <c r="Z1043" s="1529"/>
      <c r="AA1043" s="1529"/>
      <c r="AB1043" s="1529"/>
      <c r="AC1043" s="1529"/>
      <c r="AD1043" s="1529"/>
      <c r="AE1043" s="1841"/>
      <c r="AF1043" s="911"/>
      <c r="AG1043" s="912"/>
      <c r="AH1043" s="912"/>
      <c r="AI1043" s="913"/>
      <c r="AJ1043" s="1629"/>
      <c r="AK1043" s="1630"/>
      <c r="AL1043" s="1630"/>
      <c r="AM1043" s="1630"/>
      <c r="AN1043" s="1630"/>
      <c r="AO1043" s="1630"/>
      <c r="AP1043" s="1630"/>
      <c r="AQ1043" s="1631"/>
      <c r="AR1043" s="68"/>
      <c r="AS1043" s="68"/>
      <c r="AT1043" s="68"/>
      <c r="AU1043" s="68"/>
      <c r="AV1043" s="68"/>
      <c r="AW1043" s="68"/>
      <c r="AX1043" s="68"/>
      <c r="AY1043" s="68"/>
    </row>
    <row r="1044" spans="1:57" ht="13.05" customHeight="1">
      <c r="A1044" s="14"/>
      <c r="B1044" s="73"/>
      <c r="C1044" s="74"/>
      <c r="D1044" s="1842"/>
      <c r="E1044" s="1843"/>
      <c r="F1044" s="1843"/>
      <c r="G1044" s="1843"/>
      <c r="H1044" s="1843"/>
      <c r="I1044" s="1843"/>
      <c r="J1044" s="1843"/>
      <c r="K1044" s="1843"/>
      <c r="L1044" s="1843"/>
      <c r="M1044" s="1843"/>
      <c r="N1044" s="1843"/>
      <c r="O1044" s="1843"/>
      <c r="P1044" s="1843"/>
      <c r="Q1044" s="1843"/>
      <c r="R1044" s="1843"/>
      <c r="S1044" s="1843"/>
      <c r="T1044" s="1843"/>
      <c r="U1044" s="1843"/>
      <c r="V1044" s="1843"/>
      <c r="W1044" s="1843"/>
      <c r="X1044" s="1843"/>
      <c r="Y1044" s="1843"/>
      <c r="Z1044" s="1843"/>
      <c r="AA1044" s="1843"/>
      <c r="AB1044" s="1843"/>
      <c r="AC1044" s="1843"/>
      <c r="AD1044" s="1843"/>
      <c r="AE1044" s="1844"/>
      <c r="AF1044" s="914"/>
      <c r="AG1044" s="915"/>
      <c r="AH1044" s="915"/>
      <c r="AI1044" s="916"/>
      <c r="AJ1044" s="1632"/>
      <c r="AK1044" s="1633"/>
      <c r="AL1044" s="1633"/>
      <c r="AM1044" s="1633"/>
      <c r="AN1044" s="1633"/>
      <c r="AO1044" s="1633"/>
      <c r="AP1044" s="1633"/>
      <c r="AQ1044" s="1634"/>
      <c r="AR1044" s="68"/>
      <c r="AS1044" s="68"/>
      <c r="AT1044" s="68"/>
      <c r="AU1044" s="68"/>
      <c r="AV1044" s="68"/>
      <c r="AW1044" s="68"/>
      <c r="AX1044" s="68"/>
      <c r="AY1044" s="68"/>
    </row>
    <row r="1045" spans="1:57" ht="13.05" customHeight="1">
      <c r="A1045" s="14"/>
      <c r="B1045" s="73"/>
      <c r="C1045" s="339" t="s">
        <v>687</v>
      </c>
      <c r="D1045" s="1688" t="s">
        <v>1676</v>
      </c>
      <c r="E1045" s="1689"/>
      <c r="F1045" s="1689"/>
      <c r="G1045" s="1689"/>
      <c r="H1045" s="1689"/>
      <c r="I1045" s="1689"/>
      <c r="J1045" s="1689"/>
      <c r="K1045" s="1689"/>
      <c r="L1045" s="1689"/>
      <c r="M1045" s="1689"/>
      <c r="N1045" s="1689"/>
      <c r="O1045" s="1689"/>
      <c r="P1045" s="1689"/>
      <c r="Q1045" s="1689"/>
      <c r="R1045" s="1689"/>
      <c r="S1045" s="1689"/>
      <c r="T1045" s="1689"/>
      <c r="U1045" s="1689"/>
      <c r="V1045" s="1689"/>
      <c r="W1045" s="1689"/>
      <c r="X1045" s="1689"/>
      <c r="Y1045" s="1689"/>
      <c r="Z1045" s="1689"/>
      <c r="AA1045" s="1689"/>
      <c r="AB1045" s="1689"/>
      <c r="AC1045" s="1689"/>
      <c r="AD1045" s="1689"/>
      <c r="AE1045" s="1690"/>
      <c r="AF1045" s="73"/>
      <c r="AG1045" s="1845" t="s">
        <v>545</v>
      </c>
      <c r="AH1045" s="1846"/>
      <c r="AI1045" s="83"/>
      <c r="AJ1045" s="1626">
        <f>ROUND(IF(AND(AG1045="yes",AJ1041=0),(AJ1001*0.1),0),0)</f>
        <v>7456064</v>
      </c>
      <c r="AK1045" s="1627"/>
      <c r="AL1045" s="1627"/>
      <c r="AM1045" s="1627"/>
      <c r="AN1045" s="1627"/>
      <c r="AO1045" s="1627"/>
      <c r="AP1045" s="1627"/>
      <c r="AQ1045" s="1628"/>
      <c r="AR1045" s="68"/>
      <c r="AS1045" s="68"/>
      <c r="AT1045" s="68"/>
      <c r="AU1045" s="68"/>
      <c r="AV1045" s="68"/>
      <c r="AW1045" s="68"/>
      <c r="AX1045" s="68"/>
      <c r="AY1045" s="68"/>
    </row>
    <row r="1046" spans="1:57" ht="13.05" customHeight="1">
      <c r="A1046" s="14"/>
      <c r="B1046" s="73"/>
      <c r="C1046" s="74"/>
      <c r="D1046" s="1840" t="s">
        <v>1677</v>
      </c>
      <c r="E1046" s="1529"/>
      <c r="F1046" s="1529"/>
      <c r="G1046" s="1529"/>
      <c r="H1046" s="1529"/>
      <c r="I1046" s="1529"/>
      <c r="J1046" s="1529"/>
      <c r="K1046" s="1529"/>
      <c r="L1046" s="1529"/>
      <c r="M1046" s="1529"/>
      <c r="N1046" s="1529"/>
      <c r="O1046" s="1529"/>
      <c r="P1046" s="1529"/>
      <c r="Q1046" s="1529"/>
      <c r="R1046" s="1529"/>
      <c r="S1046" s="1529"/>
      <c r="T1046" s="1529"/>
      <c r="U1046" s="1529"/>
      <c r="V1046" s="1529"/>
      <c r="W1046" s="1529"/>
      <c r="X1046" s="1529"/>
      <c r="Y1046" s="1529"/>
      <c r="Z1046" s="1529"/>
      <c r="AA1046" s="1529"/>
      <c r="AB1046" s="1529"/>
      <c r="AC1046" s="1529"/>
      <c r="AD1046" s="1529"/>
      <c r="AE1046" s="1841"/>
      <c r="AF1046" s="73"/>
      <c r="AG1046" s="14"/>
      <c r="AH1046" s="14"/>
      <c r="AI1046" s="83"/>
      <c r="AJ1046" s="1629"/>
      <c r="AK1046" s="1630"/>
      <c r="AL1046" s="1630"/>
      <c r="AM1046" s="1630"/>
      <c r="AN1046" s="1630"/>
      <c r="AO1046" s="1630"/>
      <c r="AP1046" s="1630"/>
      <c r="AQ1046" s="1631"/>
      <c r="AR1046" s="68"/>
      <c r="AS1046" s="68"/>
      <c r="AT1046" s="68"/>
      <c r="AU1046" s="68"/>
      <c r="AV1046" s="68"/>
      <c r="AW1046" s="68"/>
      <c r="AX1046" s="68"/>
      <c r="AY1046" s="68"/>
    </row>
    <row r="1047" spans="1:57" ht="13.05" customHeight="1">
      <c r="A1047" s="14"/>
      <c r="B1047" s="73"/>
      <c r="C1047" s="74"/>
      <c r="D1047" s="1840"/>
      <c r="E1047" s="1529"/>
      <c r="F1047" s="1529"/>
      <c r="G1047" s="1529"/>
      <c r="H1047" s="1529"/>
      <c r="I1047" s="1529"/>
      <c r="J1047" s="1529"/>
      <c r="K1047" s="1529"/>
      <c r="L1047" s="1529"/>
      <c r="M1047" s="1529"/>
      <c r="N1047" s="1529"/>
      <c r="O1047" s="1529"/>
      <c r="P1047" s="1529"/>
      <c r="Q1047" s="1529"/>
      <c r="R1047" s="1529"/>
      <c r="S1047" s="1529"/>
      <c r="T1047" s="1529"/>
      <c r="U1047" s="1529"/>
      <c r="V1047" s="1529"/>
      <c r="W1047" s="1529"/>
      <c r="X1047" s="1529"/>
      <c r="Y1047" s="1529"/>
      <c r="Z1047" s="1529"/>
      <c r="AA1047" s="1529"/>
      <c r="AB1047" s="1529"/>
      <c r="AC1047" s="1529"/>
      <c r="AD1047" s="1529"/>
      <c r="AE1047" s="1841"/>
      <c r="AF1047" s="73"/>
      <c r="AG1047" s="14"/>
      <c r="AH1047" s="14"/>
      <c r="AI1047" s="83"/>
      <c r="AJ1047" s="1629"/>
      <c r="AK1047" s="1630"/>
      <c r="AL1047" s="1630"/>
      <c r="AM1047" s="1630"/>
      <c r="AN1047" s="1630"/>
      <c r="AO1047" s="1630"/>
      <c r="AP1047" s="1630"/>
      <c r="AQ1047" s="1631"/>
      <c r="AR1047" s="68"/>
      <c r="AS1047" s="68"/>
      <c r="AT1047" s="68"/>
      <c r="AU1047" s="68"/>
      <c r="AV1047" s="68"/>
      <c r="AW1047" s="68"/>
      <c r="AX1047" s="68"/>
      <c r="AY1047" s="68"/>
      <c r="BA1047" s="1176">
        <f>IFERROR(('Sources and Uses Budget'!$C$17+'Sources and Uses Budget'!$C$18+'Sources and Uses Budget'!$C$22)/$AG$446,0)</f>
        <v>0</v>
      </c>
      <c r="BB1047" s="1176" t="s">
        <v>2409</v>
      </c>
      <c r="BC1047" s="1176"/>
      <c r="BD1047" s="1176"/>
      <c r="BE1047" s="1176"/>
    </row>
    <row r="1048" spans="1:57" ht="13.05" customHeight="1">
      <c r="A1048" s="14"/>
      <c r="B1048" s="73"/>
      <c r="C1048" s="74"/>
      <c r="D1048" s="1840"/>
      <c r="E1048" s="1529"/>
      <c r="F1048" s="1529"/>
      <c r="G1048" s="1529"/>
      <c r="H1048" s="1529"/>
      <c r="I1048" s="1529"/>
      <c r="J1048" s="1529"/>
      <c r="K1048" s="1529"/>
      <c r="L1048" s="1529"/>
      <c r="M1048" s="1529"/>
      <c r="N1048" s="1529"/>
      <c r="O1048" s="1529"/>
      <c r="P1048" s="1529"/>
      <c r="Q1048" s="1529"/>
      <c r="R1048" s="1529"/>
      <c r="S1048" s="1529"/>
      <c r="T1048" s="1529"/>
      <c r="U1048" s="1529"/>
      <c r="V1048" s="1529"/>
      <c r="W1048" s="1529"/>
      <c r="X1048" s="1529"/>
      <c r="Y1048" s="1529"/>
      <c r="Z1048" s="1529"/>
      <c r="AA1048" s="1529"/>
      <c r="AB1048" s="1529"/>
      <c r="AC1048" s="1529"/>
      <c r="AD1048" s="1529"/>
      <c r="AE1048" s="1841"/>
      <c r="AF1048" s="73"/>
      <c r="AG1048" s="14"/>
      <c r="AH1048" s="14"/>
      <c r="AI1048" s="83"/>
      <c r="AJ1048" s="1629"/>
      <c r="AK1048" s="1630"/>
      <c r="AL1048" s="1630"/>
      <c r="AM1048" s="1630"/>
      <c r="AN1048" s="1630"/>
      <c r="AO1048" s="1630"/>
      <c r="AP1048" s="1630"/>
      <c r="AQ1048" s="1631"/>
      <c r="AR1048" s="68"/>
      <c r="AS1048" s="68"/>
      <c r="AT1048" s="68"/>
      <c r="AU1048" s="68"/>
      <c r="AV1048" s="68"/>
      <c r="AW1048" s="68"/>
      <c r="AX1048" s="68"/>
      <c r="AY1048" s="68"/>
      <c r="BA1048">
        <f>IFERROR((($CI$761+$CM$761)/$AG$449),0)</f>
        <v>0.32673267326732675</v>
      </c>
      <c r="BB1048" s="3" t="s">
        <v>2413</v>
      </c>
    </row>
    <row r="1049" spans="1:57" ht="13.05" customHeight="1">
      <c r="A1049" s="14"/>
      <c r="B1049" s="73"/>
      <c r="C1049" s="74"/>
      <c r="D1049" s="1842"/>
      <c r="E1049" s="1843"/>
      <c r="F1049" s="1843"/>
      <c r="G1049" s="1843"/>
      <c r="H1049" s="1843"/>
      <c r="I1049" s="1843"/>
      <c r="J1049" s="1843"/>
      <c r="K1049" s="1843"/>
      <c r="L1049" s="1843"/>
      <c r="M1049" s="1843"/>
      <c r="N1049" s="1843"/>
      <c r="O1049" s="1843"/>
      <c r="P1049" s="1843"/>
      <c r="Q1049" s="1843"/>
      <c r="R1049" s="1843"/>
      <c r="S1049" s="1843"/>
      <c r="T1049" s="1843"/>
      <c r="U1049" s="1843"/>
      <c r="V1049" s="1843"/>
      <c r="W1049" s="1843"/>
      <c r="X1049" s="1843"/>
      <c r="Y1049" s="1843"/>
      <c r="Z1049" s="1843"/>
      <c r="AA1049" s="1843"/>
      <c r="AB1049" s="1843"/>
      <c r="AC1049" s="1843"/>
      <c r="AD1049" s="1843"/>
      <c r="AE1049" s="1844"/>
      <c r="AF1049" s="73"/>
      <c r="AG1049" s="14"/>
      <c r="AH1049" s="14"/>
      <c r="AI1049" s="83"/>
      <c r="AJ1049" s="1629"/>
      <c r="AK1049" s="1630"/>
      <c r="AL1049" s="1630"/>
      <c r="AM1049" s="1630"/>
      <c r="AN1049" s="1630"/>
      <c r="AO1049" s="1630"/>
      <c r="AP1049" s="1630"/>
      <c r="AQ1049" s="1631"/>
      <c r="AR1049" s="68"/>
      <c r="AS1049" s="68"/>
      <c r="AT1049" s="68"/>
      <c r="AU1049" s="68"/>
      <c r="AV1049" s="68"/>
      <c r="AW1049" s="68"/>
      <c r="AX1049" s="68"/>
      <c r="AY1049" s="68"/>
      <c r="BA1049" t="b">
        <f>'Points System'!AJ163="Yes"</f>
        <v>0</v>
      </c>
      <c r="BB1049" s="3" t="s">
        <v>2410</v>
      </c>
    </row>
    <row r="1050" spans="1:57" ht="13.05" customHeight="1">
      <c r="A1050" s="14"/>
      <c r="B1050" s="79"/>
      <c r="C1050" s="131" t="s">
        <v>1009</v>
      </c>
      <c r="D1050" s="1811" t="s">
        <v>1295</v>
      </c>
      <c r="E1050" s="1812"/>
      <c r="F1050" s="1812"/>
      <c r="G1050" s="1812"/>
      <c r="H1050" s="1812"/>
      <c r="I1050" s="1812"/>
      <c r="J1050" s="1812"/>
      <c r="K1050" s="1812"/>
      <c r="L1050" s="1812"/>
      <c r="M1050" s="1812"/>
      <c r="N1050" s="1812"/>
      <c r="O1050" s="1812"/>
      <c r="P1050" s="1812"/>
      <c r="Q1050" s="1812"/>
      <c r="R1050" s="1812"/>
      <c r="S1050" s="1812"/>
      <c r="T1050" s="1812"/>
      <c r="U1050" s="1812"/>
      <c r="V1050" s="1812"/>
      <c r="W1050" s="1812"/>
      <c r="X1050" s="1812"/>
      <c r="Y1050" s="1812"/>
      <c r="Z1050" s="1812"/>
      <c r="AA1050" s="1812"/>
      <c r="AB1050" s="1812"/>
      <c r="AC1050" s="1812"/>
      <c r="AD1050" s="1812"/>
      <c r="AE1050" s="1813"/>
      <c r="AF1050" s="79"/>
      <c r="AG1050" s="1823" t="s">
        <v>669</v>
      </c>
      <c r="AH1050" s="1824"/>
      <c r="AI1050" s="87"/>
      <c r="AJ1050" s="1626">
        <f>ROUND(IF(AG1050="yes",(AJ1001*0.1),0),0)</f>
        <v>0</v>
      </c>
      <c r="AK1050" s="1627"/>
      <c r="AL1050" s="1627"/>
      <c r="AM1050" s="1627"/>
      <c r="AN1050" s="1627"/>
      <c r="AO1050" s="1627"/>
      <c r="AP1050" s="1627"/>
      <c r="AQ1050" s="1628"/>
      <c r="AR1050" s="68"/>
      <c r="AS1050" s="68"/>
      <c r="AT1050" s="68"/>
      <c r="AU1050" s="68"/>
      <c r="AV1050" s="68"/>
      <c r="AW1050" s="68"/>
      <c r="AX1050" s="68"/>
      <c r="AY1050" s="68"/>
      <c r="BA1050">
        <f>Q212</f>
        <v>0</v>
      </c>
      <c r="BB1050" s="3" t="s">
        <v>2411</v>
      </c>
    </row>
    <row r="1051" spans="1:57" ht="13.05" customHeight="1">
      <c r="A1051" s="14"/>
      <c r="B1051" s="73"/>
      <c r="C1051" s="74"/>
      <c r="D1051" s="1814" t="s">
        <v>2097</v>
      </c>
      <c r="E1051" s="1815"/>
      <c r="F1051" s="1815"/>
      <c r="G1051" s="1815"/>
      <c r="H1051" s="1815"/>
      <c r="I1051" s="1815"/>
      <c r="J1051" s="1815"/>
      <c r="K1051" s="1815"/>
      <c r="L1051" s="1815"/>
      <c r="M1051" s="1815"/>
      <c r="N1051" s="1815"/>
      <c r="O1051" s="1815"/>
      <c r="P1051" s="1815"/>
      <c r="Q1051" s="1815"/>
      <c r="R1051" s="1815"/>
      <c r="S1051" s="1815"/>
      <c r="T1051" s="1815"/>
      <c r="U1051" s="1815"/>
      <c r="V1051" s="1815"/>
      <c r="W1051" s="1815"/>
      <c r="X1051" s="1815"/>
      <c r="Y1051" s="1815"/>
      <c r="Z1051" s="1815"/>
      <c r="AA1051" s="1815"/>
      <c r="AB1051" s="1815"/>
      <c r="AC1051" s="1815"/>
      <c r="AD1051" s="1815"/>
      <c r="AE1051" s="1816"/>
      <c r="AF1051" s="73"/>
      <c r="AG1051" s="14"/>
      <c r="AH1051" s="14"/>
      <c r="AI1051" s="83"/>
      <c r="AJ1051" s="1629"/>
      <c r="AK1051" s="1630"/>
      <c r="AL1051" s="1630"/>
      <c r="AM1051" s="1630"/>
      <c r="AN1051" s="1630"/>
      <c r="AO1051" s="1630"/>
      <c r="AP1051" s="1630"/>
      <c r="AQ1051" s="1631"/>
      <c r="AR1051" s="68"/>
      <c r="AS1051" s="68"/>
      <c r="AT1051" s="68"/>
      <c r="AU1051" s="68"/>
      <c r="AV1051" s="68"/>
      <c r="AW1051" s="68"/>
      <c r="AX1051" s="68"/>
      <c r="AY1051" s="68"/>
      <c r="BA1051" s="1177">
        <f>T212</f>
        <v>0</v>
      </c>
      <c r="BB1051" s="3" t="s">
        <v>2412</v>
      </c>
    </row>
    <row r="1052" spans="1:57" ht="13.05" customHeight="1">
      <c r="A1052" s="14"/>
      <c r="B1052" s="73"/>
      <c r="C1052" s="74"/>
      <c r="D1052" s="1814"/>
      <c r="E1052" s="1815"/>
      <c r="F1052" s="1815"/>
      <c r="G1052" s="1815"/>
      <c r="H1052" s="1815"/>
      <c r="I1052" s="1815"/>
      <c r="J1052" s="1815"/>
      <c r="K1052" s="1815"/>
      <c r="L1052" s="1815"/>
      <c r="M1052" s="1815"/>
      <c r="N1052" s="1815"/>
      <c r="O1052" s="1815"/>
      <c r="P1052" s="1815"/>
      <c r="Q1052" s="1815"/>
      <c r="R1052" s="1815"/>
      <c r="S1052" s="1815"/>
      <c r="T1052" s="1815"/>
      <c r="U1052" s="1815"/>
      <c r="V1052" s="1815"/>
      <c r="W1052" s="1815"/>
      <c r="X1052" s="1815"/>
      <c r="Y1052" s="1815"/>
      <c r="Z1052" s="1815"/>
      <c r="AA1052" s="1815"/>
      <c r="AB1052" s="1815"/>
      <c r="AC1052" s="1815"/>
      <c r="AD1052" s="1815"/>
      <c r="AE1052" s="1816"/>
      <c r="AF1052" s="73"/>
      <c r="AG1052" s="14"/>
      <c r="AH1052" s="14"/>
      <c r="AI1052" s="83"/>
      <c r="AJ1052" s="1629"/>
      <c r="AK1052" s="1630"/>
      <c r="AL1052" s="1630"/>
      <c r="AM1052" s="1630"/>
      <c r="AN1052" s="1630"/>
      <c r="AO1052" s="1630"/>
      <c r="AP1052" s="1630"/>
      <c r="AQ1052" s="1631"/>
      <c r="AR1052" s="68"/>
      <c r="AS1052" s="68"/>
      <c r="AT1052" s="68"/>
      <c r="AU1052" s="68"/>
      <c r="AV1052" s="68"/>
      <c r="AW1052" s="68"/>
      <c r="AX1052" s="68"/>
      <c r="AY1052" s="68"/>
    </row>
    <row r="1053" spans="1:57" ht="13.05" customHeight="1">
      <c r="A1053" s="14"/>
      <c r="B1053" s="73"/>
      <c r="C1053" s="74"/>
      <c r="D1053" s="1595"/>
      <c r="E1053" s="1596"/>
      <c r="F1053" s="1596"/>
      <c r="G1053" s="1596"/>
      <c r="H1053" s="1596"/>
      <c r="I1053" s="1596"/>
      <c r="J1053" s="1596"/>
      <c r="K1053" s="1596"/>
      <c r="L1053" s="1596"/>
      <c r="M1053" s="1596"/>
      <c r="N1053" s="1596"/>
      <c r="O1053" s="1596"/>
      <c r="P1053" s="1596"/>
      <c r="Q1053" s="1596"/>
      <c r="R1053" s="1596"/>
      <c r="S1053" s="1596"/>
      <c r="T1053" s="1596"/>
      <c r="U1053" s="1596"/>
      <c r="V1053" s="1596"/>
      <c r="W1053" s="1596"/>
      <c r="X1053" s="1596"/>
      <c r="Y1053" s="1596"/>
      <c r="Z1053" s="1596"/>
      <c r="AA1053" s="1596"/>
      <c r="AB1053" s="1596"/>
      <c r="AC1053" s="1596"/>
      <c r="AD1053" s="1596"/>
      <c r="AE1053" s="1597"/>
      <c r="AF1053" s="73"/>
      <c r="AG1053" s="14"/>
      <c r="AH1053" s="14"/>
      <c r="AI1053" s="83"/>
      <c r="AJ1053" s="1632"/>
      <c r="AK1053" s="1633"/>
      <c r="AL1053" s="1633"/>
      <c r="AM1053" s="1633"/>
      <c r="AN1053" s="1633"/>
      <c r="AO1053" s="1633"/>
      <c r="AP1053" s="1633"/>
      <c r="AQ1053" s="1634"/>
      <c r="AR1053" s="68"/>
      <c r="AS1053" s="68"/>
      <c r="AT1053" s="68"/>
      <c r="AU1053" s="68"/>
      <c r="AV1053" s="68"/>
      <c r="AW1053" s="68"/>
      <c r="AX1053" s="68"/>
      <c r="AY1053" s="68"/>
    </row>
    <row r="1054" spans="1:57" ht="13.05" customHeight="1">
      <c r="A1054" s="14"/>
      <c r="B1054" s="79"/>
      <c r="C1054" s="131" t="s">
        <v>1672</v>
      </c>
      <c r="D1054" s="1688" t="s">
        <v>1837</v>
      </c>
      <c r="E1054" s="1689"/>
      <c r="F1054" s="1689"/>
      <c r="G1054" s="1689"/>
      <c r="H1054" s="1689"/>
      <c r="I1054" s="1689"/>
      <c r="J1054" s="1689"/>
      <c r="K1054" s="1689"/>
      <c r="L1054" s="1689"/>
      <c r="M1054" s="1689"/>
      <c r="N1054" s="1689"/>
      <c r="O1054" s="1689"/>
      <c r="P1054" s="1689"/>
      <c r="Q1054" s="1689"/>
      <c r="R1054" s="1689"/>
      <c r="S1054" s="1689"/>
      <c r="T1054" s="1689"/>
      <c r="U1054" s="1689"/>
      <c r="V1054" s="1689"/>
      <c r="W1054" s="1689"/>
      <c r="X1054" s="1689"/>
      <c r="Y1054" s="1689"/>
      <c r="Z1054" s="1689"/>
      <c r="AA1054" s="1689"/>
      <c r="AB1054" s="1689"/>
      <c r="AC1054" s="1689"/>
      <c r="AD1054" s="1689"/>
      <c r="AE1054" s="1690"/>
      <c r="AF1054" s="79"/>
      <c r="AG1054" s="1821" t="str">
        <f>IF(X1057&gt;0,"Yes","No")</f>
        <v>Yes</v>
      </c>
      <c r="AH1054" s="1822"/>
      <c r="AI1054" s="87"/>
      <c r="AJ1054" s="1626">
        <f>IF((X1057=0),0,AY1014*AJ1001)</f>
        <v>15657734.399999999</v>
      </c>
      <c r="AK1054" s="1627"/>
      <c r="AL1054" s="1627"/>
      <c r="AM1054" s="1627"/>
      <c r="AN1054" s="1627"/>
      <c r="AO1054" s="1627"/>
      <c r="AP1054" s="1627"/>
      <c r="AQ1054" s="1628"/>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2398</v>
      </c>
      <c r="BB1054" s="3"/>
      <c r="BC1054" s="3"/>
      <c r="BD1054" s="3"/>
    </row>
    <row r="1055" spans="1:57" ht="13.05" customHeight="1">
      <c r="A1055" s="14"/>
      <c r="B1055" s="73"/>
      <c r="C1055" s="442"/>
      <c r="D1055" s="1814" t="s">
        <v>1297</v>
      </c>
      <c r="E1055" s="1815"/>
      <c r="F1055" s="1815"/>
      <c r="G1055" s="1815"/>
      <c r="H1055" s="1815"/>
      <c r="I1055" s="1815"/>
      <c r="J1055" s="1815"/>
      <c r="K1055" s="1815"/>
      <c r="L1055" s="1815"/>
      <c r="M1055" s="1815"/>
      <c r="N1055" s="1815"/>
      <c r="O1055" s="1815"/>
      <c r="P1055" s="1815"/>
      <c r="Q1055" s="1815"/>
      <c r="R1055" s="1815"/>
      <c r="S1055" s="1815"/>
      <c r="T1055" s="1815"/>
      <c r="U1055" s="1815"/>
      <c r="V1055" s="1815"/>
      <c r="W1055" s="1815"/>
      <c r="X1055" s="1815"/>
      <c r="Y1055" s="1815"/>
      <c r="Z1055" s="1815"/>
      <c r="AA1055" s="1815"/>
      <c r="AB1055" s="1815"/>
      <c r="AC1055" s="1815"/>
      <c r="AD1055" s="1815"/>
      <c r="AE1055" s="1816"/>
      <c r="AF1055" s="73"/>
      <c r="AG1055" s="443"/>
      <c r="AH1055" s="443"/>
      <c r="AI1055" s="83"/>
      <c r="AJ1055" s="1629"/>
      <c r="AK1055" s="1630"/>
      <c r="AL1055" s="1630"/>
      <c r="AM1055" s="1630"/>
      <c r="AN1055" s="1630"/>
      <c r="AO1055" s="1630"/>
      <c r="AP1055" s="1630"/>
      <c r="AQ1055" s="1631"/>
      <c r="AR1055" s="68"/>
      <c r="AS1055" s="68"/>
      <c r="AT1055" s="68"/>
      <c r="AU1055" s="13"/>
      <c r="AV1055" s="68"/>
      <c r="AW1055" s="68"/>
      <c r="AX1055" s="68"/>
      <c r="AY1055" s="68"/>
      <c r="AZ1055" s="958">
        <f>'Sources and Uses Budget'!S97*BA1055</f>
        <v>9179795.25</v>
      </c>
      <c r="BA1055" s="1175">
        <f>IF(BA1049,20%,15%)</f>
        <v>0.15</v>
      </c>
      <c r="BB1055" s="3" t="s">
        <v>2399</v>
      </c>
      <c r="BC1055" s="3" t="s">
        <v>2400</v>
      </c>
      <c r="BD1055" s="3"/>
    </row>
    <row r="1056" spans="1:57" ht="13.05" customHeight="1">
      <c r="A1056" s="14"/>
      <c r="B1056" s="73"/>
      <c r="C1056" s="442"/>
      <c r="D1056" s="1814"/>
      <c r="E1056" s="1815"/>
      <c r="F1056" s="1815"/>
      <c r="G1056" s="1815"/>
      <c r="H1056" s="1815"/>
      <c r="I1056" s="1815"/>
      <c r="J1056" s="1815"/>
      <c r="K1056" s="1815"/>
      <c r="L1056" s="1815"/>
      <c r="M1056" s="1815"/>
      <c r="N1056" s="1815"/>
      <c r="O1056" s="1815"/>
      <c r="P1056" s="1815"/>
      <c r="Q1056" s="1815"/>
      <c r="R1056" s="1815"/>
      <c r="S1056" s="1815"/>
      <c r="T1056" s="1815"/>
      <c r="U1056" s="1815"/>
      <c r="V1056" s="1815"/>
      <c r="W1056" s="1815"/>
      <c r="X1056" s="1815"/>
      <c r="Y1056" s="1815"/>
      <c r="Z1056" s="1815"/>
      <c r="AA1056" s="1815"/>
      <c r="AB1056" s="1815"/>
      <c r="AC1056" s="1815"/>
      <c r="AD1056" s="1815"/>
      <c r="AE1056" s="1816"/>
      <c r="AF1056" s="73"/>
      <c r="AG1056" s="443"/>
      <c r="AH1056" s="443"/>
      <c r="AI1056" s="83"/>
      <c r="AJ1056" s="1629"/>
      <c r="AK1056" s="1630"/>
      <c r="AL1056" s="1630"/>
      <c r="AM1056" s="1630"/>
      <c r="AN1056" s="1630"/>
      <c r="AO1056" s="1630"/>
      <c r="AP1056" s="1630"/>
      <c r="AQ1056" s="1631"/>
      <c r="AR1056" s="68"/>
      <c r="AS1056" s="68"/>
      <c r="AT1056" s="68"/>
      <c r="AU1056" s="13"/>
      <c r="AV1056" s="68"/>
      <c r="AW1056" s="68"/>
      <c r="AX1056" s="68"/>
      <c r="AY1056" s="68"/>
      <c r="AZ1056" s="958">
        <f>IF(M365="N/A",0,'Sources and Uses Budget'!T97*BA1056)</f>
        <v>0</v>
      </c>
      <c r="BA1056" s="1175">
        <v>0.15</v>
      </c>
      <c r="BB1056" s="3" t="s">
        <v>2399</v>
      </c>
      <c r="BC1056" s="3" t="s">
        <v>2401</v>
      </c>
      <c r="BD1056" s="3"/>
    </row>
    <row r="1057" spans="1:56" ht="13.05" customHeight="1">
      <c r="A1057" s="14"/>
      <c r="B1057" s="77"/>
      <c r="C1057" s="78"/>
      <c r="D1057" s="132" t="s">
        <v>971</v>
      </c>
      <c r="E1057" s="133"/>
      <c r="F1057" s="133"/>
      <c r="G1057" s="133"/>
      <c r="H1057" s="133"/>
      <c r="I1057" s="1819">
        <f>AY1012</f>
        <v>101</v>
      </c>
      <c r="J1057" s="1820"/>
      <c r="K1057" s="7"/>
      <c r="L1057" s="133"/>
      <c r="M1057" s="133"/>
      <c r="N1057" s="133"/>
      <c r="O1057" s="133"/>
      <c r="P1057" s="133"/>
      <c r="Q1057" s="133"/>
      <c r="R1057" s="133"/>
      <c r="S1057" s="133"/>
      <c r="T1057" s="133"/>
      <c r="U1057" s="133"/>
      <c r="V1057" s="134" t="s">
        <v>972</v>
      </c>
      <c r="W1057" s="48"/>
      <c r="X1057" s="1817">
        <f>CI761</f>
        <v>22</v>
      </c>
      <c r="Y1057" s="1818"/>
      <c r="Z1057" s="48"/>
      <c r="AA1057" s="48"/>
      <c r="AB1057" s="48"/>
      <c r="AC1057" s="48"/>
      <c r="AD1057" s="48"/>
      <c r="AE1057" s="49"/>
      <c r="AF1057" s="920"/>
      <c r="AG1057" s="921"/>
      <c r="AH1057" s="921"/>
      <c r="AI1057" s="922"/>
      <c r="AJ1057" s="1632"/>
      <c r="AK1057" s="1633"/>
      <c r="AL1057" s="1633"/>
      <c r="AM1057" s="1633"/>
      <c r="AN1057" s="1633"/>
      <c r="AO1057" s="1633"/>
      <c r="AP1057" s="1633"/>
      <c r="AQ1057" s="1634"/>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2399</v>
      </c>
      <c r="BC1057" s="3" t="s">
        <v>2402</v>
      </c>
      <c r="BD1057" s="3"/>
    </row>
    <row r="1058" spans="1:56" ht="13.05" customHeight="1">
      <c r="A1058" s="14"/>
      <c r="B1058" s="79"/>
      <c r="C1058" s="131" t="s">
        <v>1673</v>
      </c>
      <c r="D1058" s="1811" t="s">
        <v>2123</v>
      </c>
      <c r="E1058" s="1812"/>
      <c r="F1058" s="1812"/>
      <c r="G1058" s="1812"/>
      <c r="H1058" s="1812"/>
      <c r="I1058" s="1812"/>
      <c r="J1058" s="1812"/>
      <c r="K1058" s="1812"/>
      <c r="L1058" s="1812"/>
      <c r="M1058" s="1812"/>
      <c r="N1058" s="1812"/>
      <c r="O1058" s="1812"/>
      <c r="P1058" s="1812"/>
      <c r="Q1058" s="1812"/>
      <c r="R1058" s="1812"/>
      <c r="S1058" s="1812"/>
      <c r="T1058" s="1812"/>
      <c r="U1058" s="1812"/>
      <c r="V1058" s="1812"/>
      <c r="W1058" s="1812"/>
      <c r="X1058" s="1812"/>
      <c r="Y1058" s="1812"/>
      <c r="Z1058" s="1812"/>
      <c r="AA1058" s="1812"/>
      <c r="AB1058" s="1812"/>
      <c r="AC1058" s="1812"/>
      <c r="AD1058" s="1812"/>
      <c r="AE1058" s="1813"/>
      <c r="AF1058" s="73"/>
      <c r="AG1058" s="1821" t="str">
        <f>IF(X1061&gt;0,"Yes","No")</f>
        <v>Yes</v>
      </c>
      <c r="AH1058" s="1822"/>
      <c r="AI1058" s="83"/>
      <c r="AJ1058" s="1626">
        <f>IF((X1061=0),0,(2*AY1015)*AJ1001)</f>
        <v>14912128</v>
      </c>
      <c r="AK1058" s="1627"/>
      <c r="AL1058" s="1627"/>
      <c r="AM1058" s="1627"/>
      <c r="AN1058" s="1627"/>
      <c r="AO1058" s="1627"/>
      <c r="AP1058" s="1627"/>
      <c r="AQ1058" s="1628"/>
      <c r="AR1058" s="68"/>
      <c r="AS1058" s="68"/>
      <c r="AT1058" s="68"/>
      <c r="AU1058" s="14"/>
      <c r="AV1058" s="68"/>
      <c r="AW1058" s="68"/>
      <c r="AX1058" s="68"/>
      <c r="AY1058" s="68"/>
      <c r="AZ1058" s="958">
        <f>AZ1054*BA1058</f>
        <v>0</v>
      </c>
      <c r="BA1058" s="1175">
        <v>0.15</v>
      </c>
      <c r="BB1058" s="3" t="s">
        <v>2399</v>
      </c>
      <c r="BC1058" s="3" t="s">
        <v>2403</v>
      </c>
      <c r="BD1058" s="3"/>
    </row>
    <row r="1059" spans="1:56" ht="13.05" customHeight="1">
      <c r="A1059" s="14"/>
      <c r="B1059" s="73"/>
      <c r="C1059" s="442"/>
      <c r="D1059" s="1814" t="s">
        <v>1296</v>
      </c>
      <c r="E1059" s="1815"/>
      <c r="F1059" s="1815"/>
      <c r="G1059" s="1815"/>
      <c r="H1059" s="1815"/>
      <c r="I1059" s="1815"/>
      <c r="J1059" s="1815"/>
      <c r="K1059" s="1815"/>
      <c r="L1059" s="1815"/>
      <c r="M1059" s="1815"/>
      <c r="N1059" s="1815"/>
      <c r="O1059" s="1815"/>
      <c r="P1059" s="1815"/>
      <c r="Q1059" s="1815"/>
      <c r="R1059" s="1815"/>
      <c r="S1059" s="1815"/>
      <c r="T1059" s="1815"/>
      <c r="U1059" s="1815"/>
      <c r="V1059" s="1815"/>
      <c r="W1059" s="1815"/>
      <c r="X1059" s="1815"/>
      <c r="Y1059" s="1815"/>
      <c r="Z1059" s="1815"/>
      <c r="AA1059" s="1815"/>
      <c r="AB1059" s="1815"/>
      <c r="AC1059" s="1815"/>
      <c r="AD1059" s="1815"/>
      <c r="AE1059" s="1816"/>
      <c r="AF1059" s="73"/>
      <c r="AG1059" s="443"/>
      <c r="AH1059" s="443"/>
      <c r="AI1059" s="83"/>
      <c r="AJ1059" s="1629"/>
      <c r="AK1059" s="1630"/>
      <c r="AL1059" s="1630"/>
      <c r="AM1059" s="1630"/>
      <c r="AN1059" s="1630"/>
      <c r="AO1059" s="1630"/>
      <c r="AP1059" s="1630"/>
      <c r="AQ1059" s="1631"/>
      <c r="AR1059" s="68"/>
      <c r="AS1059" s="68"/>
      <c r="AT1059" s="68"/>
      <c r="AU1059" s="68"/>
      <c r="AV1059" s="68"/>
      <c r="AW1059" s="68"/>
      <c r="AX1059" s="68"/>
      <c r="AY1059" s="68"/>
      <c r="AZ1059" s="958"/>
      <c r="BA1059" s="3"/>
      <c r="BB1059" s="3"/>
      <c r="BC1059" s="3"/>
      <c r="BD1059" s="3"/>
    </row>
    <row r="1060" spans="1:56" ht="13.05" customHeight="1">
      <c r="A1060" s="14"/>
      <c r="B1060" s="73"/>
      <c r="C1060" s="83"/>
      <c r="D1060" s="1814"/>
      <c r="E1060" s="1815"/>
      <c r="F1060" s="1815"/>
      <c r="G1060" s="1815"/>
      <c r="H1060" s="1815"/>
      <c r="I1060" s="1815"/>
      <c r="J1060" s="1815"/>
      <c r="K1060" s="1815"/>
      <c r="L1060" s="1815"/>
      <c r="M1060" s="1815"/>
      <c r="N1060" s="1815"/>
      <c r="O1060" s="1815"/>
      <c r="P1060" s="1815"/>
      <c r="Q1060" s="1815"/>
      <c r="R1060" s="1815"/>
      <c r="S1060" s="1815"/>
      <c r="T1060" s="1815"/>
      <c r="U1060" s="1815"/>
      <c r="V1060" s="1815"/>
      <c r="W1060" s="1815"/>
      <c r="X1060" s="1815"/>
      <c r="Y1060" s="1815"/>
      <c r="Z1060" s="1815"/>
      <c r="AA1060" s="1815"/>
      <c r="AB1060" s="1815"/>
      <c r="AC1060" s="1815"/>
      <c r="AD1060" s="1815"/>
      <c r="AE1060" s="1816"/>
      <c r="AF1060" s="917"/>
      <c r="AG1060" s="918"/>
      <c r="AH1060" s="918"/>
      <c r="AI1060" s="919"/>
      <c r="AJ1060" s="1629"/>
      <c r="AK1060" s="1630"/>
      <c r="AL1060" s="1630"/>
      <c r="AM1060" s="1630"/>
      <c r="AN1060" s="1630"/>
      <c r="AO1060" s="1630"/>
      <c r="AP1060" s="1630"/>
      <c r="AQ1060" s="1631"/>
      <c r="AR1060" s="68"/>
      <c r="AS1060" s="68"/>
      <c r="AT1060" s="68"/>
      <c r="AU1060" s="68"/>
      <c r="AV1060" s="68"/>
      <c r="AW1060" s="68"/>
      <c r="AX1060" s="68"/>
      <c r="AY1060" s="68"/>
      <c r="AZ1060" s="958">
        <f>ROUNDDOWN(MIN(SUM(AZ1055,AZ1056,AZ1057,AZ1058),BD1060),0)</f>
        <v>2500000</v>
      </c>
      <c r="BA1060" s="3" t="s">
        <v>2404</v>
      </c>
      <c r="BB1060" s="3"/>
      <c r="BC1060" s="3"/>
      <c r="BD1060" s="3" cm="1">
        <f t="array" ref="BD1060">_xlfn.IFS(BA1049,3000000,AND(BA1050&gt;=25%,BA1051&gt;=15),2800000,TRUE,2500000)</f>
        <v>2500000</v>
      </c>
    </row>
    <row r="1061" spans="1:56" ht="13.05" customHeight="1">
      <c r="A1061" s="14"/>
      <c r="B1061" s="77"/>
      <c r="C1061" s="78"/>
      <c r="D1061" s="132" t="s">
        <v>971</v>
      </c>
      <c r="E1061" s="133"/>
      <c r="F1061" s="133"/>
      <c r="G1061" s="133"/>
      <c r="H1061" s="133"/>
      <c r="I1061" s="1819">
        <f>AY1012</f>
        <v>101</v>
      </c>
      <c r="J1061" s="1820"/>
      <c r="K1061" s="14"/>
      <c r="L1061" s="133"/>
      <c r="M1061" s="133"/>
      <c r="N1061" s="133"/>
      <c r="O1061" s="133"/>
      <c r="P1061" s="133"/>
      <c r="Q1061" s="133"/>
      <c r="R1061" s="133"/>
      <c r="S1061" s="133"/>
      <c r="T1061" s="133"/>
      <c r="U1061" s="133"/>
      <c r="V1061" s="134" t="s">
        <v>973</v>
      </c>
      <c r="X1061" s="1817">
        <f>CM761</f>
        <v>11</v>
      </c>
      <c r="Y1061" s="1818"/>
      <c r="AF1061" s="920"/>
      <c r="AG1061" s="921"/>
      <c r="AH1061" s="921"/>
      <c r="AI1061" s="922"/>
      <c r="AJ1061" s="1632"/>
      <c r="AK1061" s="1633"/>
      <c r="AL1061" s="1633"/>
      <c r="AM1061" s="1633"/>
      <c r="AN1061" s="1633"/>
      <c r="AO1061" s="1633"/>
      <c r="AP1061" s="1633"/>
      <c r="AQ1061" s="1634"/>
      <c r="AR1061" s="68"/>
      <c r="AS1061" s="68"/>
      <c r="AT1061" s="68"/>
      <c r="AU1061" s="68"/>
      <c r="AV1061" s="68"/>
      <c r="AW1061" s="68"/>
      <c r="AX1061" s="68"/>
      <c r="AY1061" s="68"/>
      <c r="AZ1061" s="958">
        <f>ROUNDDOWN(MAX(0,BA1061*(SUM(AG1102,AL1102,AZ1054)-BD1061))+BF1061,0)</f>
        <v>0</v>
      </c>
      <c r="BA1061" s="1175">
        <f>IF(L1051,7%,5%)</f>
        <v>0.05</v>
      </c>
      <c r="BB1061" s="3" t="s">
        <v>2405</v>
      </c>
      <c r="BC1061" s="3"/>
      <c r="BD1061" s="3">
        <v>6666667</v>
      </c>
    </row>
    <row r="1062" spans="1:56" ht="13.05" customHeight="1">
      <c r="A1062" s="14"/>
      <c r="B1062" s="102"/>
      <c r="C1062" s="103"/>
      <c r="D1062" s="1809" t="s">
        <v>513</v>
      </c>
      <c r="E1062" s="1809"/>
      <c r="F1062" s="1809"/>
      <c r="G1062" s="1809"/>
      <c r="H1062" s="1809"/>
      <c r="I1062" s="1809"/>
      <c r="J1062" s="1809"/>
      <c r="K1062" s="1809"/>
      <c r="L1062" s="1809"/>
      <c r="M1062" s="1809"/>
      <c r="N1062" s="1809"/>
      <c r="O1062" s="1809"/>
      <c r="P1062" s="1809"/>
      <c r="Q1062" s="1809"/>
      <c r="R1062" s="1809"/>
      <c r="S1062" s="1809"/>
      <c r="T1062" s="1809"/>
      <c r="U1062" s="1809"/>
      <c r="V1062" s="1809"/>
      <c r="W1062" s="1809"/>
      <c r="X1062" s="1809"/>
      <c r="Y1062" s="1809"/>
      <c r="Z1062" s="1809"/>
      <c r="AA1062" s="1809"/>
      <c r="AB1062" s="1809"/>
      <c r="AC1062" s="1809"/>
      <c r="AD1062" s="1809"/>
      <c r="AE1062" s="1809"/>
      <c r="AF1062" s="1809"/>
      <c r="AG1062" s="1809"/>
      <c r="AH1062" s="1809"/>
      <c r="AI1062" s="1810"/>
      <c r="AJ1062" s="1837">
        <f>SUM(AJ1001:AQ1061)</f>
        <v>138524758.40000001</v>
      </c>
      <c r="AK1062" s="1838"/>
      <c r="AL1062" s="1838"/>
      <c r="AM1062" s="1838"/>
      <c r="AN1062" s="1838"/>
      <c r="AO1062" s="1838"/>
      <c r="AP1062" s="1838"/>
      <c r="AQ1062" s="1839"/>
      <c r="AR1062" s="68"/>
      <c r="AS1062" s="68"/>
      <c r="AT1062" s="68"/>
      <c r="AU1062" s="68"/>
      <c r="AV1062" s="68"/>
      <c r="AW1062" s="68"/>
      <c r="AX1062" s="68"/>
      <c r="AY1062" s="68"/>
      <c r="AZ1062" s="1174">
        <v>6000000</v>
      </c>
      <c r="BA1062" s="3" t="s">
        <v>2406</v>
      </c>
      <c r="BB1062" s="3"/>
      <c r="BC1062" s="3"/>
      <c r="BD1062" s="3"/>
    </row>
    <row r="1063" spans="1:56" ht="13.0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3.05" customHeight="1">
      <c r="A1064" s="14"/>
      <c r="B1064" s="68"/>
      <c r="C1064" s="68"/>
      <c r="D1064" s="68"/>
      <c r="E1064" s="68"/>
      <c r="F1064" s="68"/>
      <c r="G1064" s="1166" t="s">
        <v>2391</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2407</v>
      </c>
      <c r="BC1064" s="3"/>
      <c r="BD1064" s="3"/>
    </row>
    <row r="1065" spans="1:56" ht="13.05" customHeight="1">
      <c r="A1065" s="14"/>
      <c r="B1065" s="68"/>
      <c r="C1065" s="68"/>
      <c r="D1065" s="68"/>
      <c r="E1065" s="68"/>
      <c r="F1065" s="68"/>
      <c r="G1065" s="1169" t="s">
        <v>2392</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2110">
        <f>'Sources and Uses Budget'!S107+'Sources and Uses Budget'!T107</f>
        <v>70378430</v>
      </c>
      <c r="AB1065" s="2110"/>
      <c r="AC1065" s="2110"/>
      <c r="AD1065" s="2110"/>
      <c r="AE1065" s="2110"/>
      <c r="AF1065" s="2110"/>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9179795.25</v>
      </c>
      <c r="BB1065" s="3" t="s">
        <v>2408</v>
      </c>
      <c r="BC1065" s="3"/>
      <c r="BD1065" s="3"/>
    </row>
    <row r="1066" spans="1:56" ht="13.05" customHeight="1">
      <c r="A1066" s="14"/>
      <c r="B1066" s="68"/>
      <c r="C1066" s="68"/>
      <c r="D1066" s="68"/>
      <c r="E1066" s="68"/>
      <c r="F1066" s="68"/>
      <c r="G1066" s="1169"/>
      <c r="H1066" s="1169" t="s">
        <v>2393</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2111">
        <f>IFERROR((AA1065-BA1068)/(AJ1062-AJ1054-AJ1058),"")</f>
        <v>0.59004859770324825</v>
      </c>
      <c r="AB1066" s="2112"/>
      <c r="AC1066" s="2112"/>
      <c r="AD1066" s="2112"/>
      <c r="AE1066" s="2112"/>
      <c r="AF1066" s="2113"/>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3.05" customHeight="1">
      <c r="A1067" s="14"/>
      <c r="B1067" s="68"/>
      <c r="C1067" s="68"/>
      <c r="D1067" s="68"/>
      <c r="E1067" s="68"/>
      <c r="F1067" s="68"/>
      <c r="G1067" s="2114"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2114"/>
      <c r="I1067" s="2114"/>
      <c r="J1067" s="2114"/>
      <c r="K1067" s="2114"/>
      <c r="L1067" s="2114"/>
      <c r="M1067" s="2114"/>
      <c r="N1067" s="2114"/>
      <c r="O1067" s="2114"/>
      <c r="P1067" s="2114"/>
      <c r="Q1067" s="2114"/>
      <c r="R1067" s="2114"/>
      <c r="S1067" s="2114"/>
      <c r="T1067" s="2114"/>
      <c r="U1067" s="2114"/>
      <c r="V1067" s="2114"/>
      <c r="W1067" s="2114"/>
      <c r="X1067" s="2114"/>
      <c r="Y1067" s="2114"/>
      <c r="Z1067" s="2114"/>
      <c r="AA1067" s="2114"/>
      <c r="AB1067" s="2114"/>
      <c r="AC1067" s="2114"/>
      <c r="AD1067" s="2114"/>
      <c r="AE1067" s="2114"/>
      <c r="AF1067" s="2114"/>
      <c r="AG1067" s="2114"/>
      <c r="AH1067" s="2114"/>
      <c r="AI1067" s="2114"/>
      <c r="AJ1067" s="2114"/>
      <c r="AK1067" s="2114"/>
      <c r="AL1067" s="2114"/>
      <c r="AM1067" s="2114"/>
      <c r="AN1067" s="2114"/>
      <c r="AO1067" s="68"/>
      <c r="AP1067" s="68"/>
      <c r="AQ1067" s="68"/>
      <c r="AR1067" s="68"/>
      <c r="AS1067" s="68"/>
      <c r="AT1067" s="68"/>
      <c r="AU1067" s="68"/>
      <c r="AV1067" s="14"/>
      <c r="AW1067" s="14"/>
      <c r="AX1067" s="14"/>
      <c r="AY1067" s="14"/>
      <c r="BA1067" s="1178">
        <f>'Sources and Uses Budget'!$S$104+'Sources and Uses Budget'!$T$104</f>
        <v>9179795</v>
      </c>
      <c r="BB1067" s="3" t="s">
        <v>2414</v>
      </c>
    </row>
    <row r="1068" spans="1:56" ht="13.05" customHeight="1">
      <c r="A1068" s="14"/>
      <c r="B1068" s="14"/>
      <c r="C1068" s="208"/>
      <c r="D1068" s="854"/>
      <c r="E1068" s="854"/>
      <c r="F1068" s="854"/>
      <c r="G1068" s="2114"/>
      <c r="H1068" s="2114"/>
      <c r="I1068" s="2114"/>
      <c r="J1068" s="2114"/>
      <c r="K1068" s="2114"/>
      <c r="L1068" s="2114"/>
      <c r="M1068" s="2114"/>
      <c r="N1068" s="2114"/>
      <c r="O1068" s="2114"/>
      <c r="P1068" s="2114"/>
      <c r="Q1068" s="2114"/>
      <c r="R1068" s="2114"/>
      <c r="S1068" s="2114"/>
      <c r="T1068" s="2114"/>
      <c r="U1068" s="2114"/>
      <c r="V1068" s="2114"/>
      <c r="W1068" s="2114"/>
      <c r="X1068" s="2114"/>
      <c r="Y1068" s="2114"/>
      <c r="Z1068" s="2114"/>
      <c r="AA1068" s="2114"/>
      <c r="AB1068" s="2114"/>
      <c r="AC1068" s="2114"/>
      <c r="AD1068" s="2114"/>
      <c r="AE1068" s="2114"/>
      <c r="AF1068" s="2114"/>
      <c r="AG1068" s="2114"/>
      <c r="AH1068" s="2114"/>
      <c r="AI1068" s="2114"/>
      <c r="AJ1068" s="2114"/>
      <c r="AK1068" s="2114"/>
      <c r="AL1068" s="2114"/>
      <c r="AM1068" s="2114"/>
      <c r="AN1068" s="2114"/>
      <c r="AO1068" s="68"/>
      <c r="AP1068" s="68"/>
      <c r="AQ1068" s="68"/>
      <c r="AR1068" s="68"/>
      <c r="AS1068" s="68"/>
      <c r="AT1068" s="68"/>
      <c r="AU1068" s="68"/>
      <c r="AV1068" s="14"/>
      <c r="AW1068" s="14"/>
      <c r="AX1068" s="14"/>
      <c r="AY1068" s="14"/>
      <c r="BA1068" s="1179">
        <f>MAX($BA$1067-$BA$1064,0)</f>
        <v>6679795</v>
      </c>
      <c r="BB1068" s="3" t="s">
        <v>2415</v>
      </c>
    </row>
    <row r="1069" spans="1:56" ht="13.05" customHeight="1">
      <c r="A1069" s="88"/>
      <c r="B1069" s="1165"/>
      <c r="C1069" s="1165"/>
      <c r="D1069" s="1165"/>
      <c r="E1069" s="1165"/>
      <c r="F1069" s="1165"/>
      <c r="G1069" s="2114"/>
      <c r="H1069" s="2114"/>
      <c r="I1069" s="2114"/>
      <c r="J1069" s="2114"/>
      <c r="K1069" s="2114"/>
      <c r="L1069" s="2114"/>
      <c r="M1069" s="2114"/>
      <c r="N1069" s="2114"/>
      <c r="O1069" s="2114"/>
      <c r="P1069" s="2114"/>
      <c r="Q1069" s="2114"/>
      <c r="R1069" s="2114"/>
      <c r="S1069" s="2114"/>
      <c r="T1069" s="2114"/>
      <c r="U1069" s="2114"/>
      <c r="V1069" s="2114"/>
      <c r="W1069" s="2114"/>
      <c r="X1069" s="2114"/>
      <c r="Y1069" s="2114"/>
      <c r="Z1069" s="2114"/>
      <c r="AA1069" s="2114"/>
      <c r="AB1069" s="2114"/>
      <c r="AC1069" s="2114"/>
      <c r="AD1069" s="2114"/>
      <c r="AE1069" s="2114"/>
      <c r="AF1069" s="2114"/>
      <c r="AG1069" s="2114"/>
      <c r="AH1069" s="2114"/>
      <c r="AI1069" s="2114"/>
      <c r="AJ1069" s="2114"/>
      <c r="AK1069" s="2114"/>
      <c r="AL1069" s="2114"/>
      <c r="AM1069" s="2114"/>
      <c r="AN1069" s="2114"/>
      <c r="AO1069" s="1165"/>
      <c r="AP1069" s="1165"/>
      <c r="AQ1069" s="68"/>
      <c r="AR1069" s="68"/>
      <c r="AS1069" s="68"/>
      <c r="AT1069" s="68"/>
      <c r="AU1069" s="68"/>
      <c r="AV1069" s="68"/>
      <c r="AW1069" s="68"/>
      <c r="AX1069" s="68"/>
      <c r="AY1069" s="68"/>
    </row>
    <row r="1070" spans="1:56" ht="13.05" customHeight="1">
      <c r="A1070" s="1603" t="s">
        <v>794</v>
      </c>
      <c r="B1070" s="1603"/>
      <c r="C1070" s="1603"/>
      <c r="D1070" s="1603"/>
      <c r="E1070" s="1603"/>
      <c r="F1070" s="1603"/>
      <c r="G1070" s="1603"/>
      <c r="H1070" s="1603"/>
      <c r="I1070" s="1603"/>
      <c r="J1070" s="1603"/>
      <c r="K1070" s="1603"/>
      <c r="L1070" s="1603"/>
      <c r="M1070" s="1603"/>
      <c r="N1070" s="1603"/>
      <c r="O1070" s="1603"/>
      <c r="P1070" s="1603"/>
      <c r="Q1070" s="1603"/>
      <c r="R1070" s="1603"/>
      <c r="S1070" s="1603"/>
      <c r="T1070" s="1603"/>
      <c r="U1070" s="1603"/>
      <c r="V1070" s="1603"/>
      <c r="W1070" s="1603"/>
      <c r="X1070" s="1603"/>
      <c r="Y1070" s="1603"/>
      <c r="Z1070" s="1603"/>
      <c r="AA1070" s="1603"/>
      <c r="AB1070" s="1603"/>
      <c r="AC1070" s="1603"/>
      <c r="AD1070" s="1603"/>
      <c r="AE1070" s="1603"/>
      <c r="AF1070" s="1603"/>
      <c r="AG1070" s="1603"/>
      <c r="AH1070" s="1603"/>
      <c r="AI1070" s="1603"/>
      <c r="AJ1070" s="1603"/>
      <c r="AK1070" s="1603"/>
      <c r="AL1070" s="1603"/>
      <c r="AM1070" s="1603"/>
      <c r="AN1070" s="1603"/>
      <c r="AO1070" s="1603"/>
      <c r="AP1070" s="1603"/>
      <c r="AQ1070" s="1603"/>
      <c r="AR1070" s="13"/>
      <c r="AS1070" s="13"/>
      <c r="AT1070" s="13"/>
      <c r="AV1070" s="68"/>
      <c r="AW1070" s="68"/>
      <c r="AX1070" s="68"/>
      <c r="AY1070" s="68"/>
    </row>
    <row r="1071" spans="1:56" ht="13.0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3.05"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3.05"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3.05" customHeight="1">
      <c r="A1074" s="1599" t="s">
        <v>545</v>
      </c>
      <c r="B1074" s="1599"/>
      <c r="C1074" s="1600">
        <v>1</v>
      </c>
      <c r="D1074" s="1600"/>
      <c r="E1074" s="14" t="s">
        <v>2189</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3.05" customHeight="1">
      <c r="A1075" s="198"/>
      <c r="B1075" s="67"/>
      <c r="C1075" s="1600"/>
      <c r="D1075" s="1600"/>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3.05" customHeight="1">
      <c r="A1076" s="1599" t="s">
        <v>591</v>
      </c>
      <c r="B1076" s="1599"/>
      <c r="C1076" s="1600">
        <v>2</v>
      </c>
      <c r="D1076" s="1600"/>
      <c r="E1076" s="1602" t="s">
        <v>2190</v>
      </c>
      <c r="F1076" s="1602"/>
      <c r="G1076" s="1602"/>
      <c r="H1076" s="1602"/>
      <c r="I1076" s="1602"/>
      <c r="J1076" s="1602"/>
      <c r="K1076" s="1602"/>
      <c r="L1076" s="1602"/>
      <c r="M1076" s="1602"/>
      <c r="N1076" s="1602"/>
      <c r="O1076" s="1602"/>
      <c r="P1076" s="1602"/>
      <c r="Q1076" s="1602"/>
      <c r="R1076" s="1602"/>
      <c r="S1076" s="1602"/>
      <c r="T1076" s="1602"/>
      <c r="U1076" s="1602"/>
      <c r="V1076" s="1602"/>
      <c r="W1076" s="1602"/>
      <c r="X1076" s="1602"/>
      <c r="Y1076" s="1602"/>
      <c r="Z1076" s="1602"/>
      <c r="AA1076" s="1602"/>
      <c r="AB1076" s="1602"/>
      <c r="AC1076" s="1602"/>
      <c r="AD1076" s="1602"/>
      <c r="AE1076" s="1602"/>
      <c r="AF1076" s="1602"/>
      <c r="AG1076" s="1602"/>
      <c r="AH1076" s="1602"/>
      <c r="AI1076" s="1602"/>
      <c r="AJ1076" s="1602"/>
      <c r="AK1076" s="1602"/>
      <c r="AL1076" s="1602"/>
      <c r="AM1076" s="1602"/>
      <c r="AN1076" s="1602"/>
      <c r="AO1076" s="1602"/>
      <c r="AP1076" s="1602"/>
      <c r="AQ1076" s="1602"/>
      <c r="AR1076" s="1602"/>
      <c r="AS1076" s="14"/>
      <c r="AT1076" s="14"/>
      <c r="AV1076" s="68"/>
      <c r="AW1076" s="68"/>
      <c r="AX1076" s="68"/>
      <c r="AY1076" s="68"/>
    </row>
    <row r="1077" spans="1:51" ht="13.05" customHeight="1">
      <c r="A1077" s="198"/>
      <c r="B1077" s="67"/>
      <c r="C1077" s="1600"/>
      <c r="D1077" s="1600"/>
      <c r="E1077" s="1602"/>
      <c r="F1077" s="1602"/>
      <c r="G1077" s="1602"/>
      <c r="H1077" s="1602"/>
      <c r="I1077" s="1602"/>
      <c r="J1077" s="1602"/>
      <c r="K1077" s="1602"/>
      <c r="L1077" s="1602"/>
      <c r="M1077" s="1602"/>
      <c r="N1077" s="1602"/>
      <c r="O1077" s="1602"/>
      <c r="P1077" s="1602"/>
      <c r="Q1077" s="1602"/>
      <c r="R1077" s="1602"/>
      <c r="S1077" s="1602"/>
      <c r="T1077" s="1602"/>
      <c r="U1077" s="1602"/>
      <c r="V1077" s="1602"/>
      <c r="W1077" s="1602"/>
      <c r="X1077" s="1602"/>
      <c r="Y1077" s="1602"/>
      <c r="Z1077" s="1602"/>
      <c r="AA1077" s="1602"/>
      <c r="AB1077" s="1602"/>
      <c r="AC1077" s="1602"/>
      <c r="AD1077" s="1602"/>
      <c r="AE1077" s="1602"/>
      <c r="AF1077" s="1602"/>
      <c r="AG1077" s="1602"/>
      <c r="AH1077" s="1602"/>
      <c r="AI1077" s="1602"/>
      <c r="AJ1077" s="1602"/>
      <c r="AK1077" s="1602"/>
      <c r="AL1077" s="1602"/>
      <c r="AM1077" s="1602"/>
      <c r="AN1077" s="1602"/>
      <c r="AO1077" s="1602"/>
      <c r="AP1077" s="1602"/>
      <c r="AQ1077" s="1602"/>
      <c r="AR1077" s="1602"/>
      <c r="AS1077" s="14"/>
      <c r="AT1077" s="14"/>
      <c r="AV1077" s="68"/>
      <c r="AW1077" s="68"/>
      <c r="AX1077" s="68"/>
      <c r="AY1077" s="68"/>
    </row>
    <row r="1078" spans="1:51" ht="13.05" customHeight="1">
      <c r="A1078" s="198"/>
      <c r="B1078" s="67"/>
      <c r="C1078" s="1600"/>
      <c r="D1078" s="1600"/>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3.05" customHeight="1">
      <c r="A1079" s="1599" t="s">
        <v>591</v>
      </c>
      <c r="B1079" s="1599"/>
      <c r="C1079" s="1601">
        <v>3</v>
      </c>
      <c r="D1079" s="1601"/>
      <c r="E1079" s="1557" t="s">
        <v>1079</v>
      </c>
      <c r="F1079" s="1557"/>
      <c r="G1079" s="1557"/>
      <c r="H1079" s="1557"/>
      <c r="I1079" s="1557"/>
      <c r="J1079" s="1557"/>
      <c r="K1079" s="1557"/>
      <c r="L1079" s="1557"/>
      <c r="M1079" s="1557"/>
      <c r="N1079" s="1557"/>
      <c r="O1079" s="1557"/>
      <c r="P1079" s="1557"/>
      <c r="Q1079" s="1557"/>
      <c r="R1079" s="1557"/>
      <c r="S1079" s="1557"/>
      <c r="T1079" s="1557"/>
      <c r="U1079" s="1557"/>
      <c r="V1079" s="1557"/>
      <c r="W1079" s="1557"/>
      <c r="X1079" s="1557"/>
      <c r="Y1079" s="1557"/>
      <c r="Z1079" s="1557"/>
      <c r="AA1079" s="1557"/>
      <c r="AB1079" s="1557"/>
      <c r="AC1079" s="1557"/>
      <c r="AD1079" s="1557"/>
      <c r="AE1079" s="1557"/>
      <c r="AF1079" s="1557"/>
      <c r="AG1079" s="1557"/>
      <c r="AH1079" s="1557"/>
      <c r="AI1079" s="1557"/>
      <c r="AJ1079" s="1557"/>
      <c r="AK1079" s="1557"/>
      <c r="AL1079" s="1557"/>
      <c r="AM1079" s="1557"/>
      <c r="AN1079" s="1557"/>
      <c r="AO1079" s="1557"/>
      <c r="AP1079" s="1557"/>
      <c r="AQ1079" s="1557"/>
      <c r="AR1079" s="1557"/>
      <c r="AS1079" s="14"/>
      <c r="AT1079" s="68"/>
      <c r="AV1079" s="68"/>
      <c r="AW1079" s="68"/>
      <c r="AX1079" s="68"/>
      <c r="AY1079" s="68"/>
    </row>
    <row r="1080" spans="1:51" ht="13.05" customHeight="1">
      <c r="A1080" s="1"/>
      <c r="B1080" s="1"/>
      <c r="C1080" s="1601"/>
      <c r="D1080" s="1601"/>
      <c r="E1080" s="1557"/>
      <c r="F1080" s="1557"/>
      <c r="G1080" s="1557"/>
      <c r="H1080" s="1557"/>
      <c r="I1080" s="1557"/>
      <c r="J1080" s="1557"/>
      <c r="K1080" s="1557"/>
      <c r="L1080" s="1557"/>
      <c r="M1080" s="1557"/>
      <c r="N1080" s="1557"/>
      <c r="O1080" s="1557"/>
      <c r="P1080" s="1557"/>
      <c r="Q1080" s="1557"/>
      <c r="R1080" s="1557"/>
      <c r="S1080" s="1557"/>
      <c r="T1080" s="1557"/>
      <c r="U1080" s="1557"/>
      <c r="V1080" s="1557"/>
      <c r="W1080" s="1557"/>
      <c r="X1080" s="1557"/>
      <c r="Y1080" s="1557"/>
      <c r="Z1080" s="1557"/>
      <c r="AA1080" s="1557"/>
      <c r="AB1080" s="1557"/>
      <c r="AC1080" s="1557"/>
      <c r="AD1080" s="1557"/>
      <c r="AE1080" s="1557"/>
      <c r="AF1080" s="1557"/>
      <c r="AG1080" s="1557"/>
      <c r="AH1080" s="1557"/>
      <c r="AI1080" s="1557"/>
      <c r="AJ1080" s="1557"/>
      <c r="AK1080" s="1557"/>
      <c r="AL1080" s="1557"/>
      <c r="AM1080" s="1557"/>
      <c r="AN1080" s="1557"/>
      <c r="AO1080" s="1557"/>
      <c r="AP1080" s="1557"/>
      <c r="AQ1080" s="1557"/>
      <c r="AR1080" s="1557"/>
      <c r="AS1080" s="14"/>
      <c r="AT1080" s="68"/>
      <c r="AV1080" s="68"/>
      <c r="AW1080" s="68"/>
      <c r="AX1080" s="68"/>
      <c r="AY1080" s="68"/>
    </row>
    <row r="1081" spans="1:51" ht="13.05" customHeight="1">
      <c r="A1081" s="1"/>
      <c r="B1081" s="1"/>
      <c r="C1081" s="1601"/>
      <c r="D1081" s="1601"/>
      <c r="E1081" s="1557"/>
      <c r="F1081" s="1557"/>
      <c r="G1081" s="1557"/>
      <c r="H1081" s="1557"/>
      <c r="I1081" s="1557"/>
      <c r="J1081" s="1557"/>
      <c r="K1081" s="1557"/>
      <c r="L1081" s="1557"/>
      <c r="M1081" s="1557"/>
      <c r="N1081" s="1557"/>
      <c r="O1081" s="1557"/>
      <c r="P1081" s="1557"/>
      <c r="Q1081" s="1557"/>
      <c r="R1081" s="1557"/>
      <c r="S1081" s="1557"/>
      <c r="T1081" s="1557"/>
      <c r="U1081" s="1557"/>
      <c r="V1081" s="1557"/>
      <c r="W1081" s="1557"/>
      <c r="X1081" s="1557"/>
      <c r="Y1081" s="1557"/>
      <c r="Z1081" s="1557"/>
      <c r="AA1081" s="1557"/>
      <c r="AB1081" s="1557"/>
      <c r="AC1081" s="1557"/>
      <c r="AD1081" s="1557"/>
      <c r="AE1081" s="1557"/>
      <c r="AF1081" s="1557"/>
      <c r="AG1081" s="1557"/>
      <c r="AH1081" s="1557"/>
      <c r="AI1081" s="1557"/>
      <c r="AJ1081" s="1557"/>
      <c r="AK1081" s="1557"/>
      <c r="AL1081" s="1557"/>
      <c r="AM1081" s="1557"/>
      <c r="AN1081" s="1557"/>
      <c r="AO1081" s="1557"/>
      <c r="AP1081" s="1557"/>
      <c r="AQ1081" s="1557"/>
      <c r="AR1081" s="1557"/>
      <c r="AS1081" s="14"/>
      <c r="AT1081" s="68"/>
      <c r="AV1081" s="68"/>
      <c r="AW1081" s="68"/>
      <c r="AX1081" s="68"/>
      <c r="AY1081" s="68"/>
    </row>
    <row r="1082" spans="1:51" ht="13.05" customHeight="1">
      <c r="A1082" s="1"/>
      <c r="B1082" s="1"/>
      <c r="C1082" s="1601"/>
      <c r="D1082" s="1601"/>
      <c r="E1082" s="1557"/>
      <c r="F1082" s="1557"/>
      <c r="G1082" s="1557"/>
      <c r="H1082" s="1557"/>
      <c r="I1082" s="1557"/>
      <c r="J1082" s="1557"/>
      <c r="K1082" s="1557"/>
      <c r="L1082" s="1557"/>
      <c r="M1082" s="1557"/>
      <c r="N1082" s="1557"/>
      <c r="O1082" s="1557"/>
      <c r="P1082" s="1557"/>
      <c r="Q1082" s="1557"/>
      <c r="R1082" s="1557"/>
      <c r="S1082" s="1557"/>
      <c r="T1082" s="1557"/>
      <c r="U1082" s="1557"/>
      <c r="V1082" s="1557"/>
      <c r="W1082" s="1557"/>
      <c r="X1082" s="1557"/>
      <c r="Y1082" s="1557"/>
      <c r="Z1082" s="1557"/>
      <c r="AA1082" s="1557"/>
      <c r="AB1082" s="1557"/>
      <c r="AC1082" s="1557"/>
      <c r="AD1082" s="1557"/>
      <c r="AE1082" s="1557"/>
      <c r="AF1082" s="1557"/>
      <c r="AG1082" s="1557"/>
      <c r="AH1082" s="1557"/>
      <c r="AI1082" s="1557"/>
      <c r="AJ1082" s="1557"/>
      <c r="AK1082" s="1557"/>
      <c r="AL1082" s="1557"/>
      <c r="AM1082" s="1557"/>
      <c r="AN1082" s="1557"/>
      <c r="AO1082" s="1557"/>
      <c r="AP1082" s="1557"/>
      <c r="AQ1082" s="1557"/>
      <c r="AR1082" s="1557"/>
      <c r="AS1082" s="14"/>
      <c r="AT1082" s="68"/>
      <c r="AV1082" s="68"/>
      <c r="AW1082" s="68"/>
      <c r="AX1082" s="68"/>
      <c r="AY1082" s="68"/>
    </row>
    <row r="1083" spans="1:51" ht="13.05" customHeight="1">
      <c r="A1083" s="2"/>
      <c r="B1083" s="25"/>
      <c r="C1083" s="1601"/>
      <c r="D1083" s="1601"/>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3.05" customHeight="1">
      <c r="A1084" s="1599" t="s">
        <v>591</v>
      </c>
      <c r="B1084" s="1599"/>
      <c r="C1084" s="1601">
        <v>4</v>
      </c>
      <c r="D1084" s="1601"/>
      <c r="E1084" s="1557" t="s">
        <v>1078</v>
      </c>
      <c r="F1084" s="1557"/>
      <c r="G1084" s="1557"/>
      <c r="H1084" s="1557"/>
      <c r="I1084" s="1557"/>
      <c r="J1084" s="1557"/>
      <c r="K1084" s="1557"/>
      <c r="L1084" s="1557"/>
      <c r="M1084" s="1557"/>
      <c r="N1084" s="1557"/>
      <c r="O1084" s="1557"/>
      <c r="P1084" s="1557"/>
      <c r="Q1084" s="1557"/>
      <c r="R1084" s="1557"/>
      <c r="S1084" s="1557"/>
      <c r="T1084" s="1557"/>
      <c r="U1084" s="1557"/>
      <c r="V1084" s="1557"/>
      <c r="W1084" s="1557"/>
      <c r="X1084" s="1557"/>
      <c r="Y1084" s="1557"/>
      <c r="Z1084" s="1557"/>
      <c r="AA1084" s="1557"/>
      <c r="AB1084" s="1557"/>
      <c r="AC1084" s="1557"/>
      <c r="AD1084" s="1557"/>
      <c r="AE1084" s="1557"/>
      <c r="AF1084" s="1557"/>
      <c r="AG1084" s="1557"/>
      <c r="AH1084" s="1557"/>
      <c r="AI1084" s="1557"/>
      <c r="AJ1084" s="1557"/>
      <c r="AK1084" s="1557"/>
      <c r="AL1084" s="1557"/>
      <c r="AM1084" s="1557"/>
      <c r="AN1084" s="1557"/>
      <c r="AO1084" s="1557"/>
      <c r="AP1084" s="1557"/>
      <c r="AQ1084" s="1557"/>
      <c r="AR1084" s="1557"/>
      <c r="AS1084" s="14"/>
      <c r="AT1084" s="68"/>
    </row>
    <row r="1085" spans="1:51" ht="13.05" customHeight="1">
      <c r="A1085" s="1"/>
      <c r="B1085" s="1"/>
      <c r="C1085" s="1601"/>
      <c r="D1085" s="1601"/>
      <c r="E1085" s="1557"/>
      <c r="F1085" s="1557"/>
      <c r="G1085" s="1557"/>
      <c r="H1085" s="1557"/>
      <c r="I1085" s="1557"/>
      <c r="J1085" s="1557"/>
      <c r="K1085" s="1557"/>
      <c r="L1085" s="1557"/>
      <c r="M1085" s="1557"/>
      <c r="N1085" s="1557"/>
      <c r="O1085" s="1557"/>
      <c r="P1085" s="1557"/>
      <c r="Q1085" s="1557"/>
      <c r="R1085" s="1557"/>
      <c r="S1085" s="1557"/>
      <c r="T1085" s="1557"/>
      <c r="U1085" s="1557"/>
      <c r="V1085" s="1557"/>
      <c r="W1085" s="1557"/>
      <c r="X1085" s="1557"/>
      <c r="Y1085" s="1557"/>
      <c r="Z1085" s="1557"/>
      <c r="AA1085" s="1557"/>
      <c r="AB1085" s="1557"/>
      <c r="AC1085" s="1557"/>
      <c r="AD1085" s="1557"/>
      <c r="AE1085" s="1557"/>
      <c r="AF1085" s="1557"/>
      <c r="AG1085" s="1557"/>
      <c r="AH1085" s="1557"/>
      <c r="AI1085" s="1557"/>
      <c r="AJ1085" s="1557"/>
      <c r="AK1085" s="1557"/>
      <c r="AL1085" s="1557"/>
      <c r="AM1085" s="1557"/>
      <c r="AN1085" s="1557"/>
      <c r="AO1085" s="1557"/>
      <c r="AP1085" s="1557"/>
      <c r="AQ1085" s="1557"/>
      <c r="AR1085" s="1557"/>
      <c r="AS1085" s="14"/>
      <c r="AT1085" s="68"/>
    </row>
    <row r="1086" spans="1:51" ht="13.05" customHeight="1">
      <c r="A1086" s="1"/>
      <c r="B1086" s="1"/>
      <c r="C1086" s="1601"/>
      <c r="D1086" s="1601"/>
      <c r="E1086" s="1557"/>
      <c r="F1086" s="1557"/>
      <c r="G1086" s="1557"/>
      <c r="H1086" s="1557"/>
      <c r="I1086" s="1557"/>
      <c r="J1086" s="1557"/>
      <c r="K1086" s="1557"/>
      <c r="L1086" s="1557"/>
      <c r="M1086" s="1557"/>
      <c r="N1086" s="1557"/>
      <c r="O1086" s="1557"/>
      <c r="P1086" s="1557"/>
      <c r="Q1086" s="1557"/>
      <c r="R1086" s="1557"/>
      <c r="S1086" s="1557"/>
      <c r="T1086" s="1557"/>
      <c r="U1086" s="1557"/>
      <c r="V1086" s="1557"/>
      <c r="W1086" s="1557"/>
      <c r="X1086" s="1557"/>
      <c r="Y1086" s="1557"/>
      <c r="Z1086" s="1557"/>
      <c r="AA1086" s="1557"/>
      <c r="AB1086" s="1557"/>
      <c r="AC1086" s="1557"/>
      <c r="AD1086" s="1557"/>
      <c r="AE1086" s="1557"/>
      <c r="AF1086" s="1557"/>
      <c r="AG1086" s="1557"/>
      <c r="AH1086" s="1557"/>
      <c r="AI1086" s="1557"/>
      <c r="AJ1086" s="1557"/>
      <c r="AK1086" s="1557"/>
      <c r="AL1086" s="1557"/>
      <c r="AM1086" s="1557"/>
      <c r="AN1086" s="1557"/>
      <c r="AO1086" s="1557"/>
      <c r="AP1086" s="1557"/>
      <c r="AQ1086" s="1557"/>
      <c r="AR1086" s="1557"/>
      <c r="AS1086" s="14"/>
      <c r="AT1086" s="68"/>
    </row>
    <row r="1087" spans="1:51" ht="13.05" customHeight="1">
      <c r="A1087" s="1"/>
      <c r="B1087" s="1"/>
      <c r="C1087" s="1601"/>
      <c r="D1087" s="1601"/>
      <c r="E1087" s="1557"/>
      <c r="F1087" s="1557"/>
      <c r="G1087" s="1557"/>
      <c r="H1087" s="1557"/>
      <c r="I1087" s="1557"/>
      <c r="J1087" s="1557"/>
      <c r="K1087" s="1557"/>
      <c r="L1087" s="1557"/>
      <c r="M1087" s="1557"/>
      <c r="N1087" s="1557"/>
      <c r="O1087" s="1557"/>
      <c r="P1087" s="1557"/>
      <c r="Q1087" s="1557"/>
      <c r="R1087" s="1557"/>
      <c r="S1087" s="1557"/>
      <c r="T1087" s="1557"/>
      <c r="U1087" s="1557"/>
      <c r="V1087" s="1557"/>
      <c r="W1087" s="1557"/>
      <c r="X1087" s="1557"/>
      <c r="Y1087" s="1557"/>
      <c r="Z1087" s="1557"/>
      <c r="AA1087" s="1557"/>
      <c r="AB1087" s="1557"/>
      <c r="AC1087" s="1557"/>
      <c r="AD1087" s="1557"/>
      <c r="AE1087" s="1557"/>
      <c r="AF1087" s="1557"/>
      <c r="AG1087" s="1557"/>
      <c r="AH1087" s="1557"/>
      <c r="AI1087" s="1557"/>
      <c r="AJ1087" s="1557"/>
      <c r="AK1087" s="1557"/>
      <c r="AL1087" s="1557"/>
      <c r="AM1087" s="1557"/>
      <c r="AN1087" s="1557"/>
      <c r="AO1087" s="1557"/>
      <c r="AP1087" s="1557"/>
      <c r="AQ1087" s="1557"/>
      <c r="AR1087" s="1557"/>
      <c r="AS1087" s="14"/>
      <c r="AT1087" s="68"/>
    </row>
    <row r="1088" spans="1:51" ht="13.05" customHeight="1">
      <c r="A1088" s="1"/>
      <c r="B1088" s="1"/>
      <c r="C1088" s="1601"/>
      <c r="D1088" s="1601"/>
      <c r="E1088" s="1557"/>
      <c r="F1088" s="1557"/>
      <c r="G1088" s="1557"/>
      <c r="H1088" s="1557"/>
      <c r="I1088" s="1557"/>
      <c r="J1088" s="1557"/>
      <c r="K1088" s="1557"/>
      <c r="L1088" s="1557"/>
      <c r="M1088" s="1557"/>
      <c r="N1088" s="1557"/>
      <c r="O1088" s="1557"/>
      <c r="P1088" s="1557"/>
      <c r="Q1088" s="1557"/>
      <c r="R1088" s="1557"/>
      <c r="S1088" s="1557"/>
      <c r="T1088" s="1557"/>
      <c r="U1088" s="1557"/>
      <c r="V1088" s="1557"/>
      <c r="W1088" s="1557"/>
      <c r="X1088" s="1557"/>
      <c r="Y1088" s="1557"/>
      <c r="Z1088" s="1557"/>
      <c r="AA1088" s="1557"/>
      <c r="AB1088" s="1557"/>
      <c r="AC1088" s="1557"/>
      <c r="AD1088" s="1557"/>
      <c r="AE1088" s="1557"/>
      <c r="AF1088" s="1557"/>
      <c r="AG1088" s="1557"/>
      <c r="AH1088" s="1557"/>
      <c r="AI1088" s="1557"/>
      <c r="AJ1088" s="1557"/>
      <c r="AK1088" s="1557"/>
      <c r="AL1088" s="1557"/>
      <c r="AM1088" s="1557"/>
      <c r="AN1088" s="1557"/>
      <c r="AO1088" s="1557"/>
      <c r="AP1088" s="1557"/>
      <c r="AQ1088" s="1557"/>
      <c r="AR1088" s="1557"/>
      <c r="AS1088" s="14"/>
      <c r="AT1088" s="68"/>
    </row>
    <row r="1089" spans="1:45" ht="13.05" customHeight="1">
      <c r="A1089" s="1"/>
      <c r="B1089" s="1"/>
      <c r="C1089" s="1601"/>
      <c r="D1089" s="1601"/>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3.05" customHeight="1">
      <c r="A1090" s="1599" t="s">
        <v>591</v>
      </c>
      <c r="B1090" s="1599"/>
      <c r="C1090" s="1601">
        <v>5</v>
      </c>
      <c r="D1090" s="1601"/>
      <c r="E1090" s="1557" t="s">
        <v>2193</v>
      </c>
      <c r="F1090" s="1557"/>
      <c r="G1090" s="1557"/>
      <c r="H1090" s="1557"/>
      <c r="I1090" s="1557"/>
      <c r="J1090" s="1557"/>
      <c r="K1090" s="1557"/>
      <c r="L1090" s="1557"/>
      <c r="M1090" s="1557"/>
      <c r="N1090" s="1557"/>
      <c r="O1090" s="1557"/>
      <c r="P1090" s="1557"/>
      <c r="Q1090" s="1557"/>
      <c r="R1090" s="1557"/>
      <c r="S1090" s="1557"/>
      <c r="T1090" s="1557"/>
      <c r="U1090" s="1557"/>
      <c r="V1090" s="1557"/>
      <c r="W1090" s="1557"/>
      <c r="X1090" s="1557"/>
      <c r="Y1090" s="1557"/>
      <c r="Z1090" s="1557"/>
      <c r="AA1090" s="1557"/>
      <c r="AB1090" s="1557"/>
      <c r="AC1090" s="1557"/>
      <c r="AD1090" s="1557"/>
      <c r="AE1090" s="1557"/>
      <c r="AF1090" s="1557"/>
      <c r="AG1090" s="1557"/>
      <c r="AH1090" s="1557"/>
      <c r="AI1090" s="1557"/>
      <c r="AJ1090" s="1557"/>
      <c r="AK1090" s="1557"/>
      <c r="AL1090" s="1557"/>
      <c r="AM1090" s="1557"/>
      <c r="AN1090" s="1557"/>
      <c r="AO1090" s="1557"/>
      <c r="AP1090" s="1557"/>
      <c r="AQ1090" s="1557"/>
      <c r="AR1090" s="1557"/>
      <c r="AS1090" s="14"/>
    </row>
    <row r="1091" spans="1:45" ht="13.05" customHeight="1">
      <c r="A1091" s="4"/>
      <c r="B1091" s="4"/>
      <c r="C1091" s="1601"/>
      <c r="D1091" s="1601"/>
      <c r="E1091" s="1557"/>
      <c r="F1091" s="1557"/>
      <c r="G1091" s="1557"/>
      <c r="H1091" s="1557"/>
      <c r="I1091" s="1557"/>
      <c r="J1091" s="1557"/>
      <c r="K1091" s="1557"/>
      <c r="L1091" s="1557"/>
      <c r="M1091" s="1557"/>
      <c r="N1091" s="1557"/>
      <c r="O1091" s="1557"/>
      <c r="P1091" s="1557"/>
      <c r="Q1091" s="1557"/>
      <c r="R1091" s="1557"/>
      <c r="S1091" s="1557"/>
      <c r="T1091" s="1557"/>
      <c r="U1091" s="1557"/>
      <c r="V1091" s="1557"/>
      <c r="W1091" s="1557"/>
      <c r="X1091" s="1557"/>
      <c r="Y1091" s="1557"/>
      <c r="Z1091" s="1557"/>
      <c r="AA1091" s="1557"/>
      <c r="AB1091" s="1557"/>
      <c r="AC1091" s="1557"/>
      <c r="AD1091" s="1557"/>
      <c r="AE1091" s="1557"/>
      <c r="AF1091" s="1557"/>
      <c r="AG1091" s="1557"/>
      <c r="AH1091" s="1557"/>
      <c r="AI1091" s="1557"/>
      <c r="AJ1091" s="1557"/>
      <c r="AK1091" s="1557"/>
      <c r="AL1091" s="1557"/>
      <c r="AM1091" s="1557"/>
      <c r="AN1091" s="1557"/>
      <c r="AO1091" s="1557"/>
      <c r="AP1091" s="1557"/>
      <c r="AQ1091" s="1557"/>
      <c r="AR1091" s="1557"/>
      <c r="AS1091" s="14"/>
    </row>
    <row r="1092" spans="1:45" ht="13.05" customHeight="1">
      <c r="A1092" s="4"/>
      <c r="B1092" s="4"/>
      <c r="C1092" s="1601"/>
      <c r="D1092" s="1601"/>
      <c r="E1092" s="1557"/>
      <c r="F1092" s="1557"/>
      <c r="G1092" s="1557"/>
      <c r="H1092" s="1557"/>
      <c r="I1092" s="1557"/>
      <c r="J1092" s="1557"/>
      <c r="K1092" s="1557"/>
      <c r="L1092" s="1557"/>
      <c r="M1092" s="1557"/>
      <c r="N1092" s="1557"/>
      <c r="O1092" s="1557"/>
      <c r="P1092" s="1557"/>
      <c r="Q1092" s="1557"/>
      <c r="R1092" s="1557"/>
      <c r="S1092" s="1557"/>
      <c r="T1092" s="1557"/>
      <c r="U1092" s="1557"/>
      <c r="V1092" s="1557"/>
      <c r="W1092" s="1557"/>
      <c r="X1092" s="1557"/>
      <c r="Y1092" s="1557"/>
      <c r="Z1092" s="1557"/>
      <c r="AA1092" s="1557"/>
      <c r="AB1092" s="1557"/>
      <c r="AC1092" s="1557"/>
      <c r="AD1092" s="1557"/>
      <c r="AE1092" s="1557"/>
      <c r="AF1092" s="1557"/>
      <c r="AG1092" s="1557"/>
      <c r="AH1092" s="1557"/>
      <c r="AI1092" s="1557"/>
      <c r="AJ1092" s="1557"/>
      <c r="AK1092" s="1557"/>
      <c r="AL1092" s="1557"/>
      <c r="AM1092" s="1557"/>
      <c r="AN1092" s="1557"/>
      <c r="AO1092" s="1557"/>
      <c r="AP1092" s="1557"/>
      <c r="AQ1092" s="1557"/>
      <c r="AR1092" s="1557"/>
      <c r="AS1092" s="14"/>
    </row>
    <row r="1093" spans="1:45" ht="13.05" customHeight="1">
      <c r="A1093" s="35"/>
      <c r="B1093" s="25"/>
      <c r="C1093" s="1601"/>
      <c r="D1093" s="1601"/>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3.05" customHeight="1">
      <c r="A1094" s="1599" t="s">
        <v>591</v>
      </c>
      <c r="B1094" s="1599"/>
      <c r="C1094" s="1601">
        <v>6</v>
      </c>
      <c r="D1094" s="1601"/>
      <c r="E1094" s="1557" t="s">
        <v>2194</v>
      </c>
      <c r="F1094" s="1557"/>
      <c r="G1094" s="1557"/>
      <c r="H1094" s="1557"/>
      <c r="I1094" s="1557"/>
      <c r="J1094" s="1557"/>
      <c r="K1094" s="1557"/>
      <c r="L1094" s="1557"/>
      <c r="M1094" s="1557"/>
      <c r="N1094" s="1557"/>
      <c r="O1094" s="1557"/>
      <c r="P1094" s="1557"/>
      <c r="Q1094" s="1557"/>
      <c r="R1094" s="1557"/>
      <c r="S1094" s="1557"/>
      <c r="T1094" s="1557"/>
      <c r="U1094" s="1557"/>
      <c r="V1094" s="1557"/>
      <c r="W1094" s="1557"/>
      <c r="X1094" s="1557"/>
      <c r="Y1094" s="1557"/>
      <c r="Z1094" s="1557"/>
      <c r="AA1094" s="1557"/>
      <c r="AB1094" s="1557"/>
      <c r="AC1094" s="1557"/>
      <c r="AD1094" s="1557"/>
      <c r="AE1094" s="1557"/>
      <c r="AF1094" s="1557"/>
      <c r="AG1094" s="1557"/>
      <c r="AH1094" s="1557"/>
      <c r="AI1094" s="1557"/>
      <c r="AJ1094" s="1557"/>
      <c r="AK1094" s="1557"/>
      <c r="AL1094" s="1557"/>
      <c r="AM1094" s="1557"/>
      <c r="AN1094" s="1557"/>
      <c r="AO1094" s="1557"/>
      <c r="AP1094" s="1557"/>
      <c r="AQ1094" s="1557"/>
      <c r="AR1094" s="1557"/>
      <c r="AS1094" s="14"/>
    </row>
    <row r="1095" spans="1:45" ht="13.05" customHeight="1">
      <c r="A1095" s="1"/>
      <c r="B1095" s="1"/>
      <c r="C1095" s="1"/>
      <c r="D1095" s="1"/>
      <c r="E1095" s="1557"/>
      <c r="F1095" s="1557"/>
      <c r="G1095" s="1557"/>
      <c r="H1095" s="1557"/>
      <c r="I1095" s="1557"/>
      <c r="J1095" s="1557"/>
      <c r="K1095" s="1557"/>
      <c r="L1095" s="1557"/>
      <c r="M1095" s="1557"/>
      <c r="N1095" s="1557"/>
      <c r="O1095" s="1557"/>
      <c r="P1095" s="1557"/>
      <c r="Q1095" s="1557"/>
      <c r="R1095" s="1557"/>
      <c r="S1095" s="1557"/>
      <c r="T1095" s="1557"/>
      <c r="U1095" s="1557"/>
      <c r="V1095" s="1557"/>
      <c r="W1095" s="1557"/>
      <c r="X1095" s="1557"/>
      <c r="Y1095" s="1557"/>
      <c r="Z1095" s="1557"/>
      <c r="AA1095" s="1557"/>
      <c r="AB1095" s="1557"/>
      <c r="AC1095" s="1557"/>
      <c r="AD1095" s="1557"/>
      <c r="AE1095" s="1557"/>
      <c r="AF1095" s="1557"/>
      <c r="AG1095" s="1557"/>
      <c r="AH1095" s="1557"/>
      <c r="AI1095" s="1557"/>
      <c r="AJ1095" s="1557"/>
      <c r="AK1095" s="1557"/>
      <c r="AL1095" s="1557"/>
      <c r="AM1095" s="1557"/>
      <c r="AN1095" s="1557"/>
      <c r="AO1095" s="1557"/>
      <c r="AP1095" s="1557"/>
      <c r="AQ1095" s="1557"/>
      <c r="AR1095" s="1557"/>
      <c r="AS1095" s="14"/>
    </row>
    <row r="1096" spans="1:45" ht="13.05" customHeight="1">
      <c r="A1096" s="1"/>
      <c r="B1096" s="1"/>
      <c r="C1096" s="1601"/>
      <c r="D1096" s="1601"/>
      <c r="E1096" s="1557"/>
      <c r="F1096" s="1557"/>
      <c r="G1096" s="1557"/>
      <c r="H1096" s="1557"/>
      <c r="I1096" s="1557"/>
      <c r="J1096" s="1557"/>
      <c r="K1096" s="1557"/>
      <c r="L1096" s="1557"/>
      <c r="M1096" s="1557"/>
      <c r="N1096" s="1557"/>
      <c r="O1096" s="1557"/>
      <c r="P1096" s="1557"/>
      <c r="Q1096" s="1557"/>
      <c r="R1096" s="1557"/>
      <c r="S1096" s="1557"/>
      <c r="T1096" s="1557"/>
      <c r="U1096" s="1557"/>
      <c r="V1096" s="1557"/>
      <c r="W1096" s="1557"/>
      <c r="X1096" s="1557"/>
      <c r="Y1096" s="1557"/>
      <c r="Z1096" s="1557"/>
      <c r="AA1096" s="1557"/>
      <c r="AB1096" s="1557"/>
      <c r="AC1096" s="1557"/>
      <c r="AD1096" s="1557"/>
      <c r="AE1096" s="1557"/>
      <c r="AF1096" s="1557"/>
      <c r="AG1096" s="1557"/>
      <c r="AH1096" s="1557"/>
      <c r="AI1096" s="1557"/>
      <c r="AJ1096" s="1557"/>
      <c r="AK1096" s="1557"/>
      <c r="AL1096" s="1557"/>
      <c r="AM1096" s="1557"/>
      <c r="AN1096" s="1557"/>
      <c r="AO1096" s="1557"/>
      <c r="AP1096" s="1557"/>
      <c r="AQ1096" s="1557"/>
      <c r="AR1096" s="1557"/>
      <c r="AS1096" s="14"/>
    </row>
    <row r="1097" spans="1:45" ht="13.05" customHeight="1">
      <c r="A1097" s="35"/>
      <c r="B1097" s="25"/>
      <c r="C1097" s="1601"/>
      <c r="D1097" s="1601"/>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3.05" customHeight="1">
      <c r="A1098" s="1599" t="s">
        <v>591</v>
      </c>
      <c r="B1098" s="1599"/>
      <c r="C1098" s="1601">
        <v>7</v>
      </c>
      <c r="D1098" s="1601"/>
      <c r="E1098" s="1557" t="s">
        <v>2092</v>
      </c>
      <c r="F1098" s="1557"/>
      <c r="G1098" s="1557"/>
      <c r="H1098" s="1557"/>
      <c r="I1098" s="1557"/>
      <c r="J1098" s="1557"/>
      <c r="K1098" s="1557"/>
      <c r="L1098" s="1557"/>
      <c r="M1098" s="1557"/>
      <c r="N1098" s="1557"/>
      <c r="O1098" s="1557"/>
      <c r="P1098" s="1557"/>
      <c r="Q1098" s="1557"/>
      <c r="R1098" s="1557"/>
      <c r="S1098" s="1557"/>
      <c r="T1098" s="1557"/>
      <c r="U1098" s="1557"/>
      <c r="V1098" s="1557"/>
      <c r="W1098" s="1557"/>
      <c r="X1098" s="1557"/>
      <c r="Y1098" s="1557"/>
      <c r="Z1098" s="1557"/>
      <c r="AA1098" s="1557"/>
      <c r="AB1098" s="1557"/>
      <c r="AC1098" s="1557"/>
      <c r="AD1098" s="1557"/>
      <c r="AE1098" s="1557"/>
      <c r="AF1098" s="1557"/>
      <c r="AG1098" s="1557"/>
      <c r="AH1098" s="1557"/>
      <c r="AI1098" s="1557"/>
      <c r="AJ1098" s="1557"/>
      <c r="AK1098" s="1557"/>
      <c r="AL1098" s="1557"/>
      <c r="AM1098" s="1557"/>
      <c r="AN1098" s="1557"/>
      <c r="AO1098" s="1557"/>
      <c r="AP1098" s="1557"/>
      <c r="AQ1098" s="1557"/>
      <c r="AR1098" s="1557"/>
      <c r="AS1098" s="14"/>
    </row>
    <row r="1099" spans="1:45" ht="13.05" customHeight="1">
      <c r="A1099" s="1"/>
      <c r="B1099" s="1"/>
      <c r="C1099" s="1601"/>
      <c r="D1099" s="1601"/>
      <c r="E1099" s="1557"/>
      <c r="F1099" s="1557"/>
      <c r="G1099" s="1557"/>
      <c r="H1099" s="1557"/>
      <c r="I1099" s="1557"/>
      <c r="J1099" s="1557"/>
      <c r="K1099" s="1557"/>
      <c r="L1099" s="1557"/>
      <c r="M1099" s="1557"/>
      <c r="N1099" s="1557"/>
      <c r="O1099" s="1557"/>
      <c r="P1099" s="1557"/>
      <c r="Q1099" s="1557"/>
      <c r="R1099" s="1557"/>
      <c r="S1099" s="1557"/>
      <c r="T1099" s="1557"/>
      <c r="U1099" s="1557"/>
      <c r="V1099" s="1557"/>
      <c r="W1099" s="1557"/>
      <c r="X1099" s="1557"/>
      <c r="Y1099" s="1557"/>
      <c r="Z1099" s="1557"/>
      <c r="AA1099" s="1557"/>
      <c r="AB1099" s="1557"/>
      <c r="AC1099" s="1557"/>
      <c r="AD1099" s="1557"/>
      <c r="AE1099" s="1557"/>
      <c r="AF1099" s="1557"/>
      <c r="AG1099" s="1557"/>
      <c r="AH1099" s="1557"/>
      <c r="AI1099" s="1557"/>
      <c r="AJ1099" s="1557"/>
      <c r="AK1099" s="1557"/>
      <c r="AL1099" s="1557"/>
      <c r="AM1099" s="1557"/>
      <c r="AN1099" s="1557"/>
      <c r="AO1099" s="1557"/>
      <c r="AP1099" s="1557"/>
      <c r="AQ1099" s="1557"/>
      <c r="AR1099" s="1557"/>
      <c r="AS1099" s="14"/>
    </row>
    <row r="1100" spans="1:45" ht="13.05" customHeight="1">
      <c r="A1100" s="1"/>
      <c r="B1100" s="1"/>
      <c r="C1100" s="1601"/>
      <c r="D1100" s="1601"/>
      <c r="E1100" s="1557"/>
      <c r="F1100" s="1557"/>
      <c r="G1100" s="1557"/>
      <c r="H1100" s="1557"/>
      <c r="I1100" s="1557"/>
      <c r="J1100" s="1557"/>
      <c r="K1100" s="1557"/>
      <c r="L1100" s="1557"/>
      <c r="M1100" s="1557"/>
      <c r="N1100" s="1557"/>
      <c r="O1100" s="1557"/>
      <c r="P1100" s="1557"/>
      <c r="Q1100" s="1557"/>
      <c r="R1100" s="1557"/>
      <c r="S1100" s="1557"/>
      <c r="T1100" s="1557"/>
      <c r="U1100" s="1557"/>
      <c r="V1100" s="1557"/>
      <c r="W1100" s="1557"/>
      <c r="X1100" s="1557"/>
      <c r="Y1100" s="1557"/>
      <c r="Z1100" s="1557"/>
      <c r="AA1100" s="1557"/>
      <c r="AB1100" s="1557"/>
      <c r="AC1100" s="1557"/>
      <c r="AD1100" s="1557"/>
      <c r="AE1100" s="1557"/>
      <c r="AF1100" s="1557"/>
      <c r="AG1100" s="1557"/>
      <c r="AH1100" s="1557"/>
      <c r="AI1100" s="1557"/>
      <c r="AJ1100" s="1557"/>
      <c r="AK1100" s="1557"/>
      <c r="AL1100" s="1557"/>
      <c r="AM1100" s="1557"/>
      <c r="AN1100" s="1557"/>
      <c r="AO1100" s="1557"/>
      <c r="AP1100" s="1557"/>
      <c r="AQ1100" s="1557"/>
      <c r="AR1100" s="1557"/>
      <c r="AS1100" s="14"/>
    </row>
    <row r="1101" spans="1:45" ht="13.05" customHeight="1">
      <c r="A1101" s="1"/>
      <c r="B1101" s="1"/>
      <c r="C1101" s="1601"/>
      <c r="D1101" s="1601"/>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3.05" customHeight="1">
      <c r="A1102" s="35"/>
      <c r="B1102" s="25"/>
      <c r="C1102" s="1601"/>
      <c r="D1102" s="1601"/>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3.05" customHeight="1">
      <c r="A1103" s="1599" t="s">
        <v>591</v>
      </c>
      <c r="B1103" s="1599"/>
      <c r="C1103" s="1601">
        <v>8</v>
      </c>
      <c r="D1103" s="1601"/>
      <c r="E1103" s="1557" t="s">
        <v>1072</v>
      </c>
      <c r="F1103" s="1557"/>
      <c r="G1103" s="1557"/>
      <c r="H1103" s="1557"/>
      <c r="I1103" s="1557"/>
      <c r="J1103" s="1557"/>
      <c r="K1103" s="1557"/>
      <c r="L1103" s="1557"/>
      <c r="M1103" s="1557"/>
      <c r="N1103" s="1557"/>
      <c r="O1103" s="1557"/>
      <c r="P1103" s="1557"/>
      <c r="Q1103" s="1557"/>
      <c r="R1103" s="1557"/>
      <c r="S1103" s="1557"/>
      <c r="T1103" s="1557"/>
      <c r="U1103" s="1557"/>
      <c r="V1103" s="1557"/>
      <c r="W1103" s="1557"/>
      <c r="X1103" s="1557"/>
      <c r="Y1103" s="1557"/>
      <c r="Z1103" s="1557"/>
      <c r="AA1103" s="1557"/>
      <c r="AB1103" s="1557"/>
      <c r="AC1103" s="1557"/>
      <c r="AD1103" s="1557"/>
      <c r="AE1103" s="1557"/>
      <c r="AF1103" s="1557"/>
      <c r="AG1103" s="1557"/>
      <c r="AH1103" s="1557"/>
      <c r="AI1103" s="1557"/>
      <c r="AJ1103" s="1557"/>
      <c r="AK1103" s="1557"/>
      <c r="AL1103" s="1557"/>
      <c r="AM1103" s="1557"/>
      <c r="AN1103" s="1557"/>
      <c r="AO1103" s="1557"/>
      <c r="AP1103" s="1557"/>
      <c r="AQ1103" s="1557"/>
      <c r="AR1103" s="1557"/>
    </row>
    <row r="1104" spans="1:45" ht="13.05" customHeight="1">
      <c r="A1104" s="35"/>
      <c r="B1104" s="25"/>
      <c r="C1104" s="1601"/>
      <c r="D1104" s="1601"/>
      <c r="E1104" s="1557"/>
      <c r="F1104" s="1557"/>
      <c r="G1104" s="1557"/>
      <c r="H1104" s="1557"/>
      <c r="I1104" s="1557"/>
      <c r="J1104" s="1557"/>
      <c r="K1104" s="1557"/>
      <c r="L1104" s="1557"/>
      <c r="M1104" s="1557"/>
      <c r="N1104" s="1557"/>
      <c r="O1104" s="1557"/>
      <c r="P1104" s="1557"/>
      <c r="Q1104" s="1557"/>
      <c r="R1104" s="1557"/>
      <c r="S1104" s="1557"/>
      <c r="T1104" s="1557"/>
      <c r="U1104" s="1557"/>
      <c r="V1104" s="1557"/>
      <c r="W1104" s="1557"/>
      <c r="X1104" s="1557"/>
      <c r="Y1104" s="1557"/>
      <c r="Z1104" s="1557"/>
      <c r="AA1104" s="1557"/>
      <c r="AB1104" s="1557"/>
      <c r="AC1104" s="1557"/>
      <c r="AD1104" s="1557"/>
      <c r="AE1104" s="1557"/>
      <c r="AF1104" s="1557"/>
      <c r="AG1104" s="1557"/>
      <c r="AH1104" s="1557"/>
      <c r="AI1104" s="1557"/>
      <c r="AJ1104" s="1557"/>
      <c r="AK1104" s="1557"/>
      <c r="AL1104" s="1557"/>
      <c r="AM1104" s="1557"/>
      <c r="AN1104" s="1557"/>
      <c r="AO1104" s="1557"/>
      <c r="AP1104" s="1557"/>
      <c r="AQ1104" s="1557"/>
      <c r="AR1104" s="1557"/>
    </row>
    <row r="1105" spans="1:44" ht="13.05" customHeight="1">
      <c r="A1105" s="35"/>
      <c r="B1105" s="25"/>
      <c r="C1105" s="1601"/>
      <c r="D1105" s="1601"/>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3.05" customHeight="1">
      <c r="A1106" s="1599" t="s">
        <v>591</v>
      </c>
      <c r="B1106" s="1599"/>
      <c r="C1106" s="1600">
        <v>9</v>
      </c>
      <c r="D1106" s="1600"/>
      <c r="E1106" s="1557" t="s">
        <v>1074</v>
      </c>
      <c r="F1106" s="1557"/>
      <c r="G1106" s="1557"/>
      <c r="H1106" s="1557"/>
      <c r="I1106" s="1557"/>
      <c r="J1106" s="1557"/>
      <c r="K1106" s="1557"/>
      <c r="L1106" s="1557"/>
      <c r="M1106" s="1557"/>
      <c r="N1106" s="1557"/>
      <c r="O1106" s="1557"/>
      <c r="P1106" s="1557"/>
      <c r="Q1106" s="1557"/>
      <c r="R1106" s="1557"/>
      <c r="S1106" s="1557"/>
      <c r="T1106" s="1557"/>
      <c r="U1106" s="1557"/>
      <c r="V1106" s="1557"/>
      <c r="W1106" s="1557"/>
      <c r="X1106" s="1557"/>
      <c r="Y1106" s="1557"/>
      <c r="Z1106" s="1557"/>
      <c r="AA1106" s="1557"/>
      <c r="AB1106" s="1557"/>
      <c r="AC1106" s="1557"/>
      <c r="AD1106" s="1557"/>
      <c r="AE1106" s="1557"/>
      <c r="AF1106" s="1557"/>
      <c r="AG1106" s="1557"/>
      <c r="AH1106" s="1557"/>
      <c r="AI1106" s="1557"/>
      <c r="AJ1106" s="1557"/>
      <c r="AK1106" s="1557"/>
      <c r="AL1106" s="1557"/>
      <c r="AM1106" s="1557"/>
      <c r="AN1106" s="1557"/>
      <c r="AO1106" s="1557"/>
      <c r="AP1106" s="1557"/>
      <c r="AQ1106" s="1557"/>
      <c r="AR1106" s="1557"/>
    </row>
    <row r="1107" spans="1:44" ht="13.05" customHeight="1">
      <c r="A1107" s="1"/>
      <c r="B1107" s="1"/>
      <c r="C1107" s="1600"/>
      <c r="D1107" s="1600"/>
      <c r="E1107" s="1557"/>
      <c r="F1107" s="1557"/>
      <c r="G1107" s="1557"/>
      <c r="H1107" s="1557"/>
      <c r="I1107" s="1557"/>
      <c r="J1107" s="1557"/>
      <c r="K1107" s="1557"/>
      <c r="L1107" s="1557"/>
      <c r="M1107" s="1557"/>
      <c r="N1107" s="1557"/>
      <c r="O1107" s="1557"/>
      <c r="P1107" s="1557"/>
      <c r="Q1107" s="1557"/>
      <c r="R1107" s="1557"/>
      <c r="S1107" s="1557"/>
      <c r="T1107" s="1557"/>
      <c r="U1107" s="1557"/>
      <c r="V1107" s="1557"/>
      <c r="W1107" s="1557"/>
      <c r="X1107" s="1557"/>
      <c r="Y1107" s="1557"/>
      <c r="Z1107" s="1557"/>
      <c r="AA1107" s="1557"/>
      <c r="AB1107" s="1557"/>
      <c r="AC1107" s="1557"/>
      <c r="AD1107" s="1557"/>
      <c r="AE1107" s="1557"/>
      <c r="AF1107" s="1557"/>
      <c r="AG1107" s="1557"/>
      <c r="AH1107" s="1557"/>
      <c r="AI1107" s="1557"/>
      <c r="AJ1107" s="1557"/>
      <c r="AK1107" s="1557"/>
      <c r="AL1107" s="1557"/>
      <c r="AM1107" s="1557"/>
      <c r="AN1107" s="1557"/>
      <c r="AO1107" s="1557"/>
      <c r="AP1107" s="1557"/>
      <c r="AQ1107" s="1557"/>
      <c r="AR1107" s="1557"/>
    </row>
    <row r="1108" spans="1:44" ht="13.05" customHeight="1">
      <c r="A1108" s="35"/>
      <c r="B1108" s="25"/>
      <c r="C1108" s="1600"/>
      <c r="D1108" s="1600"/>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3.05" customHeight="1">
      <c r="A1109" s="1599" t="s">
        <v>591</v>
      </c>
      <c r="B1109" s="1599"/>
      <c r="C1109" s="1600">
        <v>10</v>
      </c>
      <c r="D1109" s="1600"/>
      <c r="E1109" s="1559" t="s">
        <v>2191</v>
      </c>
      <c r="F1109" s="1559"/>
      <c r="G1109" s="1559"/>
      <c r="H1109" s="1559"/>
      <c r="I1109" s="1559"/>
      <c r="J1109" s="1559"/>
      <c r="K1109" s="1559"/>
      <c r="L1109" s="1559"/>
      <c r="M1109" s="1559"/>
      <c r="N1109" s="1559"/>
      <c r="O1109" s="1559"/>
      <c r="P1109" s="1559"/>
      <c r="Q1109" s="1559"/>
      <c r="R1109" s="1559"/>
      <c r="S1109" s="1559"/>
      <c r="T1109" s="1559"/>
      <c r="U1109" s="1559"/>
      <c r="V1109" s="1559"/>
      <c r="W1109" s="1559"/>
      <c r="X1109" s="1559"/>
      <c r="Y1109" s="1559"/>
      <c r="Z1109" s="1559"/>
      <c r="AA1109" s="1559"/>
      <c r="AB1109" s="1559"/>
      <c r="AC1109" s="1559"/>
      <c r="AD1109" s="1559"/>
      <c r="AE1109" s="1559"/>
      <c r="AF1109" s="1559"/>
      <c r="AG1109" s="1559"/>
      <c r="AH1109" s="1559"/>
      <c r="AI1109" s="1559"/>
      <c r="AJ1109" s="1559"/>
      <c r="AK1109" s="1559"/>
      <c r="AL1109" s="1559"/>
      <c r="AM1109" s="1559"/>
      <c r="AN1109" s="1559"/>
      <c r="AO1109" s="1559"/>
      <c r="AP1109" s="1559"/>
      <c r="AQ1109" s="1559"/>
      <c r="AR1109" s="1559"/>
    </row>
    <row r="1110" spans="1:44" ht="13.05" customHeight="1">
      <c r="A1110" s="1"/>
      <c r="B1110" s="1"/>
      <c r="C1110" s="199"/>
      <c r="D1110" s="1154"/>
      <c r="E1110" s="1559"/>
      <c r="F1110" s="1559"/>
      <c r="G1110" s="1559"/>
      <c r="H1110" s="1559"/>
      <c r="I1110" s="1559"/>
      <c r="J1110" s="1559"/>
      <c r="K1110" s="1559"/>
      <c r="L1110" s="1559"/>
      <c r="M1110" s="1559"/>
      <c r="N1110" s="1559"/>
      <c r="O1110" s="1559"/>
      <c r="P1110" s="1559"/>
      <c r="Q1110" s="1559"/>
      <c r="R1110" s="1559"/>
      <c r="S1110" s="1559"/>
      <c r="T1110" s="1559"/>
      <c r="U1110" s="1559"/>
      <c r="V1110" s="1559"/>
      <c r="W1110" s="1559"/>
      <c r="X1110" s="1559"/>
      <c r="Y1110" s="1559"/>
      <c r="Z1110" s="1559"/>
      <c r="AA1110" s="1559"/>
      <c r="AB1110" s="1559"/>
      <c r="AC1110" s="1559"/>
      <c r="AD1110" s="1559"/>
      <c r="AE1110" s="1559"/>
      <c r="AF1110" s="1559"/>
      <c r="AG1110" s="1559"/>
      <c r="AH1110" s="1559"/>
      <c r="AI1110" s="1559"/>
      <c r="AJ1110" s="1559"/>
      <c r="AK1110" s="1559"/>
      <c r="AL1110" s="1559"/>
      <c r="AM1110" s="1559"/>
      <c r="AN1110" s="1559"/>
      <c r="AO1110" s="1559"/>
      <c r="AP1110" s="1559"/>
      <c r="AQ1110" s="1559"/>
      <c r="AR1110" s="1559"/>
    </row>
    <row r="1111" spans="1:44" ht="13.0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3.05" customHeight="1">
      <c r="A1112" s="1599" t="s">
        <v>591</v>
      </c>
      <c r="B1112" s="1599"/>
      <c r="C1112" s="1600">
        <v>11</v>
      </c>
      <c r="D1112" s="1600"/>
      <c r="E1112" s="1559" t="s">
        <v>2192</v>
      </c>
      <c r="F1112" s="1559"/>
      <c r="G1112" s="1559"/>
      <c r="H1112" s="1559"/>
      <c r="I1112" s="1559"/>
      <c r="J1112" s="1559"/>
      <c r="K1112" s="1559"/>
      <c r="L1112" s="1559"/>
      <c r="M1112" s="1559"/>
      <c r="N1112" s="1559"/>
      <c r="O1112" s="1559"/>
      <c r="P1112" s="1559"/>
      <c r="Q1112" s="1559"/>
      <c r="R1112" s="1559"/>
      <c r="S1112" s="1559"/>
      <c r="T1112" s="1559"/>
      <c r="U1112" s="1559"/>
      <c r="V1112" s="1559"/>
      <c r="W1112" s="1559"/>
      <c r="X1112" s="1559"/>
      <c r="Y1112" s="1559"/>
      <c r="Z1112" s="1559"/>
      <c r="AA1112" s="1559"/>
      <c r="AB1112" s="1559"/>
      <c r="AC1112" s="1559"/>
      <c r="AD1112" s="1559"/>
      <c r="AE1112" s="1559"/>
      <c r="AF1112" s="1559"/>
      <c r="AG1112" s="1559"/>
      <c r="AH1112" s="1559"/>
      <c r="AI1112" s="1559"/>
      <c r="AJ1112" s="1559"/>
      <c r="AK1112" s="1559"/>
      <c r="AL1112" s="1559"/>
      <c r="AM1112" s="1559"/>
      <c r="AN1112" s="1559"/>
      <c r="AO1112" s="1559"/>
      <c r="AP1112" s="1559"/>
      <c r="AQ1112" s="1559"/>
      <c r="AR1112" s="1559"/>
    </row>
    <row r="1113" spans="1:44" ht="13.05" customHeight="1">
      <c r="A1113" s="1"/>
      <c r="B1113" s="1"/>
      <c r="C1113" s="199"/>
      <c r="D1113" s="1154"/>
      <c r="E1113" s="1559"/>
      <c r="F1113" s="1559"/>
      <c r="G1113" s="1559"/>
      <c r="H1113" s="1559"/>
      <c r="I1113" s="1559"/>
      <c r="J1113" s="1559"/>
      <c r="K1113" s="1559"/>
      <c r="L1113" s="1559"/>
      <c r="M1113" s="1559"/>
      <c r="N1113" s="1559"/>
      <c r="O1113" s="1559"/>
      <c r="P1113" s="1559"/>
      <c r="Q1113" s="1559"/>
      <c r="R1113" s="1559"/>
      <c r="S1113" s="1559"/>
      <c r="T1113" s="1559"/>
      <c r="U1113" s="1559"/>
      <c r="V1113" s="1559"/>
      <c r="W1113" s="1559"/>
      <c r="X1113" s="1559"/>
      <c r="Y1113" s="1559"/>
      <c r="Z1113" s="1559"/>
      <c r="AA1113" s="1559"/>
      <c r="AB1113" s="1559"/>
      <c r="AC1113" s="1559"/>
      <c r="AD1113" s="1559"/>
      <c r="AE1113" s="1559"/>
      <c r="AF1113" s="1559"/>
      <c r="AG1113" s="1559"/>
      <c r="AH1113" s="1559"/>
      <c r="AI1113" s="1559"/>
      <c r="AJ1113" s="1559"/>
      <c r="AK1113" s="1559"/>
      <c r="AL1113" s="1559"/>
      <c r="AM1113" s="1559"/>
      <c r="AN1113" s="1559"/>
      <c r="AO1113" s="1559"/>
      <c r="AP1113" s="1559"/>
      <c r="AQ1113" s="1559"/>
      <c r="AR1113" s="1559"/>
    </row>
    <row r="1114" spans="1:44" ht="13.0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3.0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3.0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3.0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3.0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3.0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3.0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3.0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3.0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3.0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3.0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3.0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3.0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3.0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3.0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3.0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3.0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3.0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599" t="s">
        <v>591</v>
      </c>
      <c r="B1134" s="1599"/>
      <c r="C1134" s="199">
        <v>9</v>
      </c>
      <c r="D1134" s="1524" t="s">
        <v>1073</v>
      </c>
      <c r="E1134" s="1524"/>
      <c r="F1134" s="1524"/>
      <c r="G1134" s="1524"/>
      <c r="H1134" s="1524"/>
      <c r="I1134" s="1524"/>
      <c r="J1134" s="1524"/>
      <c r="K1134" s="1524"/>
      <c r="L1134" s="1524"/>
      <c r="M1134" s="1524"/>
      <c r="N1134" s="1524"/>
      <c r="O1134" s="1524"/>
      <c r="P1134" s="1524"/>
      <c r="Q1134" s="1524"/>
      <c r="R1134" s="1524"/>
      <c r="S1134" s="1524"/>
      <c r="T1134" s="1524"/>
      <c r="U1134" s="1524"/>
      <c r="V1134" s="1524"/>
      <c r="W1134" s="1524"/>
      <c r="X1134" s="1524"/>
      <c r="Y1134" s="1524"/>
      <c r="Z1134" s="1524"/>
      <c r="AA1134" s="1524"/>
      <c r="AB1134" s="1524"/>
      <c r="AC1134" s="1524"/>
      <c r="AD1134" s="1524"/>
      <c r="AE1134" s="1524"/>
      <c r="AF1134" s="1524"/>
      <c r="AG1134" s="1524"/>
      <c r="AH1134" s="1524"/>
      <c r="AI1134" s="1524"/>
      <c r="AJ1134" s="1524"/>
      <c r="AK1134" s="1524"/>
    </row>
    <row r="1135" spans="1:37" ht="0" hidden="1" customHeight="1">
      <c r="A1135" s="35"/>
      <c r="B1135" s="25"/>
      <c r="C1135" s="199"/>
      <c r="D1135" s="1524"/>
      <c r="E1135" s="1524"/>
      <c r="F1135" s="1524"/>
      <c r="G1135" s="1524"/>
      <c r="H1135" s="1524"/>
      <c r="I1135" s="1524"/>
      <c r="J1135" s="1524"/>
      <c r="K1135" s="1524"/>
      <c r="L1135" s="1524"/>
      <c r="M1135" s="1524"/>
      <c r="N1135" s="1524"/>
      <c r="O1135" s="1524"/>
      <c r="P1135" s="1524"/>
      <c r="Q1135" s="1524"/>
      <c r="R1135" s="1524"/>
      <c r="S1135" s="1524"/>
      <c r="T1135" s="1524"/>
      <c r="U1135" s="1524"/>
      <c r="V1135" s="1524"/>
      <c r="W1135" s="1524"/>
      <c r="X1135" s="1524"/>
      <c r="Y1135" s="1524"/>
      <c r="Z1135" s="1524"/>
      <c r="AA1135" s="1524"/>
      <c r="AB1135" s="1524"/>
      <c r="AC1135" s="1524"/>
      <c r="AD1135" s="1524"/>
      <c r="AE1135" s="1524"/>
      <c r="AF1135" s="1524"/>
      <c r="AG1135" s="1524"/>
      <c r="AH1135" s="1524"/>
      <c r="AI1135" s="1524"/>
      <c r="AJ1135" s="1524"/>
      <c r="AK1135" s="1524"/>
    </row>
    <row r="1136" spans="1:37" ht="0" hidden="1" customHeight="1">
      <c r="D1136" s="1524"/>
      <c r="E1136" s="1524"/>
      <c r="F1136" s="1524"/>
      <c r="G1136" s="1524"/>
      <c r="H1136" s="1524"/>
      <c r="I1136" s="1524"/>
      <c r="J1136" s="1524"/>
      <c r="K1136" s="1524"/>
      <c r="L1136" s="1524"/>
      <c r="M1136" s="1524"/>
      <c r="N1136" s="1524"/>
      <c r="O1136" s="1524"/>
      <c r="P1136" s="1524"/>
      <c r="Q1136" s="1524"/>
      <c r="R1136" s="1524"/>
      <c r="S1136" s="1524"/>
      <c r="T1136" s="1524"/>
      <c r="U1136" s="1524"/>
      <c r="V1136" s="1524"/>
      <c r="W1136" s="1524"/>
      <c r="X1136" s="1524"/>
      <c r="Y1136" s="1524"/>
      <c r="Z1136" s="1524"/>
      <c r="AA1136" s="1524"/>
      <c r="AB1136" s="1524"/>
      <c r="AC1136" s="1524"/>
      <c r="AD1136" s="1524"/>
      <c r="AE1136" s="1524"/>
      <c r="AF1136" s="1524"/>
      <c r="AG1136" s="1524"/>
      <c r="AH1136" s="1524"/>
      <c r="AI1136" s="1524"/>
      <c r="AJ1136" s="1524"/>
      <c r="AK1136" s="1524"/>
    </row>
    <row r="1146" ht="15" hidden="1" customHeight="1"/>
    <row r="2026" ht="10.050000000000001"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2">
    <mergeCell ref="EO797:ES797"/>
    <mergeCell ref="DZ803:ED803"/>
    <mergeCell ref="DU798:DY798"/>
    <mergeCell ref="DU799:DY799"/>
    <mergeCell ref="DU800:DY800"/>
    <mergeCell ref="H345:R345"/>
    <mergeCell ref="H347:R347"/>
    <mergeCell ref="H346:R346"/>
    <mergeCell ref="H348:M348"/>
    <mergeCell ref="H350:R350"/>
    <mergeCell ref="EO800:ES800"/>
    <mergeCell ref="EO801:ES801"/>
    <mergeCell ref="EO802:ES802"/>
    <mergeCell ref="DU801:DY801"/>
    <mergeCell ref="DU802:DY802"/>
    <mergeCell ref="DU803:DY803"/>
    <mergeCell ref="DE803:DI803"/>
    <mergeCell ref="EO798:ES798"/>
    <mergeCell ref="EO799:ES799"/>
    <mergeCell ref="DO796:DS796"/>
    <mergeCell ref="DO797:DS797"/>
    <mergeCell ref="DO798:DS798"/>
    <mergeCell ref="EO803:ES803"/>
    <mergeCell ref="DO800:DS800"/>
    <mergeCell ref="EJ795:EN795"/>
    <mergeCell ref="DU795:DY795"/>
    <mergeCell ref="DU796:DY796"/>
    <mergeCell ref="DU797:DY797"/>
    <mergeCell ref="CI760:CJ760"/>
    <mergeCell ref="G579:R579"/>
    <mergeCell ref="DO802:DS802"/>
    <mergeCell ref="DO803:DS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EO795:ES795"/>
    <mergeCell ref="DE805:DI805"/>
    <mergeCell ref="DJ795:DN795"/>
    <mergeCell ref="DJ798:DN798"/>
    <mergeCell ref="EE795:EI795"/>
    <mergeCell ref="EE796:EI796"/>
    <mergeCell ref="EE797:EI797"/>
    <mergeCell ref="EE798:EI798"/>
    <mergeCell ref="EE799:EI799"/>
    <mergeCell ref="EE800:EI800"/>
    <mergeCell ref="EE801:EI801"/>
    <mergeCell ref="EE802:EI802"/>
    <mergeCell ref="EE803:EI803"/>
    <mergeCell ref="EE804:EI804"/>
    <mergeCell ref="EE805:EI805"/>
    <mergeCell ref="DJ800:DN800"/>
    <mergeCell ref="DJ799:DN799"/>
    <mergeCell ref="EO796:ES796"/>
    <mergeCell ref="EO805:ES805"/>
    <mergeCell ref="DZ795:ED795"/>
    <mergeCell ref="DZ796:ED796"/>
    <mergeCell ref="DZ797:ED797"/>
    <mergeCell ref="DZ798:ED798"/>
    <mergeCell ref="DZ799:ED799"/>
    <mergeCell ref="DZ800:ED800"/>
    <mergeCell ref="DZ801:ED801"/>
    <mergeCell ref="DZ802:ED802"/>
    <mergeCell ref="DO805:DS805"/>
    <mergeCell ref="CI749:CJ749"/>
    <mergeCell ref="DE802:DI802"/>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DU804:DY804"/>
    <mergeCell ref="DE797:DI797"/>
    <mergeCell ref="CM731:CN731"/>
    <mergeCell ref="CP803:CT803"/>
    <mergeCell ref="DJ801:DN801"/>
    <mergeCell ref="DJ802:DN802"/>
    <mergeCell ref="DJ803:DN803"/>
    <mergeCell ref="DJ804:DN804"/>
    <mergeCell ref="DJ805:DN805"/>
    <mergeCell ref="DO795:DS795"/>
    <mergeCell ref="CG748:CH748"/>
    <mergeCell ref="CK745:CL745"/>
    <mergeCell ref="DE749:DI749"/>
    <mergeCell ref="CP752:CT752"/>
    <mergeCell ref="CM761:CN761"/>
    <mergeCell ref="DE795:DI795"/>
    <mergeCell ref="DE796:DI796"/>
    <mergeCell ref="CI758:CJ758"/>
    <mergeCell ref="DE798:DI798"/>
    <mergeCell ref="DE799:DI799"/>
    <mergeCell ref="DE800:DI800"/>
    <mergeCell ref="CZ752:DD752"/>
    <mergeCell ref="CP805:CT805"/>
    <mergeCell ref="CK759:CL759"/>
    <mergeCell ref="CP783:CT783"/>
    <mergeCell ref="CP784:CT784"/>
    <mergeCell ref="DO781:DS781"/>
    <mergeCell ref="DO799:DS799"/>
    <mergeCell ref="CU795:CY795"/>
    <mergeCell ref="DJ796:DN796"/>
    <mergeCell ref="DJ797:DN797"/>
    <mergeCell ref="DO801:DS801"/>
    <mergeCell ref="DO804:DS804"/>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Z804:DD804"/>
    <mergeCell ref="CZ805:DD805"/>
    <mergeCell ref="DE801:DI801"/>
    <mergeCell ref="DE804:DI804"/>
    <mergeCell ref="CG752:CH752"/>
    <mergeCell ref="CI752:CJ752"/>
    <mergeCell ref="CI744:CJ744"/>
    <mergeCell ref="CP747:CT747"/>
    <mergeCell ref="CP745:CT745"/>
    <mergeCell ref="CI743:CJ743"/>
    <mergeCell ref="CP741:CT741"/>
    <mergeCell ref="CI747:CJ747"/>
    <mergeCell ref="CU759:CY759"/>
    <mergeCell ref="CU784:CY784"/>
    <mergeCell ref="CP758:CT758"/>
    <mergeCell ref="CU758:CY758"/>
    <mergeCell ref="CG754:CH754"/>
    <mergeCell ref="CI754:CJ754"/>
    <mergeCell ref="CM741:CN741"/>
    <mergeCell ref="CM743:CN743"/>
    <mergeCell ref="CP802:CT802"/>
    <mergeCell ref="CG749:CH749"/>
    <mergeCell ref="CP759:CT759"/>
    <mergeCell ref="CM759:CN759"/>
    <mergeCell ref="CK754:CL754"/>
    <mergeCell ref="CM754:CN754"/>
    <mergeCell ref="CG753:CH753"/>
    <mergeCell ref="CI753:CJ753"/>
    <mergeCell ref="CU752:CY752"/>
    <mergeCell ref="CI756:CJ756"/>
    <mergeCell ref="CI751:CJ751"/>
    <mergeCell ref="CK751:CL751"/>
    <mergeCell ref="CK756:CL756"/>
    <mergeCell ref="CM756:CN756"/>
    <mergeCell ref="DO753:DS753"/>
    <mergeCell ref="CP750:CT750"/>
    <mergeCell ref="ET754:EX754"/>
    <mergeCell ref="DU755:DY755"/>
    <mergeCell ref="DZ755:ED755"/>
    <mergeCell ref="DE754:DI754"/>
    <mergeCell ref="CU756:CY756"/>
    <mergeCell ref="EJ746:EN746"/>
    <mergeCell ref="EE748:EI748"/>
    <mergeCell ref="CM748:CN748"/>
    <mergeCell ref="EO744:ES744"/>
    <mergeCell ref="DO744:DS744"/>
    <mergeCell ref="ET747:EX747"/>
    <mergeCell ref="CU746:CY746"/>
    <mergeCell ref="CG757:CH757"/>
    <mergeCell ref="CP754:CT754"/>
    <mergeCell ref="CU754:CY754"/>
    <mergeCell ref="CG745:CH745"/>
    <mergeCell ref="CG750:CH750"/>
    <mergeCell ref="CK749:CL749"/>
    <mergeCell ref="CM749:CN749"/>
    <mergeCell ref="CP749:CT749"/>
    <mergeCell ref="CK750:CL750"/>
    <mergeCell ref="CK744:CL744"/>
    <mergeCell ref="CI748:CJ748"/>
    <mergeCell ref="CU755:CY755"/>
    <mergeCell ref="CK746:CL746"/>
    <mergeCell ref="CP751:CT751"/>
    <mergeCell ref="DJ751:DN751"/>
    <mergeCell ref="DJ753:DN753"/>
    <mergeCell ref="FT758:FX758"/>
    <mergeCell ref="FY758:GC758"/>
    <mergeCell ref="FO759:FS759"/>
    <mergeCell ref="FE760:FI760"/>
    <mergeCell ref="EE758:EI758"/>
    <mergeCell ref="EZ758:FD758"/>
    <mergeCell ref="FE758:FI758"/>
    <mergeCell ref="FJ758:FN758"/>
    <mergeCell ref="DE757:DI757"/>
    <mergeCell ref="DJ757:DN757"/>
    <mergeCell ref="DO757:DS757"/>
    <mergeCell ref="EJ758:EN758"/>
    <mergeCell ref="EO758:ES758"/>
    <mergeCell ref="ET758:EX758"/>
    <mergeCell ref="CM751:CN751"/>
    <mergeCell ref="CP748:CT748"/>
    <mergeCell ref="CZ741:DD741"/>
    <mergeCell ref="CZ744:DD744"/>
    <mergeCell ref="DE750:DI750"/>
    <mergeCell ref="CZ758:DD758"/>
    <mergeCell ref="DE743:DI743"/>
    <mergeCell ref="CU750:CY750"/>
    <mergeCell ref="CZ750:DD750"/>
    <mergeCell ref="CP756:CT756"/>
    <mergeCell ref="CZ755:DD755"/>
    <mergeCell ref="DE755:DI755"/>
    <mergeCell ref="EZ755:FD755"/>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DU750:DY750"/>
    <mergeCell ref="DZ750:ED750"/>
    <mergeCell ref="ET750:EX750"/>
    <mergeCell ref="FE750:FI750"/>
    <mergeCell ref="FJ750:FN750"/>
    <mergeCell ref="FO750:FS750"/>
    <mergeCell ref="FJ761:FN761"/>
    <mergeCell ref="FO758:FS758"/>
    <mergeCell ref="DJ752:DN752"/>
    <mergeCell ref="FE761:FI761"/>
    <mergeCell ref="EJ754:EN754"/>
    <mergeCell ref="EO754:ES754"/>
    <mergeCell ref="EM667:EQ667"/>
    <mergeCell ref="DX666:EB666"/>
    <mergeCell ref="EC666:EG666"/>
    <mergeCell ref="EH666:EL666"/>
    <mergeCell ref="EM666:EQ666"/>
    <mergeCell ref="FY751:GC751"/>
    <mergeCell ref="EZ752:FD752"/>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FY754:GC754"/>
    <mergeCell ref="CI730:CJ730"/>
    <mergeCell ref="ER666:EV666"/>
    <mergeCell ref="Z593:AK593"/>
    <mergeCell ref="X722:AB725"/>
    <mergeCell ref="AE702:AF702"/>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W644:FA644"/>
    <mergeCell ref="EJ749:EN749"/>
    <mergeCell ref="EO749:ES749"/>
    <mergeCell ref="ER645:EV645"/>
    <mergeCell ref="EJ725:EN725"/>
    <mergeCell ref="EE730:EI730"/>
    <mergeCell ref="DZ736:ED736"/>
    <mergeCell ref="EE732:EI732"/>
    <mergeCell ref="DZ738:ED738"/>
    <mergeCell ref="FY735:GC735"/>
    <mergeCell ref="FE735:FI735"/>
    <mergeCell ref="DE751:DI751"/>
    <mergeCell ref="ET757:EX757"/>
    <mergeCell ref="AK642:AN642"/>
    <mergeCell ref="AK643:AN643"/>
    <mergeCell ref="AM565:AS565"/>
    <mergeCell ref="CK752:CL752"/>
    <mergeCell ref="CM752:CN752"/>
    <mergeCell ref="CG746:CH746"/>
    <mergeCell ref="CK747:CL747"/>
    <mergeCell ref="CI750:CJ750"/>
    <mergeCell ref="CP728:CT728"/>
    <mergeCell ref="CU728:CY728"/>
    <mergeCell ref="CU731:CY731"/>
    <mergeCell ref="DE735:DI735"/>
    <mergeCell ref="CZ749:DD749"/>
    <mergeCell ref="CU741:CY741"/>
    <mergeCell ref="CZ748:DD748"/>
    <mergeCell ref="CU749:CY749"/>
    <mergeCell ref="CZ747:DD747"/>
    <mergeCell ref="CK742:CL742"/>
    <mergeCell ref="ET753:EX753"/>
    <mergeCell ref="DU754:DY754"/>
    <mergeCell ref="CM750:CN750"/>
    <mergeCell ref="Z667:AK667"/>
    <mergeCell ref="CZ725:DD725"/>
    <mergeCell ref="C570:L570"/>
    <mergeCell ref="AH747:AJ747"/>
    <mergeCell ref="N599:O599"/>
    <mergeCell ref="Q568:S568"/>
    <mergeCell ref="CK726:CL726"/>
    <mergeCell ref="W559:Y561"/>
    <mergeCell ref="AE564:AH564"/>
    <mergeCell ref="AE567:AH567"/>
    <mergeCell ref="M503:P503"/>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M671:EQ671"/>
    <mergeCell ref="ER671:EV671"/>
    <mergeCell ref="EW671:FA671"/>
    <mergeCell ref="ET752:EX752"/>
    <mergeCell ref="FY750:GC750"/>
    <mergeCell ref="EZ751:FD751"/>
    <mergeCell ref="ET749:EX749"/>
    <mergeCell ref="EE749:EI749"/>
    <mergeCell ref="EJ731:EN731"/>
    <mergeCell ref="Q570:S570"/>
    <mergeCell ref="AC535:AF535"/>
    <mergeCell ref="AH529:AK529"/>
    <mergeCell ref="AC538:AF538"/>
    <mergeCell ref="AC511:AF511"/>
    <mergeCell ref="AC521:AF521"/>
    <mergeCell ref="AC546:AF546"/>
    <mergeCell ref="AC544:AF544"/>
    <mergeCell ref="Z562:AD562"/>
    <mergeCell ref="AH539:AK539"/>
    <mergeCell ref="AH548:AK548"/>
    <mergeCell ref="AC523:AF523"/>
    <mergeCell ref="Q502:AK502"/>
    <mergeCell ref="Q499:AK499"/>
    <mergeCell ref="AH503:AK503"/>
    <mergeCell ref="AC517:AF517"/>
    <mergeCell ref="AH535:AK535"/>
    <mergeCell ref="Z559:AD561"/>
    <mergeCell ref="AH521:AK521"/>
    <mergeCell ref="W565:Y565"/>
    <mergeCell ref="AC534:AF534"/>
    <mergeCell ref="Z569:AD569"/>
    <mergeCell ref="AE566:AH566"/>
    <mergeCell ref="G577:R577"/>
    <mergeCell ref="G578:R578"/>
    <mergeCell ref="T564:V564"/>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C522:AF522"/>
    <mergeCell ref="AH546:AK546"/>
    <mergeCell ref="AI565:AL565"/>
    <mergeCell ref="Q569:S569"/>
    <mergeCell ref="Z564:AD564"/>
    <mergeCell ref="AI563:AL563"/>
    <mergeCell ref="AC536:AF536"/>
    <mergeCell ref="C565:L565"/>
    <mergeCell ref="M566:P566"/>
    <mergeCell ref="Q566:S566"/>
    <mergeCell ref="C566:L566"/>
    <mergeCell ref="M569:P569"/>
    <mergeCell ref="W566:Y566"/>
    <mergeCell ref="AE559:AH561"/>
    <mergeCell ref="AI559:AL561"/>
    <mergeCell ref="AH518:AK518"/>
    <mergeCell ref="AE568:AH568"/>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43:AF543"/>
    <mergeCell ref="AC533:AF533"/>
    <mergeCell ref="AI566:AL566"/>
    <mergeCell ref="T559:V561"/>
    <mergeCell ref="Z565:AD565"/>
    <mergeCell ref="Z567:AD567"/>
    <mergeCell ref="Z570:AD570"/>
    <mergeCell ref="O540:AA540"/>
    <mergeCell ref="P605:R605"/>
    <mergeCell ref="AC541:AF541"/>
    <mergeCell ref="AM563:AS563"/>
    <mergeCell ref="Q573:S573"/>
    <mergeCell ref="Q563:S563"/>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CI757:CJ757"/>
    <mergeCell ref="CK757:CL757"/>
    <mergeCell ref="CM757:CN757"/>
    <mergeCell ref="CK758:CL758"/>
    <mergeCell ref="CM758:CN758"/>
    <mergeCell ref="CG755:CH755"/>
    <mergeCell ref="CI755:CJ755"/>
    <mergeCell ref="CK755:CL755"/>
    <mergeCell ref="CM755:CN755"/>
    <mergeCell ref="CM753:CN753"/>
    <mergeCell ref="CG758:CH758"/>
    <mergeCell ref="CG747:CH747"/>
    <mergeCell ref="CP737:CT737"/>
    <mergeCell ref="AK750:AO750"/>
    <mergeCell ref="CP753:CT753"/>
    <mergeCell ref="AH750:AJ750"/>
    <mergeCell ref="AK747:AO747"/>
    <mergeCell ref="AH756:AJ756"/>
    <mergeCell ref="CG759:CH759"/>
    <mergeCell ref="M564:P56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AG452:AJ452"/>
    <mergeCell ref="AC549:AF549"/>
    <mergeCell ref="AH545:AK545"/>
    <mergeCell ref="AG459:AJ459"/>
    <mergeCell ref="AC513:AF513"/>
    <mergeCell ref="AH530:AK530"/>
    <mergeCell ref="M559:P561"/>
    <mergeCell ref="Q562:S562"/>
    <mergeCell ref="AC518:AF518"/>
    <mergeCell ref="AH522:AK522"/>
    <mergeCell ref="C563:L563"/>
    <mergeCell ref="T567:V567"/>
    <mergeCell ref="T566:V566"/>
    <mergeCell ref="Q567:S567"/>
    <mergeCell ref="AC530:AF530"/>
    <mergeCell ref="T562:V562"/>
    <mergeCell ref="AC532:AF532"/>
    <mergeCell ref="AH514:AK514"/>
    <mergeCell ref="AH516:AK516"/>
    <mergeCell ref="AC548:AF548"/>
    <mergeCell ref="AC516:AF516"/>
    <mergeCell ref="D450:AF450"/>
    <mergeCell ref="AC542:AF542"/>
    <mergeCell ref="AH550:AK550"/>
    <mergeCell ref="AI562:AL562"/>
    <mergeCell ref="B509:H510"/>
    <mergeCell ref="O531:AA531"/>
    <mergeCell ref="D458:AF458"/>
    <mergeCell ref="AC510:AF510"/>
    <mergeCell ref="B522:H524"/>
    <mergeCell ref="B525:H527"/>
    <mergeCell ref="S497:AK498"/>
    <mergeCell ref="AH525:AK525"/>
    <mergeCell ref="AH520:AK520"/>
    <mergeCell ref="AH528:AK528"/>
    <mergeCell ref="AH527:AK527"/>
    <mergeCell ref="AH544:AK544"/>
    <mergeCell ref="AH536:AK536"/>
    <mergeCell ref="AH523:AK523"/>
    <mergeCell ref="C562:L562"/>
    <mergeCell ref="Q559:S561"/>
    <mergeCell ref="M563:P563"/>
    <mergeCell ref="AG449:AJ449"/>
    <mergeCell ref="AH534:AK534"/>
    <mergeCell ref="Q565:S565"/>
    <mergeCell ref="C564:L564"/>
    <mergeCell ref="N381:Q381"/>
    <mergeCell ref="AC464:AF464"/>
    <mergeCell ref="D474:V474"/>
    <mergeCell ref="D473:V473"/>
    <mergeCell ref="D475:V475"/>
    <mergeCell ref="AG450:AJ450"/>
    <mergeCell ref="AC529:AF529"/>
    <mergeCell ref="AC524:AF524"/>
    <mergeCell ref="AH517:AK517"/>
    <mergeCell ref="H423:AE424"/>
    <mergeCell ref="AE434:AF434"/>
    <mergeCell ref="D476:V476"/>
    <mergeCell ref="AC520:AF520"/>
    <mergeCell ref="W475:Y475"/>
    <mergeCell ref="W478:Y478"/>
    <mergeCell ref="D479:V479"/>
    <mergeCell ref="AC509:AF509"/>
    <mergeCell ref="W477:Y477"/>
    <mergeCell ref="AG453:AJ453"/>
    <mergeCell ref="AC528:AF528"/>
    <mergeCell ref="Q501:AK501"/>
    <mergeCell ref="AE411:AJ411"/>
    <mergeCell ref="D455:AF455"/>
    <mergeCell ref="AH511:AK511"/>
    <mergeCell ref="AC508:AF508"/>
    <mergeCell ref="AH540:AK540"/>
    <mergeCell ref="I419:AE419"/>
    <mergeCell ref="AG404:AJ404"/>
    <mergeCell ref="AH515:AK515"/>
    <mergeCell ref="S410:U410"/>
    <mergeCell ref="AG455:AJ455"/>
    <mergeCell ref="AI401:AJ401"/>
    <mergeCell ref="S401:U401"/>
    <mergeCell ref="AG399:AJ399"/>
    <mergeCell ref="AH513:AK513"/>
    <mergeCell ref="Q500:AK500"/>
    <mergeCell ref="D456:AF456"/>
    <mergeCell ref="W474:Y474"/>
    <mergeCell ref="Q493:AK493"/>
    <mergeCell ref="W482:Y482"/>
    <mergeCell ref="AG400:AJ400"/>
    <mergeCell ref="K413:AJ413"/>
    <mergeCell ref="Z443:AA443"/>
    <mergeCell ref="K412:AJ412"/>
    <mergeCell ref="AC463:AF463"/>
    <mergeCell ref="P434:Q434"/>
    <mergeCell ref="AG457:AJ457"/>
    <mergeCell ref="AI398:AJ398"/>
    <mergeCell ref="AG388:AH388"/>
    <mergeCell ref="Q400:U400"/>
    <mergeCell ref="AC512:AF512"/>
    <mergeCell ref="AH509:AK509"/>
    <mergeCell ref="G482:V482"/>
    <mergeCell ref="D449:AF449"/>
    <mergeCell ref="W481:Y481"/>
    <mergeCell ref="D480:V480"/>
    <mergeCell ref="W480:Y480"/>
    <mergeCell ref="V226:W226"/>
    <mergeCell ref="V227:W227"/>
    <mergeCell ref="V228:W228"/>
    <mergeCell ref="D211:M211"/>
    <mergeCell ref="AF178:AG178"/>
    <mergeCell ref="I190:N190"/>
    <mergeCell ref="H309:M309"/>
    <mergeCell ref="H304:R304"/>
    <mergeCell ref="H307:R307"/>
    <mergeCell ref="M254:T254"/>
    <mergeCell ref="M255:AE255"/>
    <mergeCell ref="AC254:AE254"/>
    <mergeCell ref="L288:AD288"/>
    <mergeCell ref="AI235:AJ235"/>
    <mergeCell ref="Z264:AE264"/>
    <mergeCell ref="M264:R264"/>
    <mergeCell ref="A291:AT292"/>
    <mergeCell ref="AA247:AK247"/>
    <mergeCell ref="M260:AE260"/>
    <mergeCell ref="M252:AE252"/>
    <mergeCell ref="M247:T247"/>
    <mergeCell ref="Q399:U399"/>
    <mergeCell ref="AI237:AJ237"/>
    <mergeCell ref="V229:W229"/>
    <mergeCell ref="AA308:AF308"/>
    <mergeCell ref="AI308:AK308"/>
    <mergeCell ref="U245:W245"/>
    <mergeCell ref="T189:AE189"/>
    <mergeCell ref="W243:X243"/>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296:AK296"/>
    <mergeCell ref="AA307:AK307"/>
    <mergeCell ref="AA301:AF301"/>
    <mergeCell ref="H298:R298"/>
    <mergeCell ref="H300:M300"/>
    <mergeCell ref="H308:M308"/>
    <mergeCell ref="S386:T386"/>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X180:Y180"/>
    <mergeCell ref="D204:M204"/>
    <mergeCell ref="T197:U197"/>
    <mergeCell ref="X176:Y176"/>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AP205:AQ205"/>
    <mergeCell ref="AI238:AJ238"/>
    <mergeCell ref="M244:AE244"/>
    <mergeCell ref="I185:AE185"/>
    <mergeCell ref="U175:V175"/>
    <mergeCell ref="R177:S177"/>
    <mergeCell ref="Y120:AK120"/>
    <mergeCell ref="O160:T160"/>
    <mergeCell ref="AI178:AK178"/>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57:AE257"/>
    <mergeCell ref="P113:S113"/>
    <mergeCell ref="T212:U212"/>
    <mergeCell ref="F150:T150"/>
    <mergeCell ref="AH255:AK255"/>
    <mergeCell ref="M253:AE253"/>
    <mergeCell ref="M256:R256"/>
    <mergeCell ref="O159:T159"/>
    <mergeCell ref="P205:U205"/>
    <mergeCell ref="M248:AE248"/>
    <mergeCell ref="W262:X262"/>
    <mergeCell ref="M261:AE261"/>
    <mergeCell ref="AC262:AE262"/>
    <mergeCell ref="D279:H279"/>
    <mergeCell ref="X279:AC279"/>
    <mergeCell ref="M262:T262"/>
    <mergeCell ref="L283:AJ283"/>
    <mergeCell ref="AA266:AK266"/>
    <mergeCell ref="M269:AE269"/>
    <mergeCell ref="AA274:AK274"/>
    <mergeCell ref="M270:T270"/>
    <mergeCell ref="U264:W264"/>
    <mergeCell ref="M273:AE273"/>
    <mergeCell ref="AB285:AD285"/>
    <mergeCell ref="M246:AE246"/>
    <mergeCell ref="AA258:AK258"/>
    <mergeCell ref="AF252:AK252"/>
    <mergeCell ref="M274:T274"/>
    <mergeCell ref="M243:T243"/>
    <mergeCell ref="AF260:AK260"/>
    <mergeCell ref="T287:V287"/>
    <mergeCell ref="V224:W224"/>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H320:R320"/>
    <mergeCell ref="H317:M317"/>
    <mergeCell ref="P316:R316"/>
    <mergeCell ref="H314:R314"/>
    <mergeCell ref="AA297:AK297"/>
    <mergeCell ref="H296:R296"/>
    <mergeCell ref="P308:R308"/>
    <mergeCell ref="H302:R302"/>
    <mergeCell ref="Y287:AD287"/>
    <mergeCell ref="AA304:AK304"/>
    <mergeCell ref="AF268:AK268"/>
    <mergeCell ref="AC270:AE270"/>
    <mergeCell ref="M271:AE271"/>
    <mergeCell ref="AA317:AF317"/>
    <mergeCell ref="M272:R27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W270:X270"/>
    <mergeCell ref="H321:R321"/>
    <mergeCell ref="AI316:AK316"/>
    <mergeCell ref="H313:R313"/>
    <mergeCell ref="H312:R312"/>
    <mergeCell ref="H315:R315"/>
    <mergeCell ref="AA313:AK313"/>
    <mergeCell ref="U272:W272"/>
    <mergeCell ref="M266:T266"/>
    <mergeCell ref="M265:AE265"/>
    <mergeCell ref="AA321:AK321"/>
    <mergeCell ref="AA320:AK320"/>
    <mergeCell ref="AA315:AK315"/>
    <mergeCell ref="AA312:AK312"/>
    <mergeCell ref="H306:R306"/>
    <mergeCell ref="AA309:AF309"/>
    <mergeCell ref="P300:R300"/>
    <mergeCell ref="AA340:AF340"/>
    <mergeCell ref="P324:R324"/>
    <mergeCell ref="N372:O372"/>
    <mergeCell ref="AF427:AH427"/>
    <mergeCell ref="AJ366:AK366"/>
    <mergeCell ref="AA331:AK331"/>
    <mergeCell ref="AA346:AK346"/>
    <mergeCell ref="H337:R337"/>
    <mergeCell ref="AI332:AK332"/>
    <mergeCell ref="AA329:AK329"/>
    <mergeCell ref="H326:R326"/>
    <mergeCell ref="P332:R332"/>
    <mergeCell ref="AA324:AF324"/>
    <mergeCell ref="P358:AE358"/>
    <mergeCell ref="H336:R336"/>
    <mergeCell ref="AA341:AF341"/>
    <mergeCell ref="AA337:AK337"/>
    <mergeCell ref="AA336:AK336"/>
    <mergeCell ref="H341:M341"/>
    <mergeCell ref="AI324:AK324"/>
    <mergeCell ref="AA338:AK338"/>
    <mergeCell ref="AA330:AK330"/>
    <mergeCell ref="H334:R334"/>
    <mergeCell ref="AG410:AJ410"/>
    <mergeCell ref="AC396:AJ396"/>
    <mergeCell ref="V397:AJ397"/>
    <mergeCell ref="P348:R348"/>
    <mergeCell ref="AA350:AK350"/>
    <mergeCell ref="R421:S421"/>
    <mergeCell ref="P356:Z356"/>
    <mergeCell ref="J395:U395"/>
    <mergeCell ref="T407:AJ407"/>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45:AK345"/>
    <mergeCell ref="H342:R342"/>
    <mergeCell ref="D415:AJ416"/>
    <mergeCell ref="D454:AF454"/>
    <mergeCell ref="D460:AJ461"/>
    <mergeCell ref="AA348:AF348"/>
    <mergeCell ref="AG456:AJ456"/>
    <mergeCell ref="AA333:AF333"/>
    <mergeCell ref="AC395:AJ395"/>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44:R344"/>
    <mergeCell ref="I427:K427"/>
    <mergeCell ref="S422:T422"/>
    <mergeCell ref="AG402:AJ402"/>
    <mergeCell ref="AA342:AK342"/>
    <mergeCell ref="D477:V477"/>
    <mergeCell ref="D452:AF452"/>
    <mergeCell ref="E377:AH378"/>
    <mergeCell ref="Q374:AG374"/>
    <mergeCell ref="H349:M349"/>
    <mergeCell ref="AJ365:AK365"/>
    <mergeCell ref="AD386:AE386"/>
    <mergeCell ref="AC380:AF380"/>
    <mergeCell ref="AC379:AF379"/>
    <mergeCell ref="V386:W386"/>
    <mergeCell ref="Y373:Z373"/>
    <mergeCell ref="N387:P387"/>
    <mergeCell ref="W427:Y427"/>
    <mergeCell ref="M367:N367"/>
    <mergeCell ref="D453:AF453"/>
    <mergeCell ref="R420:S420"/>
    <mergeCell ref="P355:AE355"/>
    <mergeCell ref="Q438:R438"/>
    <mergeCell ref="D457:AF457"/>
    <mergeCell ref="AG454:AJ454"/>
    <mergeCell ref="AG448:AJ448"/>
    <mergeCell ref="AE433:AF433"/>
    <mergeCell ref="N380:Q380"/>
    <mergeCell ref="V391:W391"/>
    <mergeCell ref="J376:K376"/>
    <mergeCell ref="AA344:AK344"/>
    <mergeCell ref="AC356:AE356"/>
    <mergeCell ref="P352:AE352"/>
    <mergeCell ref="AA349:AF349"/>
    <mergeCell ref="P353:AE353"/>
    <mergeCell ref="AA347:AK347"/>
    <mergeCell ref="P354:AE354"/>
    <mergeCell ref="S414:AJ414"/>
    <mergeCell ref="AC394:AJ394"/>
    <mergeCell ref="S411:U411"/>
    <mergeCell ref="P433:Q433"/>
    <mergeCell ref="AG403:AJ403"/>
    <mergeCell ref="J397:U397"/>
    <mergeCell ref="P427:R427"/>
    <mergeCell ref="Q403:U403"/>
    <mergeCell ref="AD421:AE421"/>
    <mergeCell ref="AG447:AJ447"/>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T570:V570"/>
    <mergeCell ref="Z585:AK585"/>
    <mergeCell ref="Z587:AK587"/>
    <mergeCell ref="G609:R609"/>
    <mergeCell ref="AA581:AK581"/>
    <mergeCell ref="AG607:AH607"/>
    <mergeCell ref="Z576:AK576"/>
    <mergeCell ref="G576:R576"/>
    <mergeCell ref="N591:O591"/>
    <mergeCell ref="W569:Y569"/>
    <mergeCell ref="W570:Y570"/>
    <mergeCell ref="AA590:AK590"/>
    <mergeCell ref="H581:R581"/>
    <mergeCell ref="B574:AL574"/>
    <mergeCell ref="N583:O583"/>
    <mergeCell ref="G593:R593"/>
    <mergeCell ref="G603:R603"/>
    <mergeCell ref="G604:R604"/>
    <mergeCell ref="Z586:AK586"/>
    <mergeCell ref="G586:R586"/>
    <mergeCell ref="T642:V642"/>
    <mergeCell ref="AF642:AJ642"/>
    <mergeCell ref="G722:J725"/>
    <mergeCell ref="G676:R676"/>
    <mergeCell ref="AK732:AO732"/>
    <mergeCell ref="AH728:AJ728"/>
    <mergeCell ref="AH729:AJ729"/>
    <mergeCell ref="M646:P646"/>
    <mergeCell ref="W646:Y646"/>
    <mergeCell ref="Z662:AK662"/>
    <mergeCell ref="P655:R655"/>
    <mergeCell ref="AI655:AK655"/>
    <mergeCell ref="G728:J728"/>
    <mergeCell ref="O726:S726"/>
    <mergeCell ref="C646:L646"/>
    <mergeCell ref="T646:V646"/>
    <mergeCell ref="G659:R659"/>
    <mergeCell ref="G660:R660"/>
    <mergeCell ref="AA656:AK656"/>
    <mergeCell ref="AK645:AN645"/>
    <mergeCell ref="T732:W732"/>
    <mergeCell ref="G691:R691"/>
    <mergeCell ref="M643:P643"/>
    <mergeCell ref="G654:R654"/>
    <mergeCell ref="Z660:AK660"/>
    <mergeCell ref="N689:O689"/>
    <mergeCell ref="X727:AB727"/>
    <mergeCell ref="AK740:AO740"/>
    <mergeCell ref="AK741:AO741"/>
    <mergeCell ref="AK742:AO742"/>
    <mergeCell ref="AK758:AO758"/>
    <mergeCell ref="X735:AB735"/>
    <mergeCell ref="T737:W737"/>
    <mergeCell ref="AK743:AO743"/>
    <mergeCell ref="B728:F728"/>
    <mergeCell ref="B730:F730"/>
    <mergeCell ref="AG681:AH681"/>
    <mergeCell ref="B726:F726"/>
    <mergeCell ref="G729:J729"/>
    <mergeCell ref="T727:W727"/>
    <mergeCell ref="AK755:AO755"/>
    <mergeCell ref="Z693:AK693"/>
    <mergeCell ref="AE706:AI706"/>
    <mergeCell ref="AC722:AG725"/>
    <mergeCell ref="G730:J730"/>
    <mergeCell ref="AK745:AO745"/>
    <mergeCell ref="AK756:AO756"/>
    <mergeCell ref="AC758:AG758"/>
    <mergeCell ref="O753:S753"/>
    <mergeCell ref="T756:W756"/>
    <mergeCell ref="X755:AB755"/>
    <mergeCell ref="X754:AB754"/>
    <mergeCell ref="AC750:AG750"/>
    <mergeCell ref="AC751:AG751"/>
    <mergeCell ref="AC752:AG752"/>
    <mergeCell ref="AC753:AG753"/>
    <mergeCell ref="AC754:AG754"/>
    <mergeCell ref="B739:F739"/>
    <mergeCell ref="T742:W742"/>
    <mergeCell ref="J798:N798"/>
    <mergeCell ref="G760:J760"/>
    <mergeCell ref="X730:AB730"/>
    <mergeCell ref="B738:F738"/>
    <mergeCell ref="B749:F749"/>
    <mergeCell ref="X752:AB752"/>
    <mergeCell ref="AH751:AJ751"/>
    <mergeCell ref="AH752:AJ752"/>
    <mergeCell ref="G694:R694"/>
    <mergeCell ref="C643:L643"/>
    <mergeCell ref="Z671:AE671"/>
    <mergeCell ref="J783:N783"/>
    <mergeCell ref="AC784:AG784"/>
    <mergeCell ref="G738:J738"/>
    <mergeCell ref="X738:AB738"/>
    <mergeCell ref="O741:S741"/>
    <mergeCell ref="AH741:AJ741"/>
    <mergeCell ref="G741:J741"/>
    <mergeCell ref="K738:N738"/>
    <mergeCell ref="K733:N733"/>
    <mergeCell ref="X728:AB728"/>
    <mergeCell ref="AH737:AJ737"/>
    <mergeCell ref="O738:S738"/>
    <mergeCell ref="AH732:AJ732"/>
    <mergeCell ref="AC645:AE645"/>
    <mergeCell ref="AK751:AO751"/>
    <mergeCell ref="AK752:AO752"/>
    <mergeCell ref="K728:N728"/>
    <mergeCell ref="T735:W735"/>
    <mergeCell ref="X731:AB731"/>
    <mergeCell ref="B742:F742"/>
    <mergeCell ref="X797:AB797"/>
    <mergeCell ref="B736:F736"/>
    <mergeCell ref="K745:N745"/>
    <mergeCell ref="K760:N760"/>
    <mergeCell ref="O805:S805"/>
    <mergeCell ref="O796:S796"/>
    <mergeCell ref="O798:S798"/>
    <mergeCell ref="O791:S794"/>
    <mergeCell ref="AK754:AO754"/>
    <mergeCell ref="AH734:AJ734"/>
    <mergeCell ref="T738:W738"/>
    <mergeCell ref="T734:W734"/>
    <mergeCell ref="AC748:AG748"/>
    <mergeCell ref="AC749:AG749"/>
    <mergeCell ref="AC745:AG745"/>
    <mergeCell ref="B729:F729"/>
    <mergeCell ref="B761:F761"/>
    <mergeCell ref="J777:N780"/>
    <mergeCell ref="AC805:AG805"/>
    <mergeCell ref="AC795:AG795"/>
    <mergeCell ref="AC761:AG761"/>
    <mergeCell ref="O761:S761"/>
    <mergeCell ref="O760:S760"/>
    <mergeCell ref="O782:S782"/>
    <mergeCell ref="O802:S802"/>
    <mergeCell ref="X751:AB751"/>
    <mergeCell ref="AH753:AJ753"/>
    <mergeCell ref="AH754:AJ754"/>
    <mergeCell ref="AH755:AJ755"/>
    <mergeCell ref="T797:W797"/>
    <mergeCell ref="O803:S803"/>
    <mergeCell ref="AC799:AG799"/>
    <mergeCell ref="Z815:AE815"/>
    <mergeCell ref="AC797:AG797"/>
    <mergeCell ref="AC798:AG798"/>
    <mergeCell ref="Z826:AE826"/>
    <mergeCell ref="T803:W803"/>
    <mergeCell ref="Y809:AC809"/>
    <mergeCell ref="X777:AB780"/>
    <mergeCell ref="T777:W780"/>
    <mergeCell ref="AC801:AG801"/>
    <mergeCell ref="X783:AB783"/>
    <mergeCell ref="X784:AB784"/>
    <mergeCell ref="O801:S801"/>
    <mergeCell ref="T795:W795"/>
    <mergeCell ref="T796:W796"/>
    <mergeCell ref="AC800:AG800"/>
    <mergeCell ref="O795:S795"/>
    <mergeCell ref="AC782:AG782"/>
    <mergeCell ref="X785:AB785"/>
    <mergeCell ref="X760:AB760"/>
    <mergeCell ref="T791:W794"/>
    <mergeCell ref="X791:AB794"/>
    <mergeCell ref="B762:AH763"/>
    <mergeCell ref="X782:AB782"/>
    <mergeCell ref="T781:W781"/>
    <mergeCell ref="J781:N781"/>
    <mergeCell ref="O781:S781"/>
    <mergeCell ref="J801:N801"/>
    <mergeCell ref="X801:AB801"/>
    <mergeCell ref="C836:H836"/>
    <mergeCell ref="Z817:AE817"/>
    <mergeCell ref="O804:S804"/>
    <mergeCell ref="U833:X833"/>
    <mergeCell ref="AC834:AF834"/>
    <mergeCell ref="AC835:AF835"/>
    <mergeCell ref="O759:S759"/>
    <mergeCell ref="X802:AB802"/>
    <mergeCell ref="T784:W784"/>
    <mergeCell ref="T782:W782"/>
    <mergeCell ref="Y808:AC808"/>
    <mergeCell ref="AC804:AG804"/>
    <mergeCell ref="AC796:AG796"/>
    <mergeCell ref="U831:X832"/>
    <mergeCell ref="Q831:T832"/>
    <mergeCell ref="AG831:AJ832"/>
    <mergeCell ref="AC785:AG785"/>
    <mergeCell ref="T802:W802"/>
    <mergeCell ref="K759:N759"/>
    <mergeCell ref="J784:N784"/>
    <mergeCell ref="J787:K787"/>
    <mergeCell ref="J795:N795"/>
    <mergeCell ref="AC759:AG759"/>
    <mergeCell ref="AH760:AJ760"/>
    <mergeCell ref="X781:AB781"/>
    <mergeCell ref="BD908:BE908"/>
    <mergeCell ref="BD910:BE910"/>
    <mergeCell ref="AC895:AH895"/>
    <mergeCell ref="AC896:AH896"/>
    <mergeCell ref="W879:AC879"/>
    <mergeCell ref="AC894:AH894"/>
    <mergeCell ref="M885:V885"/>
    <mergeCell ref="W877:AC877"/>
    <mergeCell ref="W881:AC881"/>
    <mergeCell ref="M884:V884"/>
    <mergeCell ref="J857:V857"/>
    <mergeCell ref="W854:AC854"/>
    <mergeCell ref="M838:P838"/>
    <mergeCell ref="C840:L840"/>
    <mergeCell ref="W865:AC865"/>
    <mergeCell ref="M883:V883"/>
    <mergeCell ref="Y839:AB839"/>
    <mergeCell ref="G662:R662"/>
    <mergeCell ref="G661:R661"/>
    <mergeCell ref="AE704:AI704"/>
    <mergeCell ref="K726:N726"/>
    <mergeCell ref="G726:J726"/>
    <mergeCell ref="G678:R678"/>
    <mergeCell ref="Z677:AK677"/>
    <mergeCell ref="E715:AK715"/>
    <mergeCell ref="W714:AK714"/>
    <mergeCell ref="AH757:AJ757"/>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G732:J732"/>
    <mergeCell ref="T749:W749"/>
    <mergeCell ref="X750:AB750"/>
    <mergeCell ref="B733:F733"/>
    <mergeCell ref="B732:F732"/>
    <mergeCell ref="B735:F735"/>
    <mergeCell ref="B731:F731"/>
    <mergeCell ref="B737:F737"/>
    <mergeCell ref="W859:AC859"/>
    <mergeCell ref="W863:AC863"/>
    <mergeCell ref="W860:AC860"/>
    <mergeCell ref="AG834:AJ834"/>
    <mergeCell ref="AG833:AJ833"/>
    <mergeCell ref="C837:H837"/>
    <mergeCell ref="U837:X837"/>
    <mergeCell ref="Y833:AB833"/>
    <mergeCell ref="AC833:AF833"/>
    <mergeCell ref="Q838:T838"/>
    <mergeCell ref="AG839:AJ839"/>
    <mergeCell ref="P824:Y824"/>
    <mergeCell ref="Q833:T833"/>
    <mergeCell ref="Q839:T839"/>
    <mergeCell ref="AG837:AJ837"/>
    <mergeCell ref="C834:H834"/>
    <mergeCell ref="J802:N802"/>
    <mergeCell ref="M835:P835"/>
    <mergeCell ref="J805:N805"/>
    <mergeCell ref="J803:N803"/>
    <mergeCell ref="M833:P833"/>
    <mergeCell ref="U834:X834"/>
    <mergeCell ref="Q836:T836"/>
    <mergeCell ref="C806:AN807"/>
    <mergeCell ref="K737:N737"/>
    <mergeCell ref="G735:J735"/>
    <mergeCell ref="O727:S727"/>
    <mergeCell ref="K732:N732"/>
    <mergeCell ref="AI663:AK663"/>
    <mergeCell ref="G670:R670"/>
    <mergeCell ref="AG689:AH689"/>
    <mergeCell ref="AK731:AO731"/>
    <mergeCell ref="AH735:AJ735"/>
    <mergeCell ref="X733:AB733"/>
    <mergeCell ref="G683:R683"/>
    <mergeCell ref="X729:AB729"/>
    <mergeCell ref="AH736:AJ736"/>
    <mergeCell ref="G679:L679"/>
    <mergeCell ref="T733:W733"/>
    <mergeCell ref="O728:S728"/>
    <mergeCell ref="K727:N727"/>
    <mergeCell ref="H672:R672"/>
    <mergeCell ref="AC728:AG728"/>
    <mergeCell ref="AK737:AO737"/>
    <mergeCell ref="AK735:AO735"/>
    <mergeCell ref="AK734:AO734"/>
    <mergeCell ref="CG726:CH726"/>
    <mergeCell ref="CI729:CJ729"/>
    <mergeCell ref="J712:X712"/>
    <mergeCell ref="K739:N739"/>
    <mergeCell ref="K722:N725"/>
    <mergeCell ref="T730:W730"/>
    <mergeCell ref="N697:O697"/>
    <mergeCell ref="K734:N734"/>
    <mergeCell ref="CG729:CH729"/>
    <mergeCell ref="CK728:CL728"/>
    <mergeCell ref="CK739:CL739"/>
    <mergeCell ref="CK737:CL737"/>
    <mergeCell ref="T736:W736"/>
    <mergeCell ref="AC727:AG727"/>
    <mergeCell ref="G739:J739"/>
    <mergeCell ref="N681:O681"/>
    <mergeCell ref="G695:L695"/>
    <mergeCell ref="G692:R692"/>
    <mergeCell ref="W711:AK711"/>
    <mergeCell ref="H688:R688"/>
    <mergeCell ref="G693:R693"/>
    <mergeCell ref="T729:W729"/>
    <mergeCell ref="AE703:AI703"/>
    <mergeCell ref="O731:S731"/>
    <mergeCell ref="X726:AB726"/>
    <mergeCell ref="O722:S725"/>
    <mergeCell ref="O735:S735"/>
    <mergeCell ref="K735:N735"/>
    <mergeCell ref="T722:W725"/>
    <mergeCell ref="G686:R686"/>
    <mergeCell ref="P687:R687"/>
    <mergeCell ref="CP730:CT730"/>
    <mergeCell ref="CZ737:DD737"/>
    <mergeCell ref="CZ739:DD739"/>
    <mergeCell ref="CP731:CT731"/>
    <mergeCell ref="T740:W740"/>
    <mergeCell ref="T739:W739"/>
    <mergeCell ref="AG665:AH665"/>
    <mergeCell ref="G668:R668"/>
    <mergeCell ref="O732:S732"/>
    <mergeCell ref="CM746:CN746"/>
    <mergeCell ref="G671:L671"/>
    <mergeCell ref="G731:J731"/>
    <mergeCell ref="O733:S733"/>
    <mergeCell ref="CG744:CH744"/>
    <mergeCell ref="G687:L687"/>
    <mergeCell ref="X736:AB736"/>
    <mergeCell ref="CG740:CH740"/>
    <mergeCell ref="G685:R685"/>
    <mergeCell ref="Z686:AK686"/>
    <mergeCell ref="Z685:AK685"/>
    <mergeCell ref="AG673:AH673"/>
    <mergeCell ref="AI695:AK695"/>
    <mergeCell ref="J713:O713"/>
    <mergeCell ref="G684:R684"/>
    <mergeCell ref="O730:S730"/>
    <mergeCell ref="CM728:CN728"/>
    <mergeCell ref="CI728:CJ728"/>
    <mergeCell ref="CM730:CN730"/>
    <mergeCell ref="CG730:CH730"/>
    <mergeCell ref="G675:R675"/>
    <mergeCell ref="G677:R677"/>
    <mergeCell ref="AK733:AO733"/>
    <mergeCell ref="CP732:CT732"/>
    <mergeCell ref="CP735:CT735"/>
    <mergeCell ref="CI735:CJ735"/>
    <mergeCell ref="CZ743:DD743"/>
    <mergeCell ref="CU742:CY742"/>
    <mergeCell ref="CP744:CT744"/>
    <mergeCell ref="CM745:CN745"/>
    <mergeCell ref="CU745:CY745"/>
    <mergeCell ref="CZ746:DD746"/>
    <mergeCell ref="CM744:CN744"/>
    <mergeCell ref="CI746:CJ746"/>
    <mergeCell ref="CZ731:DD731"/>
    <mergeCell ref="CP738:CT738"/>
    <mergeCell ref="CU739:CY739"/>
    <mergeCell ref="CM740:CN740"/>
    <mergeCell ref="CP734:CT734"/>
    <mergeCell ref="CK740:CL740"/>
    <mergeCell ref="CP733:CT733"/>
    <mergeCell ref="CZ735:DD735"/>
    <mergeCell ref="CM732:CN732"/>
    <mergeCell ref="CM742:CN742"/>
    <mergeCell ref="CZ738:DD738"/>
    <mergeCell ref="CM738:CN738"/>
    <mergeCell ref="CM737:CN737"/>
    <mergeCell ref="CK741:CL741"/>
    <mergeCell ref="T641:V641"/>
    <mergeCell ref="AC638:AE638"/>
    <mergeCell ref="CU735:CY735"/>
    <mergeCell ref="CK732:CL732"/>
    <mergeCell ref="CK735:CL735"/>
    <mergeCell ref="CM733:CN733"/>
    <mergeCell ref="CZ740:DD740"/>
    <mergeCell ref="CK743:CL743"/>
    <mergeCell ref="CP740:CT740"/>
    <mergeCell ref="CK738:CL738"/>
    <mergeCell ref="CP739:CT739"/>
    <mergeCell ref="CI737:CJ737"/>
    <mergeCell ref="CI739:CJ739"/>
    <mergeCell ref="CI736:CJ736"/>
    <mergeCell ref="CI738:CJ738"/>
    <mergeCell ref="CG742:CH742"/>
    <mergeCell ref="CU738:CY738"/>
    <mergeCell ref="CU743:CY743"/>
    <mergeCell ref="CP743:CT743"/>
    <mergeCell ref="CG739:CH739"/>
    <mergeCell ref="CK733:CL733"/>
    <mergeCell ref="CG741:CH741"/>
    <mergeCell ref="CI742:CJ742"/>
    <mergeCell ref="CG737:CH737"/>
    <mergeCell ref="CI740:CJ740"/>
    <mergeCell ref="CI741:CJ741"/>
    <mergeCell ref="CM734:CN734"/>
    <mergeCell ref="CI733:CJ733"/>
    <mergeCell ref="CZ730:DD730"/>
    <mergeCell ref="CZ732:DD732"/>
    <mergeCell ref="CZ733:DD733"/>
    <mergeCell ref="CP736:CT736"/>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W638:Y638"/>
    <mergeCell ref="AF638:AJ638"/>
    <mergeCell ref="AO644:AS644"/>
    <mergeCell ref="AK635:AN635"/>
    <mergeCell ref="C637:L637"/>
    <mergeCell ref="Z663:AE663"/>
    <mergeCell ref="M645:P645"/>
    <mergeCell ref="M632:P634"/>
    <mergeCell ref="N657:O657"/>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AE570:AH570"/>
    <mergeCell ref="AG583:AH583"/>
    <mergeCell ref="W473:Y473"/>
    <mergeCell ref="AC525:AF525"/>
    <mergeCell ref="C571:L571"/>
    <mergeCell ref="AE573:AH573"/>
    <mergeCell ref="T573:V573"/>
    <mergeCell ref="C568:L568"/>
    <mergeCell ref="Z568:AD568"/>
    <mergeCell ref="AI571:AL571"/>
    <mergeCell ref="Z571:AD571"/>
    <mergeCell ref="T568:V568"/>
    <mergeCell ref="C573:L573"/>
    <mergeCell ref="M565:P565"/>
    <mergeCell ref="AC545:AF545"/>
    <mergeCell ref="O534:AA534"/>
    <mergeCell ref="AC537:AF537"/>
    <mergeCell ref="AH538:AK538"/>
    <mergeCell ref="A625:AT626"/>
    <mergeCell ref="B632:L634"/>
    <mergeCell ref="AE571:AH571"/>
    <mergeCell ref="AM571:AS571"/>
    <mergeCell ref="AO636:AS636"/>
    <mergeCell ref="AG615:AH615"/>
    <mergeCell ref="AO632:AS634"/>
    <mergeCell ref="Z668:AK668"/>
    <mergeCell ref="N665:O665"/>
    <mergeCell ref="W645:Y645"/>
    <mergeCell ref="G610:R610"/>
    <mergeCell ref="G617:R617"/>
    <mergeCell ref="M636:P636"/>
    <mergeCell ref="Z613:AE613"/>
    <mergeCell ref="Z617:AK617"/>
    <mergeCell ref="N615:O615"/>
    <mergeCell ref="Z603:AK603"/>
    <mergeCell ref="G611:R611"/>
    <mergeCell ref="AC637:AE637"/>
    <mergeCell ref="AF632:AJ634"/>
    <mergeCell ref="T640:V640"/>
    <mergeCell ref="AF637:AJ637"/>
    <mergeCell ref="W637:Y637"/>
    <mergeCell ref="P597:R597"/>
    <mergeCell ref="Z596:AK596"/>
    <mergeCell ref="AF639:AJ639"/>
    <mergeCell ref="Z637:AB637"/>
    <mergeCell ref="W643:Y643"/>
    <mergeCell ref="G589:L589"/>
    <mergeCell ref="Z619:AK619"/>
    <mergeCell ref="M635:P635"/>
    <mergeCell ref="M637:P637"/>
    <mergeCell ref="G587:R587"/>
    <mergeCell ref="G602:R602"/>
    <mergeCell ref="Z602:AK602"/>
    <mergeCell ref="Z611:AK611"/>
    <mergeCell ref="AG599:AH599"/>
    <mergeCell ref="G605:L605"/>
    <mergeCell ref="Z639:AB639"/>
    <mergeCell ref="H598:R598"/>
    <mergeCell ref="H590:R590"/>
    <mergeCell ref="AC644:AE644"/>
    <mergeCell ref="AC640:AE640"/>
    <mergeCell ref="AK636:AN636"/>
    <mergeCell ref="W635:Y635"/>
    <mergeCell ref="T635:V635"/>
    <mergeCell ref="G613:L613"/>
    <mergeCell ref="H614:R614"/>
    <mergeCell ref="G618:R618"/>
    <mergeCell ref="G621:L621"/>
    <mergeCell ref="AA614:AK614"/>
    <mergeCell ref="AK640:AN640"/>
    <mergeCell ref="Z641:AB641"/>
    <mergeCell ref="AF640:AJ640"/>
    <mergeCell ref="AI621:AK621"/>
    <mergeCell ref="AA622:AK622"/>
    <mergeCell ref="AC632:AE634"/>
    <mergeCell ref="H622:R622"/>
    <mergeCell ref="Q638:S638"/>
    <mergeCell ref="Z612:AK612"/>
    <mergeCell ref="G595:R595"/>
    <mergeCell ref="Z597:AE597"/>
    <mergeCell ref="G601:R601"/>
    <mergeCell ref="AI605:AK605"/>
    <mergeCell ref="AM564:AS564"/>
    <mergeCell ref="AI570:AL570"/>
    <mergeCell ref="AI572:AL572"/>
    <mergeCell ref="T569:V569"/>
    <mergeCell ref="AA606:AK606"/>
    <mergeCell ref="C636:L636"/>
    <mergeCell ref="Z618:AK618"/>
    <mergeCell ref="AF636:AJ636"/>
    <mergeCell ref="N607:O607"/>
    <mergeCell ref="AA598:AK598"/>
    <mergeCell ref="AI597:AK597"/>
    <mergeCell ref="Z604:AK604"/>
    <mergeCell ref="H606:R606"/>
    <mergeCell ref="AG591:AH591"/>
    <mergeCell ref="G596:R596"/>
    <mergeCell ref="Z588:AK588"/>
    <mergeCell ref="AM574:AS574"/>
    <mergeCell ref="T632:V634"/>
    <mergeCell ref="AM566:AS566"/>
    <mergeCell ref="Z589:AE589"/>
    <mergeCell ref="AE565:AH565"/>
    <mergeCell ref="AE572:AH572"/>
    <mergeCell ref="T636:V636"/>
    <mergeCell ref="Z605:AE605"/>
    <mergeCell ref="AM573:AS573"/>
    <mergeCell ref="T571:V571"/>
    <mergeCell ref="Z572:AD572"/>
    <mergeCell ref="Z573:AD573"/>
    <mergeCell ref="Z580:AE580"/>
    <mergeCell ref="M582:R582"/>
    <mergeCell ref="Z621:AE621"/>
    <mergeCell ref="N623:O623"/>
    <mergeCell ref="CK736:CL736"/>
    <mergeCell ref="AM567:AS567"/>
    <mergeCell ref="Z695:AE695"/>
    <mergeCell ref="AK638:AN638"/>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Z594:AK594"/>
    <mergeCell ref="G655:L655"/>
    <mergeCell ref="Q646:S646"/>
    <mergeCell ref="H656:R656"/>
    <mergeCell ref="Z640:AB640"/>
    <mergeCell ref="M638:P638"/>
    <mergeCell ref="M639:P639"/>
    <mergeCell ref="P613:R613"/>
    <mergeCell ref="G669:R669"/>
    <mergeCell ref="C635:L635"/>
    <mergeCell ref="Z651:AK651"/>
    <mergeCell ref="P589:R589"/>
    <mergeCell ref="CG728:CH728"/>
    <mergeCell ref="Z661:AK661"/>
    <mergeCell ref="T637:V637"/>
    <mergeCell ref="EH678:EL678"/>
    <mergeCell ref="EC652:EG652"/>
    <mergeCell ref="EH652:EL652"/>
    <mergeCell ref="EH654:EL654"/>
    <mergeCell ref="EH645:EL645"/>
    <mergeCell ref="CM725:CN725"/>
    <mergeCell ref="DX676:EB676"/>
    <mergeCell ref="EC676:EG676"/>
    <mergeCell ref="DX654:EB654"/>
    <mergeCell ref="EC654:EG654"/>
    <mergeCell ref="DX656:EB656"/>
    <mergeCell ref="DO726:DS726"/>
    <mergeCell ref="AI679:AK679"/>
    <mergeCell ref="Z684:AK684"/>
    <mergeCell ref="DJ726:DN726"/>
    <mergeCell ref="CZ727:DD727"/>
    <mergeCell ref="CP729:CT729"/>
    <mergeCell ref="AK729:AO729"/>
    <mergeCell ref="Z692:AK692"/>
    <mergeCell ref="AK728:AO728"/>
    <mergeCell ref="W708:AK708"/>
    <mergeCell ref="Z691:AK691"/>
    <mergeCell ref="CG727:CH727"/>
    <mergeCell ref="CP727:CT727"/>
    <mergeCell ref="AO649:AS649"/>
    <mergeCell ref="Z659:AK659"/>
    <mergeCell ref="AK646:AN646"/>
    <mergeCell ref="AF645:AJ645"/>
    <mergeCell ref="DJ727:DN727"/>
    <mergeCell ref="CU725:CY725"/>
    <mergeCell ref="AH727:AJ727"/>
    <mergeCell ref="CI727:CJ727"/>
    <mergeCell ref="EC660:EG660"/>
    <mergeCell ref="EC655:EG655"/>
    <mergeCell ref="DX657:EB657"/>
    <mergeCell ref="DX649:EB649"/>
    <mergeCell ref="CM726:CN726"/>
    <mergeCell ref="AE710:AF710"/>
    <mergeCell ref="A717:AT719"/>
    <mergeCell ref="AI687:AK687"/>
    <mergeCell ref="AK722:AO725"/>
    <mergeCell ref="AK726:AO726"/>
    <mergeCell ref="DZ727:ED727"/>
    <mergeCell ref="CK731:CL731"/>
    <mergeCell ref="CK729:CL729"/>
    <mergeCell ref="DX653:EB653"/>
    <mergeCell ref="AO645:AS645"/>
    <mergeCell ref="G667:R667"/>
    <mergeCell ref="P679:R679"/>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Z694:AK694"/>
    <mergeCell ref="CU736:CY736"/>
    <mergeCell ref="DZ735:ED735"/>
    <mergeCell ref="EE735:EI735"/>
    <mergeCell ref="EE731:EI731"/>
    <mergeCell ref="CI725:CJ725"/>
    <mergeCell ref="AA688:AK688"/>
    <mergeCell ref="CM736:CN736"/>
    <mergeCell ref="CU734:CY734"/>
    <mergeCell ref="CZ734:DD734"/>
    <mergeCell ref="CG733:CH733"/>
    <mergeCell ref="CU730:CY730"/>
    <mergeCell ref="CG731:CH731"/>
    <mergeCell ref="CM727:CN727"/>
    <mergeCell ref="CM729:CN729"/>
    <mergeCell ref="AC729:AG729"/>
    <mergeCell ref="DE726:DI726"/>
    <mergeCell ref="CZ726:DD726"/>
    <mergeCell ref="DZ726:ED726"/>
    <mergeCell ref="EE726:EI726"/>
    <mergeCell ref="DE736:DI736"/>
    <mergeCell ref="CG735:CH735"/>
    <mergeCell ref="CZ736:DD736"/>
    <mergeCell ref="DJ733:DN733"/>
    <mergeCell ref="CI731:CJ731"/>
    <mergeCell ref="AC730:AG730"/>
    <mergeCell ref="AK730:AO730"/>
    <mergeCell ref="CI734:CJ734"/>
    <mergeCell ref="CG734:CH734"/>
    <mergeCell ref="CM735:CN735"/>
    <mergeCell ref="CK734:CL734"/>
    <mergeCell ref="DE730:DI730"/>
    <mergeCell ref="AK727:AO727"/>
    <mergeCell ref="DO734:DS734"/>
    <mergeCell ref="AA696:AK696"/>
    <mergeCell ref="DE731:DI731"/>
    <mergeCell ref="DO729:DS729"/>
    <mergeCell ref="DO738:DS738"/>
    <mergeCell ref="DJ738:DN738"/>
    <mergeCell ref="DJ735:DN735"/>
    <mergeCell ref="DJ734:DN734"/>
    <mergeCell ref="CU729:CY729"/>
    <mergeCell ref="DE729:DI729"/>
    <mergeCell ref="DE738:DI738"/>
    <mergeCell ref="DJ731:DN731"/>
    <mergeCell ref="DJ732:DN732"/>
    <mergeCell ref="DE728:DI728"/>
    <mergeCell ref="DE732:DI732"/>
    <mergeCell ref="DJ725:DN725"/>
    <mergeCell ref="DJ730:DN730"/>
    <mergeCell ref="DO736:DS736"/>
    <mergeCell ref="DO731:DS731"/>
    <mergeCell ref="DO732:DS732"/>
    <mergeCell ref="DO725:DS725"/>
    <mergeCell ref="CU727:CY727"/>
    <mergeCell ref="DO737:DS737"/>
    <mergeCell ref="DO727:DS727"/>
    <mergeCell ref="CU737:CY737"/>
    <mergeCell ref="CZ729:DD729"/>
    <mergeCell ref="CU732:CY732"/>
    <mergeCell ref="CU733:CY733"/>
    <mergeCell ref="DE727:DI727"/>
    <mergeCell ref="CZ728:DD728"/>
    <mergeCell ref="DE733:DI733"/>
    <mergeCell ref="DE737:DI737"/>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45:DI745"/>
    <mergeCell ref="DE740:DI740"/>
    <mergeCell ref="CZ745:DD745"/>
    <mergeCell ref="DE741:DI741"/>
    <mergeCell ref="CZ756:DD756"/>
    <mergeCell ref="DE756:DI756"/>
    <mergeCell ref="DJ756:DN756"/>
    <mergeCell ref="DO756:DS756"/>
    <mergeCell ref="DJ755:DN755"/>
    <mergeCell ref="DE747:DI747"/>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CU785:CY785"/>
    <mergeCell ref="CU761:CY761"/>
    <mergeCell ref="CM760:CN760"/>
    <mergeCell ref="CP760:CT760"/>
    <mergeCell ref="CP782:CT782"/>
    <mergeCell ref="CU740:CY740"/>
    <mergeCell ref="DJ729:DN729"/>
    <mergeCell ref="DE734:DI734"/>
    <mergeCell ref="CG743:CH743"/>
    <mergeCell ref="CG751:CH751"/>
    <mergeCell ref="CP799:CT799"/>
    <mergeCell ref="AW927:AY927"/>
    <mergeCell ref="C845:AJ845"/>
    <mergeCell ref="AK739:AO739"/>
    <mergeCell ref="CM747:CN747"/>
    <mergeCell ref="CI745:CJ745"/>
    <mergeCell ref="AC744:AG744"/>
    <mergeCell ref="AK744:AO744"/>
    <mergeCell ref="BD913:BE913"/>
    <mergeCell ref="BD915:BF915"/>
    <mergeCell ref="BD914:BF914"/>
    <mergeCell ref="BD919:BE919"/>
    <mergeCell ref="BD912:BE912"/>
    <mergeCell ref="AC898:AH898"/>
    <mergeCell ref="AC903:AH903"/>
    <mergeCell ref="Z908:AE908"/>
    <mergeCell ref="AC897:AH897"/>
    <mergeCell ref="E894:AB894"/>
    <mergeCell ref="AZ859:BA859"/>
    <mergeCell ref="Q837:T837"/>
    <mergeCell ref="T799:W799"/>
    <mergeCell ref="Z821:AE821"/>
    <mergeCell ref="AG835:AJ835"/>
    <mergeCell ref="Q834:T834"/>
    <mergeCell ref="Y831:AB832"/>
    <mergeCell ref="M834:P834"/>
    <mergeCell ref="M880:V880"/>
    <mergeCell ref="Y835:AB835"/>
    <mergeCell ref="Q840:T840"/>
    <mergeCell ref="M839:P839"/>
    <mergeCell ref="CI759:CJ759"/>
    <mergeCell ref="K752:N752"/>
    <mergeCell ref="O752:S752"/>
    <mergeCell ref="CP798:CT798"/>
    <mergeCell ref="U952:Z952"/>
    <mergeCell ref="F947:T947"/>
    <mergeCell ref="M837:P837"/>
    <mergeCell ref="F938:T938"/>
    <mergeCell ref="F946:T946"/>
    <mergeCell ref="U946:Z946"/>
    <mergeCell ref="BG856:BL856"/>
    <mergeCell ref="AH739:AJ739"/>
    <mergeCell ref="CP810:CT810"/>
    <mergeCell ref="CP796:CT796"/>
    <mergeCell ref="U838:X838"/>
    <mergeCell ref="J804:N804"/>
    <mergeCell ref="J785:N785"/>
    <mergeCell ref="AC899:AH899"/>
    <mergeCell ref="W887:AC887"/>
    <mergeCell ref="BD911:BE911"/>
    <mergeCell ref="BD909:BE909"/>
    <mergeCell ref="AC902:AH902"/>
    <mergeCell ref="W857:AC857"/>
    <mergeCell ref="M886:V886"/>
    <mergeCell ref="W878:AC878"/>
    <mergeCell ref="AC893:AH893"/>
    <mergeCell ref="W886:AC886"/>
    <mergeCell ref="W883:AC883"/>
    <mergeCell ref="Z822:AE822"/>
    <mergeCell ref="Z825:AE825"/>
    <mergeCell ref="O797:S797"/>
    <mergeCell ref="AC837:AF837"/>
    <mergeCell ref="Y834:AB834"/>
    <mergeCell ref="O751:S751"/>
    <mergeCell ref="T751:W751"/>
    <mergeCell ref="F936:T936"/>
    <mergeCell ref="C833:H833"/>
    <mergeCell ref="Z823:AE823"/>
    <mergeCell ref="Z816:AE816"/>
    <mergeCell ref="T800:W800"/>
    <mergeCell ref="O785:S785"/>
    <mergeCell ref="X796:AB796"/>
    <mergeCell ref="AC904:AH904"/>
    <mergeCell ref="AC791:AG794"/>
    <mergeCell ref="T759:W759"/>
    <mergeCell ref="K756:N756"/>
    <mergeCell ref="U936:Z936"/>
    <mergeCell ref="AA936:AF936"/>
    <mergeCell ref="T866:V866"/>
    <mergeCell ref="T868:V868"/>
    <mergeCell ref="AC901:AH901"/>
    <mergeCell ref="J797:N797"/>
    <mergeCell ref="X803:AB803"/>
    <mergeCell ref="O800:S800"/>
    <mergeCell ref="J799:N799"/>
    <mergeCell ref="X800:AB800"/>
    <mergeCell ref="U836:X836"/>
    <mergeCell ref="AG836:AJ836"/>
    <mergeCell ref="U932:Z932"/>
    <mergeCell ref="M887:V887"/>
    <mergeCell ref="W867:AC867"/>
    <mergeCell ref="AC836:AF836"/>
    <mergeCell ref="J800:N800"/>
    <mergeCell ref="Z814:AE814"/>
    <mergeCell ref="X799:AB799"/>
    <mergeCell ref="Q835:T835"/>
    <mergeCell ref="M836:P836"/>
    <mergeCell ref="U958:Z958"/>
    <mergeCell ref="AA946:AF946"/>
    <mergeCell ref="U949:Z949"/>
    <mergeCell ref="AA947:AF947"/>
    <mergeCell ref="CP804:CT804"/>
    <mergeCell ref="CP801:CT801"/>
    <mergeCell ref="CP800:CT800"/>
    <mergeCell ref="X745:AB745"/>
    <mergeCell ref="X798:AB798"/>
    <mergeCell ref="U839:X839"/>
    <mergeCell ref="W850:AC850"/>
    <mergeCell ref="W855:AC855"/>
    <mergeCell ref="W885:AC885"/>
    <mergeCell ref="M869:V869"/>
    <mergeCell ref="W853:AC853"/>
    <mergeCell ref="M854:V854"/>
    <mergeCell ref="W884:AC884"/>
    <mergeCell ref="W869:AC869"/>
    <mergeCell ref="X795:AB795"/>
    <mergeCell ref="X804:AB804"/>
    <mergeCell ref="Y837:AB837"/>
    <mergeCell ref="W876:AC876"/>
    <mergeCell ref="W870:AC870"/>
    <mergeCell ref="W880:AC880"/>
    <mergeCell ref="W862:AC862"/>
    <mergeCell ref="AC783:AG783"/>
    <mergeCell ref="AK748:AO748"/>
    <mergeCell ref="AA937:AF937"/>
    <mergeCell ref="AG838:AJ838"/>
    <mergeCell ref="U840:X840"/>
    <mergeCell ref="M840:P840"/>
    <mergeCell ref="W875:AC87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37:AB737"/>
    <mergeCell ref="K749:N749"/>
    <mergeCell ref="X748:AB748"/>
    <mergeCell ref="X743:AB743"/>
    <mergeCell ref="AE970:AK970"/>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K736:N736"/>
    <mergeCell ref="X744:AB744"/>
    <mergeCell ref="T743:W743"/>
    <mergeCell ref="T746:W746"/>
    <mergeCell ref="O748:S748"/>
    <mergeCell ref="T744:W744"/>
    <mergeCell ref="U940:Z940"/>
    <mergeCell ref="F924:T924"/>
    <mergeCell ref="AA935:AF935"/>
    <mergeCell ref="AA953:AF953"/>
    <mergeCell ref="W851:AC851"/>
    <mergeCell ref="F941:T941"/>
    <mergeCell ref="AA948:AF948"/>
    <mergeCell ref="AA949:AF949"/>
    <mergeCell ref="W861:AC861"/>
    <mergeCell ref="AA945:AF945"/>
    <mergeCell ref="AA951:AF951"/>
    <mergeCell ref="C901:AB901"/>
    <mergeCell ref="U933:Z933"/>
    <mergeCell ref="U942:Z942"/>
    <mergeCell ref="U943:Z943"/>
    <mergeCell ref="F939:T939"/>
    <mergeCell ref="F940:T940"/>
    <mergeCell ref="U945:Z945"/>
    <mergeCell ref="AA942:AF942"/>
    <mergeCell ref="Z909:AE909"/>
    <mergeCell ref="AA950:AF950"/>
    <mergeCell ref="AA938:AF938"/>
    <mergeCell ref="U939:Z939"/>
    <mergeCell ref="AA939:AF939"/>
    <mergeCell ref="AA940:AF940"/>
    <mergeCell ref="U941:Z941"/>
    <mergeCell ref="AA941:AF941"/>
    <mergeCell ref="F937:T937"/>
    <mergeCell ref="U935:Z935"/>
    <mergeCell ref="U929:Z929"/>
    <mergeCell ref="C904:AB904"/>
    <mergeCell ref="F935:T935"/>
    <mergeCell ref="AB999:AI999"/>
    <mergeCell ref="O758:S758"/>
    <mergeCell ref="K753:N753"/>
    <mergeCell ref="T748:W748"/>
    <mergeCell ref="G749:J749"/>
    <mergeCell ref="O750:S750"/>
    <mergeCell ref="AC755:AG755"/>
    <mergeCell ref="T760:W760"/>
    <mergeCell ref="F955:H955"/>
    <mergeCell ref="AE965:AK965"/>
    <mergeCell ref="P954:T954"/>
    <mergeCell ref="F953:T953"/>
    <mergeCell ref="U953:Z953"/>
    <mergeCell ref="AH759:AJ759"/>
    <mergeCell ref="K754:N754"/>
    <mergeCell ref="T754:W754"/>
    <mergeCell ref="K755:N755"/>
    <mergeCell ref="AH758:AJ758"/>
    <mergeCell ref="B760:F760"/>
    <mergeCell ref="B759:F759"/>
    <mergeCell ref="X758:AB758"/>
    <mergeCell ref="AC757:AG757"/>
    <mergeCell ref="U924:Z926"/>
    <mergeCell ref="U959:Z959"/>
    <mergeCell ref="I955:T955"/>
    <mergeCell ref="AA955:AF955"/>
    <mergeCell ref="C838:H838"/>
    <mergeCell ref="F839:L839"/>
    <mergeCell ref="U835:X835"/>
    <mergeCell ref="C835:H835"/>
    <mergeCell ref="I958:T958"/>
    <mergeCell ref="U947:Z947"/>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9:AO749"/>
    <mergeCell ref="D1010:AE1010"/>
    <mergeCell ref="G745:J745"/>
    <mergeCell ref="K751:N751"/>
    <mergeCell ref="M971:S971"/>
    <mergeCell ref="AA934:AF934"/>
    <mergeCell ref="AE967:AK967"/>
    <mergeCell ref="F925:T926"/>
    <mergeCell ref="F948:T948"/>
    <mergeCell ref="AB997:AI997"/>
    <mergeCell ref="R995:AA995"/>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D1004:AE1007"/>
    <mergeCell ref="F984:L984"/>
    <mergeCell ref="D1039:AE1040"/>
    <mergeCell ref="B1002:AE1002"/>
    <mergeCell ref="M976:S976"/>
    <mergeCell ref="M977:S977"/>
    <mergeCell ref="M964:S964"/>
    <mergeCell ref="F949:T949"/>
    <mergeCell ref="U948:Z948"/>
    <mergeCell ref="I957:T957"/>
    <mergeCell ref="D994:Q994"/>
    <mergeCell ref="AB994:AI994"/>
    <mergeCell ref="AB996:AI996"/>
    <mergeCell ref="D996:Q996"/>
    <mergeCell ref="R998:AA998"/>
    <mergeCell ref="D1020:AE1020"/>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999:Q999"/>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AJ1045:AQ1049"/>
    <mergeCell ref="D1050:AE1050"/>
    <mergeCell ref="D1051:AE1053"/>
    <mergeCell ref="AJ1050:AQ1053"/>
    <mergeCell ref="FY734:GC734"/>
    <mergeCell ref="DU736:DY736"/>
    <mergeCell ref="EZ757:FD757"/>
    <mergeCell ref="FE757:FI757"/>
    <mergeCell ref="FJ757:FN757"/>
    <mergeCell ref="FO757:FS757"/>
    <mergeCell ref="FY753:GC753"/>
    <mergeCell ref="EZ754:FD754"/>
    <mergeCell ref="FT754:FX754"/>
    <mergeCell ref="FY729:GC729"/>
    <mergeCell ref="EZ730:FD730"/>
    <mergeCell ref="FE730:FI730"/>
    <mergeCell ref="AA976:AG976"/>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O983:P983"/>
    <mergeCell ref="FJ733:FN733"/>
    <mergeCell ref="AE964:AK964"/>
    <mergeCell ref="I959:T959"/>
    <mergeCell ref="AK760:AO760"/>
    <mergeCell ref="T982:Z982"/>
    <mergeCell ref="I956:T956"/>
    <mergeCell ref="AK746:AO746"/>
    <mergeCell ref="U955:Z955"/>
    <mergeCell ref="FJ736:FN736"/>
    <mergeCell ref="FO736:FS736"/>
    <mergeCell ref="FJ735:FN735"/>
    <mergeCell ref="FO735:FS735"/>
    <mergeCell ref="FT735:FX735"/>
    <mergeCell ref="FJ734:FN734"/>
    <mergeCell ref="FO734:FS734"/>
    <mergeCell ref="FT734:FX734"/>
    <mergeCell ref="FT736:FX736"/>
    <mergeCell ref="DZ740:ED740"/>
    <mergeCell ref="EE740:EI740"/>
    <mergeCell ref="FE728:FI72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O743:FS743"/>
    <mergeCell ref="EZ740:FD740"/>
    <mergeCell ref="EZ747:FD747"/>
    <mergeCell ref="FJ730:FN730"/>
    <mergeCell ref="FO730:FS730"/>
    <mergeCell ref="FT730:FX730"/>
    <mergeCell ref="FY730:GC730"/>
    <mergeCell ref="EZ731:FD731"/>
    <mergeCell ref="FE731:FI731"/>
    <mergeCell ref="FJ731:FN731"/>
    <mergeCell ref="FO731:FS731"/>
    <mergeCell ref="FO733:FS733"/>
    <mergeCell ref="FT756:FX756"/>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DU737:DY737"/>
    <mergeCell ref="DZ732:ED732"/>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EZ734:FD734"/>
    <mergeCell ref="FE734:FI734"/>
    <mergeCell ref="EZ736:FD736"/>
    <mergeCell ref="FE736:FI736"/>
    <mergeCell ref="EE741:EI741"/>
    <mergeCell ref="ET740:EX740"/>
    <mergeCell ref="DU738:DY738"/>
    <mergeCell ref="EE736:EI736"/>
    <mergeCell ref="EJ736:EN736"/>
    <mergeCell ref="EO735:ES735"/>
    <mergeCell ref="EJ732:EN732"/>
    <mergeCell ref="ET742:EX742"/>
    <mergeCell ref="ET743:EX743"/>
    <mergeCell ref="EO725:ES725"/>
    <mergeCell ref="EW666:FA666"/>
    <mergeCell ref="EM675:EQ675"/>
    <mergeCell ref="ER675:EV675"/>
    <mergeCell ref="DU730:DY730"/>
    <mergeCell ref="EJ733:EN733"/>
    <mergeCell ref="ET731:EX731"/>
    <mergeCell ref="DU733:DY733"/>
    <mergeCell ref="DZ733:ED733"/>
    <mergeCell ref="ET726:EX726"/>
    <mergeCell ref="EE725:EI725"/>
    <mergeCell ref="DX675:EB675"/>
    <mergeCell ref="EW669:FA669"/>
    <mergeCell ref="EM670:EQ670"/>
    <mergeCell ref="ER670:EV670"/>
    <mergeCell ref="EO738:ES738"/>
    <mergeCell ref="ET738:EX738"/>
    <mergeCell ref="EO732:ES732"/>
    <mergeCell ref="ET732:EX732"/>
    <mergeCell ref="ER649:EV649"/>
    <mergeCell ref="EH649:EL649"/>
    <mergeCell ref="EW652:FA652"/>
    <mergeCell ref="DU727:DY727"/>
    <mergeCell ref="FJ729:FN729"/>
    <mergeCell ref="FO729:FS729"/>
    <mergeCell ref="EO726:ES726"/>
    <mergeCell ref="DU728:DY728"/>
    <mergeCell ref="EZ735:FD735"/>
    <mergeCell ref="EZ739:FD739"/>
    <mergeCell ref="FE739:FI739"/>
    <mergeCell ref="FJ739:FN739"/>
    <mergeCell ref="FO739:FS739"/>
    <mergeCell ref="EH660:EL660"/>
    <mergeCell ref="EC668:EG668"/>
    <mergeCell ref="EW670:FA670"/>
    <mergeCell ref="DX671:EB671"/>
    <mergeCell ref="EC671:EG671"/>
    <mergeCell ref="EH671:EL671"/>
    <mergeCell ref="ER673:EV673"/>
    <mergeCell ref="EW673:FA673"/>
    <mergeCell ref="ER667:EV667"/>
    <mergeCell ref="EW667:FA667"/>
    <mergeCell ref="DX668:EB668"/>
    <mergeCell ref="EW677:FA677"/>
    <mergeCell ref="ER664:EV664"/>
    <mergeCell ref="EC677:EG677"/>
    <mergeCell ref="EH677:EL677"/>
    <mergeCell ref="EM677:EQ677"/>
    <mergeCell ref="DX672:EB672"/>
    <mergeCell ref="EO731:ES731"/>
    <mergeCell ref="EO729:ES729"/>
    <mergeCell ref="EM653:EQ653"/>
    <mergeCell ref="EH648:EL648"/>
    <mergeCell ref="EM648:EQ648"/>
    <mergeCell ref="DX647:EB647"/>
    <mergeCell ref="EO727:ES727"/>
    <mergeCell ref="ET727:EX727"/>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R657:EV657"/>
    <mergeCell ref="EW647:FA647"/>
    <mergeCell ref="EC648:EG648"/>
    <mergeCell ref="EW648:FA648"/>
    <mergeCell ref="ER651:EV651"/>
    <mergeCell ref="ER648:EV648"/>
    <mergeCell ref="EW655:FA655"/>
    <mergeCell ref="EW658:FA658"/>
    <mergeCell ref="ER647:EV647"/>
    <mergeCell ref="DX652:EB652"/>
    <mergeCell ref="DX650:EB650"/>
    <mergeCell ref="ER659:EV659"/>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W659:FA659"/>
    <mergeCell ref="EW657:FA657"/>
    <mergeCell ref="EH650:EL650"/>
    <mergeCell ref="EM650:EQ650"/>
    <mergeCell ref="ER650:EV650"/>
    <mergeCell ref="EW656:FA656"/>
    <mergeCell ref="EH661:EL661"/>
    <mergeCell ref="EW646:FA646"/>
    <mergeCell ref="ER656:EV656"/>
    <mergeCell ref="ER655:EV655"/>
    <mergeCell ref="EH653:EL653"/>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Z728:FD728"/>
    <mergeCell ref="ER677:EV677"/>
    <mergeCell ref="ER676:EV676"/>
    <mergeCell ref="EW676:FA676"/>
    <mergeCell ref="EW672:FA672"/>
    <mergeCell ref="EM678:EQ678"/>
    <mergeCell ref="ER678:EV678"/>
    <mergeCell ref="DX677:EB677"/>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U731:DY731"/>
    <mergeCell ref="DZ731:ED731"/>
    <mergeCell ref="EE727:EI727"/>
    <mergeCell ref="EJ741:EN741"/>
    <mergeCell ref="DZ737:ED737"/>
    <mergeCell ref="ET735:EX735"/>
    <mergeCell ref="EO734:ES734"/>
    <mergeCell ref="ET734:EX734"/>
    <mergeCell ref="ET730:EX730"/>
    <mergeCell ref="ET728:EX728"/>
    <mergeCell ref="EO736:ES736"/>
    <mergeCell ref="ET736:EX736"/>
    <mergeCell ref="EO733:ES733"/>
    <mergeCell ref="EE733:EI733"/>
    <mergeCell ref="EJ738:EN738"/>
    <mergeCell ref="EW649:FA649"/>
    <mergeCell ref="EW674:FA674"/>
    <mergeCell ref="EW662:FA662"/>
    <mergeCell ref="DX655:EB655"/>
    <mergeCell ref="ER669:EV669"/>
    <mergeCell ref="EM649:EQ649"/>
    <mergeCell ref="EH658:EL658"/>
    <mergeCell ref="DU725:DY725"/>
    <mergeCell ref="EE734:EI734"/>
    <mergeCell ref="EM661:EQ661"/>
    <mergeCell ref="ER661:EV661"/>
    <mergeCell ref="EW663:FA663"/>
    <mergeCell ref="ER663:EV663"/>
    <mergeCell ref="EH656:EL656"/>
    <mergeCell ref="EH659:EL659"/>
    <mergeCell ref="EC673:EG673"/>
    <mergeCell ref="EH673:EL673"/>
    <mergeCell ref="EM673:EQ673"/>
    <mergeCell ref="EM674:EQ674"/>
    <mergeCell ref="EW660:FA660"/>
    <mergeCell ref="EM669:EQ669"/>
    <mergeCell ref="ER674:EV674"/>
    <mergeCell ref="DX663:EB663"/>
    <mergeCell ref="DX664:EB664"/>
    <mergeCell ref="EC664:EG664"/>
    <mergeCell ref="EH664:EL664"/>
    <mergeCell ref="EM664:EQ664"/>
    <mergeCell ref="EM662:EQ662"/>
    <mergeCell ref="ER662:EV662"/>
    <mergeCell ref="EM660:EQ660"/>
    <mergeCell ref="EC667:EG667"/>
    <mergeCell ref="EC663:EG663"/>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C678:EG678"/>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O750:DS750"/>
    <mergeCell ref="CU751:CY751"/>
    <mergeCell ref="DU747:DY747"/>
    <mergeCell ref="DZ747:ED747"/>
    <mergeCell ref="DJ781:DN781"/>
    <mergeCell ref="DU746:DY746"/>
    <mergeCell ref="DZ745:ED745"/>
    <mergeCell ref="CU782:CY782"/>
    <mergeCell ref="DZ754:ED754"/>
    <mergeCell ref="EE754:EI754"/>
    <mergeCell ref="CZ761:DD761"/>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DZ730:ED730"/>
    <mergeCell ref="EM657:EQ657"/>
    <mergeCell ref="EJ748:EN748"/>
    <mergeCell ref="DX658:EB658"/>
    <mergeCell ref="EC658:EG658"/>
    <mergeCell ref="EJ743:EN743"/>
    <mergeCell ref="EO743:ES743"/>
    <mergeCell ref="DZ743:ED743"/>
    <mergeCell ref="DJ728:DN728"/>
    <mergeCell ref="DE748:DI748"/>
    <mergeCell ref="DO740:DS740"/>
    <mergeCell ref="DO728:DS728"/>
    <mergeCell ref="DU748:DY748"/>
    <mergeCell ref="DZ748:ED748"/>
    <mergeCell ref="DO730:DS730"/>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CZ751:DD751"/>
    <mergeCell ref="CZ759:DD759"/>
    <mergeCell ref="DO783:DS783"/>
    <mergeCell ref="DJ761:DN761"/>
    <mergeCell ref="DJ744:DN744"/>
    <mergeCell ref="DE744:DI744"/>
    <mergeCell ref="DO743:DS743"/>
    <mergeCell ref="DJ740:DN740"/>
    <mergeCell ref="DO741:DS741"/>
    <mergeCell ref="DO742:DS742"/>
    <mergeCell ref="DJ745:DN745"/>
    <mergeCell ref="DJ743:DN743"/>
    <mergeCell ref="DJ737:DN737"/>
    <mergeCell ref="EO740:ES740"/>
    <mergeCell ref="ET737:EX737"/>
    <mergeCell ref="ET744:EX744"/>
    <mergeCell ref="EJ735:EN735"/>
    <mergeCell ref="EO737:ES737"/>
    <mergeCell ref="ET745:EX745"/>
    <mergeCell ref="EJ734:EN734"/>
    <mergeCell ref="EJ728:EN728"/>
    <mergeCell ref="EO730:ES730"/>
    <mergeCell ref="EJ730:EN730"/>
    <mergeCell ref="DO733:DS733"/>
    <mergeCell ref="DJ736:DN736"/>
    <mergeCell ref="ET729:EX729"/>
    <mergeCell ref="EE728:EI728"/>
    <mergeCell ref="EE743:EI743"/>
    <mergeCell ref="EJ742:EN742"/>
    <mergeCell ref="DU741:DY741"/>
    <mergeCell ref="ET741:EX741"/>
    <mergeCell ref="EO741:ES741"/>
    <mergeCell ref="EO742:ES742"/>
    <mergeCell ref="EE742:EI742"/>
    <mergeCell ref="EJ737:EN737"/>
    <mergeCell ref="ET733:EX733"/>
    <mergeCell ref="DU732:DY732"/>
    <mergeCell ref="DU735:DY735"/>
    <mergeCell ref="EE738:EI738"/>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AM572:AS572"/>
    <mergeCell ref="AM569:AS569"/>
    <mergeCell ref="AO638:AS638"/>
    <mergeCell ref="Z609:AK609"/>
    <mergeCell ref="Q640:S640"/>
    <mergeCell ref="Q632:S634"/>
    <mergeCell ref="M573:P573"/>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H512:AK512"/>
    <mergeCell ref="AI564:AL564"/>
    <mergeCell ref="T565:V565"/>
    <mergeCell ref="W564:Y564"/>
    <mergeCell ref="Q564:S564"/>
    <mergeCell ref="M562:P562"/>
    <mergeCell ref="AO635:AS63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K736:AO736"/>
    <mergeCell ref="T728:W728"/>
    <mergeCell ref="Z683:AK683"/>
    <mergeCell ref="Z678:AK678"/>
    <mergeCell ref="AC739:AG739"/>
    <mergeCell ref="O740:S740"/>
    <mergeCell ref="G743:J743"/>
    <mergeCell ref="O734:S734"/>
    <mergeCell ref="AO641:AS641"/>
    <mergeCell ref="Z676:AK676"/>
    <mergeCell ref="AA680:AK680"/>
    <mergeCell ref="Z687:AE687"/>
    <mergeCell ref="AF641:AJ641"/>
    <mergeCell ref="AC642:AE642"/>
    <mergeCell ref="Z642:AB642"/>
    <mergeCell ref="Q639:S639"/>
    <mergeCell ref="AK639:AN639"/>
    <mergeCell ref="AF644:AJ644"/>
    <mergeCell ref="AK641:AN641"/>
    <mergeCell ref="G663:L663"/>
    <mergeCell ref="H664:R664"/>
    <mergeCell ref="AC741:AG741"/>
    <mergeCell ref="AG657:AH657"/>
    <mergeCell ref="H696:R696"/>
    <mergeCell ref="X739:AB739"/>
    <mergeCell ref="AH740:AJ740"/>
    <mergeCell ref="Z655:AE655"/>
    <mergeCell ref="AC639:AE639"/>
    <mergeCell ref="Z653:AK653"/>
    <mergeCell ref="Z652:AK652"/>
    <mergeCell ref="Z670:AK670"/>
    <mergeCell ref="AC643:AE643"/>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G744:J744"/>
    <mergeCell ref="M968:S968"/>
    <mergeCell ref="J966:S966"/>
    <mergeCell ref="AE968:AK968"/>
    <mergeCell ref="B743:F743"/>
    <mergeCell ref="B746:F746"/>
    <mergeCell ref="K757:N757"/>
    <mergeCell ref="O757:S757"/>
    <mergeCell ref="X759:AB759"/>
    <mergeCell ref="AA957:AF957"/>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1003:AE1003"/>
    <mergeCell ref="D1009:AE1009"/>
    <mergeCell ref="D1011:AE1015"/>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C1091:D1091"/>
    <mergeCell ref="C1092:D1092"/>
    <mergeCell ref="C1093:D1093"/>
    <mergeCell ref="C1094:D1094"/>
    <mergeCell ref="C1096:D1096"/>
    <mergeCell ref="C1097:D1097"/>
    <mergeCell ref="D1021:AE1021"/>
    <mergeCell ref="R997:AA997"/>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9:D1099"/>
    <mergeCell ref="C1100:D1100"/>
    <mergeCell ref="A1074:B1074"/>
    <mergeCell ref="A1076:B1076"/>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10"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90" zoomScaleNormal="90" workbookViewId="0">
      <selection activeCell="S93" sqref="S93"/>
    </sheetView>
  </sheetViews>
  <sheetFormatPr defaultColWidth="0" defaultRowHeight="11.4" zeroHeight="1"/>
  <cols>
    <col min="1" max="1" width="35.6640625" style="187"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77734375" style="158" hidden="1"/>
    <col min="16384" max="16384" width="0.109375" style="158" customWidth="1"/>
  </cols>
  <sheetData>
    <row r="1" spans="1:21" s="110" customFormat="1" ht="13.8">
      <c r="A1" s="168" t="s">
        <v>549</v>
      </c>
      <c r="B1" s="125"/>
      <c r="C1" s="125"/>
      <c r="D1" s="125"/>
      <c r="E1" s="126"/>
      <c r="F1" s="2119" t="s">
        <v>621</v>
      </c>
      <c r="G1" s="2120"/>
      <c r="H1" s="2120"/>
      <c r="I1" s="2120"/>
      <c r="J1" s="2120"/>
      <c r="K1" s="2120"/>
      <c r="L1" s="2120"/>
      <c r="M1" s="2120"/>
      <c r="N1" s="2120"/>
      <c r="O1" s="2120"/>
      <c r="P1" s="2120"/>
      <c r="Q1" s="2120"/>
      <c r="R1" s="2121"/>
      <c r="S1" s="112"/>
      <c r="T1" s="111"/>
      <c r="U1" s="113"/>
    </row>
    <row r="2" spans="1:21" s="138" customFormat="1" ht="71.25" customHeight="1">
      <c r="A2" s="137"/>
      <c r="B2" s="138" t="s">
        <v>23</v>
      </c>
      <c r="C2" s="138" t="s">
        <v>374</v>
      </c>
      <c r="D2" s="138" t="s">
        <v>373</v>
      </c>
      <c r="E2" s="138" t="s">
        <v>24</v>
      </c>
      <c r="F2" s="139" t="str">
        <f>Application!B635&amp;Application!C635</f>
        <v>1)Permanent Loan (Tranche A)</v>
      </c>
      <c r="G2" s="139" t="str">
        <f>Application!B636&amp;Application!C636</f>
        <v>2)Permanent Loan (Tranche B)</v>
      </c>
      <c r="H2" s="139" t="str">
        <f>Application!B637&amp;Application!C637</f>
        <v>3)Deferred Developer Fee</v>
      </c>
      <c r="I2" s="139" t="str">
        <f>Application!B638&amp;Application!C638</f>
        <v>4)CalHFA MIP</v>
      </c>
      <c r="J2" s="139" t="str">
        <f>Application!B639&amp;Application!C639</f>
        <v>5)MGP Contribution</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4250000</v>
      </c>
      <c r="C4" s="147">
        <f>4250000</f>
        <v>4250000</v>
      </c>
      <c r="D4" s="147"/>
      <c r="E4" s="147"/>
      <c r="F4" s="147"/>
      <c r="G4" s="147"/>
      <c r="H4" s="147"/>
      <c r="I4" s="147"/>
      <c r="J4" s="147">
        <f>C4-G4</f>
        <v>4250000</v>
      </c>
      <c r="K4" s="147"/>
      <c r="L4" s="147"/>
      <c r="M4" s="147"/>
      <c r="N4" s="147"/>
      <c r="O4" s="147"/>
      <c r="P4" s="147"/>
      <c r="Q4" s="147"/>
      <c r="R4" s="516">
        <f>SUM(E4:Q4)</f>
        <v>4250000</v>
      </c>
      <c r="S4" s="148"/>
      <c r="T4" s="148"/>
      <c r="U4" s="143"/>
    </row>
    <row r="5" spans="1:21" s="144" customFormat="1">
      <c r="A5" s="145" t="s">
        <v>28</v>
      </c>
      <c r="B5" s="146">
        <f>SUM(C5+D5)</f>
        <v>164514</v>
      </c>
      <c r="C5" s="147">
        <v>164514</v>
      </c>
      <c r="D5" s="147"/>
      <c r="E5" s="147">
        <f>C5</f>
        <v>164514</v>
      </c>
      <c r="F5" s="147"/>
      <c r="G5" s="147"/>
      <c r="H5" s="147"/>
      <c r="I5" s="147"/>
      <c r="J5" s="147"/>
      <c r="K5" s="147"/>
      <c r="L5" s="147"/>
      <c r="M5" s="147"/>
      <c r="N5" s="147"/>
      <c r="O5" s="147"/>
      <c r="P5" s="147"/>
      <c r="Q5" s="147"/>
      <c r="R5" s="516">
        <f>SUM(E5:Q5)</f>
        <v>164514</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ht="12">
      <c r="A8" s="149" t="s">
        <v>593</v>
      </c>
      <c r="B8" s="146">
        <f>SUM(C8:D8)</f>
        <v>4414514</v>
      </c>
      <c r="C8" s="146">
        <f t="shared" ref="C8:Q8" si="0">SUM(C4:C7)</f>
        <v>4414514</v>
      </c>
      <c r="D8" s="146">
        <f t="shared" si="0"/>
        <v>0</v>
      </c>
      <c r="E8" s="146">
        <f t="shared" si="0"/>
        <v>164514</v>
      </c>
      <c r="F8" s="146">
        <f t="shared" si="0"/>
        <v>0</v>
      </c>
      <c r="G8" s="146">
        <f t="shared" si="0"/>
        <v>0</v>
      </c>
      <c r="H8" s="146">
        <f t="shared" si="0"/>
        <v>0</v>
      </c>
      <c r="I8" s="146">
        <f t="shared" si="0"/>
        <v>0</v>
      </c>
      <c r="J8" s="146">
        <f t="shared" si="0"/>
        <v>4250000</v>
      </c>
      <c r="K8" s="146">
        <f t="shared" si="0"/>
        <v>0</v>
      </c>
      <c r="L8" s="146">
        <f t="shared" si="0"/>
        <v>0</v>
      </c>
      <c r="M8" s="146">
        <f t="shared" si="0"/>
        <v>0</v>
      </c>
      <c r="N8" s="146">
        <f t="shared" si="0"/>
        <v>0</v>
      </c>
      <c r="O8" s="146">
        <f t="shared" si="0"/>
        <v>0</v>
      </c>
      <c r="P8" s="146"/>
      <c r="Q8" s="146">
        <f t="shared" si="0"/>
        <v>0</v>
      </c>
      <c r="R8" s="342">
        <f>SUM(R4:R7)</f>
        <v>4414514</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500000</v>
      </c>
      <c r="C10" s="147">
        <v>500000</v>
      </c>
      <c r="D10" s="147"/>
      <c r="E10" s="147">
        <v>500000</v>
      </c>
      <c r="F10" s="147"/>
      <c r="G10" s="147"/>
      <c r="H10" s="147"/>
      <c r="I10" s="147"/>
      <c r="J10" s="147"/>
      <c r="K10" s="147"/>
      <c r="L10" s="147"/>
      <c r="M10" s="147"/>
      <c r="N10" s="147"/>
      <c r="O10" s="147"/>
      <c r="P10" s="147"/>
      <c r="Q10" s="147"/>
      <c r="R10" s="516">
        <f>SUM(E10:Q10)</f>
        <v>500000</v>
      </c>
      <c r="S10" s="147">
        <f>R10</f>
        <v>500000</v>
      </c>
      <c r="T10" s="147"/>
      <c r="U10" s="143"/>
    </row>
    <row r="11" spans="1:21" s="144" customFormat="1" ht="12">
      <c r="A11" s="149" t="s">
        <v>596</v>
      </c>
      <c r="B11" s="146">
        <f>SUM(C11:D11)</f>
        <v>500000</v>
      </c>
      <c r="C11" s="146">
        <f t="shared" ref="C11:Q11" si="1">SUM(C9:C10)</f>
        <v>500000</v>
      </c>
      <c r="D11" s="146">
        <f t="shared" si="1"/>
        <v>0</v>
      </c>
      <c r="E11" s="146">
        <f t="shared" si="1"/>
        <v>500000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500000</v>
      </c>
      <c r="S11" s="148"/>
      <c r="T11" s="150">
        <f>SUM(T9:T10)</f>
        <v>0</v>
      </c>
      <c r="U11" s="143"/>
    </row>
    <row r="12" spans="1:21" s="144" customFormat="1" ht="12">
      <c r="A12" s="149" t="s">
        <v>84</v>
      </c>
      <c r="B12" s="146">
        <f t="shared" ref="B12:Q12" si="2">SUM(B8+B11)</f>
        <v>4914514</v>
      </c>
      <c r="C12" s="146">
        <f t="shared" si="2"/>
        <v>4914514</v>
      </c>
      <c r="D12" s="146">
        <f t="shared" si="2"/>
        <v>0</v>
      </c>
      <c r="E12" s="146">
        <f t="shared" si="2"/>
        <v>664514</v>
      </c>
      <c r="F12" s="146">
        <f t="shared" si="2"/>
        <v>0</v>
      </c>
      <c r="G12" s="146">
        <f t="shared" si="2"/>
        <v>0</v>
      </c>
      <c r="H12" s="146">
        <f t="shared" si="2"/>
        <v>0</v>
      </c>
      <c r="I12" s="146">
        <f t="shared" si="2"/>
        <v>0</v>
      </c>
      <c r="J12" s="146">
        <f t="shared" si="2"/>
        <v>4250000</v>
      </c>
      <c r="K12" s="146">
        <f t="shared" si="2"/>
        <v>0</v>
      </c>
      <c r="L12" s="146">
        <f t="shared" si="2"/>
        <v>0</v>
      </c>
      <c r="M12" s="146">
        <f t="shared" si="2"/>
        <v>0</v>
      </c>
      <c r="N12" s="146">
        <f t="shared" si="2"/>
        <v>0</v>
      </c>
      <c r="O12" s="146">
        <f t="shared" si="2"/>
        <v>0</v>
      </c>
      <c r="P12" s="146"/>
      <c r="Q12" s="146">
        <f t="shared" si="2"/>
        <v>0</v>
      </c>
      <c r="R12" s="342">
        <f>SUM(R8+R11)</f>
        <v>4914514</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2.8">
      <c r="A14" s="288" t="s">
        <v>1631</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1628</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ht="12">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ht="12">
      <c r="A27" s="149" t="s">
        <v>141</v>
      </c>
      <c r="B27" s="146">
        <f>SUM(C27:D27)</f>
        <v>1100000</v>
      </c>
      <c r="C27" s="147">
        <v>1100000</v>
      </c>
      <c r="D27" s="147"/>
      <c r="E27" s="147"/>
      <c r="F27" s="147"/>
      <c r="G27" s="147">
        <f>C27</f>
        <v>1100000</v>
      </c>
      <c r="H27" s="147"/>
      <c r="I27" s="147"/>
      <c r="J27" s="147"/>
      <c r="K27" s="147"/>
      <c r="L27" s="147"/>
      <c r="M27" s="147"/>
      <c r="N27" s="147"/>
      <c r="O27" s="147"/>
      <c r="P27" s="147"/>
      <c r="Q27" s="147"/>
      <c r="R27" s="516">
        <f t="shared" si="4"/>
        <v>1100000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1000000</v>
      </c>
      <c r="C29" s="147">
        <v>1000000</v>
      </c>
      <c r="D29" s="147"/>
      <c r="E29" s="147">
        <f>C29</f>
        <v>1000000</v>
      </c>
      <c r="F29" s="147"/>
      <c r="G29" s="147"/>
      <c r="H29" s="147"/>
      <c r="I29" s="147"/>
      <c r="J29" s="147"/>
      <c r="K29" s="147"/>
      <c r="L29" s="147"/>
      <c r="M29" s="147"/>
      <c r="N29" s="147"/>
      <c r="O29" s="147"/>
      <c r="P29" s="147"/>
      <c r="Q29" s="147"/>
      <c r="R29" s="516">
        <f t="shared" ref="R29:R37" si="7">SUM(E29:Q29)</f>
        <v>1000000</v>
      </c>
      <c r="S29" s="147">
        <f>R29</f>
        <v>1000000</v>
      </c>
      <c r="T29" s="147"/>
      <c r="U29" s="143"/>
    </row>
    <row r="30" spans="1:21" s="144" customFormat="1">
      <c r="A30" s="145" t="s">
        <v>599</v>
      </c>
      <c r="B30" s="146">
        <f t="shared" si="6"/>
        <v>38451449</v>
      </c>
      <c r="C30" s="147">
        <v>38451449</v>
      </c>
      <c r="D30" s="147"/>
      <c r="E30" s="147">
        <f>C30-I30-G30</f>
        <v>29404317</v>
      </c>
      <c r="F30" s="147"/>
      <c r="G30" s="147">
        <v>3047132</v>
      </c>
      <c r="H30" s="147"/>
      <c r="I30" s="147">
        <v>6000000</v>
      </c>
      <c r="J30" s="147"/>
      <c r="K30" s="147"/>
      <c r="L30" s="147"/>
      <c r="M30" s="147"/>
      <c r="N30" s="147"/>
      <c r="O30" s="147"/>
      <c r="P30" s="147"/>
      <c r="Q30" s="147"/>
      <c r="R30" s="516">
        <f t="shared" si="7"/>
        <v>38451449</v>
      </c>
      <c r="S30" s="147">
        <f t="shared" ref="S30:S36" si="8">R30</f>
        <v>38451449</v>
      </c>
      <c r="T30" s="147"/>
      <c r="U30" s="143"/>
    </row>
    <row r="31" spans="1:21" s="144" customFormat="1">
      <c r="A31" s="145" t="s">
        <v>600</v>
      </c>
      <c r="B31" s="146">
        <f t="shared" si="6"/>
        <v>2796601</v>
      </c>
      <c r="C31" s="147">
        <v>2796601</v>
      </c>
      <c r="D31" s="147"/>
      <c r="E31" s="147">
        <f>706330</f>
        <v>706330</v>
      </c>
      <c r="F31" s="147">
        <f>C31-E31</f>
        <v>2090271</v>
      </c>
      <c r="G31" s="147"/>
      <c r="H31" s="147"/>
      <c r="I31" s="147"/>
      <c r="J31" s="147"/>
      <c r="K31" s="147"/>
      <c r="L31" s="147"/>
      <c r="M31" s="147"/>
      <c r="N31" s="147"/>
      <c r="O31" s="147"/>
      <c r="P31" s="147"/>
      <c r="Q31" s="147"/>
      <c r="R31" s="516">
        <f t="shared" si="7"/>
        <v>2796601</v>
      </c>
      <c r="S31" s="147">
        <f t="shared" si="8"/>
        <v>2796601</v>
      </c>
      <c r="T31" s="147"/>
      <c r="U31" s="143"/>
    </row>
    <row r="32" spans="1:21" s="144" customFormat="1">
      <c r="A32" s="145" t="s">
        <v>137</v>
      </c>
      <c r="B32" s="146">
        <f t="shared" si="6"/>
        <v>1598058</v>
      </c>
      <c r="C32" s="147">
        <v>1598058</v>
      </c>
      <c r="D32" s="147"/>
      <c r="E32" s="147"/>
      <c r="F32" s="147">
        <f>C32</f>
        <v>1598058</v>
      </c>
      <c r="G32" s="147"/>
      <c r="H32" s="147"/>
      <c r="I32" s="147"/>
      <c r="J32" s="147"/>
      <c r="K32" s="147"/>
      <c r="L32" s="147"/>
      <c r="M32" s="147"/>
      <c r="N32" s="147"/>
      <c r="O32" s="147"/>
      <c r="P32" s="147"/>
      <c r="Q32" s="147"/>
      <c r="R32" s="516">
        <f t="shared" si="7"/>
        <v>1598058</v>
      </c>
      <c r="S32" s="147">
        <f t="shared" si="8"/>
        <v>1598058</v>
      </c>
      <c r="T32" s="147"/>
      <c r="U32" s="143"/>
    </row>
    <row r="33" spans="1:21" s="144" customFormat="1">
      <c r="A33" s="145" t="s">
        <v>138</v>
      </c>
      <c r="B33" s="146">
        <f t="shared" si="6"/>
        <v>1198543</v>
      </c>
      <c r="C33" s="147">
        <v>1198543</v>
      </c>
      <c r="D33" s="147"/>
      <c r="E33" s="147"/>
      <c r="F33" s="147">
        <f>C33</f>
        <v>1198543</v>
      </c>
      <c r="G33" s="147"/>
      <c r="H33" s="147"/>
      <c r="I33" s="147"/>
      <c r="J33" s="147"/>
      <c r="K33" s="147"/>
      <c r="L33" s="147"/>
      <c r="M33" s="147"/>
      <c r="N33" s="147"/>
      <c r="O33" s="147"/>
      <c r="P33" s="147"/>
      <c r="Q33" s="147"/>
      <c r="R33" s="516">
        <f t="shared" si="7"/>
        <v>1198543</v>
      </c>
      <c r="S33" s="147">
        <f t="shared" si="8"/>
        <v>1198543</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f t="shared" si="8"/>
        <v>0</v>
      </c>
      <c r="T34" s="147"/>
      <c r="U34" s="143"/>
    </row>
    <row r="35" spans="1:21" s="144" customFormat="1">
      <c r="A35" s="145" t="s">
        <v>140</v>
      </c>
      <c r="B35" s="146">
        <f t="shared" si="6"/>
        <v>455447</v>
      </c>
      <c r="C35" s="147">
        <v>455447</v>
      </c>
      <c r="D35" s="147"/>
      <c r="E35" s="147"/>
      <c r="F35" s="147">
        <f>C35</f>
        <v>455447</v>
      </c>
      <c r="G35" s="147"/>
      <c r="H35" s="147"/>
      <c r="I35" s="147"/>
      <c r="J35" s="147"/>
      <c r="K35" s="147"/>
      <c r="L35" s="147"/>
      <c r="M35" s="147"/>
      <c r="N35" s="147"/>
      <c r="O35" s="147"/>
      <c r="P35" s="147"/>
      <c r="Q35" s="147"/>
      <c r="R35" s="516">
        <f t="shared" si="7"/>
        <v>455447</v>
      </c>
      <c r="S35" s="147">
        <f t="shared" si="8"/>
        <v>455447</v>
      </c>
      <c r="T35" s="147"/>
      <c r="U35" s="143"/>
    </row>
    <row r="36" spans="1:21" s="144" customFormat="1">
      <c r="A36" s="283" t="s">
        <v>1628</v>
      </c>
      <c r="B36" s="146">
        <f t="shared" si="6"/>
        <v>0</v>
      </c>
      <c r="C36" s="147"/>
      <c r="D36" s="147"/>
      <c r="E36" s="147"/>
      <c r="F36" s="147"/>
      <c r="G36" s="147"/>
      <c r="H36" s="147"/>
      <c r="I36" s="147"/>
      <c r="J36" s="147"/>
      <c r="K36" s="147"/>
      <c r="L36" s="147"/>
      <c r="M36" s="147"/>
      <c r="N36" s="147"/>
      <c r="O36" s="147"/>
      <c r="P36" s="147"/>
      <c r="Q36" s="147"/>
      <c r="R36" s="516">
        <f t="shared" si="7"/>
        <v>0</v>
      </c>
      <c r="S36" s="147">
        <f t="shared" si="8"/>
        <v>0</v>
      </c>
      <c r="T36" s="147"/>
      <c r="U36" s="143"/>
    </row>
    <row r="37" spans="1:21" s="144" customFormat="1">
      <c r="A37" s="1143" t="s">
        <v>2744</v>
      </c>
      <c r="B37" s="146">
        <f t="shared" si="6"/>
        <v>409902</v>
      </c>
      <c r="C37" s="147">
        <v>409902</v>
      </c>
      <c r="D37" s="147"/>
      <c r="E37" s="147"/>
      <c r="F37" s="147">
        <f>C37</f>
        <v>409902</v>
      </c>
      <c r="G37" s="147"/>
      <c r="H37" s="147"/>
      <c r="I37" s="147"/>
      <c r="J37" s="147"/>
      <c r="K37" s="147"/>
      <c r="L37" s="147"/>
      <c r="M37" s="147"/>
      <c r="N37" s="147"/>
      <c r="O37" s="147"/>
      <c r="P37" s="147"/>
      <c r="Q37" s="147"/>
      <c r="R37" s="516">
        <f t="shared" si="7"/>
        <v>409902</v>
      </c>
      <c r="S37" s="147">
        <f>R37</f>
        <v>409902</v>
      </c>
      <c r="T37" s="147"/>
      <c r="U37" s="143"/>
    </row>
    <row r="38" spans="1:21" s="144" customFormat="1" ht="12">
      <c r="A38" s="149" t="s">
        <v>143</v>
      </c>
      <c r="B38" s="146">
        <f t="shared" si="6"/>
        <v>45910000</v>
      </c>
      <c r="C38" s="146">
        <f>SUM(C29:C37)</f>
        <v>45910000</v>
      </c>
      <c r="D38" s="146">
        <f t="shared" ref="D38:Q38" si="9">SUM(D29:D37)</f>
        <v>0</v>
      </c>
      <c r="E38" s="146">
        <f t="shared" si="9"/>
        <v>31110647</v>
      </c>
      <c r="F38" s="146">
        <f t="shared" si="9"/>
        <v>5752221</v>
      </c>
      <c r="G38" s="146">
        <f t="shared" si="9"/>
        <v>3047132</v>
      </c>
      <c r="H38" s="146">
        <f t="shared" si="9"/>
        <v>0</v>
      </c>
      <c r="I38" s="146">
        <f t="shared" si="9"/>
        <v>6000000</v>
      </c>
      <c r="J38" s="146">
        <f t="shared" si="9"/>
        <v>0</v>
      </c>
      <c r="K38" s="146">
        <f t="shared" si="9"/>
        <v>0</v>
      </c>
      <c r="L38" s="146">
        <f t="shared" si="9"/>
        <v>0</v>
      </c>
      <c r="M38" s="146">
        <f t="shared" si="9"/>
        <v>0</v>
      </c>
      <c r="N38" s="146">
        <f t="shared" si="9"/>
        <v>0</v>
      </c>
      <c r="O38" s="146">
        <f t="shared" si="9"/>
        <v>0</v>
      </c>
      <c r="P38" s="146">
        <f t="shared" si="9"/>
        <v>0</v>
      </c>
      <c r="Q38" s="146">
        <f t="shared" si="9"/>
        <v>0</v>
      </c>
      <c r="R38" s="342">
        <f>SUM(R29:R37)</f>
        <v>45910000</v>
      </c>
      <c r="S38" s="150">
        <f>SUM(S29:S37)</f>
        <v>45910000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1160000</v>
      </c>
      <c r="C40" s="147">
        <v>1160000</v>
      </c>
      <c r="D40" s="147"/>
      <c r="E40" s="147"/>
      <c r="F40" s="147">
        <f>C40</f>
        <v>1160000</v>
      </c>
      <c r="G40" s="147"/>
      <c r="H40" s="147"/>
      <c r="I40" s="147"/>
      <c r="J40" s="147"/>
      <c r="K40" s="147"/>
      <c r="L40" s="147"/>
      <c r="M40" s="147"/>
      <c r="N40" s="147"/>
      <c r="O40" s="147"/>
      <c r="P40" s="147"/>
      <c r="Q40" s="147"/>
      <c r="R40" s="516">
        <f>SUM(E40:Q40)</f>
        <v>1160000</v>
      </c>
      <c r="S40" s="147">
        <f>R40</f>
        <v>1160000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ht="12">
      <c r="A42" s="149" t="s">
        <v>147</v>
      </c>
      <c r="B42" s="146">
        <f>SUM(C42:D42)</f>
        <v>1160000</v>
      </c>
      <c r="C42" s="146">
        <f>SUM(C39:C41)</f>
        <v>1160000</v>
      </c>
      <c r="D42" s="146">
        <f>SUM(D39:D41)</f>
        <v>0</v>
      </c>
      <c r="E42" s="146">
        <f t="shared" ref="E42:T42" si="10">SUM(E40:E41)</f>
        <v>0</v>
      </c>
      <c r="F42" s="146">
        <f t="shared" si="10"/>
        <v>1160000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2">
        <f>SUM(R40:R41)</f>
        <v>1160000</v>
      </c>
      <c r="S42" s="150">
        <f t="shared" si="10"/>
        <v>1160000</v>
      </c>
      <c r="T42" s="150">
        <f t="shared" si="10"/>
        <v>0</v>
      </c>
      <c r="U42" s="143"/>
    </row>
    <row r="43" spans="1:21" s="144" customFormat="1" ht="12">
      <c r="A43" s="149" t="s">
        <v>148</v>
      </c>
      <c r="B43" s="146">
        <f>SUM(C43:D43)</f>
        <v>650000</v>
      </c>
      <c r="C43" s="147">
        <v>650000</v>
      </c>
      <c r="D43" s="147"/>
      <c r="E43" s="147"/>
      <c r="F43" s="147">
        <f>C43</f>
        <v>650000</v>
      </c>
      <c r="G43" s="147"/>
      <c r="H43" s="147"/>
      <c r="I43" s="147"/>
      <c r="J43" s="147"/>
      <c r="K43" s="147"/>
      <c r="L43" s="147"/>
      <c r="M43" s="147"/>
      <c r="N43" s="147"/>
      <c r="O43" s="147"/>
      <c r="P43" s="147"/>
      <c r="Q43" s="147"/>
      <c r="R43" s="516">
        <f>SUM(E43:Q43)</f>
        <v>650000</v>
      </c>
      <c r="S43" s="147">
        <f>R43</f>
        <v>650000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4148959</v>
      </c>
      <c r="C45" s="147">
        <f>4148957+2</f>
        <v>4148959</v>
      </c>
      <c r="D45" s="147"/>
      <c r="E45" s="147"/>
      <c r="F45" s="147">
        <f>C45</f>
        <v>4148959</v>
      </c>
      <c r="G45" s="147"/>
      <c r="H45" s="147"/>
      <c r="I45" s="147"/>
      <c r="J45" s="147"/>
      <c r="K45" s="147"/>
      <c r="L45" s="147"/>
      <c r="M45" s="147"/>
      <c r="N45" s="147"/>
      <c r="O45" s="147"/>
      <c r="P45" s="147"/>
      <c r="Q45" s="147"/>
      <c r="R45" s="516">
        <f t="shared" ref="R45:R53" si="12">SUM(E45:Q45)</f>
        <v>4148959</v>
      </c>
      <c r="S45" s="147">
        <f>3080917+2</f>
        <v>3080919</v>
      </c>
      <c r="T45" s="147"/>
      <c r="U45" s="143"/>
    </row>
    <row r="46" spans="1:21" s="144" customFormat="1">
      <c r="A46" s="145" t="s">
        <v>151</v>
      </c>
      <c r="B46" s="146">
        <f t="shared" si="11"/>
        <v>253001</v>
      </c>
      <c r="C46" s="147">
        <v>253001</v>
      </c>
      <c r="D46" s="147"/>
      <c r="E46" s="147"/>
      <c r="F46" s="147">
        <f t="shared" ref="F46:F53" si="13">C46</f>
        <v>253001</v>
      </c>
      <c r="G46" s="147"/>
      <c r="H46" s="147"/>
      <c r="I46" s="147"/>
      <c r="J46" s="147"/>
      <c r="K46" s="147"/>
      <c r="L46" s="147"/>
      <c r="M46" s="147"/>
      <c r="N46" s="147"/>
      <c r="O46" s="147"/>
      <c r="P46" s="147"/>
      <c r="Q46" s="147"/>
      <c r="R46" s="516">
        <f t="shared" si="12"/>
        <v>253001</v>
      </c>
      <c r="S46" s="147">
        <v>202401</v>
      </c>
      <c r="T46" s="147"/>
      <c r="U46" s="143"/>
    </row>
    <row r="47" spans="1:21" s="144" customFormat="1">
      <c r="A47" s="186" t="s">
        <v>152</v>
      </c>
      <c r="B47" s="146">
        <f t="shared" si="11"/>
        <v>0</v>
      </c>
      <c r="C47" s="147"/>
      <c r="D47" s="147"/>
      <c r="E47" s="147"/>
      <c r="F47" s="147"/>
      <c r="G47" s="147"/>
      <c r="H47" s="147"/>
      <c r="I47" s="147"/>
      <c r="J47" s="147"/>
      <c r="K47" s="147"/>
      <c r="L47" s="147"/>
      <c r="M47" s="147"/>
      <c r="N47" s="147"/>
      <c r="O47" s="147"/>
      <c r="P47" s="147"/>
      <c r="Q47" s="147"/>
      <c r="R47" s="516">
        <f t="shared" si="12"/>
        <v>0</v>
      </c>
      <c r="S47" s="147"/>
      <c r="T47" s="147"/>
      <c r="U47" s="143"/>
    </row>
    <row r="48" spans="1:21" s="144" customFormat="1">
      <c r="A48" s="145" t="s">
        <v>153</v>
      </c>
      <c r="B48" s="146">
        <f t="shared" si="11"/>
        <v>0</v>
      </c>
      <c r="C48" s="147"/>
      <c r="D48" s="147"/>
      <c r="E48" s="147"/>
      <c r="F48" s="147"/>
      <c r="G48" s="147"/>
      <c r="H48" s="147"/>
      <c r="I48" s="147"/>
      <c r="J48" s="147"/>
      <c r="K48" s="147"/>
      <c r="L48" s="147"/>
      <c r="M48" s="147"/>
      <c r="N48" s="147"/>
      <c r="O48" s="147"/>
      <c r="P48" s="147"/>
      <c r="Q48" s="147"/>
      <c r="R48" s="516">
        <f t="shared" si="12"/>
        <v>0</v>
      </c>
      <c r="S48" s="147"/>
      <c r="T48" s="147"/>
      <c r="U48" s="143"/>
    </row>
    <row r="49" spans="1:21" s="144" customFormat="1">
      <c r="A49" s="145" t="s">
        <v>57</v>
      </c>
      <c r="B49" s="146">
        <f t="shared" si="11"/>
        <v>63250</v>
      </c>
      <c r="C49" s="147">
        <v>63250</v>
      </c>
      <c r="D49" s="147"/>
      <c r="E49" s="147"/>
      <c r="F49" s="147">
        <f t="shared" si="13"/>
        <v>63250</v>
      </c>
      <c r="G49" s="147"/>
      <c r="H49" s="147"/>
      <c r="I49" s="147"/>
      <c r="J49" s="147"/>
      <c r="K49" s="147"/>
      <c r="L49" s="147"/>
      <c r="M49" s="147"/>
      <c r="N49" s="147"/>
      <c r="O49" s="147"/>
      <c r="P49" s="147"/>
      <c r="Q49" s="147"/>
      <c r="R49" s="516">
        <f t="shared" si="12"/>
        <v>63250</v>
      </c>
      <c r="S49" s="147">
        <f>R49</f>
        <v>63250</v>
      </c>
      <c r="T49" s="147"/>
      <c r="U49" s="143"/>
    </row>
    <row r="50" spans="1:21" s="144" customFormat="1">
      <c r="A50" s="145" t="s">
        <v>156</v>
      </c>
      <c r="B50" s="146">
        <f t="shared" si="11"/>
        <v>100000</v>
      </c>
      <c r="C50" s="147">
        <v>100000</v>
      </c>
      <c r="D50" s="147"/>
      <c r="E50" s="147"/>
      <c r="F50" s="147">
        <f t="shared" si="13"/>
        <v>100000</v>
      </c>
      <c r="G50" s="147"/>
      <c r="H50" s="147"/>
      <c r="I50" s="147"/>
      <c r="J50" s="147"/>
      <c r="K50" s="147"/>
      <c r="L50" s="147"/>
      <c r="M50" s="147"/>
      <c r="N50" s="147"/>
      <c r="O50" s="147"/>
      <c r="P50" s="147"/>
      <c r="Q50" s="147"/>
      <c r="R50" s="516">
        <f t="shared" si="12"/>
        <v>100000</v>
      </c>
      <c r="S50" s="147">
        <f>R50</f>
        <v>100000</v>
      </c>
      <c r="T50" s="147"/>
      <c r="U50" s="143"/>
    </row>
    <row r="51" spans="1:21" s="144" customFormat="1">
      <c r="A51" s="283" t="s">
        <v>154</v>
      </c>
      <c r="B51" s="146">
        <f t="shared" si="11"/>
        <v>0</v>
      </c>
      <c r="C51" s="147"/>
      <c r="D51" s="147"/>
      <c r="E51" s="147"/>
      <c r="F51" s="147"/>
      <c r="G51" s="147"/>
      <c r="H51" s="147"/>
      <c r="I51" s="147"/>
      <c r="J51" s="147"/>
      <c r="K51" s="147"/>
      <c r="L51" s="147"/>
      <c r="M51" s="147"/>
      <c r="N51" s="147"/>
      <c r="O51" s="147"/>
      <c r="P51" s="147"/>
      <c r="Q51" s="147"/>
      <c r="R51" s="516">
        <f t="shared" si="12"/>
        <v>0</v>
      </c>
      <c r="S51" s="147">
        <f>R51</f>
        <v>0</v>
      </c>
      <c r="T51" s="147"/>
      <c r="U51" s="143"/>
    </row>
    <row r="52" spans="1:21" s="144" customFormat="1">
      <c r="A52" s="145" t="s">
        <v>155</v>
      </c>
      <c r="B52" s="146">
        <f t="shared" si="11"/>
        <v>464000</v>
      </c>
      <c r="C52" s="147">
        <v>464000</v>
      </c>
      <c r="D52" s="147"/>
      <c r="E52" s="147"/>
      <c r="F52" s="147">
        <f t="shared" si="13"/>
        <v>464000</v>
      </c>
      <c r="G52" s="147"/>
      <c r="H52" s="147"/>
      <c r="I52" s="147"/>
      <c r="J52" s="147"/>
      <c r="K52" s="147"/>
      <c r="L52" s="147"/>
      <c r="M52" s="147"/>
      <c r="N52" s="147"/>
      <c r="O52" s="147"/>
      <c r="P52" s="147"/>
      <c r="Q52" s="147"/>
      <c r="R52" s="516">
        <f t="shared" si="12"/>
        <v>464000</v>
      </c>
      <c r="S52" s="147">
        <f>R52</f>
        <v>464000</v>
      </c>
      <c r="T52" s="147"/>
      <c r="U52" s="143"/>
    </row>
    <row r="53" spans="1:21" s="144" customFormat="1">
      <c r="A53" s="1143" t="s">
        <v>2767</v>
      </c>
      <c r="B53" s="146">
        <f t="shared" si="11"/>
        <v>25000</v>
      </c>
      <c r="C53" s="147">
        <v>25000</v>
      </c>
      <c r="D53" s="147"/>
      <c r="E53" s="147"/>
      <c r="F53" s="147">
        <f t="shared" si="13"/>
        <v>25000</v>
      </c>
      <c r="G53" s="147"/>
      <c r="H53" s="147"/>
      <c r="I53" s="147"/>
      <c r="J53" s="147"/>
      <c r="K53" s="147"/>
      <c r="L53" s="147"/>
      <c r="M53" s="147"/>
      <c r="N53" s="147"/>
      <c r="O53" s="147"/>
      <c r="P53" s="147"/>
      <c r="Q53" s="147"/>
      <c r="R53" s="516">
        <f t="shared" si="12"/>
        <v>25000</v>
      </c>
      <c r="S53" s="147">
        <f>R53</f>
        <v>25000</v>
      </c>
      <c r="T53" s="147"/>
      <c r="U53" s="143"/>
    </row>
    <row r="54" spans="1:21" s="153" customFormat="1" ht="12">
      <c r="A54" s="149" t="s">
        <v>157</v>
      </c>
      <c r="B54" s="150">
        <f>SUM(C54:D54)</f>
        <v>5054210</v>
      </c>
      <c r="C54" s="150">
        <f t="shared" ref="C54:T54" si="14">SUM(C45:C53)</f>
        <v>5054210</v>
      </c>
      <c r="D54" s="150">
        <f t="shared" si="14"/>
        <v>0</v>
      </c>
      <c r="E54" s="150">
        <f t="shared" si="14"/>
        <v>0</v>
      </c>
      <c r="F54" s="150">
        <f t="shared" si="14"/>
        <v>5054210</v>
      </c>
      <c r="G54" s="150">
        <f t="shared" si="14"/>
        <v>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42">
        <f t="shared" si="14"/>
        <v>5054210</v>
      </c>
      <c r="S54" s="150">
        <f t="shared" si="14"/>
        <v>3935570</v>
      </c>
      <c r="T54" s="150">
        <f t="shared" si="14"/>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315000</v>
      </c>
      <c r="C56" s="147">
        <v>315000</v>
      </c>
      <c r="D56" s="147"/>
      <c r="E56" s="147"/>
      <c r="F56" s="147">
        <f>C56</f>
        <v>315000</v>
      </c>
      <c r="G56" s="147"/>
      <c r="H56" s="147"/>
      <c r="I56" s="147"/>
      <c r="J56" s="147"/>
      <c r="K56" s="147"/>
      <c r="L56" s="147"/>
      <c r="M56" s="147"/>
      <c r="N56" s="147"/>
      <c r="O56" s="147"/>
      <c r="P56" s="147"/>
      <c r="Q56" s="147"/>
      <c r="R56" s="516">
        <f t="shared" ref="R56:R61" si="16">SUM(E56:Q56)</f>
        <v>315000</v>
      </c>
      <c r="S56" s="148"/>
      <c r="T56" s="148"/>
      <c r="U56" s="143"/>
    </row>
    <row r="57" spans="1:21" s="192" customFormat="1">
      <c r="A57" s="186" t="s">
        <v>152</v>
      </c>
      <c r="B57" s="193">
        <f t="shared" si="15"/>
        <v>0</v>
      </c>
      <c r="C57" s="190"/>
      <c r="D57" s="190"/>
      <c r="E57" s="190"/>
      <c r="F57" s="147"/>
      <c r="G57" s="190"/>
      <c r="H57" s="190"/>
      <c r="I57" s="190"/>
      <c r="J57" s="190"/>
      <c r="K57" s="190"/>
      <c r="L57" s="190"/>
      <c r="M57" s="190"/>
      <c r="N57" s="190"/>
      <c r="O57" s="190"/>
      <c r="P57" s="190"/>
      <c r="Q57" s="190"/>
      <c r="R57" s="516">
        <f t="shared" si="16"/>
        <v>0</v>
      </c>
      <c r="S57" s="194"/>
      <c r="T57" s="194"/>
      <c r="U57" s="191"/>
    </row>
    <row r="58" spans="1:21" s="144" customFormat="1">
      <c r="A58" s="145" t="s">
        <v>156</v>
      </c>
      <c r="B58" s="146">
        <f t="shared" si="15"/>
        <v>10000</v>
      </c>
      <c r="C58" s="147">
        <v>10000</v>
      </c>
      <c r="D58" s="147"/>
      <c r="E58" s="147"/>
      <c r="F58" s="147">
        <f t="shared" ref="F58:F61" si="17">C58</f>
        <v>10000</v>
      </c>
      <c r="G58" s="147"/>
      <c r="H58" s="147"/>
      <c r="I58" s="147"/>
      <c r="J58" s="147"/>
      <c r="K58" s="147"/>
      <c r="L58" s="147"/>
      <c r="M58" s="147"/>
      <c r="N58" s="147"/>
      <c r="O58" s="147"/>
      <c r="P58" s="147"/>
      <c r="Q58" s="147"/>
      <c r="R58" s="516">
        <f t="shared" si="16"/>
        <v>10000</v>
      </c>
      <c r="S58" s="148"/>
      <c r="T58" s="148"/>
      <c r="U58" s="143"/>
    </row>
    <row r="59" spans="1:21" s="144" customFormat="1">
      <c r="A59" s="283" t="s">
        <v>154</v>
      </c>
      <c r="B59" s="146">
        <f t="shared" si="15"/>
        <v>0</v>
      </c>
      <c r="C59" s="147"/>
      <c r="D59" s="147"/>
      <c r="E59" s="147"/>
      <c r="F59" s="147"/>
      <c r="G59" s="147"/>
      <c r="H59" s="147"/>
      <c r="I59" s="147"/>
      <c r="J59" s="147"/>
      <c r="K59" s="147"/>
      <c r="L59" s="147"/>
      <c r="M59" s="147"/>
      <c r="N59" s="147"/>
      <c r="O59" s="147"/>
      <c r="P59" s="147"/>
      <c r="Q59" s="147"/>
      <c r="R59" s="516">
        <f t="shared" si="16"/>
        <v>0</v>
      </c>
      <c r="S59" s="148"/>
      <c r="T59" s="148"/>
      <c r="U59" s="143"/>
    </row>
    <row r="60" spans="1:21" s="144" customFormat="1">
      <c r="A60" s="145" t="s">
        <v>155</v>
      </c>
      <c r="B60" s="146">
        <f t="shared" si="15"/>
        <v>0</v>
      </c>
      <c r="C60" s="147"/>
      <c r="D60" s="147"/>
      <c r="E60" s="147"/>
      <c r="F60" s="147"/>
      <c r="G60" s="147"/>
      <c r="H60" s="147"/>
      <c r="I60" s="147"/>
      <c r="J60" s="147"/>
      <c r="K60" s="147"/>
      <c r="L60" s="147"/>
      <c r="M60" s="147"/>
      <c r="N60" s="147"/>
      <c r="O60" s="147"/>
      <c r="P60" s="147"/>
      <c r="Q60" s="147"/>
      <c r="R60" s="516">
        <f t="shared" si="16"/>
        <v>0</v>
      </c>
      <c r="S60" s="148"/>
      <c r="T60" s="148"/>
      <c r="U60" s="143"/>
    </row>
    <row r="61" spans="1:21" s="144" customFormat="1">
      <c r="A61" s="1143" t="s">
        <v>2745</v>
      </c>
      <c r="B61" s="146">
        <f t="shared" si="15"/>
        <v>15000</v>
      </c>
      <c r="C61" s="147">
        <v>15000</v>
      </c>
      <c r="D61" s="147"/>
      <c r="E61" s="147"/>
      <c r="F61" s="147">
        <f t="shared" si="17"/>
        <v>15000</v>
      </c>
      <c r="G61" s="147"/>
      <c r="H61" s="147"/>
      <c r="I61" s="147"/>
      <c r="J61" s="147"/>
      <c r="K61" s="147"/>
      <c r="L61" s="147"/>
      <c r="M61" s="147"/>
      <c r="N61" s="147"/>
      <c r="O61" s="147"/>
      <c r="P61" s="147"/>
      <c r="Q61" s="147"/>
      <c r="R61" s="516">
        <f t="shared" si="16"/>
        <v>15000</v>
      </c>
      <c r="S61" s="148"/>
      <c r="T61" s="148"/>
      <c r="U61" s="143"/>
    </row>
    <row r="62" spans="1:21" s="144" customFormat="1" ht="13.8" customHeight="1">
      <c r="A62" s="149" t="s">
        <v>301</v>
      </c>
      <c r="B62" s="146">
        <f>SUM(C62:D62)</f>
        <v>340000</v>
      </c>
      <c r="C62" s="146">
        <f t="shared" ref="C62:R62" si="18">SUM(C56:C61)</f>
        <v>340000</v>
      </c>
      <c r="D62" s="146">
        <f t="shared" si="18"/>
        <v>0</v>
      </c>
      <c r="E62" s="146">
        <f t="shared" si="18"/>
        <v>0</v>
      </c>
      <c r="F62" s="146">
        <f t="shared" si="18"/>
        <v>340000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42">
        <f t="shared" si="18"/>
        <v>340000</v>
      </c>
      <c r="S62" s="148"/>
      <c r="T62" s="148"/>
      <c r="U62" s="143"/>
    </row>
    <row r="63" spans="1:21" s="144" customFormat="1">
      <c r="A63" s="154" t="s">
        <v>302</v>
      </c>
      <c r="B63" s="146">
        <f t="shared" ref="B63:R63" si="19">SUM(B8+B11+B13+B14+B15+B26+B27+B38+B42+B43+B54+B62)</f>
        <v>59128724</v>
      </c>
      <c r="C63" s="146">
        <f t="shared" si="19"/>
        <v>59128724</v>
      </c>
      <c r="D63" s="146">
        <f t="shared" si="19"/>
        <v>0</v>
      </c>
      <c r="E63" s="146">
        <f t="shared" si="19"/>
        <v>31775161</v>
      </c>
      <c r="F63" s="146">
        <f t="shared" si="19"/>
        <v>12956431</v>
      </c>
      <c r="G63" s="146">
        <f t="shared" si="19"/>
        <v>4147132</v>
      </c>
      <c r="H63" s="146">
        <f t="shared" si="19"/>
        <v>0</v>
      </c>
      <c r="I63" s="146">
        <f t="shared" si="19"/>
        <v>6000000</v>
      </c>
      <c r="J63" s="146">
        <f t="shared" si="19"/>
        <v>4250000</v>
      </c>
      <c r="K63" s="146">
        <f t="shared" si="19"/>
        <v>0</v>
      </c>
      <c r="L63" s="146">
        <f t="shared" si="19"/>
        <v>0</v>
      </c>
      <c r="M63" s="146">
        <f t="shared" si="19"/>
        <v>0</v>
      </c>
      <c r="N63" s="146">
        <f t="shared" si="19"/>
        <v>0</v>
      </c>
      <c r="O63" s="146">
        <f t="shared" si="19"/>
        <v>0</v>
      </c>
      <c r="P63" s="146">
        <f t="shared" si="19"/>
        <v>0</v>
      </c>
      <c r="Q63" s="146">
        <f t="shared" si="19"/>
        <v>0</v>
      </c>
      <c r="R63" s="342">
        <f t="shared" si="19"/>
        <v>59128724</v>
      </c>
      <c r="S63" s="146">
        <f>SUM(S10+S13+S14+S15+S26+S27+S38+S42+S43+S54)</f>
        <v>52155570</v>
      </c>
      <c r="T63" s="146">
        <f>SUM(T11+T13+T14+T15+T26+T27+T38+T42+T43+T54)</f>
        <v>0</v>
      </c>
      <c r="U63" s="143"/>
    </row>
    <row r="64" spans="1:21" s="144" customFormat="1" ht="22.8">
      <c r="A64" s="141" t="s">
        <v>1632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100000</v>
      </c>
      <c r="C65" s="147">
        <v>100000</v>
      </c>
      <c r="D65" s="147"/>
      <c r="E65" s="147"/>
      <c r="F65" s="147">
        <f>C65</f>
        <v>100000</v>
      </c>
      <c r="G65" s="147"/>
      <c r="H65" s="147"/>
      <c r="I65" s="147"/>
      <c r="J65" s="147"/>
      <c r="K65" s="147"/>
      <c r="L65" s="147"/>
      <c r="M65" s="147"/>
      <c r="N65" s="147"/>
      <c r="O65" s="147"/>
      <c r="P65" s="147"/>
      <c r="Q65" s="147"/>
      <c r="R65" s="516">
        <f>SUM(E65:Q65)</f>
        <v>100000</v>
      </c>
      <c r="S65" s="147">
        <f>R65</f>
        <v>100000</v>
      </c>
      <c r="T65" s="147"/>
      <c r="U65" s="143"/>
    </row>
    <row r="66" spans="1:21" s="144" customFormat="1" ht="24" customHeight="1">
      <c r="A66" s="283" t="s">
        <v>1629</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1630</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1636</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ht="22.8">
      <c r="A69" s="1143" t="s">
        <v>2746</v>
      </c>
      <c r="B69" s="146">
        <f>SUM(C69+D69)</f>
        <v>225000</v>
      </c>
      <c r="C69" s="147">
        <f>75000+50000+50000+50000</f>
        <v>225000</v>
      </c>
      <c r="D69" s="147"/>
      <c r="E69" s="147"/>
      <c r="F69" s="147">
        <f>C69</f>
        <v>225000</v>
      </c>
      <c r="G69" s="147"/>
      <c r="H69" s="147"/>
      <c r="I69" s="147"/>
      <c r="J69" s="147"/>
      <c r="K69" s="147"/>
      <c r="L69" s="147"/>
      <c r="M69" s="147"/>
      <c r="N69" s="147"/>
      <c r="O69" s="147"/>
      <c r="P69" s="147"/>
      <c r="Q69" s="147"/>
      <c r="R69" s="516">
        <f>SUM(E69:Q69)</f>
        <v>225000</v>
      </c>
      <c r="S69" s="147">
        <v>75000</v>
      </c>
      <c r="T69" s="147"/>
      <c r="U69" s="143"/>
    </row>
    <row r="70" spans="1:21" s="144" customFormat="1" ht="12">
      <c r="A70" s="149" t="s">
        <v>1633</v>
      </c>
      <c r="B70" s="146">
        <f>SUM(C70:D70)</f>
        <v>325000</v>
      </c>
      <c r="C70" s="146">
        <f>SUM(C65:C69)</f>
        <v>325000</v>
      </c>
      <c r="D70" s="146">
        <f>SUM(D65:D69)</f>
        <v>0</v>
      </c>
      <c r="E70" s="146">
        <f t="shared" ref="E70:T70" si="20">SUM(E65:E69)</f>
        <v>0</v>
      </c>
      <c r="F70" s="146">
        <f t="shared" si="20"/>
        <v>325000</v>
      </c>
      <c r="G70" s="146">
        <f t="shared" si="20"/>
        <v>0</v>
      </c>
      <c r="H70" s="146">
        <f t="shared" si="20"/>
        <v>0</v>
      </c>
      <c r="I70" s="146">
        <f t="shared" si="20"/>
        <v>0</v>
      </c>
      <c r="J70" s="146">
        <f t="shared" si="20"/>
        <v>0</v>
      </c>
      <c r="K70" s="146">
        <f t="shared" si="20"/>
        <v>0</v>
      </c>
      <c r="L70" s="146">
        <f t="shared" si="20"/>
        <v>0</v>
      </c>
      <c r="M70" s="146">
        <f t="shared" si="20"/>
        <v>0</v>
      </c>
      <c r="N70" s="146">
        <f t="shared" si="20"/>
        <v>0</v>
      </c>
      <c r="O70" s="146">
        <f t="shared" si="20"/>
        <v>0</v>
      </c>
      <c r="P70" s="146">
        <f t="shared" si="20"/>
        <v>0</v>
      </c>
      <c r="Q70" s="146">
        <f t="shared" si="20"/>
        <v>0</v>
      </c>
      <c r="R70" s="342">
        <f t="shared" si="20"/>
        <v>325000</v>
      </c>
      <c r="S70" s="150">
        <f t="shared" si="20"/>
        <v>175000</v>
      </c>
      <c r="T70" s="150">
        <f t="shared" si="20"/>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1421030</v>
      </c>
      <c r="C75" s="147">
        <v>1421030</v>
      </c>
      <c r="D75" s="147"/>
      <c r="E75" s="147"/>
      <c r="F75" s="147">
        <f>C75</f>
        <v>1421030</v>
      </c>
      <c r="G75" s="147"/>
      <c r="H75" s="147"/>
      <c r="I75" s="147"/>
      <c r="J75" s="147"/>
      <c r="K75" s="147"/>
      <c r="L75" s="147"/>
      <c r="M75" s="147"/>
      <c r="N75" s="147"/>
      <c r="O75" s="147"/>
      <c r="P75" s="147"/>
      <c r="Q75" s="147"/>
      <c r="R75" s="516">
        <f>SUM(E75:Q75)</f>
        <v>1421030</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ht="12">
      <c r="A77" s="149" t="s">
        <v>606</v>
      </c>
      <c r="B77" s="146">
        <f>SUM(C77:D77)</f>
        <v>1421030</v>
      </c>
      <c r="C77" s="146">
        <f>SUM(C72:C76)</f>
        <v>1421030</v>
      </c>
      <c r="D77" s="146">
        <f>SUM(D72:D76)</f>
        <v>0</v>
      </c>
      <c r="E77" s="146">
        <f t="shared" ref="E77:Q77" si="21">SUM(E72:E76)</f>
        <v>0</v>
      </c>
      <c r="F77" s="146">
        <f t="shared" si="21"/>
        <v>1421030</v>
      </c>
      <c r="G77" s="146">
        <f t="shared" si="21"/>
        <v>0</v>
      </c>
      <c r="H77" s="146">
        <f t="shared" si="21"/>
        <v>0</v>
      </c>
      <c r="I77" s="146">
        <f t="shared" si="21"/>
        <v>0</v>
      </c>
      <c r="J77" s="146">
        <f t="shared" si="21"/>
        <v>0</v>
      </c>
      <c r="K77" s="146">
        <f t="shared" si="21"/>
        <v>0</v>
      </c>
      <c r="L77" s="146">
        <f t="shared" si="21"/>
        <v>0</v>
      </c>
      <c r="M77" s="146">
        <f t="shared" si="21"/>
        <v>0</v>
      </c>
      <c r="N77" s="146">
        <f t="shared" si="21"/>
        <v>0</v>
      </c>
      <c r="O77" s="146">
        <f t="shared" si="21"/>
        <v>0</v>
      </c>
      <c r="P77" s="146">
        <f t="shared" si="21"/>
        <v>0</v>
      </c>
      <c r="Q77" s="146">
        <f t="shared" si="21"/>
        <v>0</v>
      </c>
      <c r="R77" s="342">
        <f>SUM(R72:R76)</f>
        <v>1421030</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2561598</v>
      </c>
      <c r="C79" s="147">
        <v>2561598</v>
      </c>
      <c r="D79" s="147"/>
      <c r="E79" s="147"/>
      <c r="F79" s="147">
        <f>C79</f>
        <v>2561598</v>
      </c>
      <c r="G79" s="147"/>
      <c r="H79" s="147"/>
      <c r="I79" s="147"/>
      <c r="J79" s="147"/>
      <c r="K79" s="147"/>
      <c r="L79" s="147"/>
      <c r="M79" s="147"/>
      <c r="N79" s="147"/>
      <c r="O79" s="147"/>
      <c r="P79" s="147"/>
      <c r="Q79" s="147"/>
      <c r="R79" s="516">
        <f>SUM(E79:Q79)</f>
        <v>2561598</v>
      </c>
      <c r="S79" s="147">
        <f>R79</f>
        <v>2561598</v>
      </c>
      <c r="T79" s="147"/>
      <c r="U79" s="143"/>
    </row>
    <row r="80" spans="1:21" s="144" customFormat="1">
      <c r="A80" s="283" t="s">
        <v>58</v>
      </c>
      <c r="B80" s="146">
        <f>SUM(C80:D80)</f>
        <v>749117</v>
      </c>
      <c r="C80" s="147">
        <v>749117</v>
      </c>
      <c r="D80" s="147"/>
      <c r="E80" s="147"/>
      <c r="F80" s="147">
        <f>C80</f>
        <v>749117</v>
      </c>
      <c r="G80" s="147"/>
      <c r="H80" s="147"/>
      <c r="I80" s="147"/>
      <c r="J80" s="147"/>
      <c r="K80" s="147"/>
      <c r="L80" s="147"/>
      <c r="M80" s="147"/>
      <c r="N80" s="147"/>
      <c r="O80" s="147"/>
      <c r="P80" s="147"/>
      <c r="Q80" s="147"/>
      <c r="R80" s="516">
        <f>SUM(E80:Q80)</f>
        <v>749117</v>
      </c>
      <c r="S80" s="147">
        <f>R80</f>
        <v>749117</v>
      </c>
      <c r="T80" s="147"/>
      <c r="U80" s="143"/>
    </row>
    <row r="81" spans="1:21" s="144" customFormat="1" ht="12">
      <c r="A81" s="149" t="s">
        <v>1208</v>
      </c>
      <c r="B81" s="146">
        <f>SUM(C81:D81)</f>
        <v>3310715</v>
      </c>
      <c r="C81" s="509">
        <f>SUM(C79:C80)</f>
        <v>3310715</v>
      </c>
      <c r="D81" s="509">
        <f t="shared" ref="D81:T81" si="22">SUM(D79:D80)</f>
        <v>0</v>
      </c>
      <c r="E81" s="509">
        <f t="shared" si="22"/>
        <v>0</v>
      </c>
      <c r="F81" s="509">
        <f t="shared" si="22"/>
        <v>3310715</v>
      </c>
      <c r="G81" s="509">
        <f t="shared" si="22"/>
        <v>0</v>
      </c>
      <c r="H81" s="509">
        <f t="shared" si="22"/>
        <v>0</v>
      </c>
      <c r="I81" s="509">
        <f t="shared" si="22"/>
        <v>0</v>
      </c>
      <c r="J81" s="509">
        <f t="shared" si="22"/>
        <v>0</v>
      </c>
      <c r="K81" s="509">
        <f t="shared" si="22"/>
        <v>0</v>
      </c>
      <c r="L81" s="509">
        <f t="shared" si="22"/>
        <v>0</v>
      </c>
      <c r="M81" s="509">
        <f t="shared" si="22"/>
        <v>0</v>
      </c>
      <c r="N81" s="509">
        <f t="shared" si="22"/>
        <v>0</v>
      </c>
      <c r="O81" s="509">
        <f t="shared" si="22"/>
        <v>0</v>
      </c>
      <c r="P81" s="509">
        <f t="shared" si="22"/>
        <v>0</v>
      </c>
      <c r="Q81" s="509">
        <f t="shared" si="22"/>
        <v>0</v>
      </c>
      <c r="R81" s="509">
        <f t="shared" si="22"/>
        <v>3310715</v>
      </c>
      <c r="S81" s="509">
        <f t="shared" si="22"/>
        <v>3310715</v>
      </c>
      <c r="T81" s="509">
        <f t="shared" si="22"/>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8" customHeight="1">
      <c r="A83" s="145" t="s">
        <v>2048</v>
      </c>
      <c r="B83" s="146">
        <f t="shared" ref="B83:B95" si="23">SUM(C83+D83)</f>
        <v>109297</v>
      </c>
      <c r="C83" s="147">
        <v>109297</v>
      </c>
      <c r="D83" s="147"/>
      <c r="E83" s="147"/>
      <c r="F83" s="147">
        <f>C83</f>
        <v>109297</v>
      </c>
      <c r="G83" s="147"/>
      <c r="H83" s="147"/>
      <c r="I83" s="147"/>
      <c r="J83" s="147"/>
      <c r="K83" s="147"/>
      <c r="L83" s="147"/>
      <c r="M83" s="147"/>
      <c r="N83" s="147"/>
      <c r="O83" s="147"/>
      <c r="P83" s="147"/>
      <c r="Q83" s="147"/>
      <c r="R83" s="516">
        <f t="shared" ref="R83:R95" si="24">SUM(E83:Q83)</f>
        <v>109297</v>
      </c>
      <c r="S83" s="148"/>
      <c r="T83" s="148"/>
      <c r="U83" s="143"/>
    </row>
    <row r="84" spans="1:21" s="144" customFormat="1">
      <c r="A84" s="145" t="s">
        <v>767</v>
      </c>
      <c r="B84" s="146">
        <f t="shared" si="23"/>
        <v>50000</v>
      </c>
      <c r="C84" s="147">
        <v>50000</v>
      </c>
      <c r="D84" s="147"/>
      <c r="E84" s="147"/>
      <c r="F84" s="147">
        <f>C84</f>
        <v>50000</v>
      </c>
      <c r="G84" s="147"/>
      <c r="H84" s="147"/>
      <c r="I84" s="147"/>
      <c r="J84" s="147"/>
      <c r="K84" s="147"/>
      <c r="L84" s="147"/>
      <c r="M84" s="147"/>
      <c r="N84" s="147"/>
      <c r="O84" s="147"/>
      <c r="P84" s="147"/>
      <c r="Q84" s="147"/>
      <c r="R84" s="516">
        <f t="shared" si="24"/>
        <v>50000</v>
      </c>
      <c r="S84" s="147">
        <f>R84</f>
        <v>50000</v>
      </c>
      <c r="T84" s="147"/>
      <c r="U84" s="143"/>
    </row>
    <row r="85" spans="1:21" s="144" customFormat="1">
      <c r="A85" s="145" t="s">
        <v>768</v>
      </c>
      <c r="B85" s="146">
        <f t="shared" si="23"/>
        <v>3570000</v>
      </c>
      <c r="C85" s="147">
        <v>3570000</v>
      </c>
      <c r="D85" s="147"/>
      <c r="E85" s="147"/>
      <c r="F85" s="147">
        <f>2827527</f>
        <v>2827527</v>
      </c>
      <c r="G85" s="147">
        <f>C85-F85</f>
        <v>742473</v>
      </c>
      <c r="H85" s="147"/>
      <c r="I85" s="147"/>
      <c r="J85" s="147"/>
      <c r="K85" s="147"/>
      <c r="L85" s="147"/>
      <c r="M85" s="147"/>
      <c r="N85" s="147"/>
      <c r="O85" s="147"/>
      <c r="P85" s="147"/>
      <c r="Q85" s="147"/>
      <c r="R85" s="516">
        <f t="shared" si="24"/>
        <v>3570000</v>
      </c>
      <c r="S85" s="147">
        <f t="shared" ref="S85:S87" si="25">R85</f>
        <v>3570000</v>
      </c>
      <c r="T85" s="147"/>
      <c r="U85" s="143"/>
    </row>
    <row r="86" spans="1:21" s="144" customFormat="1">
      <c r="A86" s="145" t="s">
        <v>769</v>
      </c>
      <c r="B86" s="146">
        <f t="shared" si="23"/>
        <v>1020000</v>
      </c>
      <c r="C86" s="147">
        <v>1020000</v>
      </c>
      <c r="D86" s="147"/>
      <c r="E86" s="147"/>
      <c r="F86" s="147"/>
      <c r="G86" s="147">
        <f>C86</f>
        <v>1020000</v>
      </c>
      <c r="H86" s="147"/>
      <c r="I86" s="147"/>
      <c r="J86" s="147"/>
      <c r="K86" s="147"/>
      <c r="L86" s="147"/>
      <c r="M86" s="147"/>
      <c r="N86" s="147"/>
      <c r="O86" s="147"/>
      <c r="P86" s="147"/>
      <c r="Q86" s="147"/>
      <c r="R86" s="516">
        <f t="shared" si="24"/>
        <v>1020000</v>
      </c>
      <c r="S86" s="147">
        <f t="shared" si="25"/>
        <v>1020000</v>
      </c>
      <c r="T86" s="147"/>
      <c r="U86" s="143"/>
    </row>
    <row r="87" spans="1:21" s="144" customFormat="1">
      <c r="A87" s="145" t="s">
        <v>770</v>
      </c>
      <c r="B87" s="146">
        <f t="shared" si="23"/>
        <v>0</v>
      </c>
      <c r="C87" s="147"/>
      <c r="D87" s="147"/>
      <c r="E87" s="147"/>
      <c r="F87" s="147"/>
      <c r="G87" s="147"/>
      <c r="H87" s="147"/>
      <c r="I87" s="147"/>
      <c r="J87" s="147"/>
      <c r="K87" s="147"/>
      <c r="L87" s="147"/>
      <c r="M87" s="147"/>
      <c r="N87" s="147"/>
      <c r="O87" s="147"/>
      <c r="P87" s="147"/>
      <c r="Q87" s="147"/>
      <c r="R87" s="516">
        <f t="shared" si="24"/>
        <v>0</v>
      </c>
      <c r="S87" s="147">
        <f t="shared" si="25"/>
        <v>0</v>
      </c>
      <c r="T87" s="147"/>
      <c r="U87" s="143"/>
    </row>
    <row r="88" spans="1:21" s="144" customFormat="1">
      <c r="A88" s="145" t="s">
        <v>771</v>
      </c>
      <c r="B88" s="146">
        <f t="shared" si="23"/>
        <v>75000</v>
      </c>
      <c r="C88" s="147">
        <v>75000</v>
      </c>
      <c r="D88" s="147"/>
      <c r="E88" s="147"/>
      <c r="F88" s="147"/>
      <c r="G88" s="147">
        <f t="shared" ref="G88:G95" si="26">C88</f>
        <v>75000</v>
      </c>
      <c r="H88" s="147"/>
      <c r="I88" s="147"/>
      <c r="J88" s="147"/>
      <c r="K88" s="147"/>
      <c r="L88" s="147"/>
      <c r="M88" s="147"/>
      <c r="N88" s="147"/>
      <c r="O88" s="147"/>
      <c r="P88" s="147"/>
      <c r="Q88" s="147"/>
      <c r="R88" s="516">
        <f t="shared" si="24"/>
        <v>75000</v>
      </c>
      <c r="S88" s="148"/>
      <c r="T88" s="148"/>
      <c r="U88" s="143"/>
    </row>
    <row r="89" spans="1:21" s="144" customFormat="1">
      <c r="A89" s="145" t="s">
        <v>772</v>
      </c>
      <c r="B89" s="146">
        <f t="shared" si="23"/>
        <v>75000</v>
      </c>
      <c r="C89" s="147">
        <v>75000</v>
      </c>
      <c r="D89" s="147"/>
      <c r="E89" s="147"/>
      <c r="F89" s="147"/>
      <c r="G89" s="147">
        <f t="shared" si="26"/>
        <v>75000</v>
      </c>
      <c r="H89" s="147"/>
      <c r="I89" s="147"/>
      <c r="J89" s="147"/>
      <c r="K89" s="147"/>
      <c r="L89" s="147"/>
      <c r="M89" s="147"/>
      <c r="N89" s="147"/>
      <c r="O89" s="147"/>
      <c r="P89" s="147"/>
      <c r="Q89" s="147"/>
      <c r="R89" s="516">
        <f t="shared" si="24"/>
        <v>75000</v>
      </c>
      <c r="S89" s="147">
        <f>R89</f>
        <v>75000</v>
      </c>
      <c r="T89" s="147"/>
      <c r="U89" s="143"/>
    </row>
    <row r="90" spans="1:21" s="144" customFormat="1">
      <c r="A90" s="145" t="s">
        <v>773</v>
      </c>
      <c r="B90" s="146">
        <f t="shared" si="23"/>
        <v>15000</v>
      </c>
      <c r="C90" s="147">
        <v>15000</v>
      </c>
      <c r="D90" s="147"/>
      <c r="E90" s="147"/>
      <c r="F90" s="147"/>
      <c r="G90" s="147">
        <f t="shared" si="26"/>
        <v>15000</v>
      </c>
      <c r="H90" s="147"/>
      <c r="I90" s="147"/>
      <c r="J90" s="147"/>
      <c r="K90" s="147"/>
      <c r="L90" s="147"/>
      <c r="M90" s="147"/>
      <c r="N90" s="147"/>
      <c r="O90" s="147"/>
      <c r="P90" s="147"/>
      <c r="Q90" s="147"/>
      <c r="R90" s="516">
        <f t="shared" si="24"/>
        <v>15000</v>
      </c>
      <c r="S90" s="147">
        <f t="shared" ref="S90:S94" si="27">R90</f>
        <v>15000</v>
      </c>
      <c r="T90" s="147"/>
      <c r="U90" s="143"/>
    </row>
    <row r="91" spans="1:21" s="144" customFormat="1">
      <c r="A91" s="145" t="s">
        <v>372</v>
      </c>
      <c r="B91" s="146">
        <f t="shared" si="23"/>
        <v>50000</v>
      </c>
      <c r="C91" s="147">
        <v>50000</v>
      </c>
      <c r="D91" s="147"/>
      <c r="E91" s="147"/>
      <c r="F91" s="147"/>
      <c r="G91" s="147">
        <f t="shared" si="26"/>
        <v>50000</v>
      </c>
      <c r="H91" s="147"/>
      <c r="I91" s="147"/>
      <c r="J91" s="147"/>
      <c r="K91" s="147"/>
      <c r="L91" s="147"/>
      <c r="M91" s="147"/>
      <c r="N91" s="147"/>
      <c r="O91" s="147"/>
      <c r="P91" s="147"/>
      <c r="Q91" s="147"/>
      <c r="R91" s="516">
        <f t="shared" si="24"/>
        <v>50000</v>
      </c>
      <c r="S91" s="147">
        <f t="shared" si="27"/>
        <v>50000</v>
      </c>
      <c r="T91" s="147"/>
      <c r="U91" s="143"/>
    </row>
    <row r="92" spans="1:21" s="144" customFormat="1">
      <c r="A92" s="283" t="s">
        <v>1210</v>
      </c>
      <c r="B92" s="146">
        <f t="shared" si="23"/>
        <v>20000</v>
      </c>
      <c r="C92" s="147">
        <v>20000</v>
      </c>
      <c r="D92" s="147"/>
      <c r="E92" s="147"/>
      <c r="F92" s="147"/>
      <c r="G92" s="147">
        <f t="shared" si="26"/>
        <v>20000</v>
      </c>
      <c r="H92" s="147"/>
      <c r="I92" s="147"/>
      <c r="J92" s="147"/>
      <c r="K92" s="147"/>
      <c r="L92" s="147"/>
      <c r="M92" s="147"/>
      <c r="N92" s="147"/>
      <c r="O92" s="147"/>
      <c r="P92" s="147"/>
      <c r="Q92" s="147"/>
      <c r="R92" s="516">
        <f t="shared" si="24"/>
        <v>20000</v>
      </c>
      <c r="S92" s="147">
        <f t="shared" si="27"/>
        <v>20000</v>
      </c>
      <c r="T92" s="147"/>
      <c r="U92" s="143"/>
    </row>
    <row r="93" spans="1:21" s="144" customFormat="1">
      <c r="A93" s="1143" t="s">
        <v>2806</v>
      </c>
      <c r="B93" s="146">
        <f t="shared" si="23"/>
        <v>150000</v>
      </c>
      <c r="C93" s="147">
        <v>150000</v>
      </c>
      <c r="D93" s="147"/>
      <c r="E93" s="147"/>
      <c r="F93" s="147"/>
      <c r="G93" s="147">
        <f t="shared" si="26"/>
        <v>150000</v>
      </c>
      <c r="H93" s="147"/>
      <c r="I93" s="147"/>
      <c r="J93" s="147"/>
      <c r="K93" s="147"/>
      <c r="L93" s="147"/>
      <c r="M93" s="147"/>
      <c r="N93" s="147"/>
      <c r="O93" s="147"/>
      <c r="P93" s="147"/>
      <c r="Q93" s="147"/>
      <c r="R93" s="516">
        <f t="shared" si="24"/>
        <v>150000</v>
      </c>
      <c r="S93" s="147"/>
      <c r="T93" s="147"/>
      <c r="U93" s="143"/>
    </row>
    <row r="94" spans="1:21" s="144" customFormat="1">
      <c r="A94" s="1143" t="s">
        <v>2747</v>
      </c>
      <c r="B94" s="146">
        <f t="shared" si="23"/>
        <v>7350</v>
      </c>
      <c r="C94" s="147">
        <v>7350</v>
      </c>
      <c r="D94" s="147"/>
      <c r="E94" s="147"/>
      <c r="F94" s="147"/>
      <c r="G94" s="147">
        <f t="shared" si="26"/>
        <v>7350</v>
      </c>
      <c r="H94" s="147"/>
      <c r="I94" s="147"/>
      <c r="J94" s="147"/>
      <c r="K94" s="147"/>
      <c r="L94" s="147"/>
      <c r="M94" s="147"/>
      <c r="N94" s="147"/>
      <c r="O94" s="147"/>
      <c r="P94" s="147"/>
      <c r="Q94" s="147"/>
      <c r="R94" s="516">
        <f t="shared" si="24"/>
        <v>7350</v>
      </c>
      <c r="S94" s="147">
        <f t="shared" si="27"/>
        <v>7350</v>
      </c>
      <c r="T94" s="147"/>
      <c r="U94" s="143"/>
    </row>
    <row r="95" spans="1:21" s="144" customFormat="1" ht="34.200000000000003">
      <c r="A95" s="1143" t="s">
        <v>2768</v>
      </c>
      <c r="B95" s="146">
        <f t="shared" si="23"/>
        <v>1100000</v>
      </c>
      <c r="C95" s="147">
        <f>400000+700000</f>
        <v>1100000</v>
      </c>
      <c r="D95" s="147"/>
      <c r="E95" s="147"/>
      <c r="F95" s="147"/>
      <c r="G95" s="147">
        <f t="shared" si="26"/>
        <v>1100000</v>
      </c>
      <c r="H95" s="147"/>
      <c r="I95" s="147"/>
      <c r="J95" s="147"/>
      <c r="K95" s="147"/>
      <c r="L95" s="147"/>
      <c r="M95" s="147"/>
      <c r="N95" s="147"/>
      <c r="O95" s="147"/>
      <c r="P95" s="147"/>
      <c r="Q95" s="147"/>
      <c r="R95" s="516">
        <f t="shared" si="24"/>
        <v>1100000</v>
      </c>
      <c r="S95" s="147">
        <f>R95-350000</f>
        <v>750000</v>
      </c>
      <c r="T95" s="147"/>
      <c r="U95" s="143"/>
    </row>
    <row r="96" spans="1:21" s="144" customFormat="1" ht="12">
      <c r="A96" s="149" t="s">
        <v>774</v>
      </c>
      <c r="B96" s="146">
        <f>SUM(C96:D96)</f>
        <v>6241647</v>
      </c>
      <c r="C96" s="146">
        <f t="shared" ref="C96:R96" si="28">SUM(C83:C95)</f>
        <v>6241647</v>
      </c>
      <c r="D96" s="146">
        <f t="shared" si="28"/>
        <v>0</v>
      </c>
      <c r="E96" s="146">
        <f t="shared" si="28"/>
        <v>0</v>
      </c>
      <c r="F96" s="146">
        <f t="shared" si="28"/>
        <v>2986824</v>
      </c>
      <c r="G96" s="146">
        <f t="shared" si="28"/>
        <v>3254823</v>
      </c>
      <c r="H96" s="146">
        <f t="shared" si="28"/>
        <v>0</v>
      </c>
      <c r="I96" s="146">
        <f t="shared" si="28"/>
        <v>0</v>
      </c>
      <c r="J96" s="146">
        <f t="shared" si="28"/>
        <v>0</v>
      </c>
      <c r="K96" s="146">
        <f t="shared" si="28"/>
        <v>0</v>
      </c>
      <c r="L96" s="146">
        <f t="shared" si="28"/>
        <v>0</v>
      </c>
      <c r="M96" s="146">
        <f t="shared" si="28"/>
        <v>0</v>
      </c>
      <c r="N96" s="146">
        <f t="shared" si="28"/>
        <v>0</v>
      </c>
      <c r="O96" s="146">
        <f t="shared" si="28"/>
        <v>0</v>
      </c>
      <c r="P96" s="146">
        <f t="shared" si="28"/>
        <v>0</v>
      </c>
      <c r="Q96" s="146">
        <f t="shared" si="28"/>
        <v>0</v>
      </c>
      <c r="R96" s="342">
        <f t="shared" si="28"/>
        <v>6241647</v>
      </c>
      <c r="S96" s="150">
        <f>SUM(S84:S87,S89:S95)</f>
        <v>5557350</v>
      </c>
      <c r="T96" s="146">
        <f>SUM(T84:T87,T89:T95)</f>
        <v>0</v>
      </c>
      <c r="U96" s="143"/>
    </row>
    <row r="97" spans="1:21" s="144" customFormat="1" ht="12">
      <c r="A97" s="149" t="s">
        <v>775</v>
      </c>
      <c r="B97" s="146">
        <f>SUM(C97:D97)</f>
        <v>70427116</v>
      </c>
      <c r="C97" s="146">
        <f t="shared" ref="C97:R97" si="29">SUM(C63+C70+C77+C81+C96)</f>
        <v>70427116</v>
      </c>
      <c r="D97" s="146">
        <f t="shared" si="29"/>
        <v>0</v>
      </c>
      <c r="E97" s="146">
        <f t="shared" si="29"/>
        <v>31775161</v>
      </c>
      <c r="F97" s="146">
        <f t="shared" si="29"/>
        <v>21000000</v>
      </c>
      <c r="G97" s="146">
        <f t="shared" si="29"/>
        <v>7401955</v>
      </c>
      <c r="H97" s="146">
        <f t="shared" si="29"/>
        <v>0</v>
      </c>
      <c r="I97" s="146">
        <f t="shared" si="29"/>
        <v>6000000</v>
      </c>
      <c r="J97" s="146">
        <f t="shared" si="29"/>
        <v>4250000</v>
      </c>
      <c r="K97" s="146">
        <f t="shared" si="29"/>
        <v>0</v>
      </c>
      <c r="L97" s="146">
        <f t="shared" si="29"/>
        <v>0</v>
      </c>
      <c r="M97" s="146">
        <f t="shared" si="29"/>
        <v>0</v>
      </c>
      <c r="N97" s="146">
        <f t="shared" si="29"/>
        <v>0</v>
      </c>
      <c r="O97" s="146">
        <f t="shared" si="29"/>
        <v>0</v>
      </c>
      <c r="P97" s="146">
        <f t="shared" si="29"/>
        <v>0</v>
      </c>
      <c r="Q97" s="146">
        <f t="shared" si="29"/>
        <v>0</v>
      </c>
      <c r="R97" s="146">
        <f t="shared" si="29"/>
        <v>70427116</v>
      </c>
      <c r="S97" s="146">
        <f>SUM(S63+S70+S81+S96)</f>
        <v>61198635</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9179795</v>
      </c>
      <c r="C99" s="974">
        <v>9179795</v>
      </c>
      <c r="D99" s="974"/>
      <c r="E99" s="974">
        <v>3047132</v>
      </c>
      <c r="F99" s="147"/>
      <c r="G99" s="147"/>
      <c r="H99" s="147">
        <v>6132663</v>
      </c>
      <c r="I99" s="147"/>
      <c r="J99" s="147"/>
      <c r="K99" s="147"/>
      <c r="L99" s="147"/>
      <c r="M99" s="147"/>
      <c r="N99" s="147"/>
      <c r="O99" s="147"/>
      <c r="P99" s="147"/>
      <c r="Q99" s="147"/>
      <c r="R99" s="516">
        <f>SUM(E99:Q99)</f>
        <v>9179795</v>
      </c>
      <c r="S99" s="147">
        <f>R99</f>
        <v>9179795</v>
      </c>
      <c r="T99" s="147"/>
      <c r="U99" s="143"/>
    </row>
    <row r="100" spans="1:21" s="144" customFormat="1">
      <c r="A100" s="283" t="s">
        <v>1634</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1635</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2">
      <c r="A104" s="149" t="s">
        <v>779</v>
      </c>
      <c r="B104" s="146">
        <f>SUM(C104:D104)</f>
        <v>9179795</v>
      </c>
      <c r="C104" s="146">
        <f>SUM(C99:C103)</f>
        <v>9179795</v>
      </c>
      <c r="D104" s="146">
        <f t="shared" ref="D104:T104" si="30">SUM(D99:D103)</f>
        <v>0</v>
      </c>
      <c r="E104" s="146">
        <f t="shared" si="30"/>
        <v>3047132</v>
      </c>
      <c r="F104" s="146">
        <f t="shared" si="30"/>
        <v>0</v>
      </c>
      <c r="G104" s="146">
        <f t="shared" si="30"/>
        <v>0</v>
      </c>
      <c r="H104" s="146">
        <f t="shared" si="30"/>
        <v>6132663</v>
      </c>
      <c r="I104" s="146">
        <f t="shared" si="30"/>
        <v>0</v>
      </c>
      <c r="J104" s="146">
        <f t="shared" si="30"/>
        <v>0</v>
      </c>
      <c r="K104" s="146">
        <f t="shared" si="30"/>
        <v>0</v>
      </c>
      <c r="L104" s="146">
        <f t="shared" si="30"/>
        <v>0</v>
      </c>
      <c r="M104" s="146">
        <f t="shared" si="30"/>
        <v>0</v>
      </c>
      <c r="N104" s="146">
        <f t="shared" si="30"/>
        <v>0</v>
      </c>
      <c r="O104" s="146">
        <f t="shared" si="30"/>
        <v>0</v>
      </c>
      <c r="P104" s="146">
        <f t="shared" si="30"/>
        <v>0</v>
      </c>
      <c r="Q104" s="146">
        <f t="shared" si="30"/>
        <v>0</v>
      </c>
      <c r="R104" s="342">
        <f t="shared" si="30"/>
        <v>9179795</v>
      </c>
      <c r="S104" s="150">
        <f t="shared" si="30"/>
        <v>9179795</v>
      </c>
      <c r="T104" s="150">
        <f t="shared" si="30"/>
        <v>0</v>
      </c>
      <c r="U104" s="143"/>
    </row>
    <row r="105" spans="1:21" s="144" customFormat="1" ht="12">
      <c r="A105" s="149" t="s">
        <v>780</v>
      </c>
      <c r="B105" s="150">
        <f>SUM(C105:D105)</f>
        <v>79606911</v>
      </c>
      <c r="C105" s="150">
        <f t="shared" ref="C105:R105" si="31">SUM(C97+C104)</f>
        <v>79606911</v>
      </c>
      <c r="D105" s="150">
        <f t="shared" si="31"/>
        <v>0</v>
      </c>
      <c r="E105" s="150">
        <f t="shared" si="31"/>
        <v>34822293</v>
      </c>
      <c r="F105" s="150">
        <f t="shared" si="31"/>
        <v>21000000</v>
      </c>
      <c r="G105" s="150">
        <f t="shared" si="31"/>
        <v>7401955</v>
      </c>
      <c r="H105" s="150">
        <f t="shared" si="31"/>
        <v>6132663</v>
      </c>
      <c r="I105" s="150">
        <f t="shared" si="31"/>
        <v>6000000</v>
      </c>
      <c r="J105" s="150">
        <f t="shared" si="31"/>
        <v>4250000</v>
      </c>
      <c r="K105" s="150">
        <f t="shared" si="31"/>
        <v>0</v>
      </c>
      <c r="L105" s="150">
        <f t="shared" si="31"/>
        <v>0</v>
      </c>
      <c r="M105" s="150">
        <f t="shared" si="31"/>
        <v>0</v>
      </c>
      <c r="N105" s="150">
        <f t="shared" si="31"/>
        <v>0</v>
      </c>
      <c r="O105" s="150">
        <f t="shared" si="31"/>
        <v>0</v>
      </c>
      <c r="P105" s="150">
        <f t="shared" si="31"/>
        <v>0</v>
      </c>
      <c r="Q105" s="150">
        <f t="shared" si="31"/>
        <v>0</v>
      </c>
      <c r="R105" s="342">
        <f t="shared" si="31"/>
        <v>79606911</v>
      </c>
      <c r="S105" s="150">
        <f>S97+S104</f>
        <v>70378430</v>
      </c>
      <c r="T105" s="150">
        <f>T97+T104</f>
        <v>0</v>
      </c>
      <c r="U105" s="143"/>
    </row>
    <row r="106" spans="1:21" ht="12">
      <c r="A106" s="514" t="s">
        <v>1019</v>
      </c>
      <c r="B106" s="157"/>
      <c r="C106" s="157"/>
      <c r="D106" s="157"/>
      <c r="H106" s="159" t="s">
        <v>92</v>
      </c>
      <c r="I106" s="159"/>
      <c r="J106" s="159"/>
      <c r="R106" s="160" t="s">
        <v>93</v>
      </c>
      <c r="S106" s="147"/>
      <c r="T106" s="147"/>
    </row>
    <row r="107" spans="1:21" ht="12">
      <c r="A107" s="157" t="s">
        <v>184</v>
      </c>
      <c r="C107" s="157"/>
      <c r="D107" s="157"/>
      <c r="I107" s="162" t="s">
        <v>350</v>
      </c>
      <c r="J107" s="162"/>
      <c r="R107" s="160" t="s">
        <v>94</v>
      </c>
      <c r="S107" s="150">
        <f>S105+S106</f>
        <v>70378430</v>
      </c>
      <c r="T107" s="150">
        <f>T105+T106</f>
        <v>0</v>
      </c>
    </row>
    <row r="108" spans="1:21" s="189" customFormat="1" ht="12">
      <c r="A108" s="162" t="s">
        <v>879</v>
      </c>
      <c r="B108" s="157"/>
      <c r="C108" s="157"/>
      <c r="D108" s="157"/>
      <c r="E108" s="301">
        <f>Application!AO648</f>
        <v>34822293</v>
      </c>
      <c r="F108" s="301">
        <f>Application!AO635</f>
        <v>21000000</v>
      </c>
      <c r="G108" s="301">
        <f>Application!AO636</f>
        <v>7401955</v>
      </c>
      <c r="H108" s="301">
        <f>Application!AO637</f>
        <v>6132663</v>
      </c>
      <c r="I108" s="301">
        <f>Application!AO638</f>
        <v>6000000</v>
      </c>
      <c r="J108" s="301">
        <f>Application!AO639</f>
        <v>4250000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99999999999999" customHeight="1">
      <c r="A109" s="157"/>
      <c r="B109" s="157"/>
      <c r="C109" s="157"/>
      <c r="D109" s="157"/>
    </row>
    <row r="110" spans="1:21" ht="12">
      <c r="A110" s="162" t="s">
        <v>958</v>
      </c>
      <c r="B110" s="157"/>
      <c r="C110" s="157"/>
      <c r="D110" s="157"/>
    </row>
    <row r="111" spans="1:21" ht="12">
      <c r="A111" s="156" t="s">
        <v>959</v>
      </c>
      <c r="B111" s="157"/>
      <c r="C111" s="157"/>
      <c r="D111" s="157"/>
    </row>
    <row r="112" spans="1:21" ht="12" customHeight="1">
      <c r="A112" s="312"/>
      <c r="B112" s="157"/>
      <c r="C112" s="157"/>
      <c r="D112" s="157"/>
    </row>
    <row r="113" spans="1:21" ht="12">
      <c r="A113" s="156" t="s">
        <v>1018</v>
      </c>
      <c r="B113" s="157"/>
      <c r="C113" s="157"/>
      <c r="D113" s="157"/>
    </row>
    <row r="114" spans="1:21" ht="12">
      <c r="A114" s="156" t="s">
        <v>2049</v>
      </c>
      <c r="B114" s="157"/>
      <c r="C114" s="157"/>
      <c r="D114" s="157"/>
    </row>
    <row r="115" spans="1:21" ht="12" customHeight="1">
      <c r="A115" s="312"/>
      <c r="B115" s="157"/>
      <c r="C115" s="157"/>
      <c r="D115" s="157"/>
    </row>
    <row r="116" spans="1:21" ht="12">
      <c r="A116" s="345" t="s">
        <v>1021</v>
      </c>
      <c r="B116" s="157"/>
      <c r="C116" s="157"/>
      <c r="D116" s="157"/>
    </row>
    <row r="117" spans="1:21" ht="12">
      <c r="A117" s="345" t="s">
        <v>1222</v>
      </c>
      <c r="B117" s="157"/>
      <c r="C117" s="157"/>
      <c r="D117" s="157"/>
    </row>
    <row r="118" spans="1:21" ht="12">
      <c r="A118" s="345" t="s">
        <v>1020</v>
      </c>
      <c r="B118" s="157"/>
      <c r="C118" s="157"/>
      <c r="D118" s="157"/>
    </row>
    <row r="119" spans="1:21" ht="12">
      <c r="A119" s="345" t="s">
        <v>1022</v>
      </c>
      <c r="B119" s="157"/>
      <c r="C119" s="157"/>
      <c r="D119" s="157"/>
    </row>
    <row r="120" spans="1:21" ht="12" customHeight="1">
      <c r="A120" s="344"/>
      <c r="B120" s="157"/>
      <c r="C120" s="157"/>
      <c r="D120" s="157"/>
    </row>
    <row r="121" spans="1:21" ht="15.6">
      <c r="A121" s="338" t="s">
        <v>1004</v>
      </c>
      <c r="B121" s="157"/>
      <c r="C121" s="157"/>
      <c r="D121" s="157"/>
    </row>
    <row r="122" spans="1:21">
      <c r="A122" s="325" t="s">
        <v>988</v>
      </c>
      <c r="B122" s="324"/>
      <c r="C122" s="324"/>
      <c r="D122" s="2125" t="s">
        <v>989</v>
      </c>
      <c r="E122" s="2125"/>
      <c r="F122" s="2125"/>
      <c r="G122" s="324"/>
      <c r="H122" s="324"/>
      <c r="I122" s="324"/>
      <c r="J122" s="324"/>
      <c r="K122" s="324"/>
      <c r="L122" s="324"/>
      <c r="M122" s="324"/>
      <c r="N122" s="324"/>
      <c r="O122" s="324"/>
      <c r="P122" s="324"/>
      <c r="Q122" s="324"/>
      <c r="R122" s="324"/>
      <c r="S122" s="324"/>
      <c r="T122" s="324"/>
      <c r="U122" s="326"/>
    </row>
    <row r="123" spans="1:21">
      <c r="A123" s="324" t="s">
        <v>990</v>
      </c>
      <c r="B123" s="333"/>
      <c r="C123" s="324"/>
      <c r="D123" s="2127" t="s">
        <v>1223</v>
      </c>
      <c r="E123" s="2035"/>
      <c r="F123" s="2035"/>
      <c r="G123" s="2035"/>
      <c r="H123" s="2035"/>
      <c r="I123" s="2035"/>
      <c r="J123" s="2035"/>
      <c r="K123" s="2035"/>
      <c r="L123" s="2035"/>
      <c r="M123" s="2035"/>
      <c r="N123" s="2035"/>
      <c r="O123" s="2035"/>
      <c r="P123" s="2035"/>
      <c r="Q123" s="2035"/>
      <c r="R123" s="2035"/>
      <c r="S123" s="2035"/>
      <c r="T123" s="324"/>
      <c r="U123" s="326"/>
    </row>
    <row r="124" spans="1:21" ht="13.2">
      <c r="A124" s="117" t="s">
        <v>991</v>
      </c>
      <c r="B124" s="333"/>
      <c r="C124" s="117"/>
      <c r="D124" s="2035"/>
      <c r="E124" s="2035"/>
      <c r="F124" s="2035"/>
      <c r="G124" s="2035"/>
      <c r="H124" s="2035"/>
      <c r="I124" s="2035"/>
      <c r="J124" s="2035"/>
      <c r="K124" s="2035"/>
      <c r="L124" s="2035"/>
      <c r="M124" s="2035"/>
      <c r="N124" s="2035"/>
      <c r="O124" s="2035"/>
      <c r="P124" s="2035"/>
      <c r="Q124" s="2035"/>
      <c r="R124" s="2035"/>
      <c r="S124" s="2035"/>
      <c r="T124" s="324"/>
      <c r="U124" s="326"/>
    </row>
    <row r="125" spans="1:21" ht="13.2">
      <c r="A125" s="117" t="s">
        <v>992</v>
      </c>
      <c r="B125" s="333"/>
      <c r="C125" s="117"/>
      <c r="D125" s="2035"/>
      <c r="E125" s="2035"/>
      <c r="F125" s="2035"/>
      <c r="G125" s="2035"/>
      <c r="H125" s="2035"/>
      <c r="I125" s="2035"/>
      <c r="J125" s="2035"/>
      <c r="K125" s="2035"/>
      <c r="L125" s="2035"/>
      <c r="M125" s="2035"/>
      <c r="N125" s="2035"/>
      <c r="O125" s="2035"/>
      <c r="P125" s="2035"/>
      <c r="Q125" s="2035"/>
      <c r="R125" s="2035"/>
      <c r="S125" s="2035"/>
      <c r="T125" s="324"/>
      <c r="U125" s="326"/>
    </row>
    <row r="126" spans="1:21" ht="13.2">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3.2">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3.2">
      <c r="A128" s="117" t="s">
        <v>995</v>
      </c>
      <c r="B128" s="333"/>
      <c r="C128" s="117"/>
      <c r="D128" s="2122"/>
      <c r="E128" s="2122"/>
      <c r="F128" s="2122"/>
      <c r="G128" s="2122"/>
      <c r="H128" s="2122"/>
      <c r="I128" s="117"/>
      <c r="J128" s="2123"/>
      <c r="K128" s="2123"/>
      <c r="L128" s="117"/>
      <c r="M128" s="117"/>
      <c r="N128" s="117"/>
      <c r="O128" s="117"/>
      <c r="P128" s="117"/>
      <c r="Q128" s="117"/>
      <c r="R128" s="117"/>
      <c r="S128" s="117"/>
      <c r="T128" s="324"/>
      <c r="U128" s="326"/>
    </row>
    <row r="129" spans="1:21" ht="13.2">
      <c r="A129" s="117" t="s">
        <v>300</v>
      </c>
      <c r="B129" s="333"/>
      <c r="C129" s="117"/>
      <c r="D129" s="2124" t="s">
        <v>996</v>
      </c>
      <c r="E129" s="2124"/>
      <c r="F129" s="2124"/>
      <c r="G129" s="2124"/>
      <c r="H129" s="2124"/>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2">
      <c r="A131" s="335" t="s">
        <v>998</v>
      </c>
      <c r="B131" s="334">
        <f>SUM(B123:B129)</f>
        <v>0</v>
      </c>
      <c r="C131" s="117"/>
      <c r="D131" s="2065"/>
      <c r="E131" s="2065"/>
      <c r="F131" s="2065"/>
      <c r="G131" s="2065"/>
      <c r="H131" s="2065"/>
      <c r="I131" s="117"/>
      <c r="J131" s="2065"/>
      <c r="K131" s="2065"/>
      <c r="L131" s="2065"/>
      <c r="M131" s="2065"/>
      <c r="N131" s="117"/>
      <c r="O131" s="117"/>
      <c r="P131" s="117"/>
      <c r="Q131" s="117"/>
      <c r="R131" s="117"/>
      <c r="S131" s="117"/>
      <c r="T131" s="324"/>
      <c r="U131" s="326"/>
    </row>
    <row r="132" spans="1:21" ht="12" customHeight="1">
      <c r="A132" s="336"/>
      <c r="B132" s="117"/>
      <c r="C132" s="117"/>
      <c r="D132" s="2128" t="s">
        <v>999</v>
      </c>
      <c r="E132" s="2128"/>
      <c r="F132" s="2128"/>
      <c r="G132" s="2128"/>
      <c r="H132" s="2128"/>
      <c r="I132" s="117"/>
      <c r="J132" s="2128" t="s">
        <v>1000</v>
      </c>
      <c r="K132" s="2128"/>
      <c r="L132" s="2128"/>
      <c r="M132" s="2128"/>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2">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2">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2">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2129"/>
      <c r="B138" s="2122"/>
      <c r="C138" s="2122"/>
      <c r="D138" s="328"/>
      <c r="E138" s="2123"/>
      <c r="F138" s="2123"/>
      <c r="G138" s="117"/>
      <c r="H138" s="117"/>
      <c r="I138" s="117"/>
      <c r="J138" s="117"/>
      <c r="K138" s="117"/>
      <c r="L138" s="117"/>
      <c r="M138" s="117"/>
      <c r="N138" s="117"/>
      <c r="O138" s="117"/>
      <c r="P138" s="117"/>
      <c r="Q138" s="117"/>
      <c r="R138" s="117"/>
      <c r="S138" s="117"/>
      <c r="T138" s="330"/>
      <c r="U138" s="331"/>
    </row>
    <row r="139" spans="1:21" ht="13.2">
      <c r="A139" s="2126" t="s">
        <v>1003</v>
      </c>
      <c r="B139" s="2126"/>
      <c r="C139" s="2126"/>
      <c r="D139" s="328"/>
      <c r="E139" s="117" t="s">
        <v>997</v>
      </c>
      <c r="F139" s="117"/>
      <c r="G139" s="117"/>
      <c r="H139" s="117"/>
      <c r="I139" s="117"/>
      <c r="J139" s="117"/>
      <c r="K139" s="117"/>
      <c r="L139" s="117"/>
      <c r="M139" s="117"/>
      <c r="N139" s="117"/>
      <c r="O139" s="117"/>
      <c r="P139" s="117"/>
      <c r="Q139" s="117"/>
      <c r="R139" s="117"/>
      <c r="S139" s="117"/>
      <c r="T139" s="330"/>
      <c r="U139" s="331"/>
    </row>
    <row r="140" spans="1:21" ht="13.2">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85" workbookViewId="0">
      <selection activeCell="C28" sqref="C28"/>
    </sheetView>
  </sheetViews>
  <sheetFormatPr defaultColWidth="0" defaultRowHeight="12" zeroHeight="1"/>
  <cols>
    <col min="1" max="1" width="32.6640625" style="397" customWidth="1"/>
    <col min="2" max="3" width="12.109375" style="393" customWidth="1"/>
    <col min="4" max="6" width="12.77734375" style="393" customWidth="1"/>
    <col min="7" max="9" width="12.109375" style="393" customWidth="1"/>
    <col min="10" max="10" width="12.109375" style="394" customWidth="1"/>
    <col min="11" max="11" width="8.77734375" style="395" hidden="1" customWidth="1"/>
    <col min="12" max="21" width="8.77734375" style="393" hidden="1" customWidth="1"/>
    <col min="22" max="23" width="0" style="393" hidden="1"/>
    <col min="24" max="256" width="8.77734375" style="393" hidden="1"/>
    <col min="257" max="257" width="32.6640625" style="393" hidden="1" customWidth="1"/>
    <col min="258" max="259" width="12.109375" style="393" hidden="1" customWidth="1"/>
    <col min="260" max="260" width="12.77734375" style="393" hidden="1" customWidth="1"/>
    <col min="261" max="266" width="12.109375" style="393" hidden="1" customWidth="1"/>
    <col min="267" max="277" width="8.77734375" style="393" hidden="1" customWidth="1"/>
    <col min="278" max="512" width="8.77734375" style="393" hidden="1"/>
    <col min="513" max="513" width="32.6640625" style="393" hidden="1" customWidth="1"/>
    <col min="514" max="515" width="12.109375" style="393" hidden="1" customWidth="1"/>
    <col min="516" max="516" width="12.77734375" style="393" hidden="1" customWidth="1"/>
    <col min="517" max="522" width="12.109375" style="393" hidden="1" customWidth="1"/>
    <col min="523" max="533" width="8.77734375" style="393" hidden="1" customWidth="1"/>
    <col min="534" max="768" width="8.77734375" style="393" hidden="1"/>
    <col min="769" max="769" width="32.6640625" style="393" hidden="1" customWidth="1"/>
    <col min="770" max="771" width="12.109375" style="393" hidden="1" customWidth="1"/>
    <col min="772" max="772" width="12.77734375" style="393" hidden="1" customWidth="1"/>
    <col min="773" max="778" width="12.109375" style="393" hidden="1" customWidth="1"/>
    <col min="779" max="789" width="8.77734375" style="393" hidden="1" customWidth="1"/>
    <col min="790" max="1024" width="8.77734375" style="393" hidden="1"/>
    <col min="1025" max="1025" width="32.6640625" style="393" hidden="1" customWidth="1"/>
    <col min="1026" max="1027" width="12.109375" style="393" hidden="1" customWidth="1"/>
    <col min="1028" max="1028" width="12.77734375" style="393" hidden="1" customWidth="1"/>
    <col min="1029" max="1034" width="12.109375" style="393" hidden="1" customWidth="1"/>
    <col min="1035" max="1045" width="8.77734375" style="393" hidden="1" customWidth="1"/>
    <col min="1046" max="1280" width="8.77734375" style="393" hidden="1"/>
    <col min="1281" max="1281" width="32.6640625" style="393" hidden="1" customWidth="1"/>
    <col min="1282" max="1283" width="12.109375" style="393" hidden="1" customWidth="1"/>
    <col min="1284" max="1284" width="12.77734375" style="393" hidden="1" customWidth="1"/>
    <col min="1285" max="1290" width="12.109375" style="393" hidden="1" customWidth="1"/>
    <col min="1291" max="1301" width="8.77734375" style="393" hidden="1" customWidth="1"/>
    <col min="1302" max="1536" width="8.77734375" style="393" hidden="1"/>
    <col min="1537" max="1537" width="32.6640625" style="393" hidden="1" customWidth="1"/>
    <col min="1538" max="1539" width="12.109375" style="393" hidden="1" customWidth="1"/>
    <col min="1540" max="1540" width="12.77734375" style="393" hidden="1" customWidth="1"/>
    <col min="1541" max="1546" width="12.109375" style="393" hidden="1" customWidth="1"/>
    <col min="1547" max="1557" width="8.77734375" style="393" hidden="1" customWidth="1"/>
    <col min="1558" max="1792" width="8.77734375" style="393" hidden="1"/>
    <col min="1793" max="1793" width="32.6640625" style="393" hidden="1" customWidth="1"/>
    <col min="1794" max="1795" width="12.109375" style="393" hidden="1" customWidth="1"/>
    <col min="1796" max="1796" width="12.77734375" style="393" hidden="1" customWidth="1"/>
    <col min="1797" max="1802" width="12.109375" style="393" hidden="1" customWidth="1"/>
    <col min="1803" max="1813" width="8.77734375" style="393" hidden="1" customWidth="1"/>
    <col min="1814" max="2048" width="8.77734375" style="393" hidden="1"/>
    <col min="2049" max="2049" width="32.6640625" style="393" hidden="1" customWidth="1"/>
    <col min="2050" max="2051" width="12.109375" style="393" hidden="1" customWidth="1"/>
    <col min="2052" max="2052" width="12.77734375" style="393" hidden="1" customWidth="1"/>
    <col min="2053" max="2058" width="12.109375" style="393" hidden="1" customWidth="1"/>
    <col min="2059" max="2069" width="8.77734375" style="393" hidden="1" customWidth="1"/>
    <col min="2070" max="2304" width="8.77734375" style="393" hidden="1"/>
    <col min="2305" max="2305" width="32.6640625" style="393" hidden="1" customWidth="1"/>
    <col min="2306" max="2307" width="12.109375" style="393" hidden="1" customWidth="1"/>
    <col min="2308" max="2308" width="12.77734375" style="393" hidden="1" customWidth="1"/>
    <col min="2309" max="2314" width="12.109375" style="393" hidden="1" customWidth="1"/>
    <col min="2315" max="2325" width="8.77734375" style="393" hidden="1" customWidth="1"/>
    <col min="2326" max="2560" width="8.77734375" style="393" hidden="1"/>
    <col min="2561" max="2561" width="32.6640625" style="393" hidden="1" customWidth="1"/>
    <col min="2562" max="2563" width="12.109375" style="393" hidden="1" customWidth="1"/>
    <col min="2564" max="2564" width="12.77734375" style="393" hidden="1" customWidth="1"/>
    <col min="2565" max="2570" width="12.109375" style="393" hidden="1" customWidth="1"/>
    <col min="2571" max="2581" width="8.77734375" style="393" hidden="1" customWidth="1"/>
    <col min="2582" max="2816" width="8.77734375" style="393" hidden="1"/>
    <col min="2817" max="2817" width="32.6640625" style="393" hidden="1" customWidth="1"/>
    <col min="2818" max="2819" width="12.109375" style="393" hidden="1" customWidth="1"/>
    <col min="2820" max="2820" width="12.77734375" style="393" hidden="1" customWidth="1"/>
    <col min="2821" max="2826" width="12.109375" style="393" hidden="1" customWidth="1"/>
    <col min="2827" max="2837" width="8.77734375" style="393" hidden="1" customWidth="1"/>
    <col min="2838" max="3072" width="8.77734375" style="393" hidden="1"/>
    <col min="3073" max="3073" width="32.6640625" style="393" hidden="1" customWidth="1"/>
    <col min="3074" max="3075" width="12.109375" style="393" hidden="1" customWidth="1"/>
    <col min="3076" max="3076" width="12.77734375" style="393" hidden="1" customWidth="1"/>
    <col min="3077" max="3082" width="12.109375" style="393" hidden="1" customWidth="1"/>
    <col min="3083" max="3093" width="8.77734375" style="393" hidden="1" customWidth="1"/>
    <col min="3094" max="3328" width="8.77734375" style="393" hidden="1"/>
    <col min="3329" max="3329" width="32.6640625" style="393" hidden="1" customWidth="1"/>
    <col min="3330" max="3331" width="12.109375" style="393" hidden="1" customWidth="1"/>
    <col min="3332" max="3332" width="12.77734375" style="393" hidden="1" customWidth="1"/>
    <col min="3333" max="3338" width="12.109375" style="393" hidden="1" customWidth="1"/>
    <col min="3339" max="3349" width="8.77734375" style="393" hidden="1" customWidth="1"/>
    <col min="3350" max="3584" width="8.77734375" style="393" hidden="1"/>
    <col min="3585" max="3585" width="32.6640625" style="393" hidden="1" customWidth="1"/>
    <col min="3586" max="3587" width="12.109375" style="393" hidden="1" customWidth="1"/>
    <col min="3588" max="3588" width="12.77734375" style="393" hidden="1" customWidth="1"/>
    <col min="3589" max="3594" width="12.109375" style="393" hidden="1" customWidth="1"/>
    <col min="3595" max="3605" width="8.77734375" style="393" hidden="1" customWidth="1"/>
    <col min="3606" max="3840" width="8.77734375" style="393" hidden="1"/>
    <col min="3841" max="3841" width="32.6640625" style="393" hidden="1" customWidth="1"/>
    <col min="3842" max="3843" width="12.109375" style="393" hidden="1" customWidth="1"/>
    <col min="3844" max="3844" width="12.77734375" style="393" hidden="1" customWidth="1"/>
    <col min="3845" max="3850" width="12.109375" style="393" hidden="1" customWidth="1"/>
    <col min="3851" max="3861" width="8.77734375" style="393" hidden="1" customWidth="1"/>
    <col min="3862" max="4096" width="8.77734375" style="393" hidden="1"/>
    <col min="4097" max="4097" width="32.6640625" style="393" hidden="1" customWidth="1"/>
    <col min="4098" max="4099" width="12.109375" style="393" hidden="1" customWidth="1"/>
    <col min="4100" max="4100" width="12.77734375" style="393" hidden="1" customWidth="1"/>
    <col min="4101" max="4106" width="12.109375" style="393" hidden="1" customWidth="1"/>
    <col min="4107" max="4117" width="8.77734375" style="393" hidden="1" customWidth="1"/>
    <col min="4118" max="4352" width="8.77734375" style="393" hidden="1"/>
    <col min="4353" max="4353" width="32.6640625" style="393" hidden="1" customWidth="1"/>
    <col min="4354" max="4355" width="12.109375" style="393" hidden="1" customWidth="1"/>
    <col min="4356" max="4356" width="12.77734375" style="393" hidden="1" customWidth="1"/>
    <col min="4357" max="4362" width="12.109375" style="393" hidden="1" customWidth="1"/>
    <col min="4363" max="4373" width="8.77734375" style="393" hidden="1" customWidth="1"/>
    <col min="4374" max="4608" width="8.77734375" style="393" hidden="1"/>
    <col min="4609" max="4609" width="32.6640625" style="393" hidden="1" customWidth="1"/>
    <col min="4610" max="4611" width="12.109375" style="393" hidden="1" customWidth="1"/>
    <col min="4612" max="4612" width="12.77734375" style="393" hidden="1" customWidth="1"/>
    <col min="4613" max="4618" width="12.109375" style="393" hidden="1" customWidth="1"/>
    <col min="4619" max="4629" width="8.77734375" style="393" hidden="1" customWidth="1"/>
    <col min="4630" max="4864" width="8.77734375" style="393" hidden="1"/>
    <col min="4865" max="4865" width="32.6640625" style="393" hidden="1" customWidth="1"/>
    <col min="4866" max="4867" width="12.109375" style="393" hidden="1" customWidth="1"/>
    <col min="4868" max="4868" width="12.77734375" style="393" hidden="1" customWidth="1"/>
    <col min="4869" max="4874" width="12.109375" style="393" hidden="1" customWidth="1"/>
    <col min="4875" max="4885" width="8.77734375" style="393" hidden="1" customWidth="1"/>
    <col min="4886" max="5120" width="8.77734375" style="393" hidden="1"/>
    <col min="5121" max="5121" width="32.6640625" style="393" hidden="1" customWidth="1"/>
    <col min="5122" max="5123" width="12.109375" style="393" hidden="1" customWidth="1"/>
    <col min="5124" max="5124" width="12.77734375" style="393" hidden="1" customWidth="1"/>
    <col min="5125" max="5130" width="12.109375" style="393" hidden="1" customWidth="1"/>
    <col min="5131" max="5141" width="8.77734375" style="393" hidden="1" customWidth="1"/>
    <col min="5142" max="5376" width="8.77734375" style="393" hidden="1"/>
    <col min="5377" max="5377" width="32.6640625" style="393" hidden="1" customWidth="1"/>
    <col min="5378" max="5379" width="12.109375" style="393" hidden="1" customWidth="1"/>
    <col min="5380" max="5380" width="12.77734375" style="393" hidden="1" customWidth="1"/>
    <col min="5381" max="5386" width="12.109375" style="393" hidden="1" customWidth="1"/>
    <col min="5387" max="5397" width="8.77734375" style="393" hidden="1" customWidth="1"/>
    <col min="5398" max="5632" width="8.77734375" style="393" hidden="1"/>
    <col min="5633" max="5633" width="32.6640625" style="393" hidden="1" customWidth="1"/>
    <col min="5634" max="5635" width="12.109375" style="393" hidden="1" customWidth="1"/>
    <col min="5636" max="5636" width="12.77734375" style="393" hidden="1" customWidth="1"/>
    <col min="5637" max="5642" width="12.109375" style="393" hidden="1" customWidth="1"/>
    <col min="5643" max="5653" width="8.77734375" style="393" hidden="1" customWidth="1"/>
    <col min="5654" max="5888" width="8.77734375" style="393" hidden="1"/>
    <col min="5889" max="5889" width="32.6640625" style="393" hidden="1" customWidth="1"/>
    <col min="5890" max="5891" width="12.109375" style="393" hidden="1" customWidth="1"/>
    <col min="5892" max="5892" width="12.77734375" style="393" hidden="1" customWidth="1"/>
    <col min="5893" max="5898" width="12.109375" style="393" hidden="1" customWidth="1"/>
    <col min="5899" max="5909" width="8.77734375" style="393" hidden="1" customWidth="1"/>
    <col min="5910" max="6144" width="8.77734375" style="393" hidden="1"/>
    <col min="6145" max="6145" width="32.6640625" style="393" hidden="1" customWidth="1"/>
    <col min="6146" max="6147" width="12.109375" style="393" hidden="1" customWidth="1"/>
    <col min="6148" max="6148" width="12.77734375" style="393" hidden="1" customWidth="1"/>
    <col min="6149" max="6154" width="12.109375" style="393" hidden="1" customWidth="1"/>
    <col min="6155" max="6165" width="8.77734375" style="393" hidden="1" customWidth="1"/>
    <col min="6166" max="6400" width="8.77734375" style="393" hidden="1"/>
    <col min="6401" max="6401" width="32.6640625" style="393" hidden="1" customWidth="1"/>
    <col min="6402" max="6403" width="12.109375" style="393" hidden="1" customWidth="1"/>
    <col min="6404" max="6404" width="12.77734375" style="393" hidden="1" customWidth="1"/>
    <col min="6405" max="6410" width="12.109375" style="393" hidden="1" customWidth="1"/>
    <col min="6411" max="6421" width="8.77734375" style="393" hidden="1" customWidth="1"/>
    <col min="6422" max="6656" width="8.77734375" style="393" hidden="1"/>
    <col min="6657" max="6657" width="32.6640625" style="393" hidden="1" customWidth="1"/>
    <col min="6658" max="6659" width="12.109375" style="393" hidden="1" customWidth="1"/>
    <col min="6660" max="6660" width="12.77734375" style="393" hidden="1" customWidth="1"/>
    <col min="6661" max="6666" width="12.109375" style="393" hidden="1" customWidth="1"/>
    <col min="6667" max="6677" width="8.77734375" style="393" hidden="1" customWidth="1"/>
    <col min="6678" max="6912" width="8.77734375" style="393" hidden="1"/>
    <col min="6913" max="6913" width="32.6640625" style="393" hidden="1" customWidth="1"/>
    <col min="6914" max="6915" width="12.109375" style="393" hidden="1" customWidth="1"/>
    <col min="6916" max="6916" width="12.77734375" style="393" hidden="1" customWidth="1"/>
    <col min="6917" max="6922" width="12.109375" style="393" hidden="1" customWidth="1"/>
    <col min="6923" max="6933" width="8.77734375" style="393" hidden="1" customWidth="1"/>
    <col min="6934" max="7168" width="8.77734375" style="393" hidden="1"/>
    <col min="7169" max="7169" width="32.6640625" style="393" hidden="1" customWidth="1"/>
    <col min="7170" max="7171" width="12.109375" style="393" hidden="1" customWidth="1"/>
    <col min="7172" max="7172" width="12.77734375" style="393" hidden="1" customWidth="1"/>
    <col min="7173" max="7178" width="12.109375" style="393" hidden="1" customWidth="1"/>
    <col min="7179" max="7189" width="8.77734375" style="393" hidden="1" customWidth="1"/>
    <col min="7190" max="7424" width="8.77734375" style="393" hidden="1"/>
    <col min="7425" max="7425" width="32.6640625" style="393" hidden="1" customWidth="1"/>
    <col min="7426" max="7427" width="12.109375" style="393" hidden="1" customWidth="1"/>
    <col min="7428" max="7428" width="12.77734375" style="393" hidden="1" customWidth="1"/>
    <col min="7429" max="7434" width="12.109375" style="393" hidden="1" customWidth="1"/>
    <col min="7435" max="7445" width="8.77734375" style="393" hidden="1" customWidth="1"/>
    <col min="7446" max="7680" width="8.77734375" style="393" hidden="1"/>
    <col min="7681" max="7681" width="32.6640625" style="393" hidden="1" customWidth="1"/>
    <col min="7682" max="7683" width="12.109375" style="393" hidden="1" customWidth="1"/>
    <col min="7684" max="7684" width="12.77734375" style="393" hidden="1" customWidth="1"/>
    <col min="7685" max="7690" width="12.109375" style="393" hidden="1" customWidth="1"/>
    <col min="7691" max="7701" width="8.77734375" style="393" hidden="1" customWidth="1"/>
    <col min="7702" max="7936" width="8.77734375" style="393" hidden="1"/>
    <col min="7937" max="7937" width="32.6640625" style="393" hidden="1" customWidth="1"/>
    <col min="7938" max="7939" width="12.109375" style="393" hidden="1" customWidth="1"/>
    <col min="7940" max="7940" width="12.77734375" style="393" hidden="1" customWidth="1"/>
    <col min="7941" max="7946" width="12.109375" style="393" hidden="1" customWidth="1"/>
    <col min="7947" max="7957" width="8.77734375" style="393" hidden="1" customWidth="1"/>
    <col min="7958" max="8192" width="8.77734375" style="393" hidden="1"/>
    <col min="8193" max="8193" width="32.6640625" style="393" hidden="1" customWidth="1"/>
    <col min="8194" max="8195" width="12.109375" style="393" hidden="1" customWidth="1"/>
    <col min="8196" max="8196" width="12.77734375" style="393" hidden="1" customWidth="1"/>
    <col min="8197" max="8202" width="12.109375" style="393" hidden="1" customWidth="1"/>
    <col min="8203" max="8213" width="8.77734375" style="393" hidden="1" customWidth="1"/>
    <col min="8214" max="8448" width="8.77734375" style="393" hidden="1"/>
    <col min="8449" max="8449" width="32.6640625" style="393" hidden="1" customWidth="1"/>
    <col min="8450" max="8451" width="12.109375" style="393" hidden="1" customWidth="1"/>
    <col min="8452" max="8452" width="12.77734375" style="393" hidden="1" customWidth="1"/>
    <col min="8453" max="8458" width="12.109375" style="393" hidden="1" customWidth="1"/>
    <col min="8459" max="8469" width="8.77734375" style="393" hidden="1" customWidth="1"/>
    <col min="8470" max="8704" width="8.77734375" style="393" hidden="1"/>
    <col min="8705" max="8705" width="32.6640625" style="393" hidden="1" customWidth="1"/>
    <col min="8706" max="8707" width="12.109375" style="393" hidden="1" customWidth="1"/>
    <col min="8708" max="8708" width="12.77734375" style="393" hidden="1" customWidth="1"/>
    <col min="8709" max="8714" width="12.109375" style="393" hidden="1" customWidth="1"/>
    <col min="8715" max="8725" width="8.77734375" style="393" hidden="1" customWidth="1"/>
    <col min="8726" max="8960" width="8.77734375" style="393" hidden="1"/>
    <col min="8961" max="8961" width="32.6640625" style="393" hidden="1" customWidth="1"/>
    <col min="8962" max="8963" width="12.109375" style="393" hidden="1" customWidth="1"/>
    <col min="8964" max="8964" width="12.77734375" style="393" hidden="1" customWidth="1"/>
    <col min="8965" max="8970" width="12.109375" style="393" hidden="1" customWidth="1"/>
    <col min="8971" max="8981" width="8.77734375" style="393" hidden="1" customWidth="1"/>
    <col min="8982" max="9216" width="8.77734375" style="393" hidden="1"/>
    <col min="9217" max="9217" width="32.6640625" style="393" hidden="1" customWidth="1"/>
    <col min="9218" max="9219" width="12.109375" style="393" hidden="1" customWidth="1"/>
    <col min="9220" max="9220" width="12.77734375" style="393" hidden="1" customWidth="1"/>
    <col min="9221" max="9226" width="12.109375" style="393" hidden="1" customWidth="1"/>
    <col min="9227" max="9237" width="8.77734375" style="393" hidden="1" customWidth="1"/>
    <col min="9238" max="9472" width="8.77734375" style="393" hidden="1"/>
    <col min="9473" max="9473" width="32.6640625" style="393" hidden="1" customWidth="1"/>
    <col min="9474" max="9475" width="12.109375" style="393" hidden="1" customWidth="1"/>
    <col min="9476" max="9476" width="12.77734375" style="393" hidden="1" customWidth="1"/>
    <col min="9477" max="9482" width="12.109375" style="393" hidden="1" customWidth="1"/>
    <col min="9483" max="9493" width="8.77734375" style="393" hidden="1" customWidth="1"/>
    <col min="9494" max="9728" width="8.77734375" style="393" hidden="1"/>
    <col min="9729" max="9729" width="32.6640625" style="393" hidden="1" customWidth="1"/>
    <col min="9730" max="9731" width="12.109375" style="393" hidden="1" customWidth="1"/>
    <col min="9732" max="9732" width="12.77734375" style="393" hidden="1" customWidth="1"/>
    <col min="9733" max="9738" width="12.109375" style="393" hidden="1" customWidth="1"/>
    <col min="9739" max="9749" width="8.77734375" style="393" hidden="1" customWidth="1"/>
    <col min="9750" max="9984" width="8.77734375" style="393" hidden="1"/>
    <col min="9985" max="9985" width="32.6640625" style="393" hidden="1" customWidth="1"/>
    <col min="9986" max="9987" width="12.109375" style="393" hidden="1" customWidth="1"/>
    <col min="9988" max="9988" width="12.77734375" style="393" hidden="1" customWidth="1"/>
    <col min="9989" max="9994" width="12.109375" style="393" hidden="1" customWidth="1"/>
    <col min="9995" max="10005" width="8.77734375" style="393" hidden="1" customWidth="1"/>
    <col min="10006" max="10240" width="8.77734375" style="393" hidden="1"/>
    <col min="10241" max="10241" width="32.6640625" style="393" hidden="1" customWidth="1"/>
    <col min="10242" max="10243" width="12.109375" style="393" hidden="1" customWidth="1"/>
    <col min="10244" max="10244" width="12.77734375" style="393" hidden="1" customWidth="1"/>
    <col min="10245" max="10250" width="12.109375" style="393" hidden="1" customWidth="1"/>
    <col min="10251" max="10261" width="8.77734375" style="393" hidden="1" customWidth="1"/>
    <col min="10262" max="10496" width="8.77734375" style="393" hidden="1"/>
    <col min="10497" max="10497" width="32.6640625" style="393" hidden="1" customWidth="1"/>
    <col min="10498" max="10499" width="12.109375" style="393" hidden="1" customWidth="1"/>
    <col min="10500" max="10500" width="12.77734375" style="393" hidden="1" customWidth="1"/>
    <col min="10501" max="10506" width="12.109375" style="393" hidden="1" customWidth="1"/>
    <col min="10507" max="10517" width="8.77734375" style="393" hidden="1" customWidth="1"/>
    <col min="10518" max="10752" width="8.77734375" style="393" hidden="1"/>
    <col min="10753" max="10753" width="32.6640625" style="393" hidden="1" customWidth="1"/>
    <col min="10754" max="10755" width="12.109375" style="393" hidden="1" customWidth="1"/>
    <col min="10756" max="10756" width="12.77734375" style="393" hidden="1" customWidth="1"/>
    <col min="10757" max="10762" width="12.109375" style="393" hidden="1" customWidth="1"/>
    <col min="10763" max="10773" width="8.77734375" style="393" hidden="1" customWidth="1"/>
    <col min="10774" max="11008" width="8.77734375" style="393" hidden="1"/>
    <col min="11009" max="11009" width="32.6640625" style="393" hidden="1" customWidth="1"/>
    <col min="11010" max="11011" width="12.109375" style="393" hidden="1" customWidth="1"/>
    <col min="11012" max="11012" width="12.77734375" style="393" hidden="1" customWidth="1"/>
    <col min="11013" max="11018" width="12.109375" style="393" hidden="1" customWidth="1"/>
    <col min="11019" max="11029" width="8.77734375" style="393" hidden="1" customWidth="1"/>
    <col min="11030" max="11264" width="8.77734375" style="393" hidden="1"/>
    <col min="11265" max="11265" width="32.6640625" style="393" hidden="1" customWidth="1"/>
    <col min="11266" max="11267" width="12.109375" style="393" hidden="1" customWidth="1"/>
    <col min="11268" max="11268" width="12.77734375" style="393" hidden="1" customWidth="1"/>
    <col min="11269" max="11274" width="12.109375" style="393" hidden="1" customWidth="1"/>
    <col min="11275" max="11285" width="8.77734375" style="393" hidden="1" customWidth="1"/>
    <col min="11286" max="11520" width="8.77734375" style="393" hidden="1"/>
    <col min="11521" max="11521" width="32.6640625" style="393" hidden="1" customWidth="1"/>
    <col min="11522" max="11523" width="12.109375" style="393" hidden="1" customWidth="1"/>
    <col min="11524" max="11524" width="12.77734375" style="393" hidden="1" customWidth="1"/>
    <col min="11525" max="11530" width="12.109375" style="393" hidden="1" customWidth="1"/>
    <col min="11531" max="11541" width="8.77734375" style="393" hidden="1" customWidth="1"/>
    <col min="11542" max="11776" width="8.77734375" style="393" hidden="1"/>
    <col min="11777" max="11777" width="32.6640625" style="393" hidden="1" customWidth="1"/>
    <col min="11778" max="11779" width="12.109375" style="393" hidden="1" customWidth="1"/>
    <col min="11780" max="11780" width="12.77734375" style="393" hidden="1" customWidth="1"/>
    <col min="11781" max="11786" width="12.109375" style="393" hidden="1" customWidth="1"/>
    <col min="11787" max="11797" width="8.77734375" style="393" hidden="1" customWidth="1"/>
    <col min="11798" max="12032" width="8.77734375" style="393" hidden="1"/>
    <col min="12033" max="12033" width="32.6640625" style="393" hidden="1" customWidth="1"/>
    <col min="12034" max="12035" width="12.109375" style="393" hidden="1" customWidth="1"/>
    <col min="12036" max="12036" width="12.77734375" style="393" hidden="1" customWidth="1"/>
    <col min="12037" max="12042" width="12.109375" style="393" hidden="1" customWidth="1"/>
    <col min="12043" max="12053" width="8.77734375" style="393" hidden="1" customWidth="1"/>
    <col min="12054" max="12288" width="8.77734375" style="393" hidden="1"/>
    <col min="12289" max="12289" width="32.6640625" style="393" hidden="1" customWidth="1"/>
    <col min="12290" max="12291" width="12.109375" style="393" hidden="1" customWidth="1"/>
    <col min="12292" max="12292" width="12.77734375" style="393" hidden="1" customWidth="1"/>
    <col min="12293" max="12298" width="12.109375" style="393" hidden="1" customWidth="1"/>
    <col min="12299" max="12309" width="8.77734375" style="393" hidden="1" customWidth="1"/>
    <col min="12310" max="12544" width="8.77734375" style="393" hidden="1"/>
    <col min="12545" max="12545" width="32.6640625" style="393" hidden="1" customWidth="1"/>
    <col min="12546" max="12547" width="12.109375" style="393" hidden="1" customWidth="1"/>
    <col min="12548" max="12548" width="12.77734375" style="393" hidden="1" customWidth="1"/>
    <col min="12549" max="12554" width="12.109375" style="393" hidden="1" customWidth="1"/>
    <col min="12555" max="12565" width="8.77734375" style="393" hidden="1" customWidth="1"/>
    <col min="12566" max="12800" width="8.77734375" style="393" hidden="1"/>
    <col min="12801" max="12801" width="32.6640625" style="393" hidden="1" customWidth="1"/>
    <col min="12802" max="12803" width="12.109375" style="393" hidden="1" customWidth="1"/>
    <col min="12804" max="12804" width="12.77734375" style="393" hidden="1" customWidth="1"/>
    <col min="12805" max="12810" width="12.109375" style="393" hidden="1" customWidth="1"/>
    <col min="12811" max="12821" width="8.77734375" style="393" hidden="1" customWidth="1"/>
    <col min="12822" max="13056" width="8.77734375" style="393" hidden="1"/>
    <col min="13057" max="13057" width="32.6640625" style="393" hidden="1" customWidth="1"/>
    <col min="13058" max="13059" width="12.109375" style="393" hidden="1" customWidth="1"/>
    <col min="13060" max="13060" width="12.77734375" style="393" hidden="1" customWidth="1"/>
    <col min="13061" max="13066" width="12.109375" style="393" hidden="1" customWidth="1"/>
    <col min="13067" max="13077" width="8.77734375" style="393" hidden="1" customWidth="1"/>
    <col min="13078" max="13312" width="8.77734375" style="393" hidden="1"/>
    <col min="13313" max="13313" width="32.6640625" style="393" hidden="1" customWidth="1"/>
    <col min="13314" max="13315" width="12.109375" style="393" hidden="1" customWidth="1"/>
    <col min="13316" max="13316" width="12.77734375" style="393" hidden="1" customWidth="1"/>
    <col min="13317" max="13322" width="12.109375" style="393" hidden="1" customWidth="1"/>
    <col min="13323" max="13333" width="8.77734375" style="393" hidden="1" customWidth="1"/>
    <col min="13334" max="13568" width="8.77734375" style="393" hidden="1"/>
    <col min="13569" max="13569" width="32.6640625" style="393" hidden="1" customWidth="1"/>
    <col min="13570" max="13571" width="12.109375" style="393" hidden="1" customWidth="1"/>
    <col min="13572" max="13572" width="12.77734375" style="393" hidden="1" customWidth="1"/>
    <col min="13573" max="13578" width="12.109375" style="393" hidden="1" customWidth="1"/>
    <col min="13579" max="13589" width="8.77734375" style="393" hidden="1" customWidth="1"/>
    <col min="13590" max="13824" width="8.77734375" style="393" hidden="1"/>
    <col min="13825" max="13825" width="32.6640625" style="393" hidden="1" customWidth="1"/>
    <col min="13826" max="13827" width="12.109375" style="393" hidden="1" customWidth="1"/>
    <col min="13828" max="13828" width="12.77734375" style="393" hidden="1" customWidth="1"/>
    <col min="13829" max="13834" width="12.109375" style="393" hidden="1" customWidth="1"/>
    <col min="13835" max="13845" width="8.77734375" style="393" hidden="1" customWidth="1"/>
    <col min="13846" max="14080" width="8.77734375" style="393" hidden="1"/>
    <col min="14081" max="14081" width="32.6640625" style="393" hidden="1" customWidth="1"/>
    <col min="14082" max="14083" width="12.109375" style="393" hidden="1" customWidth="1"/>
    <col min="14084" max="14084" width="12.77734375" style="393" hidden="1" customWidth="1"/>
    <col min="14085" max="14090" width="12.109375" style="393" hidden="1" customWidth="1"/>
    <col min="14091" max="14101" width="8.77734375" style="393" hidden="1" customWidth="1"/>
    <col min="14102" max="14336" width="8.77734375" style="393" hidden="1"/>
    <col min="14337" max="14337" width="32.6640625" style="393" hidden="1" customWidth="1"/>
    <col min="14338" max="14339" width="12.109375" style="393" hidden="1" customWidth="1"/>
    <col min="14340" max="14340" width="12.77734375" style="393" hidden="1" customWidth="1"/>
    <col min="14341" max="14346" width="12.109375" style="393" hidden="1" customWidth="1"/>
    <col min="14347" max="14357" width="8.77734375" style="393" hidden="1" customWidth="1"/>
    <col min="14358" max="14592" width="8.77734375" style="393" hidden="1"/>
    <col min="14593" max="14593" width="32.6640625" style="393" hidden="1" customWidth="1"/>
    <col min="14594" max="14595" width="12.109375" style="393" hidden="1" customWidth="1"/>
    <col min="14596" max="14596" width="12.77734375" style="393" hidden="1" customWidth="1"/>
    <col min="14597" max="14602" width="12.109375" style="393" hidden="1" customWidth="1"/>
    <col min="14603" max="14613" width="8.77734375" style="393" hidden="1" customWidth="1"/>
    <col min="14614" max="14848" width="8.77734375" style="393" hidden="1"/>
    <col min="14849" max="14849" width="32.6640625" style="393" hidden="1" customWidth="1"/>
    <col min="14850" max="14851" width="12.109375" style="393" hidden="1" customWidth="1"/>
    <col min="14852" max="14852" width="12.77734375" style="393" hidden="1" customWidth="1"/>
    <col min="14853" max="14858" width="12.109375" style="393" hidden="1" customWidth="1"/>
    <col min="14859" max="14869" width="8.77734375" style="393" hidden="1" customWidth="1"/>
    <col min="14870" max="15104" width="8.77734375" style="393" hidden="1"/>
    <col min="15105" max="15105" width="32.6640625" style="393" hidden="1" customWidth="1"/>
    <col min="15106" max="15107" width="12.109375" style="393" hidden="1" customWidth="1"/>
    <col min="15108" max="15108" width="12.77734375" style="393" hidden="1" customWidth="1"/>
    <col min="15109" max="15114" width="12.109375" style="393" hidden="1" customWidth="1"/>
    <col min="15115" max="15125" width="8.77734375" style="393" hidden="1" customWidth="1"/>
    <col min="15126" max="15360" width="8.77734375" style="393" hidden="1"/>
    <col min="15361" max="15361" width="32.6640625" style="393" hidden="1" customWidth="1"/>
    <col min="15362" max="15363" width="12.109375" style="393" hidden="1" customWidth="1"/>
    <col min="15364" max="15364" width="12.77734375" style="393" hidden="1" customWidth="1"/>
    <col min="15365" max="15370" width="12.109375" style="393" hidden="1" customWidth="1"/>
    <col min="15371" max="15381" width="8.77734375" style="393" hidden="1" customWidth="1"/>
    <col min="15382" max="15616" width="8.77734375" style="393" hidden="1"/>
    <col min="15617" max="15617" width="32.6640625" style="393" hidden="1" customWidth="1"/>
    <col min="15618" max="15619" width="12.109375" style="393" hidden="1" customWidth="1"/>
    <col min="15620" max="15620" width="12.77734375" style="393" hidden="1" customWidth="1"/>
    <col min="15621" max="15626" width="12.109375" style="393" hidden="1" customWidth="1"/>
    <col min="15627" max="15637" width="8.77734375" style="393" hidden="1" customWidth="1"/>
    <col min="15638" max="15872" width="8.77734375" style="393" hidden="1"/>
    <col min="15873" max="15873" width="32.6640625" style="393" hidden="1" customWidth="1"/>
    <col min="15874" max="15875" width="12.109375" style="393" hidden="1" customWidth="1"/>
    <col min="15876" max="15876" width="12.77734375" style="393" hidden="1" customWidth="1"/>
    <col min="15877" max="15882" width="12.109375" style="393" hidden="1" customWidth="1"/>
    <col min="15883" max="15893" width="8.77734375" style="393" hidden="1" customWidth="1"/>
    <col min="15894" max="16128" width="8.77734375" style="393" hidden="1"/>
    <col min="16129" max="16129" width="32.6640625" style="393" hidden="1" customWidth="1"/>
    <col min="16130" max="16131" width="12.109375" style="393" hidden="1" customWidth="1"/>
    <col min="16132" max="16132" width="12.77734375" style="393" hidden="1" customWidth="1"/>
    <col min="16133" max="16138" width="12.109375" style="393" hidden="1" customWidth="1"/>
    <col min="16139" max="16149" width="8.77734375" style="393" hidden="1" customWidth="1"/>
    <col min="16150" max="16384" width="8.77734375" style="393" hidden="1"/>
  </cols>
  <sheetData>
    <row r="1" spans="1:11" s="356" customFormat="1" ht="13.2">
      <c r="A1" s="2132" t="s">
        <v>1226</v>
      </c>
      <c r="B1" s="2133"/>
      <c r="C1" s="2133"/>
      <c r="D1" s="2133"/>
      <c r="E1" s="2133"/>
      <c r="F1" s="2133"/>
      <c r="G1" s="2133"/>
      <c r="H1" s="2133"/>
      <c r="I1" s="2133"/>
      <c r="J1" s="2134"/>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ht="11.4">
      <c r="A3" s="357" t="s">
        <v>26</v>
      </c>
      <c r="B3" s="358"/>
      <c r="C3" s="358"/>
      <c r="D3" s="358"/>
      <c r="E3" s="358"/>
      <c r="F3" s="358"/>
      <c r="G3" s="358"/>
      <c r="H3" s="358"/>
      <c r="I3" s="358"/>
      <c r="J3" s="358"/>
      <c r="K3" s="359"/>
    </row>
    <row r="4" spans="1:11" s="360" customFormat="1" ht="11.4">
      <c r="A4" s="364" t="s">
        <v>27</v>
      </c>
      <c r="B4" s="361">
        <f>'Sources and Uses Budget'!C4</f>
        <v>4250000</v>
      </c>
      <c r="C4" s="362">
        <f>B4</f>
        <v>4250000</v>
      </c>
      <c r="D4" s="362"/>
      <c r="E4" s="363"/>
      <c r="F4" s="363"/>
      <c r="G4" s="363"/>
      <c r="H4" s="363"/>
      <c r="I4" s="363"/>
      <c r="J4" s="363"/>
      <c r="K4" s="359"/>
    </row>
    <row r="5" spans="1:11" s="360" customFormat="1" ht="11.4">
      <c r="A5" s="364" t="s">
        <v>28</v>
      </c>
      <c r="B5" s="361">
        <f>'Sources and Uses Budget'!C5</f>
        <v>164514</v>
      </c>
      <c r="C5" s="362">
        <f>B5</f>
        <v>164514</v>
      </c>
      <c r="D5" s="362"/>
      <c r="E5" s="363"/>
      <c r="F5" s="363"/>
      <c r="G5" s="363"/>
      <c r="H5" s="363"/>
      <c r="I5" s="363"/>
      <c r="J5" s="363"/>
      <c r="K5" s="359"/>
    </row>
    <row r="6" spans="1:11" s="360" customFormat="1" ht="11.4">
      <c r="A6" s="364" t="s">
        <v>29</v>
      </c>
      <c r="B6" s="361">
        <f>'Sources and Uses Budget'!C6</f>
        <v>0</v>
      </c>
      <c r="C6" s="362"/>
      <c r="D6" s="362"/>
      <c r="E6" s="363"/>
      <c r="F6" s="363"/>
      <c r="G6" s="363"/>
      <c r="H6" s="363"/>
      <c r="I6" s="363"/>
      <c r="J6" s="363"/>
      <c r="K6" s="359"/>
    </row>
    <row r="7" spans="1:11" s="360" customFormat="1" ht="11.4">
      <c r="A7" s="364" t="s">
        <v>97</v>
      </c>
      <c r="B7" s="361">
        <f>'Sources and Uses Budget'!C7</f>
        <v>0</v>
      </c>
      <c r="C7" s="362"/>
      <c r="D7" s="362"/>
      <c r="E7" s="363"/>
      <c r="F7" s="363"/>
      <c r="G7" s="363"/>
      <c r="H7" s="363"/>
      <c r="I7" s="363"/>
      <c r="J7" s="363"/>
      <c r="K7" s="359"/>
    </row>
    <row r="8" spans="1:11" s="360" customFormat="1">
      <c r="A8" s="365" t="s">
        <v>593</v>
      </c>
      <c r="B8" s="361">
        <f>'Sources and Uses Budget'!C8</f>
        <v>4414514</v>
      </c>
      <c r="C8" s="361">
        <f>SUM(C4:C7)</f>
        <v>4414514</v>
      </c>
      <c r="D8" s="361">
        <f>SUM(D4:D7)</f>
        <v>0</v>
      </c>
      <c r="E8" s="363"/>
      <c r="F8" s="363"/>
      <c r="G8" s="363"/>
      <c r="H8" s="363"/>
      <c r="I8" s="363"/>
      <c r="J8" s="363"/>
      <c r="K8" s="359"/>
    </row>
    <row r="9" spans="1:11" s="360" customFormat="1" ht="11.4">
      <c r="A9" s="364" t="s">
        <v>594</v>
      </c>
      <c r="B9" s="361">
        <f>'Sources and Uses Budget'!C9</f>
        <v>0</v>
      </c>
      <c r="C9" s="362"/>
      <c r="D9" s="362"/>
      <c r="E9" s="363"/>
      <c r="F9" s="363"/>
      <c r="G9" s="363"/>
      <c r="H9" s="361">
        <f>'Sources and Uses Budget'!T9</f>
        <v>0</v>
      </c>
      <c r="I9" s="362"/>
      <c r="J9" s="362"/>
      <c r="K9" s="359"/>
    </row>
    <row r="10" spans="1:11" s="360" customFormat="1" ht="11.4">
      <c r="A10" s="364" t="s">
        <v>595</v>
      </c>
      <c r="B10" s="361">
        <f>'Sources and Uses Budget'!C10</f>
        <v>500000</v>
      </c>
      <c r="C10" s="362">
        <v>500000</v>
      </c>
      <c r="D10" s="362"/>
      <c r="E10" s="361">
        <f>'Sources and Uses Budget'!S10</f>
        <v>500000</v>
      </c>
      <c r="F10" s="362">
        <v>500000</v>
      </c>
      <c r="G10" s="362"/>
      <c r="H10" s="361">
        <f>'Sources and Uses Budget'!T10</f>
        <v>0</v>
      </c>
      <c r="I10" s="362"/>
      <c r="J10" s="362"/>
      <c r="K10" s="359"/>
    </row>
    <row r="11" spans="1:11" s="360" customFormat="1">
      <c r="A11" s="365" t="s">
        <v>596</v>
      </c>
      <c r="B11" s="361">
        <f>'Sources and Uses Budget'!C11</f>
        <v>500000</v>
      </c>
      <c r="C11" s="361">
        <f>SUM(C9:C10)</f>
        <v>500000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4914514</v>
      </c>
      <c r="C12" s="361">
        <f>SUM(C8+C11)</f>
        <v>4914514</v>
      </c>
      <c r="D12" s="361">
        <f>SUM(D8+D11)</f>
        <v>0</v>
      </c>
      <c r="E12" s="363"/>
      <c r="F12" s="363"/>
      <c r="G12" s="363"/>
      <c r="H12" s="363"/>
      <c r="I12" s="363"/>
      <c r="J12" s="363"/>
      <c r="K12" s="359"/>
    </row>
    <row r="13" spans="1:11" s="360" customFormat="1" ht="11.4">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2.8">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ht="11.4">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ht="11.4">
      <c r="A16" s="357" t="s">
        <v>597</v>
      </c>
      <c r="B16" s="358"/>
      <c r="C16" s="358"/>
      <c r="D16" s="358"/>
      <c r="E16" s="358"/>
      <c r="F16" s="358"/>
      <c r="G16" s="358"/>
      <c r="H16" s="358"/>
      <c r="I16" s="358"/>
      <c r="J16" s="358"/>
      <c r="K16" s="359"/>
    </row>
    <row r="17" spans="1:11" s="360" customFormat="1" ht="11.4">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ht="11.4">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ht="11.4">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ht="11.4">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1.4">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1.4">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1.4">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1.4">
      <c r="A24" s="508" t="s">
        <v>1628</v>
      </c>
      <c r="B24" s="361">
        <f>'Sources and Uses Budget'!C24</f>
        <v>0</v>
      </c>
      <c r="C24" s="362"/>
      <c r="D24" s="362"/>
      <c r="E24" s="361">
        <f>'Sources and Uses Budget'!S24</f>
        <v>0</v>
      </c>
      <c r="F24" s="362"/>
      <c r="G24" s="362"/>
      <c r="H24" s="361">
        <f>'Sources and Uses Budget'!T24</f>
        <v>0</v>
      </c>
      <c r="I24" s="362"/>
      <c r="J24" s="362"/>
      <c r="K24" s="359"/>
    </row>
    <row r="25" spans="1:11" s="360" customFormat="1" ht="11.4">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1100000</v>
      </c>
      <c r="C27" s="362">
        <f>B27</f>
        <v>1100000</v>
      </c>
      <c r="D27" s="362"/>
      <c r="E27" s="361">
        <f>'Sources and Uses Budget'!S27</f>
        <v>0</v>
      </c>
      <c r="F27" s="362"/>
      <c r="G27" s="362"/>
      <c r="H27" s="361">
        <f>'Sources and Uses Budget'!T27</f>
        <v>0</v>
      </c>
      <c r="I27" s="362"/>
      <c r="J27" s="362"/>
      <c r="K27" s="359"/>
    </row>
    <row r="28" spans="1:11" s="360" customFormat="1" ht="11.4">
      <c r="A28" s="357" t="s">
        <v>142</v>
      </c>
      <c r="B28" s="358"/>
      <c r="C28" s="358"/>
      <c r="D28" s="358"/>
      <c r="E28" s="358"/>
      <c r="F28" s="358"/>
      <c r="G28" s="358"/>
      <c r="H28" s="358"/>
      <c r="I28" s="358"/>
      <c r="J28" s="358"/>
      <c r="K28" s="359"/>
    </row>
    <row r="29" spans="1:11" s="360" customFormat="1" ht="11.4">
      <c r="A29" s="145" t="s">
        <v>598</v>
      </c>
      <c r="B29" s="361">
        <f>'Sources and Uses Budget'!C29</f>
        <v>1000000</v>
      </c>
      <c r="C29" s="362">
        <f>B29</f>
        <v>1000000</v>
      </c>
      <c r="D29" s="362"/>
      <c r="E29" s="361">
        <f>'Sources and Uses Budget'!S29</f>
        <v>1000000</v>
      </c>
      <c r="F29" s="362">
        <f>E29</f>
        <v>1000000</v>
      </c>
      <c r="G29" s="362"/>
      <c r="H29" s="361">
        <f>'Sources and Uses Budget'!T29</f>
        <v>0</v>
      </c>
      <c r="I29" s="362"/>
      <c r="J29" s="362"/>
      <c r="K29" s="359"/>
    </row>
    <row r="30" spans="1:11" s="360" customFormat="1" ht="11.4">
      <c r="A30" s="145" t="s">
        <v>599</v>
      </c>
      <c r="B30" s="361">
        <f>'Sources and Uses Budget'!C30</f>
        <v>38451449</v>
      </c>
      <c r="C30" s="362">
        <f t="shared" ref="C30:C37" si="0">B30</f>
        <v>38451449</v>
      </c>
      <c r="D30" s="362"/>
      <c r="E30" s="361">
        <f>'Sources and Uses Budget'!S30</f>
        <v>38451449</v>
      </c>
      <c r="F30" s="362">
        <f t="shared" ref="F30:F37" si="1">E30</f>
        <v>38451449</v>
      </c>
      <c r="G30" s="362"/>
      <c r="H30" s="361">
        <f>'Sources and Uses Budget'!T30</f>
        <v>0</v>
      </c>
      <c r="I30" s="362"/>
      <c r="J30" s="362"/>
      <c r="K30" s="359"/>
    </row>
    <row r="31" spans="1:11" s="360" customFormat="1" ht="11.4">
      <c r="A31" s="145" t="s">
        <v>600</v>
      </c>
      <c r="B31" s="361">
        <f>'Sources and Uses Budget'!C31</f>
        <v>2796601</v>
      </c>
      <c r="C31" s="362">
        <f t="shared" si="0"/>
        <v>2796601</v>
      </c>
      <c r="D31" s="362"/>
      <c r="E31" s="361">
        <f>'Sources and Uses Budget'!S31</f>
        <v>2796601</v>
      </c>
      <c r="F31" s="362">
        <f t="shared" si="1"/>
        <v>2796601</v>
      </c>
      <c r="G31" s="362"/>
      <c r="H31" s="361">
        <f>'Sources and Uses Budget'!T31</f>
        <v>0</v>
      </c>
      <c r="I31" s="362"/>
      <c r="J31" s="362"/>
      <c r="K31" s="359"/>
    </row>
    <row r="32" spans="1:11" s="360" customFormat="1" ht="11.4">
      <c r="A32" s="145" t="s">
        <v>137</v>
      </c>
      <c r="B32" s="361">
        <f>'Sources and Uses Budget'!C32</f>
        <v>1598058</v>
      </c>
      <c r="C32" s="362">
        <f t="shared" si="0"/>
        <v>1598058</v>
      </c>
      <c r="D32" s="362"/>
      <c r="E32" s="361">
        <f>'Sources and Uses Budget'!S32</f>
        <v>1598058</v>
      </c>
      <c r="F32" s="362">
        <f t="shared" si="1"/>
        <v>1598058</v>
      </c>
      <c r="G32" s="362"/>
      <c r="H32" s="361">
        <f>'Sources and Uses Budget'!T32</f>
        <v>0</v>
      </c>
      <c r="I32" s="362"/>
      <c r="J32" s="362"/>
      <c r="K32" s="359"/>
    </row>
    <row r="33" spans="1:11" s="360" customFormat="1" ht="11.4">
      <c r="A33" s="145" t="s">
        <v>138</v>
      </c>
      <c r="B33" s="361">
        <f>'Sources and Uses Budget'!C33</f>
        <v>1198543</v>
      </c>
      <c r="C33" s="362">
        <f t="shared" si="0"/>
        <v>1198543</v>
      </c>
      <c r="D33" s="362"/>
      <c r="E33" s="361">
        <f>'Sources and Uses Budget'!S33</f>
        <v>1198543</v>
      </c>
      <c r="F33" s="362">
        <f t="shared" si="1"/>
        <v>1198543</v>
      </c>
      <c r="G33" s="362"/>
      <c r="H33" s="361">
        <f>'Sources and Uses Budget'!T33</f>
        <v>0</v>
      </c>
      <c r="I33" s="362"/>
      <c r="J33" s="362"/>
      <c r="K33" s="359"/>
    </row>
    <row r="34" spans="1:11" s="360" customFormat="1" ht="11.4">
      <c r="A34" s="145" t="s">
        <v>139</v>
      </c>
      <c r="B34" s="361">
        <f>'Sources and Uses Budget'!C34</f>
        <v>0</v>
      </c>
      <c r="C34" s="362">
        <f t="shared" si="0"/>
        <v>0</v>
      </c>
      <c r="D34" s="362"/>
      <c r="E34" s="361">
        <f>'Sources and Uses Budget'!S34</f>
        <v>0</v>
      </c>
      <c r="F34" s="362">
        <f t="shared" si="1"/>
        <v>0</v>
      </c>
      <c r="G34" s="362"/>
      <c r="H34" s="361">
        <f>'Sources and Uses Budget'!T34</f>
        <v>0</v>
      </c>
      <c r="I34" s="362"/>
      <c r="J34" s="362"/>
      <c r="K34" s="359"/>
    </row>
    <row r="35" spans="1:11" s="360" customFormat="1" ht="11.4">
      <c r="A35" s="145" t="s">
        <v>140</v>
      </c>
      <c r="B35" s="361">
        <f>'Sources and Uses Budget'!C35</f>
        <v>455447</v>
      </c>
      <c r="C35" s="362">
        <f t="shared" si="0"/>
        <v>455447</v>
      </c>
      <c r="D35" s="362"/>
      <c r="E35" s="361">
        <f>'Sources and Uses Budget'!S35</f>
        <v>455447</v>
      </c>
      <c r="F35" s="362">
        <f t="shared" si="1"/>
        <v>455447</v>
      </c>
      <c r="G35" s="362"/>
      <c r="H35" s="361">
        <f>'Sources and Uses Budget'!T35</f>
        <v>0</v>
      </c>
      <c r="I35" s="362"/>
      <c r="J35" s="362"/>
      <c r="K35" s="359"/>
    </row>
    <row r="36" spans="1:11" s="360" customFormat="1" ht="11.4">
      <c r="A36" s="508" t="s">
        <v>1628</v>
      </c>
      <c r="B36" s="361">
        <f>'Sources and Uses Budget'!C36</f>
        <v>0</v>
      </c>
      <c r="C36" s="362">
        <f t="shared" si="0"/>
        <v>0</v>
      </c>
      <c r="D36" s="362"/>
      <c r="E36" s="361">
        <f>'Sources and Uses Budget'!S36</f>
        <v>0</v>
      </c>
      <c r="F36" s="362">
        <f t="shared" si="1"/>
        <v>0</v>
      </c>
      <c r="G36" s="362"/>
      <c r="H36" s="361">
        <f>'Sources and Uses Budget'!T36</f>
        <v>0</v>
      </c>
      <c r="I36" s="362"/>
      <c r="J36" s="362"/>
      <c r="K36" s="359"/>
    </row>
    <row r="37" spans="1:11" s="360" customFormat="1" ht="11.4">
      <c r="A37" s="364" t="str">
        <f>'Sources and Uses Budget'!$A37</f>
        <v>Other: (Bond Premium)</v>
      </c>
      <c r="B37" s="361">
        <f>'Sources and Uses Budget'!C37</f>
        <v>409902</v>
      </c>
      <c r="C37" s="362">
        <f t="shared" si="0"/>
        <v>409902</v>
      </c>
      <c r="D37" s="362"/>
      <c r="E37" s="361">
        <f>'Sources and Uses Budget'!S37</f>
        <v>409902</v>
      </c>
      <c r="F37" s="362">
        <f t="shared" si="1"/>
        <v>409902</v>
      </c>
      <c r="G37" s="362"/>
      <c r="H37" s="361">
        <f>'Sources and Uses Budget'!T37</f>
        <v>0</v>
      </c>
      <c r="I37" s="362"/>
      <c r="J37" s="362"/>
      <c r="K37" s="359"/>
    </row>
    <row r="38" spans="1:11" s="360" customFormat="1">
      <c r="A38" s="365" t="s">
        <v>143</v>
      </c>
      <c r="B38" s="361">
        <f>'Sources and Uses Budget'!C38</f>
        <v>45910000</v>
      </c>
      <c r="C38" s="361">
        <f>SUM(C29:C37)</f>
        <v>45910000</v>
      </c>
      <c r="D38" s="361">
        <f>SUM(D29:D37)</f>
        <v>0</v>
      </c>
      <c r="E38" s="361">
        <f>'Sources and Uses Budget'!S38</f>
        <v>45910000</v>
      </c>
      <c r="F38" s="367">
        <f>SUM(F29:F37)</f>
        <v>45910000</v>
      </c>
      <c r="G38" s="367">
        <f>SUM(G29:G37)</f>
        <v>0</v>
      </c>
      <c r="H38" s="361">
        <f>'Sources and Uses Budget'!T38</f>
        <v>0</v>
      </c>
      <c r="I38" s="367">
        <f>SUM(I29:I37)</f>
        <v>0</v>
      </c>
      <c r="J38" s="367">
        <f>SUM(J29:J37)</f>
        <v>0</v>
      </c>
      <c r="K38" s="359"/>
    </row>
    <row r="39" spans="1:11" s="360" customFormat="1" ht="11.4">
      <c r="A39" s="357" t="s">
        <v>144</v>
      </c>
      <c r="B39" s="358"/>
      <c r="C39" s="358"/>
      <c r="D39" s="358"/>
      <c r="E39" s="358"/>
      <c r="F39" s="358"/>
      <c r="G39" s="358"/>
      <c r="H39" s="358"/>
      <c r="I39" s="358"/>
      <c r="J39" s="358"/>
      <c r="K39" s="359"/>
    </row>
    <row r="40" spans="1:11" s="360" customFormat="1" ht="11.4">
      <c r="A40" s="364" t="s">
        <v>145</v>
      </c>
      <c r="B40" s="361">
        <f>'Sources and Uses Budget'!C40</f>
        <v>1160000</v>
      </c>
      <c r="C40" s="362">
        <f>B40</f>
        <v>1160000</v>
      </c>
      <c r="D40" s="362"/>
      <c r="E40" s="361">
        <f>'Sources and Uses Budget'!S40</f>
        <v>1160000</v>
      </c>
      <c r="F40" s="362">
        <f>E40</f>
        <v>1160000</v>
      </c>
      <c r="G40" s="362"/>
      <c r="H40" s="361">
        <f>'Sources and Uses Budget'!T40</f>
        <v>0</v>
      </c>
      <c r="I40" s="362"/>
      <c r="J40" s="362"/>
      <c r="K40" s="359"/>
    </row>
    <row r="41" spans="1:11" s="360" customFormat="1" ht="11.4">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1160000</v>
      </c>
      <c r="C42" s="361">
        <f>SUM(C39:C41)</f>
        <v>1160000</v>
      </c>
      <c r="D42" s="361">
        <f>SUM(D39:D41)</f>
        <v>0</v>
      </c>
      <c r="E42" s="361">
        <f>'Sources and Uses Budget'!S42</f>
        <v>1160000</v>
      </c>
      <c r="F42" s="367">
        <f>SUM(F40:F41)</f>
        <v>1160000</v>
      </c>
      <c r="G42" s="367">
        <f>SUM(G40:G41)</f>
        <v>0</v>
      </c>
      <c r="H42" s="361">
        <f>'Sources and Uses Budget'!T42</f>
        <v>0</v>
      </c>
      <c r="I42" s="367">
        <f>SUM(I40:I41)</f>
        <v>0</v>
      </c>
      <c r="J42" s="367">
        <f>SUM(J40:J41)</f>
        <v>0</v>
      </c>
      <c r="K42" s="359"/>
    </row>
    <row r="43" spans="1:11" s="360" customFormat="1">
      <c r="A43" s="365" t="s">
        <v>148</v>
      </c>
      <c r="B43" s="361">
        <f>'Sources and Uses Budget'!C43</f>
        <v>650000</v>
      </c>
      <c r="C43" s="362">
        <f>B43</f>
        <v>650000</v>
      </c>
      <c r="D43" s="362"/>
      <c r="E43" s="361">
        <f>'Sources and Uses Budget'!S43</f>
        <v>650000</v>
      </c>
      <c r="F43" s="362">
        <f>E43</f>
        <v>650000</v>
      </c>
      <c r="G43" s="362"/>
      <c r="H43" s="361">
        <f>'Sources and Uses Budget'!T43</f>
        <v>0</v>
      </c>
      <c r="I43" s="362"/>
      <c r="J43" s="362"/>
      <c r="K43" s="359"/>
    </row>
    <row r="44" spans="1:11" s="360" customFormat="1" ht="11.4">
      <c r="A44" s="357" t="s">
        <v>149</v>
      </c>
      <c r="B44" s="358"/>
      <c r="C44" s="358"/>
      <c r="D44" s="358"/>
      <c r="E44" s="358"/>
      <c r="F44" s="358"/>
      <c r="G44" s="358"/>
      <c r="H44" s="358"/>
      <c r="I44" s="358"/>
      <c r="J44" s="358"/>
      <c r="K44" s="359"/>
    </row>
    <row r="45" spans="1:11" s="360" customFormat="1" ht="11.4">
      <c r="A45" s="364" t="s">
        <v>150</v>
      </c>
      <c r="B45" s="361">
        <f>'Sources and Uses Budget'!C45</f>
        <v>4148959</v>
      </c>
      <c r="C45" s="362">
        <f>B45</f>
        <v>4148959</v>
      </c>
      <c r="D45" s="362"/>
      <c r="E45" s="361">
        <f>'Sources and Uses Budget'!S45</f>
        <v>3080919</v>
      </c>
      <c r="F45" s="362">
        <f>E45</f>
        <v>3080919</v>
      </c>
      <c r="G45" s="362"/>
      <c r="H45" s="361">
        <f>'Sources and Uses Budget'!T45</f>
        <v>0</v>
      </c>
      <c r="I45" s="362"/>
      <c r="J45" s="362"/>
      <c r="K45" s="359"/>
    </row>
    <row r="46" spans="1:11" s="360" customFormat="1" ht="11.4">
      <c r="A46" s="364" t="s">
        <v>151</v>
      </c>
      <c r="B46" s="361">
        <f>'Sources and Uses Budget'!C46</f>
        <v>253001</v>
      </c>
      <c r="C46" s="362">
        <f t="shared" ref="C46:C53" si="2">B46</f>
        <v>253001</v>
      </c>
      <c r="D46" s="362"/>
      <c r="E46" s="361">
        <f>'Sources and Uses Budget'!S46</f>
        <v>202401</v>
      </c>
      <c r="F46" s="362">
        <f>E46</f>
        <v>202401</v>
      </c>
      <c r="G46" s="362"/>
      <c r="H46" s="361">
        <f>'Sources and Uses Budget'!T46</f>
        <v>0</v>
      </c>
      <c r="I46" s="362"/>
      <c r="J46" s="362"/>
      <c r="K46" s="359"/>
    </row>
    <row r="47" spans="1:11" s="360" customFormat="1" ht="12" customHeight="1">
      <c r="A47" s="364" t="s">
        <v>152</v>
      </c>
      <c r="B47" s="361">
        <f>'Sources and Uses Budget'!C47</f>
        <v>0</v>
      </c>
      <c r="C47" s="362">
        <f t="shared" si="2"/>
        <v>0</v>
      </c>
      <c r="D47" s="362"/>
      <c r="E47" s="361">
        <f>'Sources and Uses Budget'!S47</f>
        <v>0</v>
      </c>
      <c r="F47" s="362">
        <f t="shared" ref="F47:F53" si="3">E47</f>
        <v>0</v>
      </c>
      <c r="G47" s="362"/>
      <c r="H47" s="361">
        <f>'Sources and Uses Budget'!T47</f>
        <v>0</v>
      </c>
      <c r="I47" s="362"/>
      <c r="J47" s="362"/>
      <c r="K47" s="359"/>
    </row>
    <row r="48" spans="1:11" s="360" customFormat="1" ht="11.4">
      <c r="A48" s="364" t="s">
        <v>153</v>
      </c>
      <c r="B48" s="361">
        <f>'Sources and Uses Budget'!C48</f>
        <v>0</v>
      </c>
      <c r="C48" s="362">
        <f t="shared" si="2"/>
        <v>0</v>
      </c>
      <c r="D48" s="362"/>
      <c r="E48" s="361">
        <f>'Sources and Uses Budget'!S48</f>
        <v>0</v>
      </c>
      <c r="F48" s="362">
        <f t="shared" si="3"/>
        <v>0</v>
      </c>
      <c r="G48" s="362"/>
      <c r="H48" s="361">
        <f>'Sources and Uses Budget'!T48</f>
        <v>0</v>
      </c>
      <c r="I48" s="362"/>
      <c r="J48" s="362"/>
      <c r="K48" s="359"/>
    </row>
    <row r="49" spans="1:11" s="360" customFormat="1" ht="11.4">
      <c r="A49" s="283" t="s">
        <v>57</v>
      </c>
      <c r="B49" s="361">
        <f>'Sources and Uses Budget'!C49</f>
        <v>63250</v>
      </c>
      <c r="C49" s="362">
        <f t="shared" si="2"/>
        <v>63250</v>
      </c>
      <c r="D49" s="362"/>
      <c r="E49" s="361">
        <f>'Sources and Uses Budget'!S49</f>
        <v>63250</v>
      </c>
      <c r="F49" s="362">
        <f t="shared" si="3"/>
        <v>63250</v>
      </c>
      <c r="G49" s="362"/>
      <c r="H49" s="361">
        <f>'Sources and Uses Budget'!T49</f>
        <v>0</v>
      </c>
      <c r="I49" s="362"/>
      <c r="J49" s="362"/>
      <c r="K49" s="359"/>
    </row>
    <row r="50" spans="1:11" s="360" customFormat="1" ht="11.4">
      <c r="A50" s="364" t="s">
        <v>156</v>
      </c>
      <c r="B50" s="361">
        <f>'Sources and Uses Budget'!C50</f>
        <v>100000</v>
      </c>
      <c r="C50" s="362">
        <f t="shared" si="2"/>
        <v>100000</v>
      </c>
      <c r="D50" s="362"/>
      <c r="E50" s="361">
        <f>'Sources and Uses Budget'!S50</f>
        <v>100000</v>
      </c>
      <c r="F50" s="362">
        <v>100000</v>
      </c>
      <c r="G50" s="362"/>
      <c r="H50" s="361">
        <f>'Sources and Uses Budget'!T50</f>
        <v>0</v>
      </c>
      <c r="I50" s="362"/>
      <c r="J50" s="362"/>
      <c r="K50" s="359"/>
    </row>
    <row r="51" spans="1:11" s="360" customFormat="1" ht="11.4">
      <c r="A51" s="364" t="s">
        <v>154</v>
      </c>
      <c r="B51" s="361">
        <f>'Sources and Uses Budget'!C51</f>
        <v>0</v>
      </c>
      <c r="C51" s="362">
        <f t="shared" si="2"/>
        <v>0</v>
      </c>
      <c r="D51" s="362"/>
      <c r="E51" s="361">
        <f>'Sources and Uses Budget'!S51</f>
        <v>0</v>
      </c>
      <c r="F51" s="362">
        <f t="shared" si="3"/>
        <v>0</v>
      </c>
      <c r="G51" s="362"/>
      <c r="H51" s="361">
        <f>'Sources and Uses Budget'!T51</f>
        <v>0</v>
      </c>
      <c r="I51" s="362"/>
      <c r="J51" s="362"/>
      <c r="K51" s="359"/>
    </row>
    <row r="52" spans="1:11" s="360" customFormat="1" ht="11.4">
      <c r="A52" s="364" t="s">
        <v>155</v>
      </c>
      <c r="B52" s="361">
        <f>'Sources and Uses Budget'!C52</f>
        <v>464000</v>
      </c>
      <c r="C52" s="362">
        <f>B52</f>
        <v>464000</v>
      </c>
      <c r="D52" s="362"/>
      <c r="E52" s="361">
        <f>'Sources and Uses Budget'!S52</f>
        <v>464000</v>
      </c>
      <c r="F52" s="362">
        <f t="shared" si="3"/>
        <v>464000</v>
      </c>
      <c r="G52" s="362"/>
      <c r="H52" s="361">
        <f>'Sources and Uses Budget'!T52</f>
        <v>0</v>
      </c>
      <c r="I52" s="362"/>
      <c r="J52" s="362"/>
      <c r="K52" s="359"/>
    </row>
    <row r="53" spans="1:11" s="360" customFormat="1" ht="11.4">
      <c r="A53" s="364" t="str">
        <f>'Sources and Uses Budget'!$A53</f>
        <v>Employment Reporting</v>
      </c>
      <c r="B53" s="361">
        <f>'Sources and Uses Budget'!C53</f>
        <v>25000</v>
      </c>
      <c r="C53" s="362">
        <f t="shared" si="2"/>
        <v>25000</v>
      </c>
      <c r="D53" s="362"/>
      <c r="E53" s="361">
        <f>'Sources and Uses Budget'!S53</f>
        <v>25000</v>
      </c>
      <c r="F53" s="362">
        <f t="shared" si="3"/>
        <v>25000</v>
      </c>
      <c r="G53" s="362"/>
      <c r="H53" s="361">
        <f>'Sources and Uses Budget'!T53</f>
        <v>0</v>
      </c>
      <c r="I53" s="362"/>
      <c r="J53" s="362"/>
      <c r="K53" s="359"/>
    </row>
    <row r="54" spans="1:11" s="369" customFormat="1">
      <c r="A54" s="365" t="s">
        <v>157</v>
      </c>
      <c r="B54" s="361">
        <f>'Sources and Uses Budget'!C54</f>
        <v>5054210</v>
      </c>
      <c r="C54" s="367">
        <f>SUM(C45:C53)</f>
        <v>5054210</v>
      </c>
      <c r="D54" s="367">
        <f>SUM(D45:D53)</f>
        <v>0</v>
      </c>
      <c r="E54" s="361">
        <f>'Sources and Uses Budget'!S54</f>
        <v>3935570</v>
      </c>
      <c r="F54" s="367">
        <f>SUM(F45:F53)</f>
        <v>3935570</v>
      </c>
      <c r="G54" s="367">
        <f>SUM(G45:G53)</f>
        <v>0</v>
      </c>
      <c r="H54" s="361">
        <f>'Sources and Uses Budget'!T54</f>
        <v>0</v>
      </c>
      <c r="I54" s="367">
        <f>SUM(I45:I53)</f>
        <v>0</v>
      </c>
      <c r="J54" s="367">
        <f>SUM(J45:J53)</f>
        <v>0</v>
      </c>
      <c r="K54" s="368"/>
    </row>
    <row r="55" spans="1:11" s="360" customFormat="1" ht="11.4">
      <c r="A55" s="357" t="s">
        <v>418</v>
      </c>
      <c r="B55" s="358"/>
      <c r="C55" s="358"/>
      <c r="D55" s="358"/>
      <c r="E55" s="358"/>
      <c r="F55" s="358"/>
      <c r="G55" s="358"/>
      <c r="H55" s="358"/>
      <c r="I55" s="358"/>
      <c r="J55" s="358"/>
      <c r="K55" s="359"/>
    </row>
    <row r="56" spans="1:11" s="360" customFormat="1" ht="11.4">
      <c r="A56" s="364" t="s">
        <v>158</v>
      </c>
      <c r="B56" s="361">
        <f>'Sources and Uses Budget'!C56</f>
        <v>315000</v>
      </c>
      <c r="C56" s="362">
        <v>315000</v>
      </c>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ht="11.4">
      <c r="A58" s="364" t="s">
        <v>156</v>
      </c>
      <c r="B58" s="361">
        <f>'Sources and Uses Budget'!C58</f>
        <v>10000</v>
      </c>
      <c r="C58" s="362">
        <f>B58</f>
        <v>10000</v>
      </c>
      <c r="D58" s="362"/>
      <c r="E58" s="363"/>
      <c r="F58" s="363"/>
      <c r="G58" s="363"/>
      <c r="H58" s="363"/>
      <c r="I58" s="363"/>
      <c r="J58" s="363"/>
      <c r="K58" s="359"/>
    </row>
    <row r="59" spans="1:11" s="360" customFormat="1" ht="11.4">
      <c r="A59" s="364" t="s">
        <v>154</v>
      </c>
      <c r="B59" s="361">
        <f>'Sources and Uses Budget'!C59</f>
        <v>0</v>
      </c>
      <c r="C59" s="362">
        <f t="shared" ref="C59:C61" si="4">B59</f>
        <v>0</v>
      </c>
      <c r="D59" s="362"/>
      <c r="E59" s="363"/>
      <c r="F59" s="363"/>
      <c r="G59" s="363"/>
      <c r="H59" s="363"/>
      <c r="I59" s="363"/>
      <c r="J59" s="363"/>
      <c r="K59" s="359"/>
    </row>
    <row r="60" spans="1:11" s="360" customFormat="1" ht="11.4">
      <c r="A60" s="364" t="s">
        <v>155</v>
      </c>
      <c r="B60" s="361">
        <f>'Sources and Uses Budget'!C60</f>
        <v>0</v>
      </c>
      <c r="C60" s="362">
        <f t="shared" si="4"/>
        <v>0</v>
      </c>
      <c r="D60" s="362"/>
      <c r="E60" s="363"/>
      <c r="F60" s="363"/>
      <c r="G60" s="363"/>
      <c r="H60" s="363"/>
      <c r="I60" s="363"/>
      <c r="J60" s="363"/>
      <c r="K60" s="359"/>
    </row>
    <row r="61" spans="1:11" s="360" customFormat="1" ht="11.4">
      <c r="A61" s="364" t="str">
        <f>'Sources and Uses Budget'!$A61</f>
        <v>Other: (Legal or Permanent Financing)</v>
      </c>
      <c r="B61" s="361">
        <f>'Sources and Uses Budget'!C61</f>
        <v>15000</v>
      </c>
      <c r="C61" s="362">
        <f t="shared" si="4"/>
        <v>15000</v>
      </c>
      <c r="D61" s="362"/>
      <c r="E61" s="363"/>
      <c r="F61" s="363"/>
      <c r="G61" s="363"/>
      <c r="H61" s="363"/>
      <c r="I61" s="363"/>
      <c r="J61" s="363"/>
      <c r="K61" s="359"/>
    </row>
    <row r="62" spans="1:11" s="360" customFormat="1" ht="13.8" customHeight="1">
      <c r="A62" s="365" t="s">
        <v>301</v>
      </c>
      <c r="B62" s="361">
        <f>'Sources and Uses Budget'!C62</f>
        <v>340000</v>
      </c>
      <c r="C62" s="361">
        <f>SUM(C56:C61)</f>
        <v>340000</v>
      </c>
      <c r="D62" s="361">
        <f>SUM(D56:D61)</f>
        <v>0</v>
      </c>
      <c r="E62" s="363"/>
      <c r="F62" s="363"/>
      <c r="G62" s="363"/>
      <c r="H62" s="363"/>
      <c r="I62" s="363"/>
      <c r="J62" s="363"/>
      <c r="K62" s="359"/>
    </row>
    <row r="63" spans="1:11" s="360" customFormat="1" ht="11.4">
      <c r="A63" s="370" t="s">
        <v>302</v>
      </c>
      <c r="B63" s="361">
        <f>'Sources and Uses Budget'!C63</f>
        <v>59128724</v>
      </c>
      <c r="C63" s="361">
        <f>SUM(C8+C11+C13+C14+C15+C26+C27+C38+C42+C43+C54+C62)</f>
        <v>59128724</v>
      </c>
      <c r="D63" s="361">
        <f>SUM(D8+D11+D13+D14+D15+D26+D27+D38+D42+D43+D54+D62)</f>
        <v>0</v>
      </c>
      <c r="E63" s="361">
        <f>'Sources and Uses Budget'!S63</f>
        <v>52155570</v>
      </c>
      <c r="F63" s="361">
        <f>SUM(F10+F13+F14+F15+F26+F27+F38+F42+F43+F54)</f>
        <v>52155570</v>
      </c>
      <c r="G63" s="361">
        <f>SUM(G10+G13+G14+G15+G26+G27+G38+G42+G43+G54)</f>
        <v>0</v>
      </c>
      <c r="H63" s="361">
        <f>'Sources and Uses Budget'!T63</f>
        <v>0</v>
      </c>
      <c r="I63" s="361">
        <f>SUM(I11+I13+I14+I15+I26+I27+I38+I42+I43+I54)</f>
        <v>0</v>
      </c>
      <c r="J63" s="361">
        <f>SUM(J11+J13+J14+J15+J26+J27+J38+J42+J43+J54)</f>
        <v>0</v>
      </c>
      <c r="K63" s="359"/>
    </row>
    <row r="64" spans="1:11" s="360" customFormat="1" ht="22.8">
      <c r="A64" s="141" t="s">
        <v>1632</v>
      </c>
      <c r="B64" s="358"/>
      <c r="C64" s="358"/>
      <c r="D64" s="358"/>
      <c r="E64" s="358"/>
      <c r="F64" s="358"/>
      <c r="G64" s="358"/>
      <c r="H64" s="358"/>
      <c r="I64" s="358"/>
      <c r="J64" s="358"/>
      <c r="K64" s="359"/>
    </row>
    <row r="65" spans="1:11" s="360" customFormat="1" ht="11.4">
      <c r="A65" s="145" t="s">
        <v>171</v>
      </c>
      <c r="B65" s="361">
        <f>'Sources and Uses Budget'!C65</f>
        <v>100000</v>
      </c>
      <c r="C65" s="362">
        <f>B65</f>
        <v>100000</v>
      </c>
      <c r="D65" s="362"/>
      <c r="E65" s="361">
        <f>'Sources and Uses Budget'!S65</f>
        <v>100000</v>
      </c>
      <c r="F65" s="362">
        <f>E65</f>
        <v>100000</v>
      </c>
      <c r="G65" s="362"/>
      <c r="H65" s="361">
        <f>'Sources and Uses Budget'!T65</f>
        <v>0</v>
      </c>
      <c r="I65" s="362"/>
      <c r="J65" s="362"/>
      <c r="K65" s="359"/>
    </row>
    <row r="66" spans="1:11" s="360" customFormat="1" ht="22.8">
      <c r="A66" s="283" t="s">
        <v>1629</v>
      </c>
      <c r="B66" s="361">
        <f>'Sources and Uses Budget'!C66</f>
        <v>0</v>
      </c>
      <c r="C66" s="362">
        <f t="shared" ref="C66:C69" si="5">B66</f>
        <v>0</v>
      </c>
      <c r="D66" s="362"/>
      <c r="E66" s="361">
        <f>'Sources and Uses Budget'!S66</f>
        <v>0</v>
      </c>
      <c r="F66" s="362">
        <f t="shared" ref="F66:F69" si="6">E66</f>
        <v>0</v>
      </c>
      <c r="G66" s="362"/>
      <c r="H66" s="361">
        <f>'Sources and Uses Budget'!T66</f>
        <v>0</v>
      </c>
      <c r="I66" s="362"/>
      <c r="J66" s="362"/>
      <c r="K66" s="359"/>
    </row>
    <row r="67" spans="1:11" s="360" customFormat="1" ht="22.8">
      <c r="A67" s="283" t="s">
        <v>1630</v>
      </c>
      <c r="B67" s="361">
        <f>'Sources and Uses Budget'!C67</f>
        <v>0</v>
      </c>
      <c r="C67" s="362">
        <f t="shared" si="5"/>
        <v>0</v>
      </c>
      <c r="D67" s="362"/>
      <c r="E67" s="361">
        <f>'Sources and Uses Budget'!S67</f>
        <v>0</v>
      </c>
      <c r="F67" s="362">
        <f t="shared" si="6"/>
        <v>0</v>
      </c>
      <c r="G67" s="362"/>
      <c r="H67" s="361">
        <f>'Sources and Uses Budget'!T67</f>
        <v>0</v>
      </c>
      <c r="I67" s="362"/>
      <c r="J67" s="362"/>
      <c r="K67" s="359"/>
    </row>
    <row r="68" spans="1:11" s="360" customFormat="1" ht="11.4">
      <c r="A68" s="283" t="s">
        <v>1636</v>
      </c>
      <c r="B68" s="361">
        <f>'Sources and Uses Budget'!C68</f>
        <v>0</v>
      </c>
      <c r="C68" s="362">
        <f t="shared" si="5"/>
        <v>0</v>
      </c>
      <c r="D68" s="362"/>
      <c r="E68" s="361">
        <f>'Sources and Uses Budget'!S68</f>
        <v>0</v>
      </c>
      <c r="F68" s="362">
        <f t="shared" si="6"/>
        <v>0</v>
      </c>
      <c r="G68" s="362"/>
      <c r="H68" s="361">
        <f>'Sources and Uses Budget'!T68</f>
        <v>0</v>
      </c>
      <c r="I68" s="362"/>
      <c r="J68" s="362"/>
      <c r="K68" s="359"/>
    </row>
    <row r="69" spans="1:11" s="360" customFormat="1" ht="22.8">
      <c r="A69" s="364" t="str">
        <f>'Sources and Uses Budget'!$A69</f>
        <v>Other: (Lender Legal+ Bond Issur Legal+MGP Legal)</v>
      </c>
      <c r="B69" s="361">
        <f>'Sources and Uses Budget'!C69</f>
        <v>225000</v>
      </c>
      <c r="C69" s="362">
        <f t="shared" si="5"/>
        <v>225000</v>
      </c>
      <c r="D69" s="362"/>
      <c r="E69" s="361">
        <f>'Sources and Uses Budget'!S69</f>
        <v>75000</v>
      </c>
      <c r="F69" s="362">
        <f t="shared" si="6"/>
        <v>75000</v>
      </c>
      <c r="G69" s="362"/>
      <c r="H69" s="361">
        <f>'Sources and Uses Budget'!T69</f>
        <v>0</v>
      </c>
      <c r="I69" s="362"/>
      <c r="J69" s="362"/>
      <c r="K69" s="359"/>
    </row>
    <row r="70" spans="1:11" s="360" customFormat="1">
      <c r="A70" s="365" t="s">
        <v>601</v>
      </c>
      <c r="B70" s="361">
        <f>'Sources and Uses Budget'!C70</f>
        <v>325000</v>
      </c>
      <c r="C70" s="361">
        <f>SUM(C64:C69)</f>
        <v>325000</v>
      </c>
      <c r="D70" s="361">
        <f>SUM(D64:D69)</f>
        <v>0</v>
      </c>
      <c r="E70" s="361">
        <f>'Sources and Uses Budget'!S70</f>
        <v>175000</v>
      </c>
      <c r="F70" s="367">
        <f>SUM(F65:F69)</f>
        <v>175000</v>
      </c>
      <c r="G70" s="367">
        <f>SUM(G65:G69)</f>
        <v>0</v>
      </c>
      <c r="H70" s="361">
        <f>'Sources and Uses Budget'!T70</f>
        <v>0</v>
      </c>
      <c r="I70" s="367">
        <f>SUM(I65:I69)</f>
        <v>0</v>
      </c>
      <c r="J70" s="367">
        <f>SUM(J65:J69)</f>
        <v>0</v>
      </c>
      <c r="K70" s="359"/>
    </row>
    <row r="71" spans="1:11" s="360" customFormat="1" ht="11.4">
      <c r="A71" s="357" t="s">
        <v>602</v>
      </c>
      <c r="B71" s="358"/>
      <c r="C71" s="358"/>
      <c r="D71" s="358"/>
      <c r="E71" s="358"/>
      <c r="F71" s="358"/>
      <c r="G71" s="358"/>
      <c r="H71" s="358"/>
      <c r="I71" s="358"/>
      <c r="J71" s="358"/>
      <c r="K71" s="359"/>
    </row>
    <row r="72" spans="1:11" s="360" customFormat="1" ht="11.4">
      <c r="A72" s="364" t="s">
        <v>603</v>
      </c>
      <c r="B72" s="361">
        <f>'Sources and Uses Budget'!C72</f>
        <v>0</v>
      </c>
      <c r="C72" s="362">
        <f>B72</f>
        <v>0</v>
      </c>
      <c r="D72" s="362"/>
      <c r="E72" s="363"/>
      <c r="F72" s="363"/>
      <c r="G72" s="363"/>
      <c r="H72" s="363"/>
      <c r="I72" s="363"/>
      <c r="J72" s="363"/>
      <c r="K72" s="359"/>
    </row>
    <row r="73" spans="1:11" s="360" customFormat="1" ht="11.4">
      <c r="A73" s="364" t="s">
        <v>604</v>
      </c>
      <c r="B73" s="361">
        <f>'Sources and Uses Budget'!C73</f>
        <v>0</v>
      </c>
      <c r="C73" s="362">
        <f t="shared" ref="C73:C76" si="7">B73</f>
        <v>0</v>
      </c>
      <c r="D73" s="362"/>
      <c r="E73" s="363"/>
      <c r="F73" s="363"/>
      <c r="G73" s="363"/>
      <c r="H73" s="363"/>
      <c r="I73" s="363"/>
      <c r="J73" s="363"/>
      <c r="K73" s="359"/>
    </row>
    <row r="74" spans="1:11" s="360" customFormat="1" ht="11.4">
      <c r="A74" s="366" t="s">
        <v>985</v>
      </c>
      <c r="B74" s="361">
        <f>'Sources and Uses Budget'!C74</f>
        <v>0</v>
      </c>
      <c r="C74" s="362">
        <f t="shared" si="7"/>
        <v>0</v>
      </c>
      <c r="D74" s="362"/>
      <c r="E74" s="363"/>
      <c r="F74" s="363"/>
      <c r="G74" s="363"/>
      <c r="H74" s="363"/>
      <c r="I74" s="363"/>
      <c r="J74" s="363"/>
      <c r="K74" s="359"/>
    </row>
    <row r="75" spans="1:11" s="360" customFormat="1" ht="11.4">
      <c r="A75" s="364" t="s">
        <v>605</v>
      </c>
      <c r="B75" s="361">
        <f>'Sources and Uses Budget'!C75</f>
        <v>1421030</v>
      </c>
      <c r="C75" s="362">
        <f t="shared" si="7"/>
        <v>1421030</v>
      </c>
      <c r="D75" s="362"/>
      <c r="E75" s="363"/>
      <c r="F75" s="363"/>
      <c r="G75" s="363"/>
      <c r="H75" s="363"/>
      <c r="I75" s="363"/>
      <c r="J75" s="363"/>
      <c r="K75" s="359"/>
    </row>
    <row r="76" spans="1:11" s="360" customFormat="1" ht="11.4">
      <c r="A76" s="364" t="str">
        <f>'Sources and Uses Budget'!$A76</f>
        <v>Other: (Specify)</v>
      </c>
      <c r="B76" s="361">
        <f>'Sources and Uses Budget'!C76</f>
        <v>0</v>
      </c>
      <c r="C76" s="362">
        <f t="shared" si="7"/>
        <v>0</v>
      </c>
      <c r="D76" s="362"/>
      <c r="E76" s="363"/>
      <c r="F76" s="363"/>
      <c r="G76" s="363"/>
      <c r="H76" s="363"/>
      <c r="I76" s="363"/>
      <c r="J76" s="363"/>
      <c r="K76" s="359"/>
    </row>
    <row r="77" spans="1:11" s="360" customFormat="1">
      <c r="A77" s="365" t="s">
        <v>606</v>
      </c>
      <c r="B77" s="361">
        <f>'Sources and Uses Budget'!C77</f>
        <v>1421030</v>
      </c>
      <c r="C77" s="361">
        <f>SUM(C72:C76)</f>
        <v>1421030</v>
      </c>
      <c r="D77" s="361">
        <f>SUM(D72:D76)</f>
        <v>0</v>
      </c>
      <c r="E77" s="363"/>
      <c r="F77" s="363"/>
      <c r="G77" s="363"/>
      <c r="H77" s="363"/>
      <c r="I77" s="363"/>
      <c r="J77" s="363"/>
      <c r="K77" s="359"/>
    </row>
    <row r="78" spans="1:11" s="360" customFormat="1" ht="11.4">
      <c r="A78" s="357" t="s">
        <v>1209</v>
      </c>
      <c r="B78" s="358"/>
      <c r="C78" s="358"/>
      <c r="D78" s="358"/>
      <c r="E78" s="358"/>
      <c r="F78" s="358"/>
      <c r="G78" s="358"/>
      <c r="H78" s="358"/>
      <c r="I78" s="358"/>
      <c r="J78" s="358"/>
      <c r="K78" s="359"/>
    </row>
    <row r="79" spans="1:11" s="360" customFormat="1" ht="11.4">
      <c r="A79" s="364" t="s">
        <v>1211</v>
      </c>
      <c r="B79" s="361">
        <f>'Sources and Uses Budget'!C79</f>
        <v>2561598</v>
      </c>
      <c r="C79" s="362">
        <f>B79</f>
        <v>2561598</v>
      </c>
      <c r="D79" s="362"/>
      <c r="E79" s="361">
        <f>'Sources and Uses Budget'!S79</f>
        <v>2561598</v>
      </c>
      <c r="F79" s="362">
        <f>E79</f>
        <v>2561598</v>
      </c>
      <c r="G79" s="362"/>
      <c r="H79" s="361">
        <f>'Sources and Uses Budget'!T79</f>
        <v>0</v>
      </c>
      <c r="I79" s="362"/>
      <c r="J79" s="362"/>
      <c r="K79" s="359"/>
    </row>
    <row r="80" spans="1:11" s="360" customFormat="1" ht="11.4">
      <c r="A80" s="364" t="s">
        <v>58</v>
      </c>
      <c r="B80" s="361">
        <f>'Sources and Uses Budget'!C80</f>
        <v>749117</v>
      </c>
      <c r="C80" s="362">
        <f>B80</f>
        <v>749117</v>
      </c>
      <c r="D80" s="362"/>
      <c r="E80" s="361">
        <f>'Sources and Uses Budget'!S80</f>
        <v>749117</v>
      </c>
      <c r="F80" s="362">
        <f>E80</f>
        <v>749117</v>
      </c>
      <c r="G80" s="362"/>
      <c r="H80" s="361">
        <f>'Sources and Uses Budget'!T80</f>
        <v>0</v>
      </c>
      <c r="I80" s="362"/>
      <c r="J80" s="362"/>
      <c r="K80" s="359"/>
    </row>
    <row r="81" spans="1:11" s="360" customFormat="1">
      <c r="A81" s="365" t="s">
        <v>1208</v>
      </c>
      <c r="B81" s="361">
        <f>'Sources and Uses Budget'!C81</f>
        <v>3310715</v>
      </c>
      <c r="C81" s="361">
        <f>SUM(C79:C80)</f>
        <v>3310715</v>
      </c>
      <c r="D81" s="361">
        <f>SUM(D79:D80)</f>
        <v>0</v>
      </c>
      <c r="E81" s="361">
        <f>'Sources and Uses Budget'!S81</f>
        <v>3310715</v>
      </c>
      <c r="F81" s="361">
        <f>SUM(F79:F80)</f>
        <v>3310715</v>
      </c>
      <c r="G81" s="361">
        <f>SUM(G79:G80)</f>
        <v>0</v>
      </c>
      <c r="H81" s="361">
        <f>'Sources and Uses Budget'!T81</f>
        <v>0</v>
      </c>
      <c r="I81" s="361">
        <f>SUM(I79:I80)</f>
        <v>0</v>
      </c>
      <c r="J81" s="361">
        <f>SUM(J79:J80)</f>
        <v>0</v>
      </c>
      <c r="K81" s="359"/>
    </row>
    <row r="82" spans="1:11" s="360" customFormat="1" ht="11.4">
      <c r="A82" s="357" t="s">
        <v>765</v>
      </c>
      <c r="B82" s="358"/>
      <c r="C82" s="358"/>
      <c r="D82" s="358"/>
      <c r="E82" s="358"/>
      <c r="F82" s="358"/>
      <c r="G82" s="358"/>
      <c r="H82" s="358"/>
      <c r="I82" s="358"/>
      <c r="J82" s="358"/>
      <c r="K82" s="359"/>
    </row>
    <row r="83" spans="1:11" s="360" customFormat="1" ht="13.8" customHeight="1">
      <c r="A83" s="145" t="s">
        <v>2048</v>
      </c>
      <c r="B83" s="361">
        <f>'Sources and Uses Budget'!C83</f>
        <v>109297</v>
      </c>
      <c r="C83" s="362">
        <f>B83</f>
        <v>109297</v>
      </c>
      <c r="D83" s="362"/>
      <c r="E83" s="363"/>
      <c r="F83" s="363"/>
      <c r="G83" s="363"/>
      <c r="H83" s="363"/>
      <c r="I83" s="363"/>
      <c r="J83" s="363"/>
      <c r="K83" s="359"/>
    </row>
    <row r="84" spans="1:11" s="360" customFormat="1" ht="11.4">
      <c r="A84" s="145" t="s">
        <v>767</v>
      </c>
      <c r="B84" s="361">
        <f>'Sources and Uses Budget'!C84</f>
        <v>50000</v>
      </c>
      <c r="C84" s="362">
        <f t="shared" ref="C84:C95" si="8">B84</f>
        <v>50000</v>
      </c>
      <c r="D84" s="362"/>
      <c r="E84" s="361">
        <f>'Sources and Uses Budget'!S84</f>
        <v>50000</v>
      </c>
      <c r="F84" s="362">
        <f>E84</f>
        <v>50000</v>
      </c>
      <c r="G84" s="362"/>
      <c r="H84" s="361">
        <f>'Sources and Uses Budget'!T84</f>
        <v>0</v>
      </c>
      <c r="I84" s="362"/>
      <c r="J84" s="362"/>
      <c r="K84" s="359"/>
    </row>
    <row r="85" spans="1:11" s="360" customFormat="1" ht="11.4">
      <c r="A85" s="145" t="s">
        <v>768</v>
      </c>
      <c r="B85" s="361">
        <f>'Sources and Uses Budget'!C85</f>
        <v>3570000</v>
      </c>
      <c r="C85" s="362">
        <f t="shared" si="8"/>
        <v>3570000</v>
      </c>
      <c r="D85" s="362"/>
      <c r="E85" s="361">
        <f>'Sources and Uses Budget'!S85</f>
        <v>3570000</v>
      </c>
      <c r="F85" s="362">
        <f t="shared" ref="F85:F87" si="9">E85</f>
        <v>3570000</v>
      </c>
      <c r="G85" s="362"/>
      <c r="H85" s="361">
        <f>'Sources and Uses Budget'!T85</f>
        <v>0</v>
      </c>
      <c r="I85" s="362"/>
      <c r="J85" s="362"/>
      <c r="K85" s="359"/>
    </row>
    <row r="86" spans="1:11" s="360" customFormat="1" ht="11.4">
      <c r="A86" s="145" t="s">
        <v>769</v>
      </c>
      <c r="B86" s="361">
        <f>'Sources and Uses Budget'!C86</f>
        <v>1020000</v>
      </c>
      <c r="C86" s="362">
        <f t="shared" si="8"/>
        <v>1020000</v>
      </c>
      <c r="D86" s="362"/>
      <c r="E86" s="361">
        <f>'Sources and Uses Budget'!S86</f>
        <v>1020000</v>
      </c>
      <c r="F86" s="362">
        <f t="shared" si="9"/>
        <v>1020000</v>
      </c>
      <c r="G86" s="362"/>
      <c r="H86" s="361">
        <f>'Sources and Uses Budget'!T86</f>
        <v>0</v>
      </c>
      <c r="I86" s="362"/>
      <c r="J86" s="362"/>
      <c r="K86" s="359"/>
    </row>
    <row r="87" spans="1:11" s="360" customFormat="1" ht="11.4">
      <c r="A87" s="145" t="s">
        <v>770</v>
      </c>
      <c r="B87" s="361">
        <f>'Sources and Uses Budget'!C87</f>
        <v>0</v>
      </c>
      <c r="C87" s="362">
        <f t="shared" si="8"/>
        <v>0</v>
      </c>
      <c r="D87" s="362"/>
      <c r="E87" s="361">
        <f>'Sources and Uses Budget'!S87</f>
        <v>0</v>
      </c>
      <c r="F87" s="362">
        <f t="shared" si="9"/>
        <v>0</v>
      </c>
      <c r="G87" s="362"/>
      <c r="H87" s="361">
        <f>'Sources and Uses Budget'!T87</f>
        <v>0</v>
      </c>
      <c r="I87" s="362"/>
      <c r="J87" s="362"/>
      <c r="K87" s="359"/>
    </row>
    <row r="88" spans="1:11" s="360" customFormat="1" ht="11.4">
      <c r="A88" s="145" t="s">
        <v>771</v>
      </c>
      <c r="B88" s="361">
        <f>'Sources and Uses Budget'!C88</f>
        <v>75000</v>
      </c>
      <c r="C88" s="362">
        <f t="shared" si="8"/>
        <v>75000</v>
      </c>
      <c r="D88" s="362"/>
      <c r="E88" s="363"/>
      <c r="F88" s="363"/>
      <c r="G88" s="363"/>
      <c r="H88" s="363"/>
      <c r="I88" s="363"/>
      <c r="J88" s="363"/>
      <c r="K88" s="359"/>
    </row>
    <row r="89" spans="1:11" s="360" customFormat="1" ht="11.4">
      <c r="A89" s="145" t="s">
        <v>772</v>
      </c>
      <c r="B89" s="361">
        <f>'Sources and Uses Budget'!C89</f>
        <v>75000</v>
      </c>
      <c r="C89" s="362">
        <f t="shared" si="8"/>
        <v>75000</v>
      </c>
      <c r="D89" s="362"/>
      <c r="E89" s="361">
        <f>'Sources and Uses Budget'!S89</f>
        <v>75000</v>
      </c>
      <c r="F89" s="362">
        <f>E89</f>
        <v>75000</v>
      </c>
      <c r="G89" s="362"/>
      <c r="H89" s="361">
        <f>'Sources and Uses Budget'!T89</f>
        <v>0</v>
      </c>
      <c r="I89" s="362"/>
      <c r="J89" s="362"/>
      <c r="K89" s="359"/>
    </row>
    <row r="90" spans="1:11" s="360" customFormat="1" ht="11.4">
      <c r="A90" s="145" t="s">
        <v>773</v>
      </c>
      <c r="B90" s="361">
        <f>'Sources and Uses Budget'!C90</f>
        <v>15000</v>
      </c>
      <c r="C90" s="362">
        <f t="shared" si="8"/>
        <v>15000</v>
      </c>
      <c r="D90" s="362"/>
      <c r="E90" s="361">
        <f>'Sources and Uses Budget'!S90</f>
        <v>15000</v>
      </c>
      <c r="F90" s="362">
        <f t="shared" ref="F90:F94" si="10">E90</f>
        <v>15000</v>
      </c>
      <c r="G90" s="362"/>
      <c r="H90" s="361">
        <f>'Sources and Uses Budget'!T90</f>
        <v>0</v>
      </c>
      <c r="I90" s="362"/>
      <c r="J90" s="362"/>
      <c r="K90" s="359"/>
    </row>
    <row r="91" spans="1:11" s="360" customFormat="1" ht="11.4">
      <c r="A91" s="155" t="s">
        <v>372</v>
      </c>
      <c r="B91" s="361">
        <f>'Sources and Uses Budget'!C91</f>
        <v>50000</v>
      </c>
      <c r="C91" s="362">
        <f t="shared" si="8"/>
        <v>50000</v>
      </c>
      <c r="D91" s="362"/>
      <c r="E91" s="361">
        <f>'Sources and Uses Budget'!S91</f>
        <v>50000</v>
      </c>
      <c r="F91" s="362">
        <f t="shared" si="10"/>
        <v>50000</v>
      </c>
      <c r="G91" s="362"/>
      <c r="H91" s="361">
        <f>'Sources and Uses Budget'!T91</f>
        <v>0</v>
      </c>
      <c r="I91" s="362"/>
      <c r="J91" s="362"/>
      <c r="K91" s="359"/>
    </row>
    <row r="92" spans="1:11" s="360" customFormat="1" ht="11.4">
      <c r="A92" s="508" t="s">
        <v>1210</v>
      </c>
      <c r="B92" s="361">
        <f>'Sources and Uses Budget'!C92</f>
        <v>20000</v>
      </c>
      <c r="C92" s="362">
        <f t="shared" si="8"/>
        <v>20000</v>
      </c>
      <c r="D92" s="362"/>
      <c r="E92" s="361">
        <f>'Sources and Uses Budget'!S92</f>
        <v>20000</v>
      </c>
      <c r="F92" s="362">
        <f t="shared" si="10"/>
        <v>20000</v>
      </c>
      <c r="G92" s="362"/>
      <c r="H92" s="361">
        <f>'Sources and Uses Budget'!T92</f>
        <v>0</v>
      </c>
      <c r="I92" s="362"/>
      <c r="J92" s="362"/>
      <c r="K92" s="359"/>
    </row>
    <row r="93" spans="1:11" s="360" customFormat="1" ht="11.4">
      <c r="A93" s="364" t="str">
        <f>'Sources and Uses Budget'!$A93</f>
        <v>Other: (Environmental Remediation Cost)</v>
      </c>
      <c r="B93" s="361">
        <f>'Sources and Uses Budget'!C93</f>
        <v>150000</v>
      </c>
      <c r="C93" s="362">
        <f t="shared" si="8"/>
        <v>150000</v>
      </c>
      <c r="D93" s="362"/>
      <c r="E93" s="361">
        <f>'Sources and Uses Budget'!S93</f>
        <v>0</v>
      </c>
      <c r="F93" s="362">
        <f t="shared" si="10"/>
        <v>0</v>
      </c>
      <c r="G93" s="362"/>
      <c r="H93" s="361">
        <f>'Sources and Uses Budget'!T93</f>
        <v>0</v>
      </c>
      <c r="I93" s="362"/>
      <c r="J93" s="362"/>
      <c r="K93" s="359"/>
    </row>
    <row r="94" spans="1:11" s="360" customFormat="1" ht="11.4">
      <c r="A94" s="364" t="str">
        <f>'Sources and Uses Budget'!$A94</f>
        <v>Other: (CDLAC Fee)</v>
      </c>
      <c r="B94" s="361">
        <f>'Sources and Uses Budget'!C94</f>
        <v>7350</v>
      </c>
      <c r="C94" s="362">
        <f t="shared" si="8"/>
        <v>7350</v>
      </c>
      <c r="D94" s="362"/>
      <c r="E94" s="361">
        <f>'Sources and Uses Budget'!S94</f>
        <v>7350</v>
      </c>
      <c r="F94" s="362">
        <f t="shared" si="10"/>
        <v>7350</v>
      </c>
      <c r="G94" s="362"/>
      <c r="H94" s="361">
        <f>'Sources and Uses Budget'!T94</f>
        <v>0</v>
      </c>
      <c r="I94" s="362"/>
      <c r="J94" s="362"/>
      <c r="K94" s="359"/>
    </row>
    <row r="95" spans="1:11" s="360" customFormat="1" ht="34.200000000000003">
      <c r="A95" s="364" t="str">
        <f>'Sources and Uses Budget'!$A95</f>
        <v>Other: (Miscellaenous Third Party Costs+Predevelopment Loan Interest + Environmental Remediation )</v>
      </c>
      <c r="B95" s="361">
        <f>'Sources and Uses Budget'!C95</f>
        <v>1100000</v>
      </c>
      <c r="C95" s="362">
        <f t="shared" si="8"/>
        <v>1100000</v>
      </c>
      <c r="D95" s="362"/>
      <c r="E95" s="361">
        <f>'Sources and Uses Budget'!S95</f>
        <v>750000</v>
      </c>
      <c r="F95" s="362">
        <f>E95</f>
        <v>750000</v>
      </c>
      <c r="G95" s="362"/>
      <c r="H95" s="361">
        <f>'Sources and Uses Budget'!T95</f>
        <v>0</v>
      </c>
      <c r="I95" s="362"/>
      <c r="J95" s="362"/>
      <c r="K95" s="359"/>
    </row>
    <row r="96" spans="1:11" s="360" customFormat="1">
      <c r="A96" s="365" t="s">
        <v>774</v>
      </c>
      <c r="B96" s="361">
        <f>'Sources and Uses Budget'!C96</f>
        <v>6241647</v>
      </c>
      <c r="C96" s="361">
        <f>SUM(C83:C95)</f>
        <v>6241647</v>
      </c>
      <c r="D96" s="361">
        <f>SUM(D83:D95)</f>
        <v>0</v>
      </c>
      <c r="E96" s="361">
        <f>'Sources and Uses Budget'!S96</f>
        <v>5557350</v>
      </c>
      <c r="F96" s="367">
        <f>SUM(F84:F87,F89:F95)</f>
        <v>5557350</v>
      </c>
      <c r="G96" s="367">
        <f>SUM(G84:G87,G89:G95)</f>
        <v>0</v>
      </c>
      <c r="H96" s="361">
        <f>'Sources and Uses Budget'!T96</f>
        <v>0</v>
      </c>
      <c r="I96" s="361">
        <f>SUM(I84:I87,I89:I95)</f>
        <v>0</v>
      </c>
      <c r="J96" s="361">
        <f>SUM(J84:J87,J89:J95)</f>
        <v>0</v>
      </c>
      <c r="K96" s="359"/>
    </row>
    <row r="97" spans="1:11" s="360" customFormat="1">
      <c r="A97" s="365" t="s">
        <v>1028</v>
      </c>
      <c r="B97" s="361">
        <f>'Sources and Uses Budget'!C97</f>
        <v>70427116</v>
      </c>
      <c r="C97" s="361">
        <f>SUM(C63+C70+C77+C81+C96)</f>
        <v>70427116</v>
      </c>
      <c r="D97" s="361">
        <f>SUM(D63+D70+D77+D81+D96)</f>
        <v>0</v>
      </c>
      <c r="E97" s="361">
        <f>'Sources and Uses Budget'!S97</f>
        <v>61198635</v>
      </c>
      <c r="F97" s="367">
        <f>SUM(+F63+F70+F81+F96)</f>
        <v>61198635</v>
      </c>
      <c r="G97" s="367">
        <f>SUM(+G63+G70+G81+G96)</f>
        <v>0</v>
      </c>
      <c r="H97" s="361">
        <f>'Sources and Uses Budget'!T97</f>
        <v>0</v>
      </c>
      <c r="I97" s="367">
        <f>SUM(I63+I70+I81+I96)</f>
        <v>0</v>
      </c>
      <c r="J97" s="367">
        <f>SUM(J63+J70+J81+J96)</f>
        <v>0</v>
      </c>
      <c r="K97" s="359"/>
    </row>
    <row r="98" spans="1:11" s="360" customFormat="1" ht="11.4">
      <c r="A98" s="357" t="s">
        <v>776</v>
      </c>
      <c r="B98" s="358"/>
      <c r="C98" s="358"/>
      <c r="D98" s="358"/>
      <c r="E98" s="358"/>
      <c r="F98" s="358"/>
      <c r="G98" s="358"/>
      <c r="H98" s="358"/>
      <c r="I98" s="358"/>
      <c r="J98" s="358"/>
      <c r="K98" s="359"/>
    </row>
    <row r="99" spans="1:11" s="360" customFormat="1" ht="11.4">
      <c r="A99" s="145" t="s">
        <v>777</v>
      </c>
      <c r="B99" s="361">
        <f>'Sources and Uses Budget'!C99</f>
        <v>9179795</v>
      </c>
      <c r="C99" s="362">
        <f>B99</f>
        <v>9179795</v>
      </c>
      <c r="D99" s="362"/>
      <c r="E99" s="361">
        <f>'Sources and Uses Budget'!S99</f>
        <v>9179795</v>
      </c>
      <c r="F99" s="362">
        <f>E99</f>
        <v>9179795</v>
      </c>
      <c r="G99" s="362"/>
      <c r="H99" s="361">
        <f>'Sources and Uses Budget'!T99</f>
        <v>0</v>
      </c>
      <c r="I99" s="362"/>
      <c r="J99" s="362"/>
      <c r="K99" s="359"/>
    </row>
    <row r="100" spans="1:11" s="360" customFormat="1" ht="11.4">
      <c r="A100" s="283" t="s">
        <v>1634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1.4">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1.4">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9179795</v>
      </c>
      <c r="C104" s="361">
        <f>SUM(C99:C103)</f>
        <v>9179795</v>
      </c>
      <c r="D104" s="361">
        <f>SUM(D99:D103)</f>
        <v>0</v>
      </c>
      <c r="E104" s="361">
        <f>'Sources and Uses Budget'!S104</f>
        <v>9179795</v>
      </c>
      <c r="F104" s="367">
        <f>SUM(F99:F103)</f>
        <v>9179795</v>
      </c>
      <c r="G104" s="367">
        <f>SUM(G99:G103)</f>
        <v>0</v>
      </c>
      <c r="H104" s="361">
        <f>'Sources and Uses Budget'!T104</f>
        <v>0</v>
      </c>
      <c r="I104" s="367">
        <f>SUM(I99:I103)</f>
        <v>0</v>
      </c>
      <c r="J104" s="367">
        <f>SUM(J99:J103)</f>
        <v>0</v>
      </c>
      <c r="K104" s="359"/>
    </row>
    <row r="105" spans="1:11" s="360" customFormat="1">
      <c r="A105" s="365" t="s">
        <v>1029</v>
      </c>
      <c r="B105" s="361">
        <f>'Sources and Uses Budget'!C105</f>
        <v>79606911</v>
      </c>
      <c r="C105" s="367">
        <f>SUM(C97+C104)</f>
        <v>79606911</v>
      </c>
      <c r="D105" s="367">
        <f>SUM(D97+D104)</f>
        <v>0</v>
      </c>
      <c r="E105" s="361">
        <f>'Sources and Uses Budget'!S105</f>
        <v>70378430</v>
      </c>
      <c r="F105" s="367">
        <f>F97+F104</f>
        <v>70378430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70378430</v>
      </c>
      <c r="F107" s="367">
        <f>F105+F106</f>
        <v>70378430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2">
      <c r="A111" s="377"/>
      <c r="B111" s="375"/>
      <c r="C111" s="375"/>
      <c r="D111" s="375"/>
      <c r="J111" s="376"/>
      <c r="K111" s="359"/>
    </row>
    <row r="112" spans="1:11" s="360" customFormat="1" ht="13.2">
      <c r="A112" s="377"/>
      <c r="B112" s="375"/>
      <c r="C112" s="375"/>
      <c r="D112" s="375"/>
      <c r="J112" s="376"/>
      <c r="K112" s="359"/>
    </row>
    <row r="113" spans="1:11" s="360" customFormat="1" ht="15.6">
      <c r="A113" s="378"/>
      <c r="B113" s="375"/>
      <c r="C113" s="375"/>
      <c r="D113" s="375"/>
      <c r="J113" s="376"/>
      <c r="K113" s="359"/>
    </row>
    <row r="114" spans="1:11" s="360" customFormat="1" ht="13.2">
      <c r="A114" s="377"/>
      <c r="J114" s="376"/>
      <c r="K114" s="359"/>
    </row>
    <row r="115" spans="1:11" s="360" customFormat="1" ht="15.6">
      <c r="A115" s="378"/>
      <c r="J115" s="376"/>
      <c r="K115" s="359"/>
    </row>
    <row r="116" spans="1:11" s="360" customFormat="1" ht="15.6">
      <c r="A116" s="378"/>
      <c r="J116" s="376"/>
      <c r="K116" s="359"/>
    </row>
    <row r="117" spans="1:11" s="360" customFormat="1" ht="11.4">
      <c r="B117" s="375"/>
      <c r="C117" s="375"/>
      <c r="D117" s="375"/>
      <c r="J117" s="376"/>
      <c r="K117" s="359"/>
    </row>
    <row r="118" spans="1:11" s="360" customFormat="1" ht="11.4">
      <c r="J118" s="376"/>
      <c r="K118" s="359"/>
    </row>
    <row r="119" spans="1:11" s="360" customFormat="1" ht="11.4">
      <c r="J119" s="376"/>
      <c r="K119" s="359"/>
    </row>
    <row r="120" spans="1:11" s="360" customFormat="1" ht="11.4">
      <c r="J120" s="376"/>
      <c r="K120" s="359"/>
    </row>
    <row r="121" spans="1:11" s="360" customFormat="1" ht="15.6">
      <c r="A121" s="378"/>
      <c r="J121" s="376"/>
      <c r="K121" s="359"/>
    </row>
    <row r="122" spans="1:11" s="380" customFormat="1" ht="15.6">
      <c r="A122" s="379"/>
      <c r="J122" s="381"/>
      <c r="K122" s="382"/>
    </row>
    <row r="123" spans="1:11" s="360" customFormat="1" ht="11.4">
      <c r="A123" s="383"/>
      <c r="J123" s="376"/>
      <c r="K123" s="359"/>
    </row>
    <row r="124" spans="1:11" s="360" customFormat="1" ht="11.4">
      <c r="B124" s="384"/>
      <c r="D124" s="2130"/>
      <c r="E124" s="1579"/>
      <c r="F124" s="1579"/>
      <c r="G124" s="1579"/>
      <c r="H124" s="1579"/>
      <c r="I124" s="1579"/>
      <c r="J124" s="376"/>
      <c r="K124" s="359"/>
    </row>
    <row r="125" spans="1:11" s="360" customFormat="1" ht="13.2">
      <c r="A125" s="385"/>
      <c r="B125" s="384"/>
      <c r="C125" s="385"/>
      <c r="D125" s="1579"/>
      <c r="E125" s="1579"/>
      <c r="F125" s="1579"/>
      <c r="G125" s="1579"/>
      <c r="H125" s="1579"/>
      <c r="I125" s="1579"/>
      <c r="J125" s="376"/>
      <c r="K125" s="359"/>
    </row>
    <row r="126" spans="1:11" s="360" customFormat="1" ht="13.2">
      <c r="A126" s="385"/>
      <c r="B126" s="384"/>
      <c r="C126" s="385"/>
      <c r="D126" s="1579"/>
      <c r="E126" s="1579"/>
      <c r="F126" s="1579"/>
      <c r="G126" s="1579"/>
      <c r="H126" s="1579"/>
      <c r="I126" s="1579"/>
      <c r="J126" s="376"/>
      <c r="K126" s="359"/>
    </row>
    <row r="127" spans="1:11" s="360" customFormat="1" ht="13.2">
      <c r="A127" s="385"/>
      <c r="B127" s="384"/>
      <c r="C127" s="385"/>
      <c r="D127" s="386"/>
      <c r="E127" s="385"/>
      <c r="F127" s="385"/>
      <c r="G127" s="385"/>
      <c r="J127" s="376"/>
      <c r="K127" s="359"/>
    </row>
    <row r="128" spans="1:11" s="360" customFormat="1" ht="13.2">
      <c r="A128" s="385"/>
      <c r="B128" s="384"/>
      <c r="C128" s="385"/>
      <c r="D128" s="386"/>
      <c r="E128" s="385"/>
      <c r="F128" s="385"/>
      <c r="G128" s="385"/>
      <c r="J128" s="376"/>
      <c r="K128" s="359"/>
    </row>
    <row r="129" spans="1:11" s="360" customFormat="1" ht="13.2">
      <c r="A129" s="385"/>
      <c r="B129" s="384"/>
      <c r="C129" s="385"/>
      <c r="D129" s="385"/>
      <c r="E129" s="385"/>
      <c r="F129" s="385"/>
      <c r="G129" s="385"/>
      <c r="J129" s="376"/>
      <c r="K129" s="359"/>
    </row>
    <row r="130" spans="1:11" s="360" customFormat="1" ht="13.2">
      <c r="A130" s="385"/>
      <c r="B130" s="384"/>
      <c r="C130" s="385"/>
      <c r="D130" s="385"/>
      <c r="E130" s="385"/>
      <c r="F130" s="385"/>
      <c r="G130" s="385"/>
      <c r="J130" s="376"/>
      <c r="K130" s="359"/>
    </row>
    <row r="131" spans="1:11" s="360" customFormat="1" ht="13.2">
      <c r="A131" s="385"/>
      <c r="B131" s="387"/>
      <c r="C131" s="385"/>
      <c r="D131" s="385"/>
      <c r="E131" s="385"/>
      <c r="F131" s="385"/>
      <c r="G131" s="385"/>
      <c r="J131" s="376"/>
      <c r="K131" s="359"/>
    </row>
    <row r="132" spans="1:11" s="360" customFormat="1" ht="13.2">
      <c r="A132" s="388"/>
      <c r="B132" s="389"/>
      <c r="C132" s="385"/>
      <c r="D132" s="390"/>
      <c r="E132" s="385"/>
      <c r="F132" s="385"/>
      <c r="G132" s="385"/>
      <c r="J132" s="376"/>
      <c r="K132" s="359"/>
    </row>
    <row r="133" spans="1:11" s="360" customFormat="1" ht="13.2">
      <c r="A133" s="391"/>
      <c r="B133" s="385"/>
      <c r="C133" s="385"/>
      <c r="D133" s="385"/>
      <c r="E133" s="385"/>
      <c r="F133" s="385"/>
      <c r="G133" s="385"/>
      <c r="J133" s="376"/>
      <c r="K133" s="359"/>
    </row>
    <row r="134" spans="1:11" s="360" customFormat="1" ht="13.2">
      <c r="A134" s="391"/>
      <c r="B134" s="385"/>
      <c r="C134" s="385"/>
      <c r="D134" s="385"/>
      <c r="E134" s="385"/>
      <c r="F134" s="385"/>
      <c r="G134" s="385"/>
      <c r="J134" s="376"/>
      <c r="K134" s="359"/>
    </row>
    <row r="135" spans="1:11" s="360" customFormat="1" ht="13.2">
      <c r="A135" s="392"/>
      <c r="B135" s="385"/>
      <c r="C135" s="385"/>
      <c r="D135" s="385"/>
      <c r="E135" s="385"/>
      <c r="F135" s="385"/>
      <c r="G135" s="385"/>
      <c r="J135" s="376"/>
      <c r="K135" s="359"/>
    </row>
    <row r="136" spans="1:11" s="360" customFormat="1" ht="13.2">
      <c r="A136" s="377"/>
      <c r="B136" s="385"/>
      <c r="C136" s="385"/>
      <c r="D136" s="385"/>
      <c r="E136" s="385"/>
      <c r="F136" s="385"/>
      <c r="G136" s="385"/>
      <c r="J136" s="376"/>
      <c r="K136" s="359"/>
    </row>
    <row r="137" spans="1:11" ht="13.2">
      <c r="A137" s="391"/>
      <c r="B137" s="385"/>
      <c r="C137" s="385"/>
      <c r="D137" s="385"/>
      <c r="E137" s="385"/>
      <c r="F137" s="385"/>
      <c r="G137" s="385"/>
    </row>
    <row r="138" spans="1:11" ht="12" customHeight="1">
      <c r="A138" s="391"/>
      <c r="B138" s="385"/>
      <c r="C138" s="385"/>
      <c r="D138" s="385"/>
      <c r="E138" s="385"/>
      <c r="F138" s="385"/>
      <c r="G138" s="385"/>
    </row>
    <row r="139" spans="1:11" ht="12" customHeight="1">
      <c r="A139" s="2131"/>
      <c r="B139" s="1579"/>
      <c r="C139" s="1579"/>
      <c r="D139" s="356"/>
      <c r="E139" s="385"/>
      <c r="F139" s="385"/>
      <c r="G139" s="385"/>
    </row>
    <row r="140" spans="1:11" ht="12" customHeight="1">
      <c r="A140" s="1562"/>
      <c r="B140" s="1562"/>
      <c r="C140" s="1562"/>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topLeftCell="A189" zoomScaleNormal="100" workbookViewId="0">
      <selection activeCell="AU210" sqref="AU210"/>
    </sheetView>
  </sheetViews>
  <sheetFormatPr defaultColWidth="2.6640625" defaultRowHeight="15.75" customHeight="1"/>
  <cols>
    <col min="1" max="8" width="2.6640625" style="1204"/>
    <col min="9" max="9" width="7.6640625" style="1204" customWidth="1"/>
    <col min="10" max="13" width="2.6640625" style="1204"/>
    <col min="14" max="14" width="4.6640625" style="1204" customWidth="1"/>
    <col min="15" max="19" width="2.6640625" style="1204"/>
    <col min="20" max="20" width="3.6640625" style="1204" customWidth="1"/>
    <col min="21" max="37" width="2.6640625" style="1204"/>
    <col min="38" max="38" width="3" style="1204" customWidth="1"/>
    <col min="39" max="45" width="2.6640625" style="1204"/>
    <col min="46" max="46" width="4.6640625" style="1204" customWidth="1"/>
    <col min="47" max="51" width="2.6640625" style="1204"/>
    <col min="52" max="52" width="3.44140625" style="1204" customWidth="1"/>
    <col min="53" max="53" width="2.6640625" style="1204"/>
    <col min="54" max="54" width="4.44140625" style="1204" customWidth="1"/>
    <col min="55" max="64" width="2.6640625" style="1204"/>
    <col min="65" max="65" width="10.44140625" style="1204" hidden="1" customWidth="1"/>
    <col min="66" max="66" width="5.44140625" style="1205" bestFit="1" customWidth="1"/>
    <col min="67" max="68" width="5.44140625" style="1205" customWidth="1"/>
    <col min="69" max="69" width="8" style="1205" customWidth="1"/>
    <col min="70" max="70" width="6" style="1205" customWidth="1"/>
    <col min="71" max="71" width="6.109375" style="1205" customWidth="1"/>
    <col min="72" max="76" width="5.44140625" style="1205" customWidth="1"/>
    <col min="77" max="77" width="6.109375" style="1205" bestFit="1" customWidth="1"/>
    <col min="78" max="78" width="5.44140625" style="1204" bestFit="1" customWidth="1"/>
    <col min="79" max="16384" width="2.6640625" style="1204"/>
  </cols>
  <sheetData>
    <row r="1" spans="1:65" ht="15.75" customHeight="1">
      <c r="A1" s="2143" t="s">
        <v>2379</v>
      </c>
      <c r="B1" s="2144"/>
      <c r="C1" s="2144"/>
      <c r="D1" s="2144"/>
      <c r="E1" s="2144"/>
      <c r="F1" s="2144"/>
      <c r="G1" s="2144"/>
      <c r="H1" s="2144"/>
      <c r="I1" s="2144"/>
      <c r="J1" s="2144"/>
      <c r="K1" s="2144"/>
      <c r="L1" s="2144"/>
      <c r="M1" s="2144"/>
      <c r="N1" s="2144"/>
      <c r="O1" s="2144"/>
      <c r="P1" s="2144"/>
      <c r="Q1" s="2144"/>
      <c r="R1" s="2144"/>
      <c r="S1" s="2144"/>
      <c r="T1" s="2144"/>
      <c r="U1" s="2144"/>
      <c r="V1" s="2144"/>
      <c r="W1" s="2144"/>
      <c r="X1" s="2144"/>
      <c r="Y1" s="2144"/>
      <c r="Z1" s="2144"/>
      <c r="AA1" s="2144"/>
      <c r="AB1" s="2144"/>
      <c r="AC1" s="2144"/>
      <c r="AD1" s="2144"/>
      <c r="AE1" s="2144"/>
      <c r="AF1" s="2144"/>
      <c r="AG1" s="2144"/>
      <c r="AH1" s="2144"/>
      <c r="AI1" s="2144"/>
      <c r="AJ1" s="2144"/>
      <c r="AK1" s="2144"/>
      <c r="AL1" s="2144"/>
      <c r="AM1" s="2144"/>
      <c r="AN1" s="2144"/>
      <c r="AO1" s="2144"/>
      <c r="AP1" s="2144"/>
      <c r="AQ1" s="2144"/>
      <c r="AR1" s="2144"/>
      <c r="AS1" s="2144"/>
      <c r="AT1" s="2144"/>
      <c r="AU1" s="2144"/>
      <c r="AV1" s="2144"/>
      <c r="AW1" s="2144"/>
      <c r="AX1" s="2144"/>
      <c r="AY1" s="2144"/>
      <c r="AZ1" s="2144"/>
      <c r="BA1" s="2144"/>
      <c r="BB1" s="2144"/>
      <c r="BC1" s="2144"/>
      <c r="BD1" s="2144"/>
      <c r="BE1" s="2145"/>
    </row>
    <row r="2" spans="1:65" ht="15.75" customHeight="1">
      <c r="A2" s="2146" t="s">
        <v>2378</v>
      </c>
      <c r="B2" s="2147"/>
      <c r="C2" s="2147"/>
      <c r="D2" s="2147"/>
      <c r="E2" s="2147"/>
      <c r="F2" s="2147"/>
      <c r="G2" s="2147"/>
      <c r="H2" s="2147"/>
      <c r="I2" s="2147"/>
      <c r="J2" s="2147"/>
      <c r="K2" s="2147"/>
      <c r="L2" s="2147"/>
      <c r="M2" s="2147"/>
      <c r="N2" s="2147"/>
      <c r="O2" s="2147"/>
      <c r="P2" s="2147"/>
      <c r="Q2" s="2147"/>
      <c r="R2" s="2147"/>
      <c r="S2" s="2147"/>
      <c r="T2" s="2147"/>
      <c r="U2" s="2147"/>
      <c r="V2" s="2147"/>
      <c r="W2" s="2147"/>
      <c r="X2" s="2147"/>
      <c r="Y2" s="2147"/>
      <c r="Z2" s="2147"/>
      <c r="AA2" s="2147"/>
      <c r="AB2" s="2147"/>
      <c r="AC2" s="2147"/>
      <c r="AD2" s="2147"/>
      <c r="AE2" s="2147"/>
      <c r="AF2" s="2147"/>
      <c r="AG2" s="2147"/>
      <c r="AH2" s="2147"/>
      <c r="AI2" s="2147"/>
      <c r="AJ2" s="2147"/>
      <c r="AK2" s="2147"/>
      <c r="AL2" s="2147"/>
      <c r="AM2" s="2147"/>
      <c r="AN2" s="2147"/>
      <c r="AO2" s="2147"/>
      <c r="AP2" s="2147"/>
      <c r="AQ2" s="2147"/>
      <c r="AR2" s="2147"/>
      <c r="AS2" s="2147"/>
      <c r="AT2" s="2147"/>
      <c r="AU2" s="2147"/>
      <c r="AV2" s="2147"/>
      <c r="AW2" s="2147"/>
      <c r="AX2" s="2147"/>
      <c r="AY2" s="2147"/>
      <c r="AZ2" s="2147"/>
      <c r="BA2" s="2147"/>
      <c r="BB2" s="2147"/>
      <c r="BC2" s="2147"/>
      <c r="BD2" s="2147"/>
      <c r="BE2" s="2148"/>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49" t="s">
        <v>2579</v>
      </c>
      <c r="AY3" s="2150"/>
      <c r="AZ3" s="2150"/>
      <c r="BA3" s="2151"/>
      <c r="BB3" s="2149" t="s">
        <v>2580</v>
      </c>
      <c r="BC3" s="2150"/>
      <c r="BD3" s="2150"/>
      <c r="BE3" s="2151"/>
    </row>
    <row r="4" spans="1:65" ht="15.75" customHeight="1" thickBot="1">
      <c r="A4" s="1207"/>
      <c r="B4" s="1209" t="s">
        <v>656</v>
      </c>
      <c r="C4" s="1209"/>
      <c r="D4" s="1209"/>
      <c r="E4" s="1209"/>
      <c r="F4" s="1209"/>
      <c r="G4" s="1208"/>
      <c r="H4" s="1208"/>
      <c r="I4" s="1208"/>
      <c r="J4" s="1208"/>
      <c r="K4" s="1208"/>
      <c r="L4" s="2138" t="str">
        <f>IF(Application!H18="","",Application!H18)</f>
        <v>Driftwood Flats</v>
      </c>
      <c r="M4" s="2139"/>
      <c r="N4" s="2139"/>
      <c r="O4" s="2139"/>
      <c r="P4" s="2139"/>
      <c r="Q4" s="2139"/>
      <c r="R4" s="2139"/>
      <c r="S4" s="2139"/>
      <c r="T4" s="2139"/>
      <c r="U4" s="2139"/>
      <c r="V4" s="2139"/>
      <c r="W4" s="2139"/>
      <c r="X4" s="2139"/>
      <c r="Y4" s="2139"/>
      <c r="Z4" s="2139"/>
      <c r="AA4" s="2139"/>
      <c r="AB4" s="2139"/>
      <c r="AC4" s="2140"/>
      <c r="AD4" s="1208"/>
      <c r="AE4" s="1208"/>
      <c r="AF4" s="2152" t="s">
        <v>2377</v>
      </c>
      <c r="AG4" s="2152"/>
      <c r="AH4" s="2152"/>
      <c r="AI4" s="2152"/>
      <c r="AJ4" s="2152"/>
      <c r="AK4" s="2152"/>
      <c r="AL4" s="2152"/>
      <c r="AM4" s="2152"/>
      <c r="AN4" s="2152"/>
      <c r="AO4" s="2152"/>
      <c r="AP4" s="2153">
        <v>46150</v>
      </c>
      <c r="AQ4" s="2154"/>
      <c r="AR4" s="2154"/>
      <c r="AS4" s="2154"/>
      <c r="AT4" s="2154"/>
      <c r="AU4" s="2154"/>
      <c r="AV4" s="1208"/>
      <c r="AW4" s="1208"/>
      <c r="AX4" s="2135" t="s">
        <v>2581</v>
      </c>
      <c r="AY4" s="2136"/>
      <c r="AZ4" s="2136"/>
      <c r="BA4" s="2137"/>
      <c r="BB4" s="1210">
        <f t="array" ref="BB4">ROUNDDOWN(SUM(IF((B19:I27&gt;0)*(B19:I27&lt;=30%),J19:O27,0))/J29,2)</f>
        <v>0.1</v>
      </c>
      <c r="BC4" s="1211"/>
      <c r="BD4" s="1211"/>
      <c r="BE4" s="1212"/>
    </row>
    <row r="5" spans="1:65" ht="1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152" t="s">
        <v>2376</v>
      </c>
      <c r="AG5" s="2152"/>
      <c r="AH5" s="2152"/>
      <c r="AI5" s="2152"/>
      <c r="AJ5" s="2152"/>
      <c r="AK5" s="2152"/>
      <c r="AL5" s="2152"/>
      <c r="AM5" s="2152"/>
      <c r="AN5" s="2152"/>
      <c r="AO5" s="2152"/>
      <c r="AP5" s="2153">
        <v>46150</v>
      </c>
      <c r="AQ5" s="2154"/>
      <c r="AR5" s="2154"/>
      <c r="AS5" s="2154"/>
      <c r="AT5" s="2154"/>
      <c r="AU5" s="2154"/>
      <c r="AV5" s="1208"/>
      <c r="AW5" s="1208"/>
      <c r="AX5" s="2135" t="s">
        <v>2582</v>
      </c>
      <c r="AY5" s="2136"/>
      <c r="AZ5" s="2136"/>
      <c r="BA5" s="2137"/>
      <c r="BB5" s="1210">
        <f t="array" ref="BB5">ROUNDDOWN(SUM(IF((B19:I27&gt;0%)*(B19:I27&lt;=50%),J19:O27,0))/J29,2)</f>
        <v>0.32</v>
      </c>
      <c r="BC5" s="1211"/>
      <c r="BD5" s="1211"/>
      <c r="BE5" s="1212"/>
    </row>
    <row r="6" spans="1:65" ht="15.75" customHeight="1" thickBot="1">
      <c r="A6" s="1207"/>
      <c r="B6" s="1209" t="s">
        <v>2375</v>
      </c>
      <c r="C6" s="1208"/>
      <c r="D6" s="1208"/>
      <c r="E6" s="1208"/>
      <c r="F6" s="1208"/>
      <c r="G6" s="1208"/>
      <c r="H6" s="1208"/>
      <c r="I6" s="1208"/>
      <c r="J6" s="1208"/>
      <c r="K6" s="1208"/>
      <c r="L6" s="2138" t="str">
        <f>IF(Application!H16="","",Application!H16)</f>
        <v>CRP Driftwood Flats LP</v>
      </c>
      <c r="M6" s="2139"/>
      <c r="N6" s="2139"/>
      <c r="O6" s="2139"/>
      <c r="P6" s="2139"/>
      <c r="Q6" s="2139"/>
      <c r="R6" s="2139"/>
      <c r="S6" s="2139"/>
      <c r="T6" s="2139"/>
      <c r="U6" s="2139"/>
      <c r="V6" s="2139"/>
      <c r="W6" s="2139"/>
      <c r="X6" s="2139"/>
      <c r="Y6" s="2139"/>
      <c r="Z6" s="2139"/>
      <c r="AA6" s="2139"/>
      <c r="AB6" s="2139"/>
      <c r="AC6" s="2140"/>
      <c r="AD6" s="1208"/>
      <c r="AE6" s="1208"/>
      <c r="AF6" s="2141" t="s">
        <v>2374</v>
      </c>
      <c r="AG6" s="2141"/>
      <c r="AH6" s="2141"/>
      <c r="AI6" s="2141"/>
      <c r="AJ6" s="2141"/>
      <c r="AK6" s="2141"/>
      <c r="AL6" s="2141"/>
      <c r="AM6" s="2141"/>
      <c r="AN6" s="2141"/>
      <c r="AO6" s="2141"/>
      <c r="AP6" s="2142">
        <v>8</v>
      </c>
      <c r="AQ6" s="2142"/>
      <c r="AR6" s="2142"/>
      <c r="AS6" s="2142"/>
      <c r="AT6" s="2142"/>
      <c r="AU6" s="2142"/>
      <c r="AV6" s="1208"/>
      <c r="AW6" s="1208"/>
      <c r="AX6" s="2135" t="s">
        <v>2583</v>
      </c>
      <c r="AY6" s="2136"/>
      <c r="AZ6" s="2136"/>
      <c r="BA6" s="2137"/>
      <c r="BB6" s="1210">
        <f t="array" ref="BB6">ROUNDDOWN(SUM(IF((B19:I27&gt;60%)*(B19:I27&lt;=80%),J19:O27,0))/J29,2)</f>
        <v>0.53</v>
      </c>
      <c r="BC6" s="1211"/>
      <c r="BD6" s="1211"/>
      <c r="BE6" s="1212"/>
    </row>
    <row r="7" spans="1:65" ht="1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141" t="s">
        <v>2373</v>
      </c>
      <c r="AG7" s="2141"/>
      <c r="AH7" s="2141"/>
      <c r="AI7" s="2141"/>
      <c r="AJ7" s="2141"/>
      <c r="AK7" s="2141"/>
      <c r="AL7" s="2141"/>
      <c r="AM7" s="2141"/>
      <c r="AN7" s="2141"/>
      <c r="AO7" s="2141"/>
      <c r="AP7" s="2142">
        <v>2</v>
      </c>
      <c r="AQ7" s="2142"/>
      <c r="AR7" s="2142"/>
      <c r="AS7" s="2142"/>
      <c r="AT7" s="2142"/>
      <c r="AU7" s="2142"/>
      <c r="AV7" s="1208"/>
      <c r="AW7" s="1208"/>
      <c r="AX7" s="1208"/>
      <c r="AY7" s="1208"/>
      <c r="AZ7" s="1208"/>
      <c r="BA7" s="1208"/>
      <c r="BB7" s="1208"/>
      <c r="BC7" s="1208"/>
      <c r="BD7" s="1208"/>
      <c r="BE7" s="1213"/>
    </row>
    <row r="8" spans="1:65" ht="15" thickBot="1">
      <c r="A8" s="1207"/>
      <c r="B8" s="1209" t="s">
        <v>2620</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155" t="str">
        <f>Application!T197</f>
        <v>No</v>
      </c>
      <c r="AC8" s="2156"/>
      <c r="AD8" s="2157"/>
      <c r="AE8" s="1208"/>
      <c r="AF8" s="2141" t="s">
        <v>2372</v>
      </c>
      <c r="AG8" s="2141"/>
      <c r="AH8" s="2141"/>
      <c r="AI8" s="2141"/>
      <c r="AJ8" s="2141"/>
      <c r="AK8" s="2141"/>
      <c r="AL8" s="2141"/>
      <c r="AM8" s="2141"/>
      <c r="AN8" s="2141"/>
      <c r="AO8" s="2141"/>
      <c r="AP8" s="2142" t="s">
        <v>2052</v>
      </c>
      <c r="AQ8" s="2142"/>
      <c r="AR8" s="2142"/>
      <c r="AS8" s="2142"/>
      <c r="AT8" s="2142"/>
      <c r="AU8" s="2142"/>
      <c r="AV8" s="1208"/>
      <c r="AW8" s="1208"/>
      <c r="AX8" s="1208"/>
      <c r="AY8" s="1208"/>
      <c r="AZ8" s="1208"/>
      <c r="BA8" s="1208"/>
      <c r="BB8" s="1208"/>
      <c r="BC8" s="1208"/>
      <c r="BD8" s="1208"/>
      <c r="BE8" s="1213"/>
      <c r="BM8" s="1204" t="s">
        <v>1955</v>
      </c>
    </row>
    <row r="9" spans="1:65" ht="14.4">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152" t="s">
        <v>2371</v>
      </c>
      <c r="AG9" s="2152"/>
      <c r="AH9" s="2152"/>
      <c r="AI9" s="2152"/>
      <c r="AJ9" s="2152"/>
      <c r="AK9" s="2152"/>
      <c r="AL9" s="2152"/>
      <c r="AM9" s="2152"/>
      <c r="AN9" s="2152"/>
      <c r="AO9" s="2152"/>
      <c r="AP9" s="2153">
        <v>47150</v>
      </c>
      <c r="AQ9" s="2154"/>
      <c r="AR9" s="2154"/>
      <c r="AS9" s="2154"/>
      <c r="AT9" s="2154"/>
      <c r="AU9" s="2154"/>
      <c r="AV9" s="1208"/>
      <c r="AW9" s="1208"/>
      <c r="AX9" s="1208"/>
      <c r="AY9" s="1208"/>
      <c r="AZ9" s="1208"/>
      <c r="BA9" s="1208"/>
      <c r="BB9" s="1208"/>
      <c r="BC9" s="1208"/>
      <c r="BD9" s="1208"/>
      <c r="BE9" s="1213"/>
      <c r="BM9" s="1204" t="s">
        <v>2370</v>
      </c>
    </row>
    <row r="10" spans="1:65" ht="14.4">
      <c r="A10" s="1207"/>
      <c r="B10" s="1209" t="s">
        <v>2369</v>
      </c>
      <c r="C10" s="1209"/>
      <c r="D10" s="1209"/>
      <c r="E10" s="1209"/>
      <c r="F10" s="1209"/>
      <c r="G10" s="1209"/>
      <c r="H10" s="1209"/>
      <c r="I10" s="1209"/>
      <c r="J10" s="1209"/>
      <c r="K10" s="1209"/>
      <c r="L10" s="1209"/>
      <c r="M10" s="1208"/>
      <c r="N10" s="2170">
        <f>Application!AO635</f>
        <v>21000000</v>
      </c>
      <c r="O10" s="2170"/>
      <c r="P10" s="2170"/>
      <c r="Q10" s="2170"/>
      <c r="R10" s="2170"/>
      <c r="S10" s="2170"/>
      <c r="T10" s="2170"/>
      <c r="U10" s="1208"/>
      <c r="V10" s="1208"/>
      <c r="W10" s="1208"/>
      <c r="X10" s="1214"/>
      <c r="Y10" s="1214"/>
      <c r="Z10" s="1214"/>
      <c r="AA10" s="1214"/>
      <c r="AB10" s="1214"/>
      <c r="AC10" s="1214"/>
      <c r="AD10" s="1214"/>
      <c r="AE10" s="1214"/>
      <c r="AF10" s="2152" t="s">
        <v>2368</v>
      </c>
      <c r="AG10" s="2152"/>
      <c r="AH10" s="2152"/>
      <c r="AI10" s="2152"/>
      <c r="AJ10" s="2152"/>
      <c r="AK10" s="2152"/>
      <c r="AL10" s="2152"/>
      <c r="AM10" s="2152"/>
      <c r="AN10" s="2152"/>
      <c r="AO10" s="2152"/>
      <c r="AP10" s="2153">
        <v>47150</v>
      </c>
      <c r="AQ10" s="2154"/>
      <c r="AR10" s="2154"/>
      <c r="AS10" s="2154"/>
      <c r="AT10" s="2154"/>
      <c r="AU10" s="2154"/>
      <c r="AV10" s="1214"/>
      <c r="AW10" s="1214"/>
      <c r="AX10" s="1208"/>
      <c r="AY10" s="1208"/>
      <c r="AZ10" s="1208"/>
      <c r="BA10" s="1208"/>
      <c r="BB10" s="1208"/>
      <c r="BC10" s="1208"/>
      <c r="BD10" s="1208"/>
      <c r="BE10" s="1213"/>
      <c r="BM10" s="1204" t="s">
        <v>2367</v>
      </c>
    </row>
    <row r="11" spans="1:65" ht="14.4">
      <c r="A11" s="1207"/>
      <c r="B11" s="1209" t="s">
        <v>2366</v>
      </c>
      <c r="C11" s="1209"/>
      <c r="D11" s="1209"/>
      <c r="E11" s="1209"/>
      <c r="F11" s="1209"/>
      <c r="G11" s="1209"/>
      <c r="H11" s="1209"/>
      <c r="I11" s="1209"/>
      <c r="J11" s="1209"/>
      <c r="K11" s="1209"/>
      <c r="L11" s="1209"/>
      <c r="M11" s="1208"/>
      <c r="N11" s="2170">
        <f>Application!AA943</f>
        <v>6000000</v>
      </c>
      <c r="O11" s="2170"/>
      <c r="P11" s="2170"/>
      <c r="Q11" s="2170"/>
      <c r="R11" s="2170"/>
      <c r="S11" s="2170"/>
      <c r="T11" s="2170"/>
      <c r="U11" s="1208"/>
      <c r="V11" s="1208"/>
      <c r="W11" s="1208"/>
      <c r="X11" s="1214"/>
      <c r="Y11" s="1214"/>
      <c r="Z11" s="1214"/>
      <c r="AA11" s="1214"/>
      <c r="AB11" s="1214"/>
      <c r="AC11" s="1214"/>
      <c r="AD11" s="1214"/>
      <c r="AE11" s="1214"/>
      <c r="AF11" s="2152" t="s">
        <v>2365</v>
      </c>
      <c r="AG11" s="2152"/>
      <c r="AH11" s="2152"/>
      <c r="AI11" s="2152"/>
      <c r="AJ11" s="2152"/>
      <c r="AK11" s="2152"/>
      <c r="AL11" s="2152"/>
      <c r="AM11" s="2152"/>
      <c r="AN11" s="2152"/>
      <c r="AO11" s="2152"/>
      <c r="AP11" s="2153">
        <v>47239</v>
      </c>
      <c r="AQ11" s="2154"/>
      <c r="AR11" s="2154"/>
      <c r="AS11" s="2154"/>
      <c r="AT11" s="2154"/>
      <c r="AU11" s="2154"/>
      <c r="AV11" s="1214"/>
      <c r="AW11" s="1214"/>
      <c r="AX11" s="1208"/>
      <c r="AY11" s="1208"/>
      <c r="AZ11" s="1208"/>
      <c r="BA11" s="1208"/>
      <c r="BB11" s="1208"/>
      <c r="BC11" s="1208"/>
      <c r="BD11" s="1208"/>
      <c r="BE11" s="1213"/>
      <c r="BM11" s="1204" t="s">
        <v>2052</v>
      </c>
    </row>
    <row r="12" spans="1:65" ht="1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2364</v>
      </c>
    </row>
    <row r="13" spans="1:65" ht="15" thickBot="1">
      <c r="A13" s="1208"/>
      <c r="B13" s="2158" t="s">
        <v>2363</v>
      </c>
      <c r="C13" s="2159"/>
      <c r="D13" s="2159"/>
      <c r="E13" s="2159"/>
      <c r="F13" s="2159"/>
      <c r="G13" s="2159"/>
      <c r="H13" s="2159"/>
      <c r="I13" s="2159"/>
      <c r="J13" s="2159"/>
      <c r="K13" s="2159"/>
      <c r="L13" s="2159"/>
      <c r="M13" s="2159"/>
      <c r="N13" s="2159"/>
      <c r="O13" s="2159"/>
      <c r="P13" s="2160"/>
      <c r="Q13" s="2161" t="s">
        <v>669</v>
      </c>
      <c r="R13" s="2162"/>
      <c r="S13" s="2162"/>
      <c r="T13" s="2163"/>
      <c r="U13" s="1214"/>
      <c r="V13" s="1208"/>
      <c r="W13" s="1208"/>
      <c r="X13" s="1208"/>
      <c r="Y13" s="1208"/>
      <c r="Z13" s="1208"/>
      <c r="AA13" s="2164" t="s">
        <v>2362</v>
      </c>
      <c r="AB13" s="2164"/>
      <c r="AC13" s="2164"/>
      <c r="AD13" s="2164"/>
      <c r="AE13" s="2164"/>
      <c r="AF13" s="2164"/>
      <c r="AG13" s="2164"/>
      <c r="AH13" s="2164"/>
      <c r="AI13" s="2164"/>
      <c r="AJ13" s="2164"/>
      <c r="AK13" s="2164"/>
      <c r="AL13" s="2164"/>
      <c r="AM13" s="2164"/>
      <c r="AN13" s="2164"/>
      <c r="AO13" s="2165">
        <f>Application!W481</f>
        <v>16</v>
      </c>
      <c r="AP13" s="2166"/>
      <c r="AQ13" s="2166"/>
      <c r="AR13" s="2166"/>
      <c r="AS13" s="2166"/>
      <c r="AT13" s="1214"/>
      <c r="AU13" s="1214"/>
      <c r="AV13" s="1214"/>
      <c r="AW13" s="1214"/>
      <c r="AX13" s="1214"/>
      <c r="AY13" s="1214"/>
      <c r="AZ13" s="1214"/>
      <c r="BA13" s="1214"/>
      <c r="BB13" s="1214"/>
      <c r="BC13" s="1214"/>
      <c r="BD13" s="1214"/>
      <c r="BE13" s="1215"/>
      <c r="BM13" s="1204" t="s">
        <v>2361</v>
      </c>
    </row>
    <row r="14" spans="1:65" ht="1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167" t="s">
        <v>2360</v>
      </c>
      <c r="AB14" s="2167"/>
      <c r="AC14" s="2167"/>
      <c r="AD14" s="2167"/>
      <c r="AE14" s="2167"/>
      <c r="AF14" s="2167"/>
      <c r="AG14" s="2167"/>
      <c r="AH14" s="2167"/>
      <c r="AI14" s="2167"/>
      <c r="AJ14" s="2167"/>
      <c r="AK14" s="2167"/>
      <c r="AL14" s="2167"/>
      <c r="AM14" s="2167"/>
      <c r="AN14" s="2167"/>
      <c r="AO14" s="2168">
        <v>46083</v>
      </c>
      <c r="AP14" s="2169"/>
      <c r="AQ14" s="2169"/>
      <c r="AR14" s="2169"/>
      <c r="AS14" s="2169"/>
      <c r="AT14" s="1214"/>
      <c r="AU14" s="1214"/>
      <c r="AV14" s="1214"/>
      <c r="AW14" s="1214"/>
      <c r="AX14" s="1214"/>
      <c r="AY14" s="1214"/>
      <c r="AZ14" s="1214"/>
      <c r="BA14" s="1214"/>
      <c r="BB14" s="1214"/>
      <c r="BC14" s="1214"/>
      <c r="BD14" s="1214"/>
      <c r="BE14" s="1215"/>
    </row>
    <row r="15" spans="1:65" ht="15" thickBot="1">
      <c r="A15" s="1208"/>
      <c r="B15" s="2171" t="s">
        <v>2359</v>
      </c>
      <c r="C15" s="2172"/>
      <c r="D15" s="2172"/>
      <c r="E15" s="2172"/>
      <c r="F15" s="2172"/>
      <c r="G15" s="2172"/>
      <c r="H15" s="2172"/>
      <c r="I15" s="2172"/>
      <c r="J15" s="2172"/>
      <c r="K15" s="2172"/>
      <c r="L15" s="2172"/>
      <c r="M15" s="2172"/>
      <c r="N15" s="2172"/>
      <c r="O15" s="2172"/>
      <c r="P15" s="2172"/>
      <c r="Q15" s="2172"/>
      <c r="R15" s="2173"/>
      <c r="S15" s="2174" t="str">
        <f>IF(Application!AB215="","",Application!AB215)</f>
        <v/>
      </c>
      <c r="T15" s="2174"/>
      <c r="U15" s="2174"/>
      <c r="V15" s="2174"/>
      <c r="W15" s="2175"/>
      <c r="X15" s="1214"/>
      <c r="Y15" s="1208"/>
      <c r="Z15" s="1208"/>
      <c r="AA15" s="2164" t="s">
        <v>2358</v>
      </c>
      <c r="AB15" s="2164"/>
      <c r="AC15" s="2164"/>
      <c r="AD15" s="2164"/>
      <c r="AE15" s="2164"/>
      <c r="AF15" s="2164"/>
      <c r="AG15" s="2164"/>
      <c r="AH15" s="2164"/>
      <c r="AI15" s="2164"/>
      <c r="AJ15" s="2164"/>
      <c r="AK15" s="2164"/>
      <c r="AL15" s="2164"/>
      <c r="AM15" s="2164"/>
      <c r="AN15" s="2164"/>
      <c r="AO15" s="2168">
        <v>46161</v>
      </c>
      <c r="AP15" s="2169"/>
      <c r="AQ15" s="2169"/>
      <c r="AR15" s="2169"/>
      <c r="AS15" s="2169"/>
      <c r="AT15" s="1214"/>
      <c r="AU15" s="1214"/>
      <c r="AV15" s="1214"/>
      <c r="AW15" s="1214"/>
      <c r="AX15" s="1214"/>
      <c r="AY15" s="1214"/>
      <c r="AZ15" s="1214"/>
      <c r="BA15" s="1214"/>
      <c r="BB15" s="1214"/>
      <c r="BC15" s="1214"/>
      <c r="BD15" s="1214"/>
      <c r="BE15" s="1215"/>
    </row>
    <row r="16" spans="1:65" ht="1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4.4">
      <c r="A17" s="1208"/>
      <c r="B17" s="2176" t="s">
        <v>2357</v>
      </c>
      <c r="C17" s="2177"/>
      <c r="D17" s="2177"/>
      <c r="E17" s="2177"/>
      <c r="F17" s="2177"/>
      <c r="G17" s="2177"/>
      <c r="H17" s="2177"/>
      <c r="I17" s="2177"/>
      <c r="J17" s="2177"/>
      <c r="K17" s="2177"/>
      <c r="L17" s="2177"/>
      <c r="M17" s="2177"/>
      <c r="N17" s="2177"/>
      <c r="O17" s="2177"/>
      <c r="P17" s="2177"/>
      <c r="Q17" s="2177"/>
      <c r="R17" s="2177"/>
      <c r="S17" s="2177"/>
      <c r="T17" s="2177"/>
      <c r="U17" s="2177"/>
      <c r="V17" s="2177"/>
      <c r="W17" s="2177"/>
      <c r="X17" s="2177"/>
      <c r="Y17" s="2177"/>
      <c r="Z17" s="2177"/>
      <c r="AA17" s="2177"/>
      <c r="AB17" s="2177"/>
      <c r="AC17" s="2177"/>
      <c r="AD17" s="2177"/>
      <c r="AE17" s="2177"/>
      <c r="AF17" s="2177"/>
      <c r="AG17" s="2177"/>
      <c r="AH17" s="2177"/>
      <c r="AI17" s="2177"/>
      <c r="AJ17" s="2177"/>
      <c r="AK17" s="2177"/>
      <c r="AL17" s="2177"/>
      <c r="AM17" s="2177"/>
      <c r="AN17" s="2177"/>
      <c r="AO17" s="2177"/>
      <c r="AP17" s="2177"/>
      <c r="AQ17" s="2177"/>
      <c r="AR17" s="2177"/>
      <c r="AS17" s="2177"/>
      <c r="AT17" s="2177"/>
      <c r="AU17" s="2177"/>
      <c r="AV17" s="2177"/>
      <c r="AW17" s="2177"/>
      <c r="AX17" s="2177"/>
      <c r="AY17" s="2178"/>
      <c r="AZ17" s="1208"/>
      <c r="BA17" s="1208"/>
      <c r="BB17" s="1208"/>
      <c r="BC17" s="1208"/>
      <c r="BD17" s="1208"/>
      <c r="BE17" s="1215"/>
      <c r="BF17" s="1206"/>
    </row>
    <row r="18" spans="1:58" ht="15.75" customHeight="1">
      <c r="A18" s="1208"/>
      <c r="B18" s="2179" t="s">
        <v>2356</v>
      </c>
      <c r="C18" s="2180"/>
      <c r="D18" s="2180"/>
      <c r="E18" s="2180"/>
      <c r="F18" s="2180"/>
      <c r="G18" s="2180"/>
      <c r="H18" s="2180"/>
      <c r="I18" s="2181"/>
      <c r="J18" s="2182" t="s">
        <v>1574</v>
      </c>
      <c r="K18" s="2183"/>
      <c r="L18" s="2183"/>
      <c r="M18" s="2183"/>
      <c r="N18" s="2183"/>
      <c r="O18" s="2184"/>
      <c r="P18" s="2182" t="s">
        <v>324</v>
      </c>
      <c r="Q18" s="2183"/>
      <c r="R18" s="2183"/>
      <c r="S18" s="2183"/>
      <c r="T18" s="2183"/>
      <c r="U18" s="2184"/>
      <c r="V18" s="2182" t="s">
        <v>325</v>
      </c>
      <c r="W18" s="2183"/>
      <c r="X18" s="2183"/>
      <c r="Y18" s="2183"/>
      <c r="Z18" s="2183"/>
      <c r="AA18" s="2184"/>
      <c r="AB18" s="2182" t="s">
        <v>163</v>
      </c>
      <c r="AC18" s="2183"/>
      <c r="AD18" s="2183"/>
      <c r="AE18" s="2183"/>
      <c r="AF18" s="2183"/>
      <c r="AG18" s="2184"/>
      <c r="AH18" s="2182" t="s">
        <v>164</v>
      </c>
      <c r="AI18" s="2183"/>
      <c r="AJ18" s="2183"/>
      <c r="AK18" s="2183"/>
      <c r="AL18" s="2183"/>
      <c r="AM18" s="2184"/>
      <c r="AN18" s="2182" t="s">
        <v>165</v>
      </c>
      <c r="AO18" s="2183"/>
      <c r="AP18" s="2183"/>
      <c r="AQ18" s="2183"/>
      <c r="AR18" s="2183"/>
      <c r="AS18" s="2184"/>
      <c r="AT18" s="2182" t="s">
        <v>2355</v>
      </c>
      <c r="AU18" s="2183"/>
      <c r="AV18" s="2183"/>
      <c r="AW18" s="2183"/>
      <c r="AX18" s="2183"/>
      <c r="AY18" s="2185"/>
      <c r="AZ18" s="1208"/>
      <c r="BA18" s="1208"/>
      <c r="BB18" s="1208"/>
      <c r="BC18" s="1208"/>
      <c r="BD18" s="1208"/>
      <c r="BE18" s="1215"/>
    </row>
    <row r="19" spans="1:58" ht="14.4">
      <c r="A19" s="1208"/>
      <c r="B19" s="2186">
        <v>0.3</v>
      </c>
      <c r="C19" s="2187"/>
      <c r="D19" s="2187"/>
      <c r="E19" s="2187"/>
      <c r="F19" s="2187"/>
      <c r="G19" s="2187"/>
      <c r="H19" s="2187"/>
      <c r="I19" s="2188"/>
      <c r="J19" s="2189">
        <f t="shared" ref="J19:J24" si="0">SUM(P19:AS19)</f>
        <v>11</v>
      </c>
      <c r="K19" s="2190"/>
      <c r="L19" s="2190"/>
      <c r="M19" s="2190"/>
      <c r="N19" s="2190"/>
      <c r="O19" s="2191"/>
      <c r="P19" s="2189" cm="1">
        <f t="array" ref="P19">SUMPRODUCT((Application!$B$726:$B$760 = 'CalHFA Addendum'!P$18)*(Application!$AC$726:$AC$760 = 'CalHFA Addendum'!$B19),Application!$G$726:$G$760)</f>
        <v>0</v>
      </c>
      <c r="Q19" s="2190"/>
      <c r="R19" s="2190"/>
      <c r="S19" s="2190"/>
      <c r="T19" s="2190"/>
      <c r="U19" s="2191"/>
      <c r="V19" s="2189" cm="1">
        <f t="array" ref="V19">SUMPRODUCT((Application!$B$726:$B$760 = 'CalHFA Addendum'!V$18)*(Application!$AC$726:$AC$760 = 'CalHFA Addendum'!$B19),Application!$G$726:$G$760)</f>
        <v>0</v>
      </c>
      <c r="W19" s="2190"/>
      <c r="X19" s="2190"/>
      <c r="Y19" s="2190"/>
      <c r="Z19" s="2190"/>
      <c r="AA19" s="2191"/>
      <c r="AB19" s="2189" cm="1">
        <f t="array" ref="AB19">SUMPRODUCT((Application!$B$726:$B$760 = 'CalHFA Addendum'!AB$18)*(Application!$AC$726:$AC$760 = 'CalHFA Addendum'!$B19),Application!$G$726:$G$760)</f>
        <v>4</v>
      </c>
      <c r="AC19" s="2190"/>
      <c r="AD19" s="2190"/>
      <c r="AE19" s="2190"/>
      <c r="AF19" s="2190"/>
      <c r="AG19" s="2191"/>
      <c r="AH19" s="2189" cm="1">
        <f t="array" ref="AH19">SUMPRODUCT((Application!$B$726:$B$760 = 'CalHFA Addendum'!AH$18)*(Application!$AC$726:$AC$760 = 'CalHFA Addendum'!$B19),Application!$G$726:$G$760)</f>
        <v>7</v>
      </c>
      <c r="AI19" s="2190"/>
      <c r="AJ19" s="2190"/>
      <c r="AK19" s="2190"/>
      <c r="AL19" s="2190"/>
      <c r="AM19" s="2191"/>
      <c r="AN19" s="2189" cm="1">
        <f t="array" ref="AN19">SUMPRODUCT((Application!$B$726:$B$760 = 'CalHFA Addendum'!AN$18)*(Application!$AC$726:$AC$760 = 'CalHFA Addendum'!$B19),Application!$G$726:$G$760)</f>
        <v>0</v>
      </c>
      <c r="AO19" s="2190"/>
      <c r="AP19" s="2190"/>
      <c r="AQ19" s="2190"/>
      <c r="AR19" s="2190"/>
      <c r="AS19" s="2191"/>
      <c r="AT19" s="2192">
        <f>J19/$J$29</f>
        <v>0.10784313725490197</v>
      </c>
      <c r="AU19" s="2193"/>
      <c r="AV19" s="2193"/>
      <c r="AW19" s="2193"/>
      <c r="AX19" s="2193"/>
      <c r="AY19" s="2194"/>
      <c r="AZ19" s="1216"/>
      <c r="BA19" s="1208"/>
      <c r="BB19" s="1208"/>
      <c r="BC19" s="1208"/>
      <c r="BD19" s="1208"/>
      <c r="BE19" s="1215"/>
    </row>
    <row r="20" spans="1:58" ht="15" customHeight="1">
      <c r="A20" s="1208"/>
      <c r="B20" s="2186">
        <v>0.4</v>
      </c>
      <c r="C20" s="2187"/>
      <c r="D20" s="2187"/>
      <c r="E20" s="2187"/>
      <c r="F20" s="2187"/>
      <c r="G20" s="2187"/>
      <c r="H20" s="2187"/>
      <c r="I20" s="2188"/>
      <c r="J20" s="2189">
        <f t="shared" si="0"/>
        <v>0</v>
      </c>
      <c r="K20" s="2190"/>
      <c r="L20" s="2190"/>
      <c r="M20" s="2190"/>
      <c r="N20" s="2190"/>
      <c r="O20" s="2191"/>
      <c r="P20" s="2189" cm="1">
        <f t="array" ref="P20">SUMPRODUCT((Application!$B$726:$B$760 = 'CalHFA Addendum'!P$18)*(Application!$AC$726:$AC$760 = 'CalHFA Addendum'!$B20),Application!$G$726:$G$760)</f>
        <v>0</v>
      </c>
      <c r="Q20" s="2190"/>
      <c r="R20" s="2190"/>
      <c r="S20" s="2190"/>
      <c r="T20" s="2190"/>
      <c r="U20" s="2191"/>
      <c r="V20" s="2189" cm="1">
        <f t="array" ref="V20">SUMPRODUCT((Application!$B$726:$B$760 = 'CalHFA Addendum'!V$18)*(Application!$AC$726:$AC$760 = 'CalHFA Addendum'!$B20),Application!$G$726:$G$760)</f>
        <v>0</v>
      </c>
      <c r="W20" s="2190"/>
      <c r="X20" s="2190"/>
      <c r="Y20" s="2190"/>
      <c r="Z20" s="2190"/>
      <c r="AA20" s="2191"/>
      <c r="AB20" s="2189" cm="1">
        <f t="array" ref="AB20">SUMPRODUCT((Application!$B$726:$B$760 = 'CalHFA Addendum'!AB$18)*(Application!$AC$726:$AC$760 = 'CalHFA Addendum'!$B20),Application!$G$726:$G$760)</f>
        <v>0</v>
      </c>
      <c r="AC20" s="2190"/>
      <c r="AD20" s="2190"/>
      <c r="AE20" s="2190"/>
      <c r="AF20" s="2190"/>
      <c r="AG20" s="2191"/>
      <c r="AH20" s="2189" cm="1">
        <f t="array" ref="AH20">SUMPRODUCT((Application!$B$726:$B$760 = 'CalHFA Addendum'!AH$18)*(Application!$AC$726:$AC$760 = 'CalHFA Addendum'!$B20),Application!$G$726:$G$760)</f>
        <v>0</v>
      </c>
      <c r="AI20" s="2190"/>
      <c r="AJ20" s="2190"/>
      <c r="AK20" s="2190"/>
      <c r="AL20" s="2190"/>
      <c r="AM20" s="2191"/>
      <c r="AN20" s="2189" cm="1">
        <f t="array" ref="AN20">SUMPRODUCT((Application!$B$726:$B$760 = 'CalHFA Addendum'!AN$18)*(Application!$AC$726:$AC$760 = 'CalHFA Addendum'!$B20),Application!$G$726:$G$760)</f>
        <v>0</v>
      </c>
      <c r="AO20" s="2190"/>
      <c r="AP20" s="2190"/>
      <c r="AQ20" s="2190"/>
      <c r="AR20" s="2190"/>
      <c r="AS20" s="2191"/>
      <c r="AT20" s="2192">
        <f t="shared" ref="AT20:AT29" si="1">J20/$J$29</f>
        <v>0</v>
      </c>
      <c r="AU20" s="2193"/>
      <c r="AV20" s="2193"/>
      <c r="AW20" s="2193"/>
      <c r="AX20" s="2193"/>
      <c r="AY20" s="2194"/>
      <c r="AZ20" s="1208"/>
      <c r="BA20" s="1208"/>
      <c r="BB20" s="1208"/>
      <c r="BC20" s="1208"/>
      <c r="BD20" s="1208"/>
      <c r="BE20" s="1215"/>
    </row>
    <row r="21" spans="1:58" ht="14.4">
      <c r="A21" s="1208"/>
      <c r="B21" s="2186">
        <v>0.5</v>
      </c>
      <c r="C21" s="2187"/>
      <c r="D21" s="2187"/>
      <c r="E21" s="2187"/>
      <c r="F21" s="2187"/>
      <c r="G21" s="2187"/>
      <c r="H21" s="2187"/>
      <c r="I21" s="2188"/>
      <c r="J21" s="2189">
        <f t="shared" si="0"/>
        <v>22</v>
      </c>
      <c r="K21" s="2190"/>
      <c r="L21" s="2190"/>
      <c r="M21" s="2190"/>
      <c r="N21" s="2190"/>
      <c r="O21" s="2191"/>
      <c r="P21" s="2189" cm="1">
        <f t="array" ref="P21">SUMPRODUCT((Application!$B$726:$B$760 = 'CalHFA Addendum'!P$18)*(Application!$AC$726:$AC$760 = 'CalHFA Addendum'!$B21),Application!$G$726:$G$760)</f>
        <v>0</v>
      </c>
      <c r="Q21" s="2190"/>
      <c r="R21" s="2190"/>
      <c r="S21" s="2190"/>
      <c r="T21" s="2190"/>
      <c r="U21" s="2191"/>
      <c r="V21" s="2189" cm="1">
        <f t="array" ref="V21">SUMPRODUCT((Application!$B$726:$B$760 = 'CalHFA Addendum'!V$18)*(Application!$AC$726:$AC$760 = 'CalHFA Addendum'!$B21),Application!$G$726:$G$760)</f>
        <v>0</v>
      </c>
      <c r="W21" s="2190"/>
      <c r="X21" s="2190"/>
      <c r="Y21" s="2190"/>
      <c r="Z21" s="2190"/>
      <c r="AA21" s="2191"/>
      <c r="AB21" s="2189" cm="1">
        <f t="array" ref="AB21">SUMPRODUCT((Application!$B$726:$B$760 = 'CalHFA Addendum'!AB$18)*(Application!$AC$726:$AC$760 = 'CalHFA Addendum'!$B21),Application!$G$726:$G$760)</f>
        <v>8</v>
      </c>
      <c r="AC21" s="2190"/>
      <c r="AD21" s="2190"/>
      <c r="AE21" s="2190"/>
      <c r="AF21" s="2190"/>
      <c r="AG21" s="2191"/>
      <c r="AH21" s="2189" cm="1">
        <f t="array" ref="AH21">SUMPRODUCT((Application!$B$726:$B$760 = 'CalHFA Addendum'!AH$18)*(Application!$AC$726:$AC$760 = 'CalHFA Addendum'!$B21),Application!$G$726:$G$760)</f>
        <v>14</v>
      </c>
      <c r="AI21" s="2190"/>
      <c r="AJ21" s="2190"/>
      <c r="AK21" s="2190"/>
      <c r="AL21" s="2190"/>
      <c r="AM21" s="2191"/>
      <c r="AN21" s="2189" cm="1">
        <f t="array" ref="AN21">SUMPRODUCT((Application!$B$726:$B$760 = 'CalHFA Addendum'!AN$18)*(Application!$AC$726:$AC$760 = 'CalHFA Addendum'!$B21),Application!$G$726:$G$760)</f>
        <v>0</v>
      </c>
      <c r="AO21" s="2190"/>
      <c r="AP21" s="2190"/>
      <c r="AQ21" s="2190"/>
      <c r="AR21" s="2190"/>
      <c r="AS21" s="2191"/>
      <c r="AT21" s="2192">
        <f t="shared" si="1"/>
        <v>0.21568627450980393</v>
      </c>
      <c r="AU21" s="2193"/>
      <c r="AV21" s="2193"/>
      <c r="AW21" s="2193"/>
      <c r="AX21" s="2193"/>
      <c r="AY21" s="2194"/>
      <c r="AZ21" s="1208"/>
      <c r="BA21" s="1208"/>
      <c r="BB21" s="1208"/>
      <c r="BC21" s="1208"/>
      <c r="BD21" s="1208"/>
      <c r="BE21" s="1215"/>
    </row>
    <row r="22" spans="1:58" ht="14.4">
      <c r="A22" s="1208"/>
      <c r="B22" s="2186">
        <v>0.6</v>
      </c>
      <c r="C22" s="2187"/>
      <c r="D22" s="2187"/>
      <c r="E22" s="2187"/>
      <c r="F22" s="2187"/>
      <c r="G22" s="2187"/>
      <c r="H22" s="2187"/>
      <c r="I22" s="2188"/>
      <c r="J22" s="2189">
        <f t="shared" si="0"/>
        <v>13</v>
      </c>
      <c r="K22" s="2190"/>
      <c r="L22" s="2190"/>
      <c r="M22" s="2190"/>
      <c r="N22" s="2190"/>
      <c r="O22" s="2191"/>
      <c r="P22" s="2189" cm="1">
        <f t="array" ref="P22">SUMPRODUCT((Application!$B$726:$B$760 = 'CalHFA Addendum'!P$18)*(Application!$AC$726:$AC$760 = 'CalHFA Addendum'!$B22),Application!$G$726:$G$760)</f>
        <v>0</v>
      </c>
      <c r="Q22" s="2190"/>
      <c r="R22" s="2190"/>
      <c r="S22" s="2190"/>
      <c r="T22" s="2190"/>
      <c r="U22" s="2191"/>
      <c r="V22" s="2189" cm="1">
        <f t="array" ref="V22">SUMPRODUCT((Application!$B$726:$B$760 = 'CalHFA Addendum'!V$18)*(Application!$AC$726:$AC$760 = 'CalHFA Addendum'!$B22),Application!$G$726:$G$760)</f>
        <v>0</v>
      </c>
      <c r="W22" s="2190"/>
      <c r="X22" s="2190"/>
      <c r="Y22" s="2190"/>
      <c r="Z22" s="2190"/>
      <c r="AA22" s="2191"/>
      <c r="AB22" s="2189" cm="1">
        <f t="array" ref="AB22">SUMPRODUCT((Application!$B$726:$B$760 = 'CalHFA Addendum'!AB$18)*(Application!$AC$726:$AC$760 = 'CalHFA Addendum'!$B22),Application!$G$726:$G$760)</f>
        <v>2</v>
      </c>
      <c r="AC22" s="2190"/>
      <c r="AD22" s="2190"/>
      <c r="AE22" s="2190"/>
      <c r="AF22" s="2190"/>
      <c r="AG22" s="2191"/>
      <c r="AH22" s="2189" cm="1">
        <f t="array" ref="AH22">SUMPRODUCT((Application!$B$726:$B$760 = 'CalHFA Addendum'!AH$18)*(Application!$AC$726:$AC$760 = 'CalHFA Addendum'!$B22),Application!$G$726:$G$760)</f>
        <v>11</v>
      </c>
      <c r="AI22" s="2190"/>
      <c r="AJ22" s="2190"/>
      <c r="AK22" s="2190"/>
      <c r="AL22" s="2190"/>
      <c r="AM22" s="2191"/>
      <c r="AN22" s="2189" cm="1">
        <f t="array" ref="AN22">SUMPRODUCT((Application!$B$726:$B$760 = 'CalHFA Addendum'!AN$18)*(Application!$AC$726:$AC$760 = 'CalHFA Addendum'!$B22),Application!$G$726:$G$760)</f>
        <v>0</v>
      </c>
      <c r="AO22" s="2190"/>
      <c r="AP22" s="2190"/>
      <c r="AQ22" s="2190"/>
      <c r="AR22" s="2190"/>
      <c r="AS22" s="2191"/>
      <c r="AT22" s="2192">
        <f t="shared" si="1"/>
        <v>0.12745098039215685</v>
      </c>
      <c r="AU22" s="2193"/>
      <c r="AV22" s="2193"/>
      <c r="AW22" s="2193"/>
      <c r="AX22" s="2193"/>
      <c r="AY22" s="2194"/>
      <c r="AZ22" s="1208"/>
      <c r="BA22" s="1208"/>
      <c r="BB22" s="1208"/>
      <c r="BC22" s="1208"/>
      <c r="BD22" s="1208"/>
      <c r="BE22" s="1215"/>
    </row>
    <row r="23" spans="1:58" ht="14.4">
      <c r="A23" s="1208"/>
      <c r="B23" s="2186">
        <v>0.7</v>
      </c>
      <c r="C23" s="2187"/>
      <c r="D23" s="2187"/>
      <c r="E23" s="2187"/>
      <c r="F23" s="2187"/>
      <c r="G23" s="2187"/>
      <c r="H23" s="2187"/>
      <c r="I23" s="2188"/>
      <c r="J23" s="2189">
        <f t="shared" si="0"/>
        <v>55</v>
      </c>
      <c r="K23" s="2190"/>
      <c r="L23" s="2190"/>
      <c r="M23" s="2190"/>
      <c r="N23" s="2190"/>
      <c r="O23" s="2191"/>
      <c r="P23" s="2189" cm="1">
        <f t="array" ref="P23">SUMPRODUCT((Application!$B$726:$B$760 = 'CalHFA Addendum'!P$18)*(Application!$AC$726:$AC$760 = 'CalHFA Addendum'!$B23),Application!$G$726:$G$760)</f>
        <v>0</v>
      </c>
      <c r="Q23" s="2190"/>
      <c r="R23" s="2190"/>
      <c r="S23" s="2190"/>
      <c r="T23" s="2190"/>
      <c r="U23" s="2191"/>
      <c r="V23" s="2189" cm="1">
        <f t="array" ref="V23">SUMPRODUCT((Application!$B$726:$B$760 = 'CalHFA Addendum'!V$18)*(Application!$AC$726:$AC$760 = 'CalHFA Addendum'!$B23),Application!$G$726:$G$760)</f>
        <v>0</v>
      </c>
      <c r="W23" s="2190"/>
      <c r="X23" s="2190"/>
      <c r="Y23" s="2190"/>
      <c r="Z23" s="2190"/>
      <c r="AA23" s="2191"/>
      <c r="AB23" s="2189" cm="1">
        <f t="array" ref="AB23">SUMPRODUCT((Application!$B$726:$B$760 = 'CalHFA Addendum'!AB$18)*(Application!$AC$726:$AC$760 = 'CalHFA Addendum'!$B23),Application!$G$726:$G$760)</f>
        <v>20</v>
      </c>
      <c r="AC23" s="2190"/>
      <c r="AD23" s="2190"/>
      <c r="AE23" s="2190"/>
      <c r="AF23" s="2190"/>
      <c r="AG23" s="2191"/>
      <c r="AH23" s="2189" cm="1">
        <f t="array" ref="AH23">SUMPRODUCT((Application!$B$726:$B$760 = 'CalHFA Addendum'!AH$18)*(Application!$AC$726:$AC$760 = 'CalHFA Addendum'!$B23),Application!$G$726:$G$760)</f>
        <v>35</v>
      </c>
      <c r="AI23" s="2190"/>
      <c r="AJ23" s="2190"/>
      <c r="AK23" s="2190"/>
      <c r="AL23" s="2190"/>
      <c r="AM23" s="2191"/>
      <c r="AN23" s="2189" cm="1">
        <f t="array" ref="AN23">SUMPRODUCT((Application!$B$726:$B$760 = 'CalHFA Addendum'!AN$18)*(Application!$AC$726:$AC$760 = 'CalHFA Addendum'!$B23),Application!$G$726:$G$760)</f>
        <v>0</v>
      </c>
      <c r="AO23" s="2190"/>
      <c r="AP23" s="2190"/>
      <c r="AQ23" s="2190"/>
      <c r="AR23" s="2190"/>
      <c r="AS23" s="2191"/>
      <c r="AT23" s="2192">
        <f t="shared" si="1"/>
        <v>0.53921568627450978</v>
      </c>
      <c r="AU23" s="2193"/>
      <c r="AV23" s="2193"/>
      <c r="AW23" s="2193"/>
      <c r="AX23" s="2193"/>
      <c r="AY23" s="2194"/>
      <c r="AZ23" s="1208"/>
      <c r="BA23" s="1208"/>
      <c r="BB23" s="1208"/>
      <c r="BC23" s="1208"/>
      <c r="BD23" s="1208"/>
      <c r="BE23" s="1215"/>
    </row>
    <row r="24" spans="1:58" ht="14.4">
      <c r="A24" s="1208"/>
      <c r="B24" s="2186">
        <v>0.8</v>
      </c>
      <c r="C24" s="2187"/>
      <c r="D24" s="2187"/>
      <c r="E24" s="2187"/>
      <c r="F24" s="2187"/>
      <c r="G24" s="2187"/>
      <c r="H24" s="2187"/>
      <c r="I24" s="2188"/>
      <c r="J24" s="2189">
        <f t="shared" si="0"/>
        <v>0</v>
      </c>
      <c r="K24" s="2190"/>
      <c r="L24" s="2190"/>
      <c r="M24" s="2190"/>
      <c r="N24" s="2190"/>
      <c r="O24" s="2191"/>
      <c r="P24" s="2189" cm="1">
        <f t="array" ref="P24">SUMPRODUCT((Application!$B$726:$B$760 = 'CalHFA Addendum'!P$18)*(Application!$AC$726:$AC$760 = 'CalHFA Addendum'!$B24),Application!$G$726:$G$760)</f>
        <v>0</v>
      </c>
      <c r="Q24" s="2190"/>
      <c r="R24" s="2190"/>
      <c r="S24" s="2190"/>
      <c r="T24" s="2190"/>
      <c r="U24" s="2191"/>
      <c r="V24" s="2189" cm="1">
        <f t="array" ref="V24">SUMPRODUCT((Application!$B$726:$B$760 = 'CalHFA Addendum'!V$18)*(Application!$AC$726:$AC$760 = 'CalHFA Addendum'!$B24),Application!$G$726:$G$760)</f>
        <v>0</v>
      </c>
      <c r="W24" s="2190"/>
      <c r="X24" s="2190"/>
      <c r="Y24" s="2190"/>
      <c r="Z24" s="2190"/>
      <c r="AA24" s="2191"/>
      <c r="AB24" s="2189" cm="1">
        <f t="array" ref="AB24">SUMPRODUCT((Application!$B$726:$B$760 = 'CalHFA Addendum'!AB$18)*(Application!$AC$726:$AC$760 = 'CalHFA Addendum'!$B24),Application!$G$726:$G$760)</f>
        <v>0</v>
      </c>
      <c r="AC24" s="2190"/>
      <c r="AD24" s="2190"/>
      <c r="AE24" s="2190"/>
      <c r="AF24" s="2190"/>
      <c r="AG24" s="2191"/>
      <c r="AH24" s="2189" cm="1">
        <f t="array" ref="AH24">SUMPRODUCT((Application!$B$726:$B$760 = 'CalHFA Addendum'!AH$18)*(Application!$AC$726:$AC$760 = 'CalHFA Addendum'!$B24),Application!$G$726:$G$760)</f>
        <v>0</v>
      </c>
      <c r="AI24" s="2190"/>
      <c r="AJ24" s="2190"/>
      <c r="AK24" s="2190"/>
      <c r="AL24" s="2190"/>
      <c r="AM24" s="2191"/>
      <c r="AN24" s="2189" cm="1">
        <f t="array" ref="AN24">SUMPRODUCT((Application!$B$726:$B$760 = 'CalHFA Addendum'!AN$18)*(Application!$AC$726:$AC$760 = 'CalHFA Addendum'!$B24),Application!$G$726:$G$760)</f>
        <v>0</v>
      </c>
      <c r="AO24" s="2190"/>
      <c r="AP24" s="2190"/>
      <c r="AQ24" s="2190"/>
      <c r="AR24" s="2190"/>
      <c r="AS24" s="2191"/>
      <c r="AT24" s="2192">
        <f t="shared" si="1"/>
        <v>0</v>
      </c>
      <c r="AU24" s="2193"/>
      <c r="AV24" s="2193"/>
      <c r="AW24" s="2193"/>
      <c r="AX24" s="2193"/>
      <c r="AY24" s="2194"/>
      <c r="AZ24" s="1208"/>
      <c r="BA24" s="1208"/>
      <c r="BB24" s="1208"/>
      <c r="BC24" s="1208"/>
      <c r="BD24" s="1208"/>
      <c r="BE24" s="1215"/>
    </row>
    <row r="25" spans="1:58" ht="14.4">
      <c r="A25" s="1208"/>
      <c r="B25" s="2186">
        <v>0.9</v>
      </c>
      <c r="C25" s="2187"/>
      <c r="D25" s="2187"/>
      <c r="E25" s="2187"/>
      <c r="F25" s="2187"/>
      <c r="G25" s="2187"/>
      <c r="H25" s="2187"/>
      <c r="I25" s="2188"/>
      <c r="J25" s="2195"/>
      <c r="K25" s="2196"/>
      <c r="L25" s="2196"/>
      <c r="M25" s="2196"/>
      <c r="N25" s="2196"/>
      <c r="O25" s="2197"/>
      <c r="P25" s="2195"/>
      <c r="Q25" s="2196"/>
      <c r="R25" s="2196"/>
      <c r="S25" s="2196"/>
      <c r="T25" s="2196"/>
      <c r="U25" s="2197"/>
      <c r="V25" s="2195"/>
      <c r="W25" s="2196"/>
      <c r="X25" s="2196"/>
      <c r="Y25" s="2196"/>
      <c r="Z25" s="2196"/>
      <c r="AA25" s="2197"/>
      <c r="AB25" s="2195"/>
      <c r="AC25" s="2196"/>
      <c r="AD25" s="2196"/>
      <c r="AE25" s="2196"/>
      <c r="AF25" s="2196"/>
      <c r="AG25" s="2197"/>
      <c r="AH25" s="2195"/>
      <c r="AI25" s="2196"/>
      <c r="AJ25" s="2196"/>
      <c r="AK25" s="2196"/>
      <c r="AL25" s="2196"/>
      <c r="AM25" s="2197"/>
      <c r="AN25" s="2195"/>
      <c r="AO25" s="2196"/>
      <c r="AP25" s="2196"/>
      <c r="AQ25" s="2196"/>
      <c r="AR25" s="2196"/>
      <c r="AS25" s="2197"/>
      <c r="AT25" s="2192">
        <f t="shared" si="1"/>
        <v>0</v>
      </c>
      <c r="AU25" s="2193"/>
      <c r="AV25" s="2193"/>
      <c r="AW25" s="2193"/>
      <c r="AX25" s="2193"/>
      <c r="AY25" s="2194"/>
      <c r="AZ25" s="1208"/>
      <c r="BA25" s="1208"/>
      <c r="BB25" s="1208"/>
      <c r="BC25" s="1208"/>
      <c r="BD25" s="1208"/>
      <c r="BE25" s="1215"/>
    </row>
    <row r="26" spans="1:58" ht="14.4">
      <c r="A26" s="1208"/>
      <c r="B26" s="2186">
        <v>1</v>
      </c>
      <c r="C26" s="2187"/>
      <c r="D26" s="2187"/>
      <c r="E26" s="2187"/>
      <c r="F26" s="2187"/>
      <c r="G26" s="2187"/>
      <c r="H26" s="2187"/>
      <c r="I26" s="2188"/>
      <c r="J26" s="2195"/>
      <c r="K26" s="2196"/>
      <c r="L26" s="2196"/>
      <c r="M26" s="2196"/>
      <c r="N26" s="2196"/>
      <c r="O26" s="2197"/>
      <c r="P26" s="2195"/>
      <c r="Q26" s="2196"/>
      <c r="R26" s="2196"/>
      <c r="S26" s="2196"/>
      <c r="T26" s="2196"/>
      <c r="U26" s="2197"/>
      <c r="V26" s="2195"/>
      <c r="W26" s="2196"/>
      <c r="X26" s="2196"/>
      <c r="Y26" s="2196"/>
      <c r="Z26" s="2196"/>
      <c r="AA26" s="2197"/>
      <c r="AB26" s="2195"/>
      <c r="AC26" s="2196"/>
      <c r="AD26" s="2196"/>
      <c r="AE26" s="2196"/>
      <c r="AF26" s="2196"/>
      <c r="AG26" s="2197"/>
      <c r="AH26" s="2195"/>
      <c r="AI26" s="2196"/>
      <c r="AJ26" s="2196"/>
      <c r="AK26" s="2196"/>
      <c r="AL26" s="2196"/>
      <c r="AM26" s="2197"/>
      <c r="AN26" s="2195"/>
      <c r="AO26" s="2196"/>
      <c r="AP26" s="2196"/>
      <c r="AQ26" s="2196"/>
      <c r="AR26" s="2196"/>
      <c r="AS26" s="2197"/>
      <c r="AT26" s="2192">
        <f t="shared" si="1"/>
        <v>0</v>
      </c>
      <c r="AU26" s="2193"/>
      <c r="AV26" s="2193"/>
      <c r="AW26" s="2193"/>
      <c r="AX26" s="2193"/>
      <c r="AY26" s="2194"/>
      <c r="AZ26" s="1208"/>
      <c r="BA26" s="1208"/>
      <c r="BB26" s="1208"/>
      <c r="BC26" s="1208"/>
      <c r="BD26" s="1208"/>
      <c r="BE26" s="1215"/>
    </row>
    <row r="27" spans="1:58" ht="14.4">
      <c r="A27" s="1208"/>
      <c r="B27" s="2186">
        <v>1.2</v>
      </c>
      <c r="C27" s="2187"/>
      <c r="D27" s="2187"/>
      <c r="E27" s="2187"/>
      <c r="F27" s="2187"/>
      <c r="G27" s="2187"/>
      <c r="H27" s="2187"/>
      <c r="I27" s="2188"/>
      <c r="J27" s="2195"/>
      <c r="K27" s="2196"/>
      <c r="L27" s="2196"/>
      <c r="M27" s="2196"/>
      <c r="N27" s="2196"/>
      <c r="O27" s="2197"/>
      <c r="P27" s="2195"/>
      <c r="Q27" s="2196"/>
      <c r="R27" s="2196"/>
      <c r="S27" s="2196"/>
      <c r="T27" s="2196"/>
      <c r="U27" s="2197"/>
      <c r="V27" s="2195"/>
      <c r="W27" s="2196"/>
      <c r="X27" s="2196"/>
      <c r="Y27" s="2196"/>
      <c r="Z27" s="2196"/>
      <c r="AA27" s="2197"/>
      <c r="AB27" s="2195"/>
      <c r="AC27" s="2196"/>
      <c r="AD27" s="2196"/>
      <c r="AE27" s="2196"/>
      <c r="AF27" s="2196"/>
      <c r="AG27" s="2197"/>
      <c r="AH27" s="2195"/>
      <c r="AI27" s="2196"/>
      <c r="AJ27" s="2196"/>
      <c r="AK27" s="2196"/>
      <c r="AL27" s="2196"/>
      <c r="AM27" s="2197"/>
      <c r="AN27" s="2195"/>
      <c r="AO27" s="2196"/>
      <c r="AP27" s="2196"/>
      <c r="AQ27" s="2196"/>
      <c r="AR27" s="2196"/>
      <c r="AS27" s="2197"/>
      <c r="AT27" s="2192">
        <f t="shared" si="1"/>
        <v>0</v>
      </c>
      <c r="AU27" s="2193"/>
      <c r="AV27" s="2193"/>
      <c r="AW27" s="2193"/>
      <c r="AX27" s="2193"/>
      <c r="AY27" s="2194"/>
      <c r="AZ27" s="1208"/>
      <c r="BA27" s="1208"/>
      <c r="BB27" s="1208"/>
      <c r="BC27" s="1208"/>
      <c r="BD27" s="1208"/>
      <c r="BE27" s="1215"/>
    </row>
    <row r="28" spans="1:58" ht="15" thickBot="1">
      <c r="A28" s="1208"/>
      <c r="B28" s="2198" t="s">
        <v>2354</v>
      </c>
      <c r="C28" s="2199"/>
      <c r="D28" s="2199"/>
      <c r="E28" s="2199"/>
      <c r="F28" s="2199"/>
      <c r="G28" s="2199"/>
      <c r="H28" s="2199"/>
      <c r="I28" s="2200"/>
      <c r="J28" s="2201">
        <f>SUM(P28:AS28)</f>
        <v>1</v>
      </c>
      <c r="K28" s="2202"/>
      <c r="L28" s="2202"/>
      <c r="M28" s="2202"/>
      <c r="N28" s="2202"/>
      <c r="O28" s="2203"/>
      <c r="P28" s="2201">
        <f>_xlfn.IFNA(VLOOKUP(P$18,Application!$J$781:$S$784,6,FALSE), 0)</f>
        <v>0</v>
      </c>
      <c r="Q28" s="2202"/>
      <c r="R28" s="2202"/>
      <c r="S28" s="2202"/>
      <c r="T28" s="2202"/>
      <c r="U28" s="2203"/>
      <c r="V28" s="2201">
        <f>_xlfn.IFNA(VLOOKUP(V$18,Application!$J$781:$S$784,6,FALSE), 0)</f>
        <v>0</v>
      </c>
      <c r="W28" s="2202"/>
      <c r="X28" s="2202"/>
      <c r="Y28" s="2202"/>
      <c r="Z28" s="2202"/>
      <c r="AA28" s="2203"/>
      <c r="AB28" s="2201">
        <f>_xlfn.IFNA(VLOOKUP(AB$18,Application!$J$781:$S$784,6,FALSE), 0)</f>
        <v>0</v>
      </c>
      <c r="AC28" s="2202"/>
      <c r="AD28" s="2202"/>
      <c r="AE28" s="2202"/>
      <c r="AF28" s="2202"/>
      <c r="AG28" s="2203"/>
      <c r="AH28" s="2201">
        <f>_xlfn.IFNA(VLOOKUP(AH$18,Application!$J$781:$S$784,6,FALSE), 0)</f>
        <v>1</v>
      </c>
      <c r="AI28" s="2202"/>
      <c r="AJ28" s="2202"/>
      <c r="AK28" s="2202"/>
      <c r="AL28" s="2202"/>
      <c r="AM28" s="2203"/>
      <c r="AN28" s="2201">
        <f>_xlfn.IFNA(VLOOKUP(AN$18,Application!$J$781:$S$784,6,FALSE), 0)</f>
        <v>0</v>
      </c>
      <c r="AO28" s="2202"/>
      <c r="AP28" s="2202"/>
      <c r="AQ28" s="2202"/>
      <c r="AR28" s="2202"/>
      <c r="AS28" s="2203"/>
      <c r="AT28" s="2204">
        <f t="shared" si="1"/>
        <v>9.8039215686274508E-3</v>
      </c>
      <c r="AU28" s="2205"/>
      <c r="AV28" s="2205"/>
      <c r="AW28" s="2205"/>
      <c r="AX28" s="2205"/>
      <c r="AY28" s="2206"/>
      <c r="AZ28" s="1208"/>
      <c r="BA28" s="1208"/>
      <c r="BB28" s="1208"/>
      <c r="BC28" s="1208"/>
      <c r="BD28" s="1208"/>
      <c r="BE28" s="1215"/>
    </row>
    <row r="29" spans="1:58" ht="15" thickBot="1">
      <c r="A29" s="1208"/>
      <c r="B29" s="2235" t="s">
        <v>1574</v>
      </c>
      <c r="C29" s="2208"/>
      <c r="D29" s="2208"/>
      <c r="E29" s="2208"/>
      <c r="F29" s="2208"/>
      <c r="G29" s="2208"/>
      <c r="H29" s="2208"/>
      <c r="I29" s="2209"/>
      <c r="J29" s="2207">
        <f>SUM(J19:O28)</f>
        <v>102</v>
      </c>
      <c r="K29" s="2208"/>
      <c r="L29" s="2208"/>
      <c r="M29" s="2208"/>
      <c r="N29" s="2208"/>
      <c r="O29" s="2209"/>
      <c r="P29" s="2207">
        <f>SUM(P19:U28)</f>
        <v>0</v>
      </c>
      <c r="Q29" s="2208"/>
      <c r="R29" s="2208"/>
      <c r="S29" s="2208"/>
      <c r="T29" s="2208"/>
      <c r="U29" s="2209"/>
      <c r="V29" s="2207">
        <f>SUM(V19:AA28)</f>
        <v>0</v>
      </c>
      <c r="W29" s="2208"/>
      <c r="X29" s="2208"/>
      <c r="Y29" s="2208"/>
      <c r="Z29" s="2208"/>
      <c r="AA29" s="2209"/>
      <c r="AB29" s="2207">
        <f>SUM(AB19:AG28)</f>
        <v>34</v>
      </c>
      <c r="AC29" s="2208"/>
      <c r="AD29" s="2208"/>
      <c r="AE29" s="2208"/>
      <c r="AF29" s="2208"/>
      <c r="AG29" s="2209"/>
      <c r="AH29" s="2207">
        <f>SUM(AH19:AM28)</f>
        <v>68</v>
      </c>
      <c r="AI29" s="2208"/>
      <c r="AJ29" s="2208"/>
      <c r="AK29" s="2208"/>
      <c r="AL29" s="2208"/>
      <c r="AM29" s="2209"/>
      <c r="AN29" s="2207">
        <f>SUM(AN19:AS28)</f>
        <v>0</v>
      </c>
      <c r="AO29" s="2208"/>
      <c r="AP29" s="2208"/>
      <c r="AQ29" s="2208"/>
      <c r="AR29" s="2208"/>
      <c r="AS29" s="2209"/>
      <c r="AT29" s="2210">
        <f t="shared" si="1"/>
        <v>1</v>
      </c>
      <c r="AU29" s="2211"/>
      <c r="AV29" s="2211"/>
      <c r="AW29" s="2211"/>
      <c r="AX29" s="2211"/>
      <c r="AY29" s="2212"/>
      <c r="AZ29" s="1208"/>
      <c r="BA29" s="1208"/>
      <c r="BB29" s="1208"/>
      <c r="BC29" s="1208"/>
      <c r="BD29" s="1208"/>
      <c r="BE29" s="1215"/>
    </row>
    <row r="30" spans="1:58" ht="15"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5" thickBot="1">
      <c r="A31" s="1208"/>
      <c r="B31" s="2213" t="s">
        <v>2353</v>
      </c>
      <c r="C31" s="2214"/>
      <c r="D31" s="2214"/>
      <c r="E31" s="2214"/>
      <c r="F31" s="2214"/>
      <c r="G31" s="2214"/>
      <c r="H31" s="2214"/>
      <c r="I31" s="2214"/>
      <c r="J31" s="2214"/>
      <c r="K31" s="2214"/>
      <c r="L31" s="2214"/>
      <c r="M31" s="2214"/>
      <c r="N31" s="2214"/>
      <c r="O31" s="2214"/>
      <c r="P31" s="2214"/>
      <c r="Q31" s="2214"/>
      <c r="R31" s="2214"/>
      <c r="S31" s="2214"/>
      <c r="T31" s="2214"/>
      <c r="U31" s="2214"/>
      <c r="V31" s="2214"/>
      <c r="W31" s="2214"/>
      <c r="X31" s="2214"/>
      <c r="Y31" s="2214"/>
      <c r="Z31" s="2214"/>
      <c r="AA31" s="2214"/>
      <c r="AB31" s="2214"/>
      <c r="AC31" s="2214"/>
      <c r="AD31" s="2214"/>
      <c r="AE31" s="2214"/>
      <c r="AF31" s="2214"/>
      <c r="AG31" s="2214"/>
      <c r="AH31" s="2214"/>
      <c r="AI31" s="2214"/>
      <c r="AJ31" s="2214"/>
      <c r="AK31" s="2214"/>
      <c r="AL31" s="2214"/>
      <c r="AM31" s="2214"/>
      <c r="AN31" s="2214"/>
      <c r="AO31" s="2214"/>
      <c r="AP31" s="2214"/>
      <c r="AQ31" s="2214"/>
      <c r="AR31" s="2214"/>
      <c r="AS31" s="2214"/>
      <c r="AT31" s="2214"/>
      <c r="AU31" s="2214"/>
      <c r="AV31" s="2214"/>
      <c r="AW31" s="2214"/>
      <c r="AX31" s="2214"/>
      <c r="AY31" s="2214"/>
      <c r="AZ31" s="2214"/>
      <c r="BA31" s="2214"/>
      <c r="BB31" s="2214"/>
      <c r="BC31" s="2214"/>
      <c r="BD31" s="2215"/>
      <c r="BE31" s="1215"/>
    </row>
    <row r="32" spans="1:58" ht="15" thickBot="1">
      <c r="A32" s="1208"/>
      <c r="B32" s="2216" t="s">
        <v>2352</v>
      </c>
      <c r="C32" s="2217"/>
      <c r="D32" s="2217"/>
      <c r="E32" s="2217"/>
      <c r="F32" s="2217"/>
      <c r="G32" s="2217"/>
      <c r="H32" s="2217"/>
      <c r="I32" s="2217"/>
      <c r="J32" s="2220" t="s">
        <v>2351</v>
      </c>
      <c r="K32" s="2221"/>
      <c r="L32" s="2221"/>
      <c r="M32" s="2221"/>
      <c r="N32" s="2220" t="s">
        <v>2350</v>
      </c>
      <c r="O32" s="2221"/>
      <c r="P32" s="2221"/>
      <c r="Q32" s="2223"/>
      <c r="R32" s="2225" t="s">
        <v>2349</v>
      </c>
      <c r="S32" s="2226"/>
      <c r="T32" s="2226"/>
      <c r="U32" s="2226"/>
      <c r="V32" s="2226"/>
      <c r="W32" s="2226"/>
      <c r="X32" s="2226"/>
      <c r="Y32" s="2226"/>
      <c r="Z32" s="2226"/>
      <c r="AA32" s="2226"/>
      <c r="AB32" s="2226"/>
      <c r="AC32" s="2226"/>
      <c r="AD32" s="2226"/>
      <c r="AE32" s="2226"/>
      <c r="AF32" s="2226"/>
      <c r="AG32" s="2226"/>
      <c r="AH32" s="2226"/>
      <c r="AI32" s="2226"/>
      <c r="AJ32" s="2226"/>
      <c r="AK32" s="2226"/>
      <c r="AL32" s="2226"/>
      <c r="AM32" s="2226"/>
      <c r="AN32" s="2226"/>
      <c r="AO32" s="2226"/>
      <c r="AP32" s="2226"/>
      <c r="AQ32" s="2226"/>
      <c r="AR32" s="2226"/>
      <c r="AS32" s="2226"/>
      <c r="AT32" s="2226"/>
      <c r="AU32" s="2226"/>
      <c r="AV32" s="2226"/>
      <c r="AW32" s="2226"/>
      <c r="AX32" s="2226"/>
      <c r="AY32" s="2226"/>
      <c r="AZ32" s="2226"/>
      <c r="BA32" s="2226"/>
      <c r="BB32" s="2226"/>
      <c r="BC32" s="2226"/>
      <c r="BD32" s="2227"/>
      <c r="BE32" s="1215"/>
    </row>
    <row r="33" spans="1:58" ht="15" customHeight="1">
      <c r="A33" s="1208"/>
      <c r="B33" s="2218"/>
      <c r="C33" s="2219"/>
      <c r="D33" s="2219"/>
      <c r="E33" s="2219"/>
      <c r="F33" s="2219"/>
      <c r="G33" s="2219"/>
      <c r="H33" s="2219"/>
      <c r="I33" s="2219"/>
      <c r="J33" s="2222"/>
      <c r="K33" s="2222"/>
      <c r="L33" s="2222"/>
      <c r="M33" s="2222"/>
      <c r="N33" s="2222"/>
      <c r="O33" s="2222"/>
      <c r="P33" s="2222"/>
      <c r="Q33" s="2224"/>
      <c r="R33" s="2228" t="s">
        <v>2348</v>
      </c>
      <c r="S33" s="2229"/>
      <c r="T33" s="2229"/>
      <c r="U33" s="2229"/>
      <c r="V33" s="2229"/>
      <c r="W33" s="2229"/>
      <c r="X33" s="2229"/>
      <c r="Y33" s="2229"/>
      <c r="Z33" s="2229"/>
      <c r="AA33" s="2229"/>
      <c r="AB33" s="2229"/>
      <c r="AC33" s="2229"/>
      <c r="AD33" s="2229"/>
      <c r="AE33" s="2229"/>
      <c r="AF33" s="2229"/>
      <c r="AG33" s="2229"/>
      <c r="AH33" s="2229"/>
      <c r="AI33" s="2229"/>
      <c r="AJ33" s="2229"/>
      <c r="AK33" s="2229"/>
      <c r="AL33" s="2229"/>
      <c r="AM33" s="2229"/>
      <c r="AN33" s="2229"/>
      <c r="AO33" s="2229"/>
      <c r="AP33" s="2229"/>
      <c r="AQ33" s="2229"/>
      <c r="AR33" s="2229"/>
      <c r="AS33" s="2229"/>
      <c r="AT33" s="2229"/>
      <c r="AU33" s="2229"/>
      <c r="AV33" s="2229"/>
      <c r="AW33" s="2229"/>
      <c r="AX33" s="2229"/>
      <c r="AY33" s="2229"/>
      <c r="AZ33" s="2229"/>
      <c r="BA33" s="2229"/>
      <c r="BB33" s="2229"/>
      <c r="BC33" s="2229"/>
      <c r="BD33" s="2230"/>
      <c r="BE33" s="1215"/>
    </row>
    <row r="34" spans="1:58" ht="15.75" customHeight="1" thickBot="1">
      <c r="A34" s="1208"/>
      <c r="B34" s="2218"/>
      <c r="C34" s="2219"/>
      <c r="D34" s="2219"/>
      <c r="E34" s="2219"/>
      <c r="F34" s="2219"/>
      <c r="G34" s="2219"/>
      <c r="H34" s="2219"/>
      <c r="I34" s="2219"/>
      <c r="J34" s="2222"/>
      <c r="K34" s="2222"/>
      <c r="L34" s="2222"/>
      <c r="M34" s="2222"/>
      <c r="N34" s="2222"/>
      <c r="O34" s="2222"/>
      <c r="P34" s="2222"/>
      <c r="Q34" s="2224"/>
      <c r="R34" s="2231"/>
      <c r="S34" s="2232"/>
      <c r="T34" s="2232"/>
      <c r="U34" s="2232"/>
      <c r="V34" s="2232"/>
      <c r="W34" s="2232"/>
      <c r="X34" s="2232"/>
      <c r="Y34" s="2232"/>
      <c r="Z34" s="2232"/>
      <c r="AA34" s="2232"/>
      <c r="AB34" s="2232"/>
      <c r="AC34" s="2232"/>
      <c r="AD34" s="2232"/>
      <c r="AE34" s="2232"/>
      <c r="AF34" s="2232"/>
      <c r="AG34" s="2232"/>
      <c r="AH34" s="2232"/>
      <c r="AI34" s="2232"/>
      <c r="AJ34" s="2232"/>
      <c r="AK34" s="2232"/>
      <c r="AL34" s="2232"/>
      <c r="AM34" s="2232"/>
      <c r="AN34" s="2232"/>
      <c r="AO34" s="2232"/>
      <c r="AP34" s="2232"/>
      <c r="AQ34" s="2232"/>
      <c r="AR34" s="2232"/>
      <c r="AS34" s="2232"/>
      <c r="AT34" s="2232"/>
      <c r="AU34" s="2232"/>
      <c r="AV34" s="2232"/>
      <c r="AW34" s="2232"/>
      <c r="AX34" s="2232"/>
      <c r="AY34" s="2232"/>
      <c r="AZ34" s="2232"/>
      <c r="BA34" s="2232"/>
      <c r="BB34" s="2232"/>
      <c r="BC34" s="2232"/>
      <c r="BD34" s="2233"/>
      <c r="BE34" s="1215"/>
    </row>
    <row r="35" spans="1:58" ht="15.75" customHeight="1">
      <c r="A35" s="1208"/>
      <c r="B35" s="2218"/>
      <c r="C35" s="2219"/>
      <c r="D35" s="2219"/>
      <c r="E35" s="2219"/>
      <c r="F35" s="2219"/>
      <c r="G35" s="2219"/>
      <c r="H35" s="2219"/>
      <c r="I35" s="2219"/>
      <c r="J35" s="2222"/>
      <c r="K35" s="2222"/>
      <c r="L35" s="2222"/>
      <c r="M35" s="2222"/>
      <c r="N35" s="2222"/>
      <c r="O35" s="2222"/>
      <c r="P35" s="2222"/>
      <c r="Q35" s="2222"/>
      <c r="R35" s="2234">
        <v>0.3</v>
      </c>
      <c r="S35" s="2234"/>
      <c r="T35" s="2234"/>
      <c r="U35" s="2234"/>
      <c r="V35" s="2234">
        <v>0.4</v>
      </c>
      <c r="W35" s="2234"/>
      <c r="X35" s="2234"/>
      <c r="Y35" s="2234"/>
      <c r="Z35" s="2234">
        <v>0.5</v>
      </c>
      <c r="AA35" s="2234"/>
      <c r="AB35" s="2234"/>
      <c r="AC35" s="2234"/>
      <c r="AD35" s="2234">
        <v>0.6</v>
      </c>
      <c r="AE35" s="2234"/>
      <c r="AF35" s="2234"/>
      <c r="AG35" s="2234"/>
      <c r="AH35" s="2234">
        <v>0.7</v>
      </c>
      <c r="AI35" s="2234"/>
      <c r="AJ35" s="2234"/>
      <c r="AK35" s="2234"/>
      <c r="AL35" s="2239">
        <v>0.8</v>
      </c>
      <c r="AM35" s="2240"/>
      <c r="AN35" s="2240"/>
      <c r="AO35" s="2241"/>
      <c r="AP35" s="2242">
        <v>1.2</v>
      </c>
      <c r="AQ35" s="2243"/>
      <c r="AR35" s="2244"/>
      <c r="AS35" s="2236" t="s">
        <v>2347</v>
      </c>
      <c r="AT35" s="2237"/>
      <c r="AU35" s="2237"/>
      <c r="AV35" s="2237"/>
      <c r="AW35" s="2237"/>
      <c r="AX35" s="2245"/>
      <c r="AY35" s="2236" t="s">
        <v>2346</v>
      </c>
      <c r="AZ35" s="2237"/>
      <c r="BA35" s="2237"/>
      <c r="BB35" s="2237"/>
      <c r="BC35" s="2237"/>
      <c r="BD35" s="2238"/>
      <c r="BE35" s="1215"/>
    </row>
    <row r="36" spans="1:58" ht="15.75" customHeight="1">
      <c r="A36" s="1208"/>
      <c r="B36" s="2255" t="s">
        <v>2345</v>
      </c>
      <c r="C36" s="2256"/>
      <c r="D36" s="2256"/>
      <c r="E36" s="2256"/>
      <c r="F36" s="2256"/>
      <c r="G36" s="2256"/>
      <c r="H36" s="2256"/>
      <c r="I36" s="2256"/>
      <c r="J36" s="2257" t="s">
        <v>2344</v>
      </c>
      <c r="K36" s="2257"/>
      <c r="L36" s="2257"/>
      <c r="M36" s="2257"/>
      <c r="N36" s="2257">
        <v>55</v>
      </c>
      <c r="O36" s="2257"/>
      <c r="P36" s="2257"/>
      <c r="Q36" s="2257"/>
      <c r="R36" s="2258">
        <v>11</v>
      </c>
      <c r="S36" s="2258"/>
      <c r="T36" s="2258"/>
      <c r="U36" s="2258"/>
      <c r="V36" s="2258"/>
      <c r="W36" s="2258"/>
      <c r="X36" s="2258"/>
      <c r="Y36" s="2258"/>
      <c r="Z36" s="2258">
        <v>22</v>
      </c>
      <c r="AA36" s="2258"/>
      <c r="AB36" s="2258"/>
      <c r="AC36" s="2258"/>
      <c r="AD36" s="2258">
        <v>13</v>
      </c>
      <c r="AE36" s="2258"/>
      <c r="AF36" s="2258"/>
      <c r="AG36" s="2258"/>
      <c r="AH36" s="2258">
        <v>55</v>
      </c>
      <c r="AI36" s="2258"/>
      <c r="AJ36" s="2258"/>
      <c r="AK36" s="2258"/>
      <c r="AL36" s="2246"/>
      <c r="AM36" s="2247"/>
      <c r="AN36" s="2247"/>
      <c r="AO36" s="2248"/>
      <c r="AP36" s="2246"/>
      <c r="AQ36" s="2247"/>
      <c r="AR36" s="2248"/>
      <c r="AS36" s="2249">
        <f t="shared" ref="AS36:AS47" si="2">SUM(R36:AR36)</f>
        <v>101</v>
      </c>
      <c r="AT36" s="2250"/>
      <c r="AU36" s="2250"/>
      <c r="AV36" s="2250"/>
      <c r="AW36" s="2250"/>
      <c r="AX36" s="2251"/>
      <c r="AY36" s="2252">
        <f t="shared" ref="AY36:AY47" si="3">AS36/$J$29</f>
        <v>0.99019607843137258</v>
      </c>
      <c r="AZ36" s="2253"/>
      <c r="BA36" s="2253"/>
      <c r="BB36" s="2253"/>
      <c r="BC36" s="2253"/>
      <c r="BD36" s="2254"/>
      <c r="BE36" s="1215"/>
    </row>
    <row r="37" spans="1:58" ht="15.75" customHeight="1">
      <c r="A37" s="1208"/>
      <c r="B37" s="2255" t="s">
        <v>2343</v>
      </c>
      <c r="C37" s="2256"/>
      <c r="D37" s="2256"/>
      <c r="E37" s="2256"/>
      <c r="F37" s="2256"/>
      <c r="G37" s="2256"/>
      <c r="H37" s="2256"/>
      <c r="I37" s="2256"/>
      <c r="J37" s="2257" t="s">
        <v>2342</v>
      </c>
      <c r="K37" s="2257"/>
      <c r="L37" s="2257"/>
      <c r="M37" s="2257"/>
      <c r="N37" s="2257">
        <v>55</v>
      </c>
      <c r="O37" s="2257"/>
      <c r="P37" s="2257"/>
      <c r="Q37" s="2257"/>
      <c r="R37" s="2258">
        <v>11</v>
      </c>
      <c r="S37" s="2258"/>
      <c r="T37" s="2258"/>
      <c r="U37" s="2258"/>
      <c r="V37" s="2258"/>
      <c r="W37" s="2258"/>
      <c r="X37" s="2258"/>
      <c r="Y37" s="2258"/>
      <c r="Z37" s="2258">
        <v>22</v>
      </c>
      <c r="AA37" s="2258"/>
      <c r="AB37" s="2258"/>
      <c r="AC37" s="2258"/>
      <c r="AD37" s="2258">
        <v>13</v>
      </c>
      <c r="AE37" s="2258"/>
      <c r="AF37" s="2258"/>
      <c r="AG37" s="2258"/>
      <c r="AH37" s="2258">
        <v>55</v>
      </c>
      <c r="AI37" s="2258"/>
      <c r="AJ37" s="2258"/>
      <c r="AK37" s="2258"/>
      <c r="AL37" s="2246"/>
      <c r="AM37" s="2247"/>
      <c r="AN37" s="2247"/>
      <c r="AO37" s="2248"/>
      <c r="AP37" s="2246"/>
      <c r="AQ37" s="2247"/>
      <c r="AR37" s="2248"/>
      <c r="AS37" s="2249">
        <f t="shared" si="2"/>
        <v>101</v>
      </c>
      <c r="AT37" s="2250"/>
      <c r="AU37" s="2250"/>
      <c r="AV37" s="2250"/>
      <c r="AW37" s="2250"/>
      <c r="AX37" s="2251"/>
      <c r="AY37" s="2252">
        <f t="shared" si="3"/>
        <v>0.99019607843137258</v>
      </c>
      <c r="AZ37" s="2253"/>
      <c r="BA37" s="2253"/>
      <c r="BB37" s="2253"/>
      <c r="BC37" s="2253"/>
      <c r="BD37" s="2254"/>
      <c r="BE37" s="1215"/>
    </row>
    <row r="38" spans="1:58" ht="15.75" customHeight="1">
      <c r="A38" s="1208"/>
      <c r="B38" s="2255"/>
      <c r="C38" s="2256"/>
      <c r="D38" s="2256"/>
      <c r="E38" s="2256"/>
      <c r="F38" s="2256"/>
      <c r="G38" s="2256"/>
      <c r="H38" s="2256"/>
      <c r="I38" s="2256"/>
      <c r="J38" s="2257"/>
      <c r="K38" s="2257"/>
      <c r="L38" s="2257"/>
      <c r="M38" s="2257"/>
      <c r="N38" s="2257"/>
      <c r="O38" s="2257"/>
      <c r="P38" s="2257"/>
      <c r="Q38" s="2257"/>
      <c r="R38" s="2258"/>
      <c r="S38" s="2258"/>
      <c r="T38" s="2258"/>
      <c r="U38" s="2258"/>
      <c r="V38" s="2258"/>
      <c r="W38" s="2258"/>
      <c r="X38" s="2258"/>
      <c r="Y38" s="2258"/>
      <c r="Z38" s="2258">
        <v>22</v>
      </c>
      <c r="AA38" s="2258"/>
      <c r="AB38" s="2258"/>
      <c r="AC38" s="2258"/>
      <c r="AD38" s="2258">
        <v>13</v>
      </c>
      <c r="AE38" s="2258"/>
      <c r="AF38" s="2258"/>
      <c r="AG38" s="2258"/>
      <c r="AH38" s="2258">
        <v>55</v>
      </c>
      <c r="AI38" s="2258"/>
      <c r="AJ38" s="2258"/>
      <c r="AK38" s="2258"/>
      <c r="AL38" s="2246"/>
      <c r="AM38" s="2247"/>
      <c r="AN38" s="2247"/>
      <c r="AO38" s="2248"/>
      <c r="AP38" s="2246"/>
      <c r="AQ38" s="2247"/>
      <c r="AR38" s="2248"/>
      <c r="AS38" s="2249">
        <f t="shared" si="2"/>
        <v>90</v>
      </c>
      <c r="AT38" s="2250"/>
      <c r="AU38" s="2250"/>
      <c r="AV38" s="2250"/>
      <c r="AW38" s="2250"/>
      <c r="AX38" s="2251"/>
      <c r="AY38" s="2252">
        <f t="shared" si="3"/>
        <v>0.88235294117647056</v>
      </c>
      <c r="AZ38" s="2253"/>
      <c r="BA38" s="2253"/>
      <c r="BB38" s="2253"/>
      <c r="BC38" s="2253"/>
      <c r="BD38" s="2254"/>
      <c r="BE38" s="1215"/>
    </row>
    <row r="39" spans="1:58" ht="15.75" customHeight="1">
      <c r="A39" s="1208"/>
      <c r="B39" s="2255"/>
      <c r="C39" s="2256"/>
      <c r="D39" s="2256"/>
      <c r="E39" s="2256"/>
      <c r="F39" s="2256"/>
      <c r="G39" s="2256"/>
      <c r="H39" s="2256"/>
      <c r="I39" s="2256"/>
      <c r="J39" s="2257"/>
      <c r="K39" s="2257"/>
      <c r="L39" s="2257"/>
      <c r="M39" s="2257"/>
      <c r="N39" s="2257"/>
      <c r="O39" s="2257"/>
      <c r="P39" s="2257"/>
      <c r="Q39" s="2257"/>
      <c r="R39" s="2258"/>
      <c r="S39" s="2258"/>
      <c r="T39" s="2258"/>
      <c r="U39" s="2258"/>
      <c r="V39" s="2258"/>
      <c r="W39" s="2258"/>
      <c r="X39" s="2258"/>
      <c r="Y39" s="2258"/>
      <c r="Z39" s="2258"/>
      <c r="AA39" s="2258"/>
      <c r="AB39" s="2258"/>
      <c r="AC39" s="2258"/>
      <c r="AD39" s="2258"/>
      <c r="AE39" s="2258"/>
      <c r="AF39" s="2258"/>
      <c r="AG39" s="2258"/>
      <c r="AH39" s="2258"/>
      <c r="AI39" s="2258"/>
      <c r="AJ39" s="2258"/>
      <c r="AK39" s="2258"/>
      <c r="AL39" s="2246"/>
      <c r="AM39" s="2247"/>
      <c r="AN39" s="2247"/>
      <c r="AO39" s="2248"/>
      <c r="AP39" s="2246"/>
      <c r="AQ39" s="2247"/>
      <c r="AR39" s="2248"/>
      <c r="AS39" s="2249">
        <f t="shared" si="2"/>
        <v>0</v>
      </c>
      <c r="AT39" s="2250"/>
      <c r="AU39" s="2250"/>
      <c r="AV39" s="2250"/>
      <c r="AW39" s="2250"/>
      <c r="AX39" s="2251"/>
      <c r="AY39" s="2252">
        <f t="shared" si="3"/>
        <v>0</v>
      </c>
      <c r="AZ39" s="2253"/>
      <c r="BA39" s="2253"/>
      <c r="BB39" s="2253"/>
      <c r="BC39" s="2253"/>
      <c r="BD39" s="2254"/>
      <c r="BE39" s="1215"/>
    </row>
    <row r="40" spans="1:58" ht="15.75" customHeight="1">
      <c r="A40" s="1208"/>
      <c r="B40" s="2255" t="s">
        <v>2341</v>
      </c>
      <c r="C40" s="2256"/>
      <c r="D40" s="2256"/>
      <c r="E40" s="2256"/>
      <c r="F40" s="2256"/>
      <c r="G40" s="2256"/>
      <c r="H40" s="2256"/>
      <c r="I40" s="2256"/>
      <c r="J40" s="2257"/>
      <c r="K40" s="2257"/>
      <c r="L40" s="2257"/>
      <c r="M40" s="2257"/>
      <c r="N40" s="2257"/>
      <c r="O40" s="2257"/>
      <c r="P40" s="2257"/>
      <c r="Q40" s="2257"/>
      <c r="R40" s="2258"/>
      <c r="S40" s="2258"/>
      <c r="T40" s="2258"/>
      <c r="U40" s="2258"/>
      <c r="V40" s="2258"/>
      <c r="W40" s="2258"/>
      <c r="X40" s="2258"/>
      <c r="Y40" s="2258"/>
      <c r="Z40" s="2258"/>
      <c r="AA40" s="2258"/>
      <c r="AB40" s="2258"/>
      <c r="AC40" s="2258"/>
      <c r="AD40" s="2258"/>
      <c r="AE40" s="2258"/>
      <c r="AF40" s="2258"/>
      <c r="AG40" s="2258"/>
      <c r="AH40" s="2258"/>
      <c r="AI40" s="2258"/>
      <c r="AJ40" s="2258"/>
      <c r="AK40" s="2258"/>
      <c r="AL40" s="2246"/>
      <c r="AM40" s="2247"/>
      <c r="AN40" s="2247"/>
      <c r="AO40" s="2248"/>
      <c r="AP40" s="2246"/>
      <c r="AQ40" s="2247"/>
      <c r="AR40" s="2248"/>
      <c r="AS40" s="2249">
        <f t="shared" si="2"/>
        <v>0</v>
      </c>
      <c r="AT40" s="2250"/>
      <c r="AU40" s="2250"/>
      <c r="AV40" s="2250"/>
      <c r="AW40" s="2250"/>
      <c r="AX40" s="2251"/>
      <c r="AY40" s="2252">
        <f t="shared" si="3"/>
        <v>0</v>
      </c>
      <c r="AZ40" s="2253"/>
      <c r="BA40" s="2253"/>
      <c r="BB40" s="2253"/>
      <c r="BC40" s="2253"/>
      <c r="BD40" s="2254"/>
      <c r="BE40" s="1215"/>
    </row>
    <row r="41" spans="1:58" ht="15.75" customHeight="1">
      <c r="A41" s="1208"/>
      <c r="B41" s="2255" t="s">
        <v>2340</v>
      </c>
      <c r="C41" s="2256"/>
      <c r="D41" s="2256"/>
      <c r="E41" s="2256"/>
      <c r="F41" s="2256"/>
      <c r="G41" s="2256"/>
      <c r="H41" s="2256"/>
      <c r="I41" s="2256"/>
      <c r="J41" s="2257"/>
      <c r="K41" s="2257"/>
      <c r="L41" s="2257"/>
      <c r="M41" s="2257"/>
      <c r="N41" s="2257"/>
      <c r="O41" s="2257"/>
      <c r="P41" s="2257"/>
      <c r="Q41" s="2257"/>
      <c r="R41" s="2258"/>
      <c r="S41" s="2258"/>
      <c r="T41" s="2258"/>
      <c r="U41" s="2258"/>
      <c r="V41" s="2258"/>
      <c r="W41" s="2258"/>
      <c r="X41" s="2258"/>
      <c r="Y41" s="2258"/>
      <c r="Z41" s="2258"/>
      <c r="AA41" s="2258"/>
      <c r="AB41" s="2258"/>
      <c r="AC41" s="2258"/>
      <c r="AD41" s="2258"/>
      <c r="AE41" s="2258"/>
      <c r="AF41" s="2258"/>
      <c r="AG41" s="2258"/>
      <c r="AH41" s="2258"/>
      <c r="AI41" s="2258"/>
      <c r="AJ41" s="2258"/>
      <c r="AK41" s="2258"/>
      <c r="AL41" s="2246"/>
      <c r="AM41" s="2247"/>
      <c r="AN41" s="2247"/>
      <c r="AO41" s="2248"/>
      <c r="AP41" s="2246"/>
      <c r="AQ41" s="2247"/>
      <c r="AR41" s="2248"/>
      <c r="AS41" s="2249">
        <f t="shared" si="2"/>
        <v>0</v>
      </c>
      <c r="AT41" s="2250"/>
      <c r="AU41" s="2250"/>
      <c r="AV41" s="2250"/>
      <c r="AW41" s="2250"/>
      <c r="AX41" s="2251"/>
      <c r="AY41" s="2252">
        <f t="shared" si="3"/>
        <v>0</v>
      </c>
      <c r="AZ41" s="2253"/>
      <c r="BA41" s="2253"/>
      <c r="BB41" s="2253"/>
      <c r="BC41" s="2253"/>
      <c r="BD41" s="2254"/>
      <c r="BE41" s="1215"/>
    </row>
    <row r="42" spans="1:58" ht="15.75" customHeight="1">
      <c r="A42" s="1208"/>
      <c r="B42" s="2255" t="s">
        <v>2340</v>
      </c>
      <c r="C42" s="2256"/>
      <c r="D42" s="2256"/>
      <c r="E42" s="2256"/>
      <c r="F42" s="2256"/>
      <c r="G42" s="2256"/>
      <c r="H42" s="2256"/>
      <c r="I42" s="2256"/>
      <c r="J42" s="2257"/>
      <c r="K42" s="2257"/>
      <c r="L42" s="2257"/>
      <c r="M42" s="2257"/>
      <c r="N42" s="2257"/>
      <c r="O42" s="2257"/>
      <c r="P42" s="2257"/>
      <c r="Q42" s="2257"/>
      <c r="R42" s="2258"/>
      <c r="S42" s="2258"/>
      <c r="T42" s="2258"/>
      <c r="U42" s="2258"/>
      <c r="V42" s="2258"/>
      <c r="W42" s="2258"/>
      <c r="X42" s="2258"/>
      <c r="Y42" s="2258"/>
      <c r="Z42" s="2258"/>
      <c r="AA42" s="2258"/>
      <c r="AB42" s="2258"/>
      <c r="AC42" s="2258"/>
      <c r="AD42" s="2258"/>
      <c r="AE42" s="2258"/>
      <c r="AF42" s="2258"/>
      <c r="AG42" s="2258"/>
      <c r="AH42" s="2258"/>
      <c r="AI42" s="2258"/>
      <c r="AJ42" s="2258"/>
      <c r="AK42" s="2258"/>
      <c r="AL42" s="2246"/>
      <c r="AM42" s="2247"/>
      <c r="AN42" s="2247"/>
      <c r="AO42" s="2248"/>
      <c r="AP42" s="2246"/>
      <c r="AQ42" s="2247"/>
      <c r="AR42" s="2248"/>
      <c r="AS42" s="2249">
        <f t="shared" si="2"/>
        <v>0</v>
      </c>
      <c r="AT42" s="2250"/>
      <c r="AU42" s="2250"/>
      <c r="AV42" s="2250"/>
      <c r="AW42" s="2250"/>
      <c r="AX42" s="2251"/>
      <c r="AY42" s="2252">
        <f t="shared" si="3"/>
        <v>0</v>
      </c>
      <c r="AZ42" s="2253"/>
      <c r="BA42" s="2253"/>
      <c r="BB42" s="2253"/>
      <c r="BC42" s="2253"/>
      <c r="BD42" s="2254"/>
      <c r="BE42" s="1215"/>
    </row>
    <row r="43" spans="1:58" ht="15.75" customHeight="1">
      <c r="A43" s="1208"/>
      <c r="B43" s="2259" t="s">
        <v>2339</v>
      </c>
      <c r="C43" s="2260"/>
      <c r="D43" s="2260"/>
      <c r="E43" s="2260"/>
      <c r="F43" s="2260"/>
      <c r="G43" s="2260"/>
      <c r="H43" s="2260"/>
      <c r="I43" s="2260"/>
      <c r="J43" s="2257"/>
      <c r="K43" s="2257"/>
      <c r="L43" s="2257"/>
      <c r="M43" s="2257"/>
      <c r="N43" s="2257"/>
      <c r="O43" s="2257"/>
      <c r="P43" s="2257"/>
      <c r="Q43" s="2257"/>
      <c r="R43" s="2258"/>
      <c r="S43" s="2258"/>
      <c r="T43" s="2258"/>
      <c r="U43" s="2258"/>
      <c r="V43" s="2258"/>
      <c r="W43" s="2258"/>
      <c r="X43" s="2258"/>
      <c r="Y43" s="2258"/>
      <c r="Z43" s="2258"/>
      <c r="AA43" s="2258"/>
      <c r="AB43" s="2258"/>
      <c r="AC43" s="2258"/>
      <c r="AD43" s="2258"/>
      <c r="AE43" s="2258"/>
      <c r="AF43" s="2258"/>
      <c r="AG43" s="2258"/>
      <c r="AH43" s="2258"/>
      <c r="AI43" s="2258"/>
      <c r="AJ43" s="2258"/>
      <c r="AK43" s="2258"/>
      <c r="AL43" s="2246"/>
      <c r="AM43" s="2247"/>
      <c r="AN43" s="2247"/>
      <c r="AO43" s="2248"/>
      <c r="AP43" s="2246"/>
      <c r="AQ43" s="2247"/>
      <c r="AR43" s="2248"/>
      <c r="AS43" s="2249">
        <f t="shared" si="2"/>
        <v>0</v>
      </c>
      <c r="AT43" s="2250"/>
      <c r="AU43" s="2250"/>
      <c r="AV43" s="2250"/>
      <c r="AW43" s="2250"/>
      <c r="AX43" s="2251"/>
      <c r="AY43" s="2252">
        <f t="shared" si="3"/>
        <v>0</v>
      </c>
      <c r="AZ43" s="2253"/>
      <c r="BA43" s="2253"/>
      <c r="BB43" s="2253"/>
      <c r="BC43" s="2253"/>
      <c r="BD43" s="2254"/>
      <c r="BE43" s="1215"/>
    </row>
    <row r="44" spans="1:58" ht="15.75" customHeight="1">
      <c r="A44" s="1208"/>
      <c r="B44" s="2259" t="s">
        <v>2338</v>
      </c>
      <c r="C44" s="2260"/>
      <c r="D44" s="2260"/>
      <c r="E44" s="2260"/>
      <c r="F44" s="2260"/>
      <c r="G44" s="2260"/>
      <c r="H44" s="2260"/>
      <c r="I44" s="2260"/>
      <c r="J44" s="2257"/>
      <c r="K44" s="2257"/>
      <c r="L44" s="2257"/>
      <c r="M44" s="2257"/>
      <c r="N44" s="2257"/>
      <c r="O44" s="2257"/>
      <c r="P44" s="2257"/>
      <c r="Q44" s="2257"/>
      <c r="R44" s="2258"/>
      <c r="S44" s="2258"/>
      <c r="T44" s="2258"/>
      <c r="U44" s="2258"/>
      <c r="V44" s="2258"/>
      <c r="W44" s="2258"/>
      <c r="X44" s="2258"/>
      <c r="Y44" s="2258"/>
      <c r="Z44" s="2258"/>
      <c r="AA44" s="2258"/>
      <c r="AB44" s="2258"/>
      <c r="AC44" s="2258"/>
      <c r="AD44" s="2258"/>
      <c r="AE44" s="2258"/>
      <c r="AF44" s="2258"/>
      <c r="AG44" s="2258"/>
      <c r="AH44" s="2258"/>
      <c r="AI44" s="2258"/>
      <c r="AJ44" s="2258"/>
      <c r="AK44" s="2258"/>
      <c r="AL44" s="2246"/>
      <c r="AM44" s="2247"/>
      <c r="AN44" s="2247"/>
      <c r="AO44" s="2248"/>
      <c r="AP44" s="2246"/>
      <c r="AQ44" s="2247"/>
      <c r="AR44" s="2248"/>
      <c r="AS44" s="2249">
        <f t="shared" si="2"/>
        <v>0</v>
      </c>
      <c r="AT44" s="2250"/>
      <c r="AU44" s="2250"/>
      <c r="AV44" s="2250"/>
      <c r="AW44" s="2250"/>
      <c r="AX44" s="2251"/>
      <c r="AY44" s="2252">
        <f t="shared" si="3"/>
        <v>0</v>
      </c>
      <c r="AZ44" s="2253"/>
      <c r="BA44" s="2253"/>
      <c r="BB44" s="2253"/>
      <c r="BC44" s="2253"/>
      <c r="BD44" s="2254"/>
      <c r="BE44" s="1215"/>
    </row>
    <row r="45" spans="1:58" ht="15.75" customHeight="1">
      <c r="A45" s="1208"/>
      <c r="B45" s="2259" t="s">
        <v>2337</v>
      </c>
      <c r="C45" s="2260"/>
      <c r="D45" s="2260"/>
      <c r="E45" s="2260"/>
      <c r="F45" s="2260"/>
      <c r="G45" s="2260"/>
      <c r="H45" s="2260"/>
      <c r="I45" s="2260"/>
      <c r="J45" s="2257"/>
      <c r="K45" s="2257"/>
      <c r="L45" s="2257"/>
      <c r="M45" s="2257"/>
      <c r="N45" s="2257"/>
      <c r="O45" s="2257"/>
      <c r="P45" s="2257"/>
      <c r="Q45" s="2257"/>
      <c r="R45" s="2258"/>
      <c r="S45" s="2258"/>
      <c r="T45" s="2258"/>
      <c r="U45" s="2258"/>
      <c r="V45" s="2258"/>
      <c r="W45" s="2258"/>
      <c r="X45" s="2258"/>
      <c r="Y45" s="2258"/>
      <c r="Z45" s="2258"/>
      <c r="AA45" s="2258"/>
      <c r="AB45" s="2258"/>
      <c r="AC45" s="2258"/>
      <c r="AD45" s="2258"/>
      <c r="AE45" s="2258"/>
      <c r="AF45" s="2258"/>
      <c r="AG45" s="2258"/>
      <c r="AH45" s="2258"/>
      <c r="AI45" s="2258"/>
      <c r="AJ45" s="2258"/>
      <c r="AK45" s="2258"/>
      <c r="AL45" s="2246"/>
      <c r="AM45" s="2247"/>
      <c r="AN45" s="2247"/>
      <c r="AO45" s="2248"/>
      <c r="AP45" s="2246"/>
      <c r="AQ45" s="2247"/>
      <c r="AR45" s="2248"/>
      <c r="AS45" s="2249">
        <f t="shared" si="2"/>
        <v>0</v>
      </c>
      <c r="AT45" s="2250"/>
      <c r="AU45" s="2250"/>
      <c r="AV45" s="2250"/>
      <c r="AW45" s="2250"/>
      <c r="AX45" s="2251"/>
      <c r="AY45" s="2252">
        <f t="shared" si="3"/>
        <v>0</v>
      </c>
      <c r="AZ45" s="2253"/>
      <c r="BA45" s="2253"/>
      <c r="BB45" s="2253"/>
      <c r="BC45" s="2253"/>
      <c r="BD45" s="2254"/>
      <c r="BE45" s="1215"/>
    </row>
    <row r="46" spans="1:58" ht="15.75" customHeight="1">
      <c r="A46" s="1208"/>
      <c r="B46" s="2259" t="s">
        <v>2273</v>
      </c>
      <c r="C46" s="2260"/>
      <c r="D46" s="2260"/>
      <c r="E46" s="2260"/>
      <c r="F46" s="2260"/>
      <c r="G46" s="2260"/>
      <c r="H46" s="2260"/>
      <c r="I46" s="2260"/>
      <c r="J46" s="2257"/>
      <c r="K46" s="2257"/>
      <c r="L46" s="2257"/>
      <c r="M46" s="2257"/>
      <c r="N46" s="2257">
        <v>99</v>
      </c>
      <c r="O46" s="2257"/>
      <c r="P46" s="2257"/>
      <c r="Q46" s="2257"/>
      <c r="R46" s="2258"/>
      <c r="S46" s="2258"/>
      <c r="T46" s="2258"/>
      <c r="U46" s="2258"/>
      <c r="V46" s="2258"/>
      <c r="W46" s="2258"/>
      <c r="X46" s="2258"/>
      <c r="Y46" s="2258"/>
      <c r="Z46" s="2258"/>
      <c r="AA46" s="2258"/>
      <c r="AB46" s="2258"/>
      <c r="AC46" s="2258"/>
      <c r="AD46" s="2258"/>
      <c r="AE46" s="2258"/>
      <c r="AF46" s="2258"/>
      <c r="AG46" s="2258"/>
      <c r="AH46" s="2258"/>
      <c r="AI46" s="2258"/>
      <c r="AJ46" s="2258"/>
      <c r="AK46" s="2258"/>
      <c r="AL46" s="2246"/>
      <c r="AM46" s="2247"/>
      <c r="AN46" s="2247"/>
      <c r="AO46" s="2248"/>
      <c r="AP46" s="2246"/>
      <c r="AQ46" s="2247"/>
      <c r="AR46" s="2248"/>
      <c r="AS46" s="2249">
        <f t="shared" si="2"/>
        <v>0</v>
      </c>
      <c r="AT46" s="2250"/>
      <c r="AU46" s="2250"/>
      <c r="AV46" s="2250"/>
      <c r="AW46" s="2250"/>
      <c r="AX46" s="2251"/>
      <c r="AY46" s="2252">
        <f t="shared" si="3"/>
        <v>0</v>
      </c>
      <c r="AZ46" s="2253"/>
      <c r="BA46" s="2253"/>
      <c r="BB46" s="2253"/>
      <c r="BC46" s="2253"/>
      <c r="BD46" s="2254"/>
      <c r="BE46" s="1215"/>
    </row>
    <row r="47" spans="1:58" ht="15.75" customHeight="1" thickBot="1">
      <c r="A47" s="1208"/>
      <c r="B47" s="2261" t="s">
        <v>300</v>
      </c>
      <c r="C47" s="2262"/>
      <c r="D47" s="2262"/>
      <c r="E47" s="2262"/>
      <c r="F47" s="2262"/>
      <c r="G47" s="2262"/>
      <c r="H47" s="2262"/>
      <c r="I47" s="2262"/>
      <c r="J47" s="2263"/>
      <c r="K47" s="2263"/>
      <c r="L47" s="2263"/>
      <c r="M47" s="2263"/>
      <c r="N47" s="2263"/>
      <c r="O47" s="2263"/>
      <c r="P47" s="2263"/>
      <c r="Q47" s="2263"/>
      <c r="R47" s="2264"/>
      <c r="S47" s="2264"/>
      <c r="T47" s="2264"/>
      <c r="U47" s="2264"/>
      <c r="V47" s="2264"/>
      <c r="W47" s="2264"/>
      <c r="X47" s="2264"/>
      <c r="Y47" s="2264"/>
      <c r="Z47" s="2264"/>
      <c r="AA47" s="2264"/>
      <c r="AB47" s="2264"/>
      <c r="AC47" s="2264"/>
      <c r="AD47" s="2264"/>
      <c r="AE47" s="2264"/>
      <c r="AF47" s="2264"/>
      <c r="AG47" s="2264"/>
      <c r="AH47" s="2264"/>
      <c r="AI47" s="2264"/>
      <c r="AJ47" s="2264"/>
      <c r="AK47" s="2264"/>
      <c r="AL47" s="2268"/>
      <c r="AM47" s="2269"/>
      <c r="AN47" s="2269"/>
      <c r="AO47" s="2270"/>
      <c r="AP47" s="2268"/>
      <c r="AQ47" s="2269"/>
      <c r="AR47" s="2270"/>
      <c r="AS47" s="2249">
        <f t="shared" si="2"/>
        <v>0</v>
      </c>
      <c r="AT47" s="2250"/>
      <c r="AU47" s="2250"/>
      <c r="AV47" s="2250"/>
      <c r="AW47" s="2250"/>
      <c r="AX47" s="2251"/>
      <c r="AY47" s="2265">
        <f t="shared" si="3"/>
        <v>0</v>
      </c>
      <c r="AZ47" s="2266"/>
      <c r="BA47" s="2266"/>
      <c r="BB47" s="2266"/>
      <c r="BC47" s="2266"/>
      <c r="BD47" s="2267"/>
      <c r="BE47" s="1215"/>
    </row>
    <row r="48" spans="1:58" ht="15.75" customHeight="1">
      <c r="A48" s="1208"/>
      <c r="B48" s="1217" t="s">
        <v>2336</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2335</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271" t="s">
        <v>2334</v>
      </c>
      <c r="C50" s="2272"/>
      <c r="D50" s="2272"/>
      <c r="E50" s="2272"/>
      <c r="F50" s="2272"/>
      <c r="G50" s="2272"/>
      <c r="H50" s="2272"/>
      <c r="I50" s="2272"/>
      <c r="J50" s="2272"/>
      <c r="K50" s="2272"/>
      <c r="L50" s="2272"/>
      <c r="M50" s="2272"/>
      <c r="N50" s="2272"/>
      <c r="O50" s="2272"/>
      <c r="P50" s="2272"/>
      <c r="Q50" s="2272"/>
      <c r="R50" s="2272"/>
      <c r="S50" s="2272"/>
      <c r="T50" s="2272"/>
      <c r="U50" s="2272"/>
      <c r="V50" s="2272"/>
      <c r="W50" s="2272"/>
      <c r="X50" s="2272"/>
      <c r="Y50" s="2272"/>
      <c r="Z50" s="2272"/>
      <c r="AA50" s="2272"/>
      <c r="AB50" s="2272"/>
      <c r="AC50" s="2272"/>
      <c r="AD50" s="2272"/>
      <c r="AE50" s="2272"/>
      <c r="AF50" s="2272"/>
      <c r="AG50" s="2272"/>
      <c r="AH50" s="2272"/>
      <c r="AI50" s="2272"/>
      <c r="AJ50" s="2272"/>
      <c r="AK50" s="2272"/>
      <c r="AL50" s="2272"/>
      <c r="AM50" s="2272"/>
      <c r="AN50" s="2272"/>
      <c r="AO50" s="2273"/>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274" t="s">
        <v>2329</v>
      </c>
      <c r="C51" s="2275"/>
      <c r="D51" s="2275"/>
      <c r="E51" s="2275"/>
      <c r="F51" s="2275"/>
      <c r="G51" s="2275"/>
      <c r="H51" s="2275"/>
      <c r="I51" s="2275"/>
      <c r="J51" s="2275" t="s">
        <v>2333</v>
      </c>
      <c r="K51" s="2275"/>
      <c r="L51" s="2275"/>
      <c r="M51" s="2275"/>
      <c r="N51" s="2275"/>
      <c r="O51" s="2275"/>
      <c r="P51" s="2275"/>
      <c r="Q51" s="2275"/>
      <c r="R51" s="2276" t="s">
        <v>2332</v>
      </c>
      <c r="S51" s="2276"/>
      <c r="T51" s="2276"/>
      <c r="U51" s="2276"/>
      <c r="V51" s="2276"/>
      <c r="W51" s="2276"/>
      <c r="X51" s="2276"/>
      <c r="Y51" s="2276"/>
      <c r="Z51" s="2276" t="s">
        <v>2331</v>
      </c>
      <c r="AA51" s="2276"/>
      <c r="AB51" s="2276"/>
      <c r="AC51" s="2276"/>
      <c r="AD51" s="2276"/>
      <c r="AE51" s="2276"/>
      <c r="AF51" s="2276"/>
      <c r="AG51" s="2276"/>
      <c r="AH51" s="2276" t="s">
        <v>2330</v>
      </c>
      <c r="AI51" s="2276"/>
      <c r="AJ51" s="2276"/>
      <c r="AK51" s="2276"/>
      <c r="AL51" s="2276"/>
      <c r="AM51" s="2276"/>
      <c r="AN51" s="2276"/>
      <c r="AO51" s="2277"/>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259" t="s">
        <v>2751</v>
      </c>
      <c r="C52" s="2260"/>
      <c r="D52" s="2260"/>
      <c r="E52" s="2260"/>
      <c r="F52" s="2260"/>
      <c r="G52" s="2260"/>
      <c r="H52" s="2260"/>
      <c r="I52" s="2260"/>
      <c r="J52" s="2278">
        <v>55</v>
      </c>
      <c r="K52" s="2278"/>
      <c r="L52" s="2278"/>
      <c r="M52" s="2278"/>
      <c r="N52" s="2278"/>
      <c r="O52" s="2278"/>
      <c r="P52" s="2278"/>
      <c r="Q52" s="2278"/>
      <c r="R52" s="2279">
        <v>12350</v>
      </c>
      <c r="S52" s="2279"/>
      <c r="T52" s="2279"/>
      <c r="U52" s="2279"/>
      <c r="V52" s="2279"/>
      <c r="W52" s="2279"/>
      <c r="X52" s="2279"/>
      <c r="Y52" s="2279"/>
      <c r="Z52" s="2280">
        <f>84/52</f>
        <v>1.6153846153846154</v>
      </c>
      <c r="AA52" s="2280"/>
      <c r="AB52" s="2280"/>
      <c r="AC52" s="2280"/>
      <c r="AD52" s="2280"/>
      <c r="AE52" s="2280"/>
      <c r="AF52" s="2280"/>
      <c r="AG52" s="2280"/>
      <c r="AH52" s="2281"/>
      <c r="AI52" s="2281"/>
      <c r="AJ52" s="2281"/>
      <c r="AK52" s="2281"/>
      <c r="AL52" s="2281"/>
      <c r="AM52" s="2281"/>
      <c r="AN52" s="2281"/>
      <c r="AO52" s="2282"/>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259" t="s">
        <v>2751</v>
      </c>
      <c r="C53" s="2260"/>
      <c r="D53" s="2260"/>
      <c r="E53" s="2260"/>
      <c r="F53" s="2260"/>
      <c r="G53" s="2260"/>
      <c r="H53" s="2260"/>
      <c r="I53" s="2260"/>
      <c r="J53" s="2278">
        <v>55</v>
      </c>
      <c r="K53" s="2278"/>
      <c r="L53" s="2278"/>
      <c r="M53" s="2278"/>
      <c r="N53" s="2278"/>
      <c r="O53" s="2278"/>
      <c r="P53" s="2278"/>
      <c r="Q53" s="2278"/>
      <c r="R53" s="2279">
        <v>17650</v>
      </c>
      <c r="S53" s="2279"/>
      <c r="T53" s="2279"/>
      <c r="U53" s="2279"/>
      <c r="V53" s="2279"/>
      <c r="W53" s="2279"/>
      <c r="X53" s="2279"/>
      <c r="Y53" s="2279"/>
      <c r="Z53" s="2280">
        <f>164/52</f>
        <v>3.1538461538461537</v>
      </c>
      <c r="AA53" s="2280"/>
      <c r="AB53" s="2280"/>
      <c r="AC53" s="2280"/>
      <c r="AD53" s="2280"/>
      <c r="AE53" s="2280"/>
      <c r="AF53" s="2280"/>
      <c r="AG53" s="2280"/>
      <c r="AH53" s="2281"/>
      <c r="AI53" s="2281"/>
      <c r="AJ53" s="2281"/>
      <c r="AK53" s="2281"/>
      <c r="AL53" s="2281"/>
      <c r="AM53" s="2281"/>
      <c r="AN53" s="2281"/>
      <c r="AO53" s="2282"/>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259"/>
      <c r="C54" s="2260"/>
      <c r="D54" s="2260"/>
      <c r="E54" s="2260"/>
      <c r="F54" s="2260"/>
      <c r="G54" s="2260"/>
      <c r="H54" s="2260"/>
      <c r="I54" s="2260"/>
      <c r="J54" s="2278"/>
      <c r="K54" s="2278"/>
      <c r="L54" s="2278"/>
      <c r="M54" s="2278"/>
      <c r="N54" s="2278"/>
      <c r="O54" s="2278"/>
      <c r="P54" s="2278"/>
      <c r="Q54" s="2278"/>
      <c r="R54" s="2279"/>
      <c r="S54" s="2279"/>
      <c r="T54" s="2279"/>
      <c r="U54" s="2279"/>
      <c r="V54" s="2279"/>
      <c r="W54" s="2279"/>
      <c r="X54" s="2279"/>
      <c r="Y54" s="2279"/>
      <c r="Z54" s="2280"/>
      <c r="AA54" s="2280"/>
      <c r="AB54" s="2280"/>
      <c r="AC54" s="2280"/>
      <c r="AD54" s="2280"/>
      <c r="AE54" s="2280"/>
      <c r="AF54" s="2280"/>
      <c r="AG54" s="2280"/>
      <c r="AH54" s="2281"/>
      <c r="AI54" s="2281"/>
      <c r="AJ54" s="2281"/>
      <c r="AK54" s="2281"/>
      <c r="AL54" s="2281"/>
      <c r="AM54" s="2281"/>
      <c r="AN54" s="2281"/>
      <c r="AO54" s="2282"/>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259"/>
      <c r="C55" s="2260"/>
      <c r="D55" s="2260"/>
      <c r="E55" s="2260"/>
      <c r="F55" s="2260"/>
      <c r="G55" s="2260"/>
      <c r="H55" s="2260"/>
      <c r="I55" s="2260"/>
      <c r="J55" s="2278"/>
      <c r="K55" s="2278"/>
      <c r="L55" s="2278"/>
      <c r="M55" s="2278"/>
      <c r="N55" s="2278"/>
      <c r="O55" s="2278"/>
      <c r="P55" s="2278"/>
      <c r="Q55" s="2278"/>
      <c r="R55" s="2279"/>
      <c r="S55" s="2279"/>
      <c r="T55" s="2279"/>
      <c r="U55" s="2279"/>
      <c r="V55" s="2279"/>
      <c r="W55" s="2279"/>
      <c r="X55" s="2279"/>
      <c r="Y55" s="2279"/>
      <c r="Z55" s="2280"/>
      <c r="AA55" s="2280"/>
      <c r="AB55" s="2280"/>
      <c r="AC55" s="2280"/>
      <c r="AD55" s="2280"/>
      <c r="AE55" s="2280"/>
      <c r="AF55" s="2280"/>
      <c r="AG55" s="2280"/>
      <c r="AH55" s="2281"/>
      <c r="AI55" s="2281"/>
      <c r="AJ55" s="2281"/>
      <c r="AK55" s="2281"/>
      <c r="AL55" s="2281"/>
      <c r="AM55" s="2281"/>
      <c r="AN55" s="2281"/>
      <c r="AO55" s="2282"/>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259"/>
      <c r="C56" s="2260"/>
      <c r="D56" s="2260"/>
      <c r="E56" s="2260"/>
      <c r="F56" s="2260"/>
      <c r="G56" s="2260"/>
      <c r="H56" s="2260"/>
      <c r="I56" s="2260"/>
      <c r="J56" s="2278"/>
      <c r="K56" s="2278"/>
      <c r="L56" s="2278"/>
      <c r="M56" s="2278"/>
      <c r="N56" s="2278"/>
      <c r="O56" s="2278"/>
      <c r="P56" s="2278"/>
      <c r="Q56" s="2278"/>
      <c r="R56" s="2279"/>
      <c r="S56" s="2279"/>
      <c r="T56" s="2279"/>
      <c r="U56" s="2279"/>
      <c r="V56" s="2279"/>
      <c r="W56" s="2279"/>
      <c r="X56" s="2279"/>
      <c r="Y56" s="2279"/>
      <c r="Z56" s="2280"/>
      <c r="AA56" s="2280"/>
      <c r="AB56" s="2280"/>
      <c r="AC56" s="2280"/>
      <c r="AD56" s="2280"/>
      <c r="AE56" s="2280"/>
      <c r="AF56" s="2280"/>
      <c r="AG56" s="2280"/>
      <c r="AH56" s="2281"/>
      <c r="AI56" s="2281"/>
      <c r="AJ56" s="2281"/>
      <c r="AK56" s="2281"/>
      <c r="AL56" s="2281"/>
      <c r="AM56" s="2281"/>
      <c r="AN56" s="2281"/>
      <c r="AO56" s="2282"/>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292" t="s">
        <v>1574</v>
      </c>
      <c r="C57" s="2293"/>
      <c r="D57" s="2293"/>
      <c r="E57" s="2293"/>
      <c r="F57" s="2293"/>
      <c r="G57" s="2293"/>
      <c r="H57" s="2293"/>
      <c r="I57" s="2293"/>
      <c r="J57" s="2293"/>
      <c r="K57" s="2293"/>
      <c r="L57" s="2293"/>
      <c r="M57" s="2293"/>
      <c r="N57" s="2293"/>
      <c r="O57" s="2293"/>
      <c r="P57" s="2293"/>
      <c r="Q57" s="2293"/>
      <c r="R57" s="2294">
        <f>SUM(R52:Y56)</f>
        <v>30000</v>
      </c>
      <c r="S57" s="2294"/>
      <c r="T57" s="2294"/>
      <c r="U57" s="2294"/>
      <c r="V57" s="2294"/>
      <c r="W57" s="2294"/>
      <c r="X57" s="2294"/>
      <c r="Y57" s="2294"/>
      <c r="Z57" s="2295">
        <f>SUM(Z52:AG56)</f>
        <v>4.7692307692307692</v>
      </c>
      <c r="AA57" s="2295"/>
      <c r="AB57" s="2295"/>
      <c r="AC57" s="2295"/>
      <c r="AD57" s="2295"/>
      <c r="AE57" s="2295"/>
      <c r="AF57" s="2295"/>
      <c r="AG57" s="2295"/>
      <c r="AH57" s="2296"/>
      <c r="AI57" s="2296"/>
      <c r="AJ57" s="2296"/>
      <c r="AK57" s="2296"/>
      <c r="AL57" s="2296"/>
      <c r="AM57" s="2296"/>
      <c r="AN57" s="2296"/>
      <c r="AO57" s="2297"/>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283" t="s">
        <v>2329</v>
      </c>
      <c r="C59" s="2284"/>
      <c r="D59" s="2284"/>
      <c r="E59" s="2284"/>
      <c r="F59" s="2284"/>
      <c r="G59" s="2284"/>
      <c r="H59" s="2284"/>
      <c r="I59" s="2285"/>
      <c r="J59" s="2177" t="s">
        <v>2328</v>
      </c>
      <c r="K59" s="2177"/>
      <c r="L59" s="2177"/>
      <c r="M59" s="2177"/>
      <c r="N59" s="2177"/>
      <c r="O59" s="2177"/>
      <c r="P59" s="2177"/>
      <c r="Q59" s="2177"/>
      <c r="R59" s="2177"/>
      <c r="S59" s="2177"/>
      <c r="T59" s="2177"/>
      <c r="U59" s="2177"/>
      <c r="V59" s="2177"/>
      <c r="W59" s="2177"/>
      <c r="X59" s="2177"/>
      <c r="Y59" s="2177"/>
      <c r="Z59" s="2177"/>
      <c r="AA59" s="2177"/>
      <c r="AB59" s="2177"/>
      <c r="AC59" s="2177"/>
      <c r="AD59" s="2177"/>
      <c r="AE59" s="2177"/>
      <c r="AF59" s="2177"/>
      <c r="AG59" s="2177"/>
      <c r="AH59" s="2177"/>
      <c r="AI59" s="2177"/>
      <c r="AJ59" s="2177"/>
      <c r="AK59" s="2177"/>
      <c r="AL59" s="2177"/>
      <c r="AM59" s="2177"/>
      <c r="AN59" s="2177"/>
      <c r="AO59" s="2177"/>
      <c r="AP59" s="2177"/>
      <c r="AQ59" s="2177"/>
      <c r="AR59" s="2177"/>
      <c r="AS59" s="2177"/>
      <c r="AT59" s="2177"/>
      <c r="AU59" s="2177"/>
      <c r="AV59" s="2177"/>
      <c r="AW59" s="2178"/>
      <c r="AX59" s="1208"/>
      <c r="AY59" s="1208"/>
      <c r="AZ59" s="1208"/>
      <c r="BA59" s="1208"/>
      <c r="BB59" s="1208"/>
      <c r="BC59" s="1208"/>
      <c r="BD59" s="1208"/>
      <c r="BE59" s="1215"/>
    </row>
    <row r="60" spans="1:77" ht="15.75" customHeight="1">
      <c r="A60" s="1208"/>
      <c r="B60" s="2286" t="str">
        <f>IF(B52="", "", B52)</f>
        <v>Life STEPS</v>
      </c>
      <c r="C60" s="2287"/>
      <c r="D60" s="2287"/>
      <c r="E60" s="2287"/>
      <c r="F60" s="2287"/>
      <c r="G60" s="2287"/>
      <c r="H60" s="2287"/>
      <c r="I60" s="2288"/>
      <c r="J60" s="2289" t="s">
        <v>2791</v>
      </c>
      <c r="K60" s="2290"/>
      <c r="L60" s="2290"/>
      <c r="M60" s="2290"/>
      <c r="N60" s="2290"/>
      <c r="O60" s="2290"/>
      <c r="P60" s="2290"/>
      <c r="Q60" s="2290"/>
      <c r="R60" s="2290"/>
      <c r="S60" s="2290"/>
      <c r="T60" s="2290"/>
      <c r="U60" s="2290"/>
      <c r="V60" s="2290"/>
      <c r="W60" s="2290"/>
      <c r="X60" s="2290"/>
      <c r="Y60" s="2290"/>
      <c r="Z60" s="2290"/>
      <c r="AA60" s="2290"/>
      <c r="AB60" s="2290"/>
      <c r="AC60" s="2290"/>
      <c r="AD60" s="2290"/>
      <c r="AE60" s="2290"/>
      <c r="AF60" s="2290"/>
      <c r="AG60" s="2290"/>
      <c r="AH60" s="2290"/>
      <c r="AI60" s="2290"/>
      <c r="AJ60" s="2290"/>
      <c r="AK60" s="2290"/>
      <c r="AL60" s="2290"/>
      <c r="AM60" s="2290"/>
      <c r="AN60" s="2290"/>
      <c r="AO60" s="2290"/>
      <c r="AP60" s="2290"/>
      <c r="AQ60" s="2290"/>
      <c r="AR60" s="2290"/>
      <c r="AS60" s="2290"/>
      <c r="AT60" s="2290"/>
      <c r="AU60" s="2290"/>
      <c r="AV60" s="2290"/>
      <c r="AW60" s="2291"/>
      <c r="AX60" s="1208"/>
      <c r="AY60" s="1208"/>
      <c r="AZ60" s="1208"/>
      <c r="BA60" s="1208"/>
      <c r="BB60" s="1208"/>
      <c r="BC60" s="1208"/>
      <c r="BD60" s="1208"/>
      <c r="BE60" s="1215"/>
    </row>
    <row r="61" spans="1:77" ht="15.75" customHeight="1">
      <c r="A61" s="1208"/>
      <c r="B61" s="2286" t="str">
        <f>IF(B53="", "", B53)</f>
        <v>Life STEPS</v>
      </c>
      <c r="C61" s="2287"/>
      <c r="D61" s="2287"/>
      <c r="E61" s="2287"/>
      <c r="F61" s="2287"/>
      <c r="G61" s="2287"/>
      <c r="H61" s="2287"/>
      <c r="I61" s="2288"/>
      <c r="J61" s="2289" t="s">
        <v>2752</v>
      </c>
      <c r="K61" s="2290"/>
      <c r="L61" s="2290"/>
      <c r="M61" s="2290"/>
      <c r="N61" s="2290"/>
      <c r="O61" s="2290"/>
      <c r="P61" s="2290"/>
      <c r="Q61" s="2290"/>
      <c r="R61" s="2290"/>
      <c r="S61" s="2290"/>
      <c r="T61" s="2290"/>
      <c r="U61" s="2290"/>
      <c r="V61" s="2290"/>
      <c r="W61" s="2290"/>
      <c r="X61" s="2290"/>
      <c r="Y61" s="2290"/>
      <c r="Z61" s="2290"/>
      <c r="AA61" s="2290"/>
      <c r="AB61" s="2290"/>
      <c r="AC61" s="2290"/>
      <c r="AD61" s="2290"/>
      <c r="AE61" s="2290"/>
      <c r="AF61" s="2290"/>
      <c r="AG61" s="2290"/>
      <c r="AH61" s="2290"/>
      <c r="AI61" s="2290"/>
      <c r="AJ61" s="2290"/>
      <c r="AK61" s="2290"/>
      <c r="AL61" s="2290"/>
      <c r="AM61" s="2290"/>
      <c r="AN61" s="2290"/>
      <c r="AO61" s="2290"/>
      <c r="AP61" s="2290"/>
      <c r="AQ61" s="2290"/>
      <c r="AR61" s="2290"/>
      <c r="AS61" s="2290"/>
      <c r="AT61" s="2290"/>
      <c r="AU61" s="2290"/>
      <c r="AV61" s="2290"/>
      <c r="AW61" s="2291"/>
      <c r="AX61" s="1208"/>
      <c r="AY61" s="1208"/>
      <c r="AZ61" s="1208"/>
      <c r="BA61" s="1208"/>
      <c r="BB61" s="1208"/>
      <c r="BC61" s="1208"/>
      <c r="BD61" s="1208"/>
      <c r="BE61" s="1215"/>
    </row>
    <row r="62" spans="1:77" ht="15.75" customHeight="1">
      <c r="A62" s="1208"/>
      <c r="B62" s="2286" t="str">
        <f>IF(B54="", "", B54)</f>
        <v/>
      </c>
      <c r="C62" s="2287"/>
      <c r="D62" s="2287"/>
      <c r="E62" s="2287"/>
      <c r="F62" s="2287"/>
      <c r="G62" s="2287"/>
      <c r="H62" s="2287"/>
      <c r="I62" s="2288"/>
      <c r="J62" s="2306"/>
      <c r="K62" s="2290"/>
      <c r="L62" s="2290"/>
      <c r="M62" s="2290"/>
      <c r="N62" s="2290"/>
      <c r="O62" s="2290"/>
      <c r="P62" s="2290"/>
      <c r="Q62" s="2290"/>
      <c r="R62" s="2290"/>
      <c r="S62" s="2290"/>
      <c r="T62" s="2290"/>
      <c r="U62" s="2290"/>
      <c r="V62" s="2290"/>
      <c r="W62" s="2290"/>
      <c r="X62" s="2290"/>
      <c r="Y62" s="2290"/>
      <c r="Z62" s="2290"/>
      <c r="AA62" s="2290"/>
      <c r="AB62" s="2290"/>
      <c r="AC62" s="2290"/>
      <c r="AD62" s="2290"/>
      <c r="AE62" s="2290"/>
      <c r="AF62" s="2290"/>
      <c r="AG62" s="2290"/>
      <c r="AH62" s="2290"/>
      <c r="AI62" s="2290"/>
      <c r="AJ62" s="2290"/>
      <c r="AK62" s="2290"/>
      <c r="AL62" s="2290"/>
      <c r="AM62" s="2290"/>
      <c r="AN62" s="2290"/>
      <c r="AO62" s="2290"/>
      <c r="AP62" s="2290"/>
      <c r="AQ62" s="2290"/>
      <c r="AR62" s="2290"/>
      <c r="AS62" s="2290"/>
      <c r="AT62" s="2290"/>
      <c r="AU62" s="2290"/>
      <c r="AV62" s="2290"/>
      <c r="AW62" s="2291"/>
      <c r="AX62" s="1208"/>
      <c r="AY62" s="1208"/>
      <c r="AZ62" s="1208"/>
      <c r="BA62" s="1208"/>
      <c r="BB62" s="1208"/>
      <c r="BC62" s="1208"/>
      <c r="BD62" s="1208"/>
      <c r="BE62" s="1215"/>
    </row>
    <row r="63" spans="1:77" ht="15.75" customHeight="1">
      <c r="A63" s="1208"/>
      <c r="B63" s="2286" t="str">
        <f>IF(B55="", "", B55)</f>
        <v/>
      </c>
      <c r="C63" s="2287"/>
      <c r="D63" s="2287"/>
      <c r="E63" s="2287"/>
      <c r="F63" s="2287"/>
      <c r="G63" s="2287"/>
      <c r="H63" s="2287"/>
      <c r="I63" s="2288"/>
      <c r="J63" s="2306"/>
      <c r="K63" s="2290"/>
      <c r="L63" s="2290"/>
      <c r="M63" s="2290"/>
      <c r="N63" s="2290"/>
      <c r="O63" s="2290"/>
      <c r="P63" s="2290"/>
      <c r="Q63" s="2290"/>
      <c r="R63" s="2290"/>
      <c r="S63" s="2290"/>
      <c r="T63" s="2290"/>
      <c r="U63" s="2290"/>
      <c r="V63" s="2290"/>
      <c r="W63" s="2290"/>
      <c r="X63" s="2290"/>
      <c r="Y63" s="2290"/>
      <c r="Z63" s="2290"/>
      <c r="AA63" s="2290"/>
      <c r="AB63" s="2290"/>
      <c r="AC63" s="2290"/>
      <c r="AD63" s="2290"/>
      <c r="AE63" s="2290"/>
      <c r="AF63" s="2290"/>
      <c r="AG63" s="2290"/>
      <c r="AH63" s="2290"/>
      <c r="AI63" s="2290"/>
      <c r="AJ63" s="2290"/>
      <c r="AK63" s="2290"/>
      <c r="AL63" s="2290"/>
      <c r="AM63" s="2290"/>
      <c r="AN63" s="2290"/>
      <c r="AO63" s="2290"/>
      <c r="AP63" s="2290"/>
      <c r="AQ63" s="2290"/>
      <c r="AR63" s="2290"/>
      <c r="AS63" s="2290"/>
      <c r="AT63" s="2290"/>
      <c r="AU63" s="2290"/>
      <c r="AV63" s="2290"/>
      <c r="AW63" s="2291"/>
      <c r="AX63" s="1208"/>
      <c r="AY63" s="1208"/>
      <c r="AZ63" s="1208"/>
      <c r="BA63" s="1208"/>
      <c r="BB63" s="1208"/>
      <c r="BC63" s="1208"/>
      <c r="BD63" s="1208"/>
      <c r="BE63" s="1215"/>
    </row>
    <row r="64" spans="1:77" ht="15.75" customHeight="1" thickBot="1">
      <c r="A64" s="1208"/>
      <c r="B64" s="2307" t="str">
        <f>IF(B56="", "", B56)</f>
        <v/>
      </c>
      <c r="C64" s="2308"/>
      <c r="D64" s="2308"/>
      <c r="E64" s="2308"/>
      <c r="F64" s="2308"/>
      <c r="G64" s="2308"/>
      <c r="H64" s="2308"/>
      <c r="I64" s="2309"/>
      <c r="J64" s="2310"/>
      <c r="K64" s="2311"/>
      <c r="L64" s="2311"/>
      <c r="M64" s="2311"/>
      <c r="N64" s="2311"/>
      <c r="O64" s="2311"/>
      <c r="P64" s="2311"/>
      <c r="Q64" s="2311"/>
      <c r="R64" s="2311"/>
      <c r="S64" s="2311"/>
      <c r="T64" s="2311"/>
      <c r="U64" s="2311"/>
      <c r="V64" s="2311"/>
      <c r="W64" s="2311"/>
      <c r="X64" s="2311"/>
      <c r="Y64" s="2311"/>
      <c r="Z64" s="2311"/>
      <c r="AA64" s="2311"/>
      <c r="AB64" s="2311"/>
      <c r="AC64" s="2311"/>
      <c r="AD64" s="2311"/>
      <c r="AE64" s="2311"/>
      <c r="AF64" s="2311"/>
      <c r="AG64" s="2311"/>
      <c r="AH64" s="2311"/>
      <c r="AI64" s="2311"/>
      <c r="AJ64" s="2311"/>
      <c r="AK64" s="2311"/>
      <c r="AL64" s="2311"/>
      <c r="AM64" s="2311"/>
      <c r="AN64" s="2311"/>
      <c r="AO64" s="2311"/>
      <c r="AP64" s="2311"/>
      <c r="AQ64" s="2311"/>
      <c r="AR64" s="2311"/>
      <c r="AS64" s="2311"/>
      <c r="AT64" s="2311"/>
      <c r="AU64" s="2311"/>
      <c r="AV64" s="2311"/>
      <c r="AW64" s="2312"/>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2327</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76" t="s">
        <v>2326</v>
      </c>
      <c r="C68" s="2177"/>
      <c r="D68" s="2177"/>
      <c r="E68" s="2177"/>
      <c r="F68" s="2177"/>
      <c r="G68" s="2177"/>
      <c r="H68" s="2177"/>
      <c r="I68" s="2177"/>
      <c r="J68" s="2177"/>
      <c r="K68" s="2177"/>
      <c r="L68" s="2177"/>
      <c r="M68" s="2177"/>
      <c r="N68" s="2177"/>
      <c r="O68" s="2177"/>
      <c r="P68" s="2177"/>
      <c r="Q68" s="2177"/>
      <c r="R68" s="2177"/>
      <c r="S68" s="2177"/>
      <c r="T68" s="2177"/>
      <c r="U68" s="2177"/>
      <c r="V68" s="2177"/>
      <c r="W68" s="2177"/>
      <c r="X68" s="2177"/>
      <c r="Y68" s="2177"/>
      <c r="Z68" s="2177"/>
      <c r="AA68" s="2178"/>
      <c r="AB68" s="1208"/>
      <c r="AC68" s="2319" t="s">
        <v>2325</v>
      </c>
      <c r="AD68" s="2320"/>
      <c r="AE68" s="2320"/>
      <c r="AF68" s="2320"/>
      <c r="AG68" s="2320"/>
      <c r="AH68" s="2320"/>
      <c r="AI68" s="2320"/>
      <c r="AJ68" s="2320"/>
      <c r="AK68" s="2320"/>
      <c r="AL68" s="2320"/>
      <c r="AM68" s="2320"/>
      <c r="AN68" s="2320"/>
      <c r="AO68" s="2320"/>
      <c r="AP68" s="2320"/>
      <c r="AQ68" s="2320"/>
      <c r="AR68" s="2320"/>
      <c r="AS68" s="2320"/>
      <c r="AT68" s="2320"/>
      <c r="AU68" s="2320"/>
      <c r="AV68" s="2298" t="s">
        <v>545</v>
      </c>
      <c r="AW68" s="2299"/>
      <c r="AX68" s="2299"/>
      <c r="AY68" s="2299"/>
      <c r="AZ68" s="2299"/>
      <c r="BA68" s="2299"/>
      <c r="BB68" s="2299"/>
      <c r="BC68" s="2300"/>
      <c r="BD68" s="1208"/>
      <c r="BE68" s="1215"/>
      <c r="BM68" s="1221" t="s">
        <v>2324</v>
      </c>
    </row>
    <row r="69" spans="1:94" ht="15.75" customHeight="1" thickTop="1" thickBot="1">
      <c r="A69" s="1208"/>
      <c r="B69" s="2301" t="s">
        <v>2323</v>
      </c>
      <c r="C69" s="2302"/>
      <c r="D69" s="2302"/>
      <c r="E69" s="2302"/>
      <c r="F69" s="2302"/>
      <c r="G69" s="2302"/>
      <c r="H69" s="2302"/>
      <c r="I69" s="2302"/>
      <c r="J69" s="2302"/>
      <c r="K69" s="2302"/>
      <c r="L69" s="2302"/>
      <c r="M69" s="2302"/>
      <c r="N69" s="2302"/>
      <c r="O69" s="2149" t="s">
        <v>2322</v>
      </c>
      <c r="P69" s="2150"/>
      <c r="Q69" s="2150"/>
      <c r="R69" s="2150"/>
      <c r="S69" s="2150"/>
      <c r="T69" s="2150"/>
      <c r="U69" s="2150"/>
      <c r="V69" s="2150"/>
      <c r="W69" s="2150"/>
      <c r="X69" s="2150"/>
      <c r="Y69" s="2150"/>
      <c r="Z69" s="2150"/>
      <c r="AA69" s="2303"/>
      <c r="AB69" s="1208"/>
      <c r="AC69" s="2304" t="s">
        <v>2321</v>
      </c>
      <c r="AD69" s="2305"/>
      <c r="AE69" s="2305"/>
      <c r="AF69" s="2305"/>
      <c r="AG69" s="2305"/>
      <c r="AH69" s="2305"/>
      <c r="AI69" s="2305"/>
      <c r="AJ69" s="2305"/>
      <c r="AK69" s="2305"/>
      <c r="AL69" s="2305"/>
      <c r="AM69" s="2305"/>
      <c r="AN69" s="2305"/>
      <c r="AO69" s="2305"/>
      <c r="AP69" s="2305"/>
      <c r="AQ69" s="2305"/>
      <c r="AR69" s="2305"/>
      <c r="AS69" s="2305"/>
      <c r="AT69" s="2305"/>
      <c r="AU69" s="2305"/>
      <c r="AV69" s="2298" t="s">
        <v>545</v>
      </c>
      <c r="AW69" s="2299"/>
      <c r="AX69" s="2299"/>
      <c r="AY69" s="2299"/>
      <c r="AZ69" s="2299"/>
      <c r="BA69" s="2299"/>
      <c r="BB69" s="2299"/>
      <c r="BC69" s="2300"/>
      <c r="BD69" s="1208"/>
      <c r="BE69" s="1215"/>
      <c r="BM69" s="1222" t="s">
        <v>545</v>
      </c>
    </row>
    <row r="70" spans="1:94" ht="15.75" customHeight="1">
      <c r="A70" s="1208"/>
      <c r="B70" s="2255" t="s">
        <v>2320</v>
      </c>
      <c r="C70" s="2256"/>
      <c r="D70" s="2256"/>
      <c r="E70" s="2256"/>
      <c r="F70" s="2256"/>
      <c r="G70" s="2256"/>
      <c r="H70" s="2256"/>
      <c r="I70" s="2256"/>
      <c r="J70" s="2256"/>
      <c r="K70" s="2256"/>
      <c r="L70" s="2256"/>
      <c r="M70" s="2256"/>
      <c r="N70" s="2256"/>
      <c r="O70" s="2313">
        <v>0</v>
      </c>
      <c r="P70" s="2313"/>
      <c r="Q70" s="2313"/>
      <c r="R70" s="2313"/>
      <c r="S70" s="2313"/>
      <c r="T70" s="2313"/>
      <c r="U70" s="2313"/>
      <c r="V70" s="2313"/>
      <c r="W70" s="2313"/>
      <c r="X70" s="2313"/>
      <c r="Y70" s="2313"/>
      <c r="Z70" s="2313"/>
      <c r="AA70" s="2314"/>
      <c r="AB70" s="1208"/>
      <c r="AC70" s="2271" t="s">
        <v>2319</v>
      </c>
      <c r="AD70" s="2272"/>
      <c r="AE70" s="2272"/>
      <c r="AF70" s="2315" t="s">
        <v>2753</v>
      </c>
      <c r="AG70" s="2315"/>
      <c r="AH70" s="2315"/>
      <c r="AI70" s="2315"/>
      <c r="AJ70" s="2315"/>
      <c r="AK70" s="2315"/>
      <c r="AL70" s="2315"/>
      <c r="AM70" s="2315"/>
      <c r="AN70" s="2315"/>
      <c r="AO70" s="2315"/>
      <c r="AP70" s="2315"/>
      <c r="AQ70" s="2315"/>
      <c r="AR70" s="2315"/>
      <c r="AS70" s="2315"/>
      <c r="AT70" s="2315"/>
      <c r="AU70" s="2316"/>
      <c r="AV70" s="1208"/>
      <c r="AW70" s="1208"/>
      <c r="AX70" s="1208"/>
      <c r="AY70" s="1208"/>
      <c r="AZ70" s="1208"/>
      <c r="BA70" s="1208"/>
      <c r="BB70" s="1208"/>
      <c r="BC70" s="1208"/>
      <c r="BD70" s="1208"/>
      <c r="BE70" s="1215"/>
      <c r="BM70" s="1223" t="s">
        <v>669</v>
      </c>
    </row>
    <row r="71" spans="1:94" ht="15.75" customHeight="1" thickBot="1">
      <c r="A71" s="1208"/>
      <c r="B71" s="2255" t="s">
        <v>2318</v>
      </c>
      <c r="C71" s="2256"/>
      <c r="D71" s="2256"/>
      <c r="E71" s="2256"/>
      <c r="F71" s="2256"/>
      <c r="G71" s="2256"/>
      <c r="H71" s="2256"/>
      <c r="I71" s="2256"/>
      <c r="J71" s="2256"/>
      <c r="K71" s="2256"/>
      <c r="L71" s="2256"/>
      <c r="M71" s="2256"/>
      <c r="N71" s="2256"/>
      <c r="O71" s="2313">
        <v>0</v>
      </c>
      <c r="P71" s="2313"/>
      <c r="Q71" s="2313"/>
      <c r="R71" s="2313"/>
      <c r="S71" s="2313"/>
      <c r="T71" s="2313"/>
      <c r="U71" s="2313"/>
      <c r="V71" s="2313"/>
      <c r="W71" s="2313"/>
      <c r="X71" s="2313"/>
      <c r="Y71" s="2313"/>
      <c r="Z71" s="2313"/>
      <c r="AA71" s="2314"/>
      <c r="AB71" s="1208"/>
      <c r="AC71" s="2317" t="s">
        <v>2317</v>
      </c>
      <c r="AD71" s="2318"/>
      <c r="AE71" s="2318"/>
      <c r="AF71" s="2311" t="s">
        <v>2639</v>
      </c>
      <c r="AG71" s="2311"/>
      <c r="AH71" s="2311"/>
      <c r="AI71" s="2311"/>
      <c r="AJ71" s="2311"/>
      <c r="AK71" s="2311"/>
      <c r="AL71" s="2311"/>
      <c r="AM71" s="2311"/>
      <c r="AN71" s="2311"/>
      <c r="AO71" s="2311"/>
      <c r="AP71" s="2311"/>
      <c r="AQ71" s="2311"/>
      <c r="AR71" s="2311"/>
      <c r="AS71" s="2311"/>
      <c r="AT71" s="2311"/>
      <c r="AU71" s="2312"/>
      <c r="AV71" s="1208"/>
      <c r="AW71" s="1208"/>
      <c r="AX71" s="1208"/>
      <c r="AY71" s="1208"/>
      <c r="AZ71" s="1208"/>
      <c r="BA71" s="1208"/>
      <c r="BB71" s="1208"/>
      <c r="BC71" s="1208"/>
      <c r="BD71" s="1208"/>
      <c r="BE71" s="1215"/>
      <c r="BM71" s="1204" t="s">
        <v>2316</v>
      </c>
    </row>
    <row r="72" spans="1:94" ht="15.75" customHeight="1">
      <c r="A72" s="1208"/>
      <c r="B72" s="2255" t="s">
        <v>2315</v>
      </c>
      <c r="C72" s="2256"/>
      <c r="D72" s="2256"/>
      <c r="E72" s="2256"/>
      <c r="F72" s="2256"/>
      <c r="G72" s="2256"/>
      <c r="H72" s="2256"/>
      <c r="I72" s="2256"/>
      <c r="J72" s="2256"/>
      <c r="K72" s="2256"/>
      <c r="L72" s="2256"/>
      <c r="M72" s="2256"/>
      <c r="N72" s="2256"/>
      <c r="O72" s="2313">
        <v>0</v>
      </c>
      <c r="P72" s="2313"/>
      <c r="Q72" s="2313"/>
      <c r="R72" s="2313"/>
      <c r="S72" s="2313"/>
      <c r="T72" s="2313"/>
      <c r="U72" s="2313"/>
      <c r="V72" s="2313"/>
      <c r="W72" s="2313"/>
      <c r="X72" s="2313"/>
      <c r="Y72" s="2313"/>
      <c r="Z72" s="2313"/>
      <c r="AA72" s="2314"/>
      <c r="AB72" s="1208"/>
      <c r="AC72" s="2321" t="s">
        <v>2314</v>
      </c>
      <c r="AD72" s="2322"/>
      <c r="AE72" s="2322"/>
      <c r="AF72" s="2322"/>
      <c r="AG72" s="2322"/>
      <c r="AH72" s="2322"/>
      <c r="AI72" s="2322"/>
      <c r="AJ72" s="2322"/>
      <c r="AK72" s="2322"/>
      <c r="AL72" s="2322"/>
      <c r="AM72" s="2322"/>
      <c r="AN72" s="2322"/>
      <c r="AO72" s="2322"/>
      <c r="AP72" s="2322"/>
      <c r="AQ72" s="2322"/>
      <c r="AR72" s="2322"/>
      <c r="AS72" s="2322"/>
      <c r="AT72" s="2322"/>
      <c r="AU72" s="2322"/>
      <c r="AV72" s="2272"/>
      <c r="AW72" s="2272"/>
      <c r="AX72" s="2272"/>
      <c r="AY72" s="2272"/>
      <c r="AZ72" s="2272"/>
      <c r="BA72" s="2272"/>
      <c r="BB72" s="2272"/>
      <c r="BC72" s="2273"/>
      <c r="BD72" s="1208"/>
      <c r="BE72" s="1215"/>
    </row>
    <row r="73" spans="1:94" ht="15.75" customHeight="1">
      <c r="A73" s="1208"/>
      <c r="B73" s="2259" t="s">
        <v>2313</v>
      </c>
      <c r="C73" s="2260"/>
      <c r="D73" s="2260"/>
      <c r="E73" s="2260"/>
      <c r="F73" s="2260"/>
      <c r="G73" s="2260"/>
      <c r="H73" s="2260"/>
      <c r="I73" s="2260"/>
      <c r="J73" s="2260"/>
      <c r="K73" s="2260"/>
      <c r="L73" s="2260"/>
      <c r="M73" s="2260"/>
      <c r="N73" s="2260"/>
      <c r="O73" s="2313">
        <v>0</v>
      </c>
      <c r="P73" s="2313"/>
      <c r="Q73" s="2313"/>
      <c r="R73" s="2313"/>
      <c r="S73" s="2313"/>
      <c r="T73" s="2313"/>
      <c r="U73" s="2313"/>
      <c r="V73" s="2313"/>
      <c r="W73" s="2313"/>
      <c r="X73" s="2313"/>
      <c r="Y73" s="2313"/>
      <c r="Z73" s="2313"/>
      <c r="AA73" s="2314"/>
      <c r="AB73" s="1208"/>
      <c r="AC73" s="2323" t="s">
        <v>2754</v>
      </c>
      <c r="AD73" s="2324"/>
      <c r="AE73" s="2324"/>
      <c r="AF73" s="2324"/>
      <c r="AG73" s="2324"/>
      <c r="AH73" s="2324"/>
      <c r="AI73" s="2324"/>
      <c r="AJ73" s="2324"/>
      <c r="AK73" s="2324"/>
      <c r="AL73" s="2324"/>
      <c r="AM73" s="2324"/>
      <c r="AN73" s="2324"/>
      <c r="AO73" s="2324"/>
      <c r="AP73" s="2324"/>
      <c r="AQ73" s="2324"/>
      <c r="AR73" s="2324"/>
      <c r="AS73" s="2324"/>
      <c r="AT73" s="2324"/>
      <c r="AU73" s="2324"/>
      <c r="AV73" s="2324"/>
      <c r="AW73" s="2324"/>
      <c r="AX73" s="2324"/>
      <c r="AY73" s="2324"/>
      <c r="AZ73" s="2324"/>
      <c r="BA73" s="2324"/>
      <c r="BB73" s="2324"/>
      <c r="BC73" s="2325"/>
      <c r="BD73" s="1208"/>
      <c r="BE73" s="1215"/>
      <c r="CK73" s="1206"/>
      <c r="CL73" s="1206"/>
      <c r="CM73" s="1206"/>
      <c r="CN73" s="1206"/>
      <c r="CO73" s="1206"/>
      <c r="CP73" s="1206"/>
    </row>
    <row r="74" spans="1:94" ht="15.75" customHeight="1">
      <c r="A74" s="1208"/>
      <c r="B74" s="2330"/>
      <c r="C74" s="2278"/>
      <c r="D74" s="2278"/>
      <c r="E74" s="2278"/>
      <c r="F74" s="2278"/>
      <c r="G74" s="2278"/>
      <c r="H74" s="2278"/>
      <c r="I74" s="2278"/>
      <c r="J74" s="2278"/>
      <c r="K74" s="2278"/>
      <c r="L74" s="2278"/>
      <c r="M74" s="2278"/>
      <c r="N74" s="2278"/>
      <c r="O74" s="2313"/>
      <c r="P74" s="2313"/>
      <c r="Q74" s="2313"/>
      <c r="R74" s="2313"/>
      <c r="S74" s="2313"/>
      <c r="T74" s="2313"/>
      <c r="U74" s="2313"/>
      <c r="V74" s="2313"/>
      <c r="W74" s="2313"/>
      <c r="X74" s="2313"/>
      <c r="Y74" s="2313"/>
      <c r="Z74" s="2313"/>
      <c r="AA74" s="2314"/>
      <c r="AB74" s="1208"/>
      <c r="AC74" s="2326"/>
      <c r="AD74" s="2324"/>
      <c r="AE74" s="2324"/>
      <c r="AF74" s="2324"/>
      <c r="AG74" s="2324"/>
      <c r="AH74" s="2324"/>
      <c r="AI74" s="2324"/>
      <c r="AJ74" s="2324"/>
      <c r="AK74" s="2324"/>
      <c r="AL74" s="2324"/>
      <c r="AM74" s="2324"/>
      <c r="AN74" s="2324"/>
      <c r="AO74" s="2324"/>
      <c r="AP74" s="2324"/>
      <c r="AQ74" s="2324"/>
      <c r="AR74" s="2324"/>
      <c r="AS74" s="2324"/>
      <c r="AT74" s="2324"/>
      <c r="AU74" s="2324"/>
      <c r="AV74" s="2324"/>
      <c r="AW74" s="2324"/>
      <c r="AX74" s="2324"/>
      <c r="AY74" s="2324"/>
      <c r="AZ74" s="2324"/>
      <c r="BA74" s="2324"/>
      <c r="BB74" s="2324"/>
      <c r="BC74" s="2325"/>
      <c r="BD74" s="1208"/>
      <c r="BE74" s="1215"/>
      <c r="CK74" s="1206"/>
      <c r="CL74" s="1206"/>
      <c r="CM74" s="1206"/>
      <c r="CN74" s="1206"/>
      <c r="CO74" s="1206"/>
      <c r="CP74" s="1206"/>
    </row>
    <row r="75" spans="1:94" ht="15.75" customHeight="1" thickBot="1">
      <c r="A75" s="1208"/>
      <c r="B75" s="2331" t="s">
        <v>124</v>
      </c>
      <c r="C75" s="2332"/>
      <c r="D75" s="2332"/>
      <c r="E75" s="2332"/>
      <c r="F75" s="2332"/>
      <c r="G75" s="2332"/>
      <c r="H75" s="2332"/>
      <c r="I75" s="2332"/>
      <c r="J75" s="2332"/>
      <c r="K75" s="2332"/>
      <c r="L75" s="2332"/>
      <c r="M75" s="2332"/>
      <c r="N75" s="2332"/>
      <c r="O75" s="2333">
        <f>SUM(O70:AA74)</f>
        <v>0</v>
      </c>
      <c r="P75" s="2333"/>
      <c r="Q75" s="2333"/>
      <c r="R75" s="2333"/>
      <c r="S75" s="2333"/>
      <c r="T75" s="2333"/>
      <c r="U75" s="2333"/>
      <c r="V75" s="2333"/>
      <c r="W75" s="2333"/>
      <c r="X75" s="2333"/>
      <c r="Y75" s="2333"/>
      <c r="Z75" s="2333"/>
      <c r="AA75" s="2334"/>
      <c r="AB75" s="1208"/>
      <c r="AC75" s="2326"/>
      <c r="AD75" s="2324"/>
      <c r="AE75" s="2324"/>
      <c r="AF75" s="2324"/>
      <c r="AG75" s="2324"/>
      <c r="AH75" s="2324"/>
      <c r="AI75" s="2324"/>
      <c r="AJ75" s="2324"/>
      <c r="AK75" s="2324"/>
      <c r="AL75" s="2324"/>
      <c r="AM75" s="2324"/>
      <c r="AN75" s="2324"/>
      <c r="AO75" s="2324"/>
      <c r="AP75" s="2324"/>
      <c r="AQ75" s="2324"/>
      <c r="AR75" s="2324"/>
      <c r="AS75" s="2324"/>
      <c r="AT75" s="2324"/>
      <c r="AU75" s="2324"/>
      <c r="AV75" s="2324"/>
      <c r="AW75" s="2324"/>
      <c r="AX75" s="2324"/>
      <c r="AY75" s="2324"/>
      <c r="AZ75" s="2324"/>
      <c r="BA75" s="2324"/>
      <c r="BB75" s="2324"/>
      <c r="BC75" s="2325"/>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326"/>
      <c r="AD76" s="2324"/>
      <c r="AE76" s="2324"/>
      <c r="AF76" s="2324"/>
      <c r="AG76" s="2324"/>
      <c r="AH76" s="2324"/>
      <c r="AI76" s="2324"/>
      <c r="AJ76" s="2324"/>
      <c r="AK76" s="2324"/>
      <c r="AL76" s="2324"/>
      <c r="AM76" s="2324"/>
      <c r="AN76" s="2324"/>
      <c r="AO76" s="2324"/>
      <c r="AP76" s="2324"/>
      <c r="AQ76" s="2324"/>
      <c r="AR76" s="2324"/>
      <c r="AS76" s="2324"/>
      <c r="AT76" s="2324"/>
      <c r="AU76" s="2324"/>
      <c r="AV76" s="2324"/>
      <c r="AW76" s="2324"/>
      <c r="AX76" s="2324"/>
      <c r="AY76" s="2324"/>
      <c r="AZ76" s="2324"/>
      <c r="BA76" s="2324"/>
      <c r="BB76" s="2324"/>
      <c r="BC76" s="2325"/>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327"/>
      <c r="AD77" s="2328"/>
      <c r="AE77" s="2328"/>
      <c r="AF77" s="2328"/>
      <c r="AG77" s="2328"/>
      <c r="AH77" s="2328"/>
      <c r="AI77" s="2328"/>
      <c r="AJ77" s="2328"/>
      <c r="AK77" s="2328"/>
      <c r="AL77" s="2328"/>
      <c r="AM77" s="2328"/>
      <c r="AN77" s="2328"/>
      <c r="AO77" s="2328"/>
      <c r="AP77" s="2328"/>
      <c r="AQ77" s="2328"/>
      <c r="AR77" s="2328"/>
      <c r="AS77" s="2328"/>
      <c r="AT77" s="2328"/>
      <c r="AU77" s="2328"/>
      <c r="AV77" s="2328"/>
      <c r="AW77" s="2328"/>
      <c r="AX77" s="2328"/>
      <c r="AY77" s="2328"/>
      <c r="AZ77" s="2328"/>
      <c r="BA77" s="2328"/>
      <c r="BB77" s="2328"/>
      <c r="BC77" s="2329"/>
      <c r="BD77" s="1208"/>
      <c r="BE77" s="1215"/>
      <c r="CK77" s="1206"/>
      <c r="CL77" s="1206"/>
      <c r="CM77" s="1206"/>
      <c r="CN77" s="1206"/>
      <c r="CO77" s="1206"/>
      <c r="CP77" s="1206"/>
    </row>
    <row r="78" spans="1:94" ht="15.75" customHeight="1" thickBot="1">
      <c r="A78" s="1208"/>
      <c r="B78" s="1224" t="s">
        <v>2312</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2223</v>
      </c>
      <c r="C79" s="1228"/>
      <c r="D79" s="1228"/>
      <c r="E79" s="1229"/>
      <c r="F79" s="2335" t="s">
        <v>2636</v>
      </c>
      <c r="G79" s="2336"/>
      <c r="H79" s="2336"/>
      <c r="I79" s="2336"/>
      <c r="J79" s="2336"/>
      <c r="K79" s="2336"/>
      <c r="L79" s="2336"/>
      <c r="M79" s="2336"/>
      <c r="N79" s="2336"/>
      <c r="O79" s="2336"/>
      <c r="P79" s="2336"/>
      <c r="Q79" s="2336"/>
      <c r="R79" s="2336"/>
      <c r="S79" s="2336"/>
      <c r="T79" s="2337"/>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338" t="s">
        <v>2311</v>
      </c>
      <c r="C81" s="2339"/>
      <c r="D81" s="2339"/>
      <c r="E81" s="2339"/>
      <c r="F81" s="2339"/>
      <c r="G81" s="2339"/>
      <c r="H81" s="2339"/>
      <c r="I81" s="2339"/>
      <c r="J81" s="2339"/>
      <c r="K81" s="2339"/>
      <c r="L81" s="2339"/>
      <c r="M81" s="2339"/>
      <c r="N81" s="2339"/>
      <c r="O81" s="2339"/>
      <c r="P81" s="2339"/>
      <c r="Q81" s="2339"/>
      <c r="R81" s="2339"/>
      <c r="S81" s="2339"/>
      <c r="T81" s="2339"/>
      <c r="U81" s="2339"/>
      <c r="V81" s="2339"/>
      <c r="W81" s="2339"/>
      <c r="X81" s="2339"/>
      <c r="Y81" s="2339"/>
      <c r="Z81" s="2339"/>
      <c r="AA81" s="2339"/>
      <c r="AB81" s="2339"/>
      <c r="AC81" s="2339"/>
      <c r="AD81" s="2339"/>
      <c r="AE81" s="2339"/>
      <c r="AF81" s="2339"/>
      <c r="AG81" s="2339"/>
      <c r="AH81" s="2340"/>
      <c r="AI81" s="1208"/>
      <c r="AJ81" s="2341" t="s">
        <v>2609</v>
      </c>
      <c r="AK81" s="2342"/>
      <c r="AL81" s="2342"/>
      <c r="AM81" s="2342"/>
      <c r="AN81" s="2342"/>
      <c r="AO81" s="2342"/>
      <c r="AP81" s="2342"/>
      <c r="AQ81" s="2342"/>
      <c r="AR81" s="2342"/>
      <c r="AS81" s="2342"/>
      <c r="AT81" s="2342"/>
      <c r="AU81" s="2342"/>
      <c r="AV81" s="2342"/>
      <c r="AW81" s="2342"/>
      <c r="AX81" s="2342"/>
      <c r="AY81" s="2345" t="s">
        <v>669</v>
      </c>
      <c r="AZ81" s="2345"/>
      <c r="BA81" s="2345"/>
      <c r="BB81" s="2346"/>
      <c r="BC81" s="1208"/>
      <c r="BD81" s="1208"/>
      <c r="BE81" s="1215"/>
      <c r="CK81" s="1206"/>
      <c r="CL81" s="1206"/>
      <c r="CM81" s="1206"/>
      <c r="CN81" s="1206"/>
      <c r="CO81" s="1206"/>
      <c r="CP81" s="1206"/>
    </row>
    <row r="82" spans="1:94" ht="15.75" customHeight="1">
      <c r="A82" s="1208"/>
      <c r="B82" s="2274"/>
      <c r="C82" s="2275"/>
      <c r="D82" s="2275"/>
      <c r="E82" s="2275"/>
      <c r="F82" s="2275"/>
      <c r="G82" s="2275"/>
      <c r="H82" s="2275"/>
      <c r="I82" s="2275" t="s">
        <v>2305</v>
      </c>
      <c r="J82" s="2275"/>
      <c r="K82" s="2275"/>
      <c r="L82" s="2275"/>
      <c r="M82" s="2275"/>
      <c r="N82" s="2275"/>
      <c r="O82" s="2275" t="s">
        <v>2284</v>
      </c>
      <c r="P82" s="2275"/>
      <c r="Q82" s="2275"/>
      <c r="R82" s="2275"/>
      <c r="S82" s="2275"/>
      <c r="T82" s="2275"/>
      <c r="U82" s="2275"/>
      <c r="V82" s="2349" t="s">
        <v>2283</v>
      </c>
      <c r="W82" s="2349"/>
      <c r="X82" s="2349"/>
      <c r="Y82" s="2349"/>
      <c r="Z82" s="2349"/>
      <c r="AA82" s="2349"/>
      <c r="AB82" s="2350" t="s">
        <v>2304</v>
      </c>
      <c r="AC82" s="2350"/>
      <c r="AD82" s="2350"/>
      <c r="AE82" s="2350"/>
      <c r="AF82" s="2350"/>
      <c r="AG82" s="2350"/>
      <c r="AH82" s="2351"/>
      <c r="AI82" s="1208"/>
      <c r="AJ82" s="2343"/>
      <c r="AK82" s="2344"/>
      <c r="AL82" s="2344"/>
      <c r="AM82" s="2344"/>
      <c r="AN82" s="2344"/>
      <c r="AO82" s="2344"/>
      <c r="AP82" s="2344"/>
      <c r="AQ82" s="2344"/>
      <c r="AR82" s="2344"/>
      <c r="AS82" s="2344"/>
      <c r="AT82" s="2344"/>
      <c r="AU82" s="2344"/>
      <c r="AV82" s="2344"/>
      <c r="AW82" s="2344"/>
      <c r="AX82" s="2344"/>
      <c r="AY82" s="2347"/>
      <c r="AZ82" s="2347"/>
      <c r="BA82" s="2347"/>
      <c r="BB82" s="2348"/>
      <c r="BC82" s="1208"/>
      <c r="BD82" s="1208"/>
      <c r="BE82" s="1215"/>
      <c r="CK82" s="1206"/>
      <c r="CL82" s="1206"/>
      <c r="CM82" s="1206"/>
      <c r="CN82" s="1206"/>
      <c r="CO82" s="1206"/>
      <c r="CP82" s="1206"/>
    </row>
    <row r="83" spans="1:94" ht="15.75" customHeight="1">
      <c r="A83" s="1208"/>
      <c r="B83" s="2274"/>
      <c r="C83" s="2275"/>
      <c r="D83" s="2275"/>
      <c r="E83" s="2275"/>
      <c r="F83" s="2275"/>
      <c r="G83" s="2275"/>
      <c r="H83" s="2275"/>
      <c r="I83" s="2275"/>
      <c r="J83" s="2275"/>
      <c r="K83" s="2275"/>
      <c r="L83" s="2275"/>
      <c r="M83" s="2275"/>
      <c r="N83" s="2275"/>
      <c r="O83" s="2275"/>
      <c r="P83" s="2275"/>
      <c r="Q83" s="2275"/>
      <c r="R83" s="2275"/>
      <c r="S83" s="2275"/>
      <c r="T83" s="2275"/>
      <c r="U83" s="2275"/>
      <c r="V83" s="2349"/>
      <c r="W83" s="2349"/>
      <c r="X83" s="2349"/>
      <c r="Y83" s="2349"/>
      <c r="Z83" s="2349"/>
      <c r="AA83" s="2349"/>
      <c r="AB83" s="2350"/>
      <c r="AC83" s="2350"/>
      <c r="AD83" s="2350"/>
      <c r="AE83" s="2350"/>
      <c r="AF83" s="2350"/>
      <c r="AG83" s="2350"/>
      <c r="AH83" s="2351"/>
      <c r="AI83" s="1208"/>
      <c r="AJ83" s="2343"/>
      <c r="AK83" s="2344"/>
      <c r="AL83" s="2344"/>
      <c r="AM83" s="2344"/>
      <c r="AN83" s="2344"/>
      <c r="AO83" s="2344"/>
      <c r="AP83" s="2344"/>
      <c r="AQ83" s="2344"/>
      <c r="AR83" s="2344"/>
      <c r="AS83" s="2344"/>
      <c r="AT83" s="2344"/>
      <c r="AU83" s="2344"/>
      <c r="AV83" s="2344"/>
      <c r="AW83" s="2344"/>
      <c r="AX83" s="2344"/>
      <c r="AY83" s="2347"/>
      <c r="AZ83" s="2347"/>
      <c r="BA83" s="2347"/>
      <c r="BB83" s="2348"/>
      <c r="BC83" s="1208"/>
      <c r="BD83" s="1208"/>
      <c r="BE83" s="1215"/>
      <c r="CK83" s="1206"/>
      <c r="CL83" s="1206"/>
      <c r="CM83" s="1206"/>
      <c r="CN83" s="1206"/>
      <c r="CO83" s="1206"/>
      <c r="CP83" s="1206"/>
    </row>
    <row r="84" spans="1:94" ht="15.75" customHeight="1">
      <c r="A84" s="1208"/>
      <c r="B84" s="2274" t="s">
        <v>2303</v>
      </c>
      <c r="C84" s="2275"/>
      <c r="D84" s="2275"/>
      <c r="E84" s="2275"/>
      <c r="F84" s="2275"/>
      <c r="G84" s="2275"/>
      <c r="H84" s="2275"/>
      <c r="I84" s="2354">
        <v>2392</v>
      </c>
      <c r="J84" s="2354"/>
      <c r="K84" s="2354"/>
      <c r="L84" s="2354"/>
      <c r="M84" s="2354"/>
      <c r="N84" s="2354"/>
      <c r="O84" s="2354">
        <v>545</v>
      </c>
      <c r="P84" s="2354"/>
      <c r="Q84" s="2354"/>
      <c r="R84" s="2354"/>
      <c r="S84" s="2354"/>
      <c r="T84" s="2354"/>
      <c r="U84" s="2354"/>
      <c r="V84" s="2354">
        <v>1218</v>
      </c>
      <c r="W84" s="2354"/>
      <c r="X84" s="2354"/>
      <c r="Y84" s="2354"/>
      <c r="Z84" s="2354"/>
      <c r="AA84" s="2354"/>
      <c r="AB84" s="2354">
        <v>272</v>
      </c>
      <c r="AC84" s="2354"/>
      <c r="AD84" s="2354"/>
      <c r="AE84" s="2354"/>
      <c r="AF84" s="2354"/>
      <c r="AG84" s="2354"/>
      <c r="AH84" s="2355"/>
      <c r="AI84" s="1208"/>
      <c r="AJ84" s="2343"/>
      <c r="AK84" s="2344"/>
      <c r="AL84" s="2344"/>
      <c r="AM84" s="2344"/>
      <c r="AN84" s="2344"/>
      <c r="AO84" s="2344"/>
      <c r="AP84" s="2344"/>
      <c r="AQ84" s="2344"/>
      <c r="AR84" s="2344"/>
      <c r="AS84" s="2344"/>
      <c r="AT84" s="2344"/>
      <c r="AU84" s="2344"/>
      <c r="AV84" s="2344"/>
      <c r="AW84" s="2344"/>
      <c r="AX84" s="2344"/>
      <c r="AY84" s="2347"/>
      <c r="AZ84" s="2347"/>
      <c r="BA84" s="2347"/>
      <c r="BB84" s="2348"/>
      <c r="BC84" s="1208"/>
      <c r="BD84" s="1208"/>
      <c r="BE84" s="1215"/>
      <c r="CK84" s="1206"/>
      <c r="CL84" s="1206"/>
      <c r="CM84" s="1206"/>
      <c r="CN84" s="1206"/>
      <c r="CO84" s="1206"/>
      <c r="CP84" s="1206"/>
    </row>
    <row r="85" spans="1:94" ht="15.75" customHeight="1">
      <c r="A85" s="1208"/>
      <c r="B85" s="2274" t="s">
        <v>2302</v>
      </c>
      <c r="C85" s="2275"/>
      <c r="D85" s="2275"/>
      <c r="E85" s="2275"/>
      <c r="F85" s="2275"/>
      <c r="G85" s="2275"/>
      <c r="H85" s="2275"/>
      <c r="I85" s="2354">
        <v>0</v>
      </c>
      <c r="J85" s="2354"/>
      <c r="K85" s="2354"/>
      <c r="L85" s="2354"/>
      <c r="M85" s="2354"/>
      <c r="N85" s="2354"/>
      <c r="O85" s="2354">
        <v>0</v>
      </c>
      <c r="P85" s="2354"/>
      <c r="Q85" s="2354"/>
      <c r="R85" s="2354"/>
      <c r="S85" s="2354"/>
      <c r="T85" s="2354"/>
      <c r="U85" s="2354"/>
      <c r="V85" s="2354">
        <v>0</v>
      </c>
      <c r="W85" s="2354"/>
      <c r="X85" s="2354"/>
      <c r="Y85" s="2354"/>
      <c r="Z85" s="2354"/>
      <c r="AA85" s="2354"/>
      <c r="AB85" s="2354">
        <v>0</v>
      </c>
      <c r="AC85" s="2354"/>
      <c r="AD85" s="2354"/>
      <c r="AE85" s="2354"/>
      <c r="AF85" s="2354"/>
      <c r="AG85" s="2354"/>
      <c r="AH85" s="2355"/>
      <c r="AI85" s="1208"/>
      <c r="AJ85" s="2323" t="s">
        <v>2766</v>
      </c>
      <c r="AK85" s="2324"/>
      <c r="AL85" s="2324"/>
      <c r="AM85" s="2324"/>
      <c r="AN85" s="2324"/>
      <c r="AO85" s="2324"/>
      <c r="AP85" s="2324"/>
      <c r="AQ85" s="2324"/>
      <c r="AR85" s="2324"/>
      <c r="AS85" s="2324"/>
      <c r="AT85" s="2324"/>
      <c r="AU85" s="2324"/>
      <c r="AV85" s="2324"/>
      <c r="AW85" s="2324"/>
      <c r="AX85" s="2324"/>
      <c r="AY85" s="2324"/>
      <c r="AZ85" s="2324"/>
      <c r="BA85" s="2324"/>
      <c r="BB85" s="2325"/>
      <c r="BC85" s="1208"/>
      <c r="BD85" s="1208"/>
      <c r="BE85" s="1215"/>
      <c r="CK85" s="1206"/>
      <c r="CL85" s="1206"/>
      <c r="CM85" s="1206"/>
      <c r="CN85" s="1206"/>
      <c r="CO85" s="1206"/>
      <c r="CP85" s="1206"/>
    </row>
    <row r="86" spans="1:94" ht="15.75" customHeight="1" thickBot="1">
      <c r="A86" s="1208"/>
      <c r="B86" s="2292" t="s">
        <v>2301</v>
      </c>
      <c r="C86" s="2293"/>
      <c r="D86" s="2293"/>
      <c r="E86" s="2293"/>
      <c r="F86" s="2293"/>
      <c r="G86" s="2293"/>
      <c r="H86" s="2293"/>
      <c r="I86" s="2352">
        <v>2392</v>
      </c>
      <c r="J86" s="2352"/>
      <c r="K86" s="2352"/>
      <c r="L86" s="2352"/>
      <c r="M86" s="2352"/>
      <c r="N86" s="2352"/>
      <c r="O86" s="2352">
        <f>O84</f>
        <v>545</v>
      </c>
      <c r="P86" s="2352"/>
      <c r="Q86" s="2352"/>
      <c r="R86" s="2352"/>
      <c r="S86" s="2352"/>
      <c r="T86" s="2352"/>
      <c r="U86" s="2352"/>
      <c r="V86" s="2352">
        <v>1218</v>
      </c>
      <c r="W86" s="2352"/>
      <c r="X86" s="2352"/>
      <c r="Y86" s="2352"/>
      <c r="Z86" s="2352"/>
      <c r="AA86" s="2352"/>
      <c r="AB86" s="2352">
        <v>272</v>
      </c>
      <c r="AC86" s="2352"/>
      <c r="AD86" s="2352"/>
      <c r="AE86" s="2352"/>
      <c r="AF86" s="2352"/>
      <c r="AG86" s="2352"/>
      <c r="AH86" s="2353"/>
      <c r="AI86" s="1208"/>
      <c r="AJ86" s="2327"/>
      <c r="AK86" s="2328"/>
      <c r="AL86" s="2328"/>
      <c r="AM86" s="2328"/>
      <c r="AN86" s="2328"/>
      <c r="AO86" s="2328"/>
      <c r="AP86" s="2328"/>
      <c r="AQ86" s="2328"/>
      <c r="AR86" s="2328"/>
      <c r="AS86" s="2328"/>
      <c r="AT86" s="2328"/>
      <c r="AU86" s="2328"/>
      <c r="AV86" s="2328"/>
      <c r="AW86" s="2328"/>
      <c r="AX86" s="2328"/>
      <c r="AY86" s="2328"/>
      <c r="AZ86" s="2328"/>
      <c r="BA86" s="2328"/>
      <c r="BB86" s="2329"/>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2310</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2223</v>
      </c>
      <c r="C90" s="1234"/>
      <c r="D90" s="1235"/>
      <c r="E90" s="1236"/>
      <c r="F90" s="2335" t="s">
        <v>2635</v>
      </c>
      <c r="G90" s="2336"/>
      <c r="H90" s="2336"/>
      <c r="I90" s="2336"/>
      <c r="J90" s="2336"/>
      <c r="K90" s="2336"/>
      <c r="L90" s="2336"/>
      <c r="M90" s="2336"/>
      <c r="N90" s="2336"/>
      <c r="O90" s="2336"/>
      <c r="P90" s="2336"/>
      <c r="Q90" s="2336"/>
      <c r="R90" s="2336"/>
      <c r="S90" s="2336"/>
      <c r="T90" s="2337"/>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338" t="s">
        <v>2309</v>
      </c>
      <c r="C92" s="2339"/>
      <c r="D92" s="2339"/>
      <c r="E92" s="2339"/>
      <c r="F92" s="2339"/>
      <c r="G92" s="2339"/>
      <c r="H92" s="2339"/>
      <c r="I92" s="2339"/>
      <c r="J92" s="2339"/>
      <c r="K92" s="2339"/>
      <c r="L92" s="2339"/>
      <c r="M92" s="2339"/>
      <c r="N92" s="2339"/>
      <c r="O92" s="2339"/>
      <c r="P92" s="2339"/>
      <c r="Q92" s="2339"/>
      <c r="R92" s="2339"/>
      <c r="S92" s="2339"/>
      <c r="T92" s="2339"/>
      <c r="U92" s="2339"/>
      <c r="V92" s="2339"/>
      <c r="W92" s="2339"/>
      <c r="X92" s="2339"/>
      <c r="Y92" s="2339"/>
      <c r="Z92" s="2339"/>
      <c r="AA92" s="2339"/>
      <c r="AB92" s="2339"/>
      <c r="AC92" s="2339"/>
      <c r="AD92" s="2339"/>
      <c r="AE92" s="2339"/>
      <c r="AF92" s="2339"/>
      <c r="AG92" s="2339"/>
      <c r="AH92" s="2340"/>
      <c r="AI92" s="1208"/>
      <c r="AJ92" s="2341" t="s">
        <v>2610</v>
      </c>
      <c r="AK92" s="2342"/>
      <c r="AL92" s="2342"/>
      <c r="AM92" s="2342"/>
      <c r="AN92" s="2342"/>
      <c r="AO92" s="2342"/>
      <c r="AP92" s="2342"/>
      <c r="AQ92" s="2342"/>
      <c r="AR92" s="2342"/>
      <c r="AS92" s="2342"/>
      <c r="AT92" s="2342"/>
      <c r="AU92" s="2342"/>
      <c r="AV92" s="2342"/>
      <c r="AW92" s="2342"/>
      <c r="AX92" s="2342"/>
      <c r="AY92" s="2345" t="s">
        <v>545</v>
      </c>
      <c r="AZ92" s="2345"/>
      <c r="BA92" s="2345"/>
      <c r="BB92" s="2346"/>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274"/>
      <c r="C93" s="2275"/>
      <c r="D93" s="2275"/>
      <c r="E93" s="2275"/>
      <c r="F93" s="2275"/>
      <c r="G93" s="2275"/>
      <c r="H93" s="2275"/>
      <c r="I93" s="2275" t="s">
        <v>2305</v>
      </c>
      <c r="J93" s="2275"/>
      <c r="K93" s="2275"/>
      <c r="L93" s="2275"/>
      <c r="M93" s="2275"/>
      <c r="N93" s="2275"/>
      <c r="O93" s="2275" t="s">
        <v>2284</v>
      </c>
      <c r="P93" s="2275"/>
      <c r="Q93" s="2275"/>
      <c r="R93" s="2275"/>
      <c r="S93" s="2275"/>
      <c r="T93" s="2275"/>
      <c r="U93" s="2275"/>
      <c r="V93" s="2349" t="s">
        <v>2283</v>
      </c>
      <c r="W93" s="2349"/>
      <c r="X93" s="2349"/>
      <c r="Y93" s="2349"/>
      <c r="Z93" s="2349"/>
      <c r="AA93" s="2349"/>
      <c r="AB93" s="2350" t="s">
        <v>2304</v>
      </c>
      <c r="AC93" s="2350"/>
      <c r="AD93" s="2350"/>
      <c r="AE93" s="2350"/>
      <c r="AF93" s="2350"/>
      <c r="AG93" s="2350"/>
      <c r="AH93" s="2351"/>
      <c r="AI93" s="1208"/>
      <c r="AJ93" s="2343"/>
      <c r="AK93" s="2344"/>
      <c r="AL93" s="2344"/>
      <c r="AM93" s="2344"/>
      <c r="AN93" s="2344"/>
      <c r="AO93" s="2344"/>
      <c r="AP93" s="2344"/>
      <c r="AQ93" s="2344"/>
      <c r="AR93" s="2344"/>
      <c r="AS93" s="2344"/>
      <c r="AT93" s="2344"/>
      <c r="AU93" s="2344"/>
      <c r="AV93" s="2344"/>
      <c r="AW93" s="2344"/>
      <c r="AX93" s="2344"/>
      <c r="AY93" s="2347"/>
      <c r="AZ93" s="2347"/>
      <c r="BA93" s="2347"/>
      <c r="BB93" s="2348"/>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274"/>
      <c r="C94" s="2275"/>
      <c r="D94" s="2275"/>
      <c r="E94" s="2275"/>
      <c r="F94" s="2275"/>
      <c r="G94" s="2275"/>
      <c r="H94" s="2275"/>
      <c r="I94" s="2275"/>
      <c r="J94" s="2275"/>
      <c r="K94" s="2275"/>
      <c r="L94" s="2275"/>
      <c r="M94" s="2275"/>
      <c r="N94" s="2275"/>
      <c r="O94" s="2275"/>
      <c r="P94" s="2275"/>
      <c r="Q94" s="2275"/>
      <c r="R94" s="2275"/>
      <c r="S94" s="2275"/>
      <c r="T94" s="2275"/>
      <c r="U94" s="2275"/>
      <c r="V94" s="2349"/>
      <c r="W94" s="2349"/>
      <c r="X94" s="2349"/>
      <c r="Y94" s="2349"/>
      <c r="Z94" s="2349"/>
      <c r="AA94" s="2349"/>
      <c r="AB94" s="2350"/>
      <c r="AC94" s="2350"/>
      <c r="AD94" s="2350"/>
      <c r="AE94" s="2350"/>
      <c r="AF94" s="2350"/>
      <c r="AG94" s="2350"/>
      <c r="AH94" s="2351"/>
      <c r="AI94" s="1208"/>
      <c r="AJ94" s="2343"/>
      <c r="AK94" s="2344"/>
      <c r="AL94" s="2344"/>
      <c r="AM94" s="2344"/>
      <c r="AN94" s="2344"/>
      <c r="AO94" s="2344"/>
      <c r="AP94" s="2344"/>
      <c r="AQ94" s="2344"/>
      <c r="AR94" s="2344"/>
      <c r="AS94" s="2344"/>
      <c r="AT94" s="2344"/>
      <c r="AU94" s="2344"/>
      <c r="AV94" s="2344"/>
      <c r="AW94" s="2344"/>
      <c r="AX94" s="2344"/>
      <c r="AY94" s="2347"/>
      <c r="AZ94" s="2347"/>
      <c r="BA94" s="2347"/>
      <c r="BB94" s="2348"/>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274" t="s">
        <v>2303</v>
      </c>
      <c r="C95" s="2275"/>
      <c r="D95" s="2275"/>
      <c r="E95" s="2275"/>
      <c r="F95" s="2275"/>
      <c r="G95" s="2275"/>
      <c r="H95" s="2275"/>
      <c r="I95" s="2356">
        <v>1740</v>
      </c>
      <c r="J95" s="2354"/>
      <c r="K95" s="2354"/>
      <c r="L95" s="2354"/>
      <c r="M95" s="2354"/>
      <c r="N95" s="2354"/>
      <c r="O95" s="2354">
        <v>1555</v>
      </c>
      <c r="P95" s="2354"/>
      <c r="Q95" s="2354"/>
      <c r="R95" s="2354"/>
      <c r="S95" s="2354"/>
      <c r="T95" s="2354"/>
      <c r="U95" s="2354"/>
      <c r="V95" s="2356">
        <v>1223</v>
      </c>
      <c r="W95" s="2354"/>
      <c r="X95" s="2354"/>
      <c r="Y95" s="2354"/>
      <c r="Z95" s="2354"/>
      <c r="AA95" s="2354"/>
      <c r="AB95" s="2354">
        <v>423</v>
      </c>
      <c r="AC95" s="2354"/>
      <c r="AD95" s="2354"/>
      <c r="AE95" s="2354"/>
      <c r="AF95" s="2354"/>
      <c r="AG95" s="2354"/>
      <c r="AH95" s="2355"/>
      <c r="AI95" s="1208"/>
      <c r="AJ95" s="2343"/>
      <c r="AK95" s="2344"/>
      <c r="AL95" s="2344"/>
      <c r="AM95" s="2344"/>
      <c r="AN95" s="2344"/>
      <c r="AO95" s="2344"/>
      <c r="AP95" s="2344"/>
      <c r="AQ95" s="2344"/>
      <c r="AR95" s="2344"/>
      <c r="AS95" s="2344"/>
      <c r="AT95" s="2344"/>
      <c r="AU95" s="2344"/>
      <c r="AV95" s="2344"/>
      <c r="AW95" s="2344"/>
      <c r="AX95" s="2344"/>
      <c r="AY95" s="2347"/>
      <c r="AZ95" s="2347"/>
      <c r="BA95" s="2347"/>
      <c r="BB95" s="2348"/>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274" t="s">
        <v>2302</v>
      </c>
      <c r="C96" s="2275"/>
      <c r="D96" s="2275"/>
      <c r="E96" s="2275"/>
      <c r="F96" s="2275"/>
      <c r="G96" s="2275"/>
      <c r="H96" s="2275"/>
      <c r="I96" s="2354">
        <v>0</v>
      </c>
      <c r="J96" s="2354"/>
      <c r="K96" s="2354"/>
      <c r="L96" s="2354"/>
      <c r="M96" s="2354"/>
      <c r="N96" s="2354"/>
      <c r="O96" s="2354">
        <v>0</v>
      </c>
      <c r="P96" s="2354"/>
      <c r="Q96" s="2354"/>
      <c r="R96" s="2354"/>
      <c r="S96" s="2354"/>
      <c r="T96" s="2354"/>
      <c r="U96" s="2354"/>
      <c r="V96" s="2354">
        <v>0</v>
      </c>
      <c r="W96" s="2354"/>
      <c r="X96" s="2354"/>
      <c r="Y96" s="2354"/>
      <c r="Z96" s="2354"/>
      <c r="AA96" s="2354"/>
      <c r="AB96" s="2354">
        <v>0</v>
      </c>
      <c r="AC96" s="2354"/>
      <c r="AD96" s="2354"/>
      <c r="AE96" s="2354"/>
      <c r="AF96" s="2354"/>
      <c r="AG96" s="2354"/>
      <c r="AH96" s="2355"/>
      <c r="AI96" s="1208"/>
      <c r="AJ96" s="2326" t="s">
        <v>2308</v>
      </c>
      <c r="AK96" s="2324"/>
      <c r="AL96" s="2324"/>
      <c r="AM96" s="2324"/>
      <c r="AN96" s="2324"/>
      <c r="AO96" s="2324"/>
      <c r="AP96" s="2324"/>
      <c r="AQ96" s="2324"/>
      <c r="AR96" s="2324"/>
      <c r="AS96" s="2324"/>
      <c r="AT96" s="2324"/>
      <c r="AU96" s="2324"/>
      <c r="AV96" s="2324"/>
      <c r="AW96" s="2324"/>
      <c r="AX96" s="2324"/>
      <c r="AY96" s="2324"/>
      <c r="AZ96" s="2324"/>
      <c r="BA96" s="2324"/>
      <c r="BB96" s="2325"/>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292" t="s">
        <v>2301</v>
      </c>
      <c r="C97" s="2293"/>
      <c r="D97" s="2293"/>
      <c r="E97" s="2293"/>
      <c r="F97" s="2293"/>
      <c r="G97" s="2293"/>
      <c r="H97" s="2293"/>
      <c r="I97" s="2352">
        <f>I96+I95</f>
        <v>1740</v>
      </c>
      <c r="J97" s="2352"/>
      <c r="K97" s="2352"/>
      <c r="L97" s="2352"/>
      <c r="M97" s="2352"/>
      <c r="N97" s="2352"/>
      <c r="O97" s="2352">
        <f>O95+O96</f>
        <v>1555</v>
      </c>
      <c r="P97" s="2352"/>
      <c r="Q97" s="2352"/>
      <c r="R97" s="2352"/>
      <c r="S97" s="2352"/>
      <c r="T97" s="2352"/>
      <c r="U97" s="2352"/>
      <c r="V97" s="2352">
        <f>V95</f>
        <v>1223</v>
      </c>
      <c r="W97" s="2352"/>
      <c r="X97" s="2352"/>
      <c r="Y97" s="2352"/>
      <c r="Z97" s="2352"/>
      <c r="AA97" s="2352"/>
      <c r="AB97" s="2352">
        <f>AB95</f>
        <v>423</v>
      </c>
      <c r="AC97" s="2352"/>
      <c r="AD97" s="2352"/>
      <c r="AE97" s="2352"/>
      <c r="AF97" s="2352"/>
      <c r="AG97" s="2352"/>
      <c r="AH97" s="2353"/>
      <c r="AI97" s="1208"/>
      <c r="AJ97" s="2327"/>
      <c r="AK97" s="2328"/>
      <c r="AL97" s="2328"/>
      <c r="AM97" s="2328"/>
      <c r="AN97" s="2328"/>
      <c r="AO97" s="2328"/>
      <c r="AP97" s="2328"/>
      <c r="AQ97" s="2328"/>
      <c r="AR97" s="2328"/>
      <c r="AS97" s="2328"/>
      <c r="AT97" s="2328"/>
      <c r="AU97" s="2328"/>
      <c r="AV97" s="2328"/>
      <c r="AW97" s="2328"/>
      <c r="AX97" s="2328"/>
      <c r="AY97" s="2328"/>
      <c r="AZ97" s="2328"/>
      <c r="BA97" s="2328"/>
      <c r="BB97" s="2329"/>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2307</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2223</v>
      </c>
      <c r="C100" s="1234"/>
      <c r="D100" s="1241"/>
      <c r="E100" s="1242"/>
      <c r="F100" s="2357" t="s">
        <v>591</v>
      </c>
      <c r="G100" s="2358"/>
      <c r="H100" s="2358"/>
      <c r="I100" s="2358"/>
      <c r="J100" s="2358"/>
      <c r="K100" s="2358"/>
      <c r="L100" s="2358"/>
      <c r="M100" s="2358"/>
      <c r="N100" s="2358"/>
      <c r="O100" s="2358"/>
      <c r="P100" s="2358"/>
      <c r="Q100" s="2358"/>
      <c r="R100" s="2359"/>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319" t="s">
        <v>2306</v>
      </c>
      <c r="C102" s="2320"/>
      <c r="D102" s="2320"/>
      <c r="E102" s="2320"/>
      <c r="F102" s="2320"/>
      <c r="G102" s="2320"/>
      <c r="H102" s="2320"/>
      <c r="I102" s="2320"/>
      <c r="J102" s="2320"/>
      <c r="K102" s="2320"/>
      <c r="L102" s="2320"/>
      <c r="M102" s="2320"/>
      <c r="N102" s="2320"/>
      <c r="O102" s="2320"/>
      <c r="P102" s="2320"/>
      <c r="Q102" s="2320"/>
      <c r="R102" s="2320"/>
      <c r="S102" s="2320"/>
      <c r="T102" s="2320"/>
      <c r="U102" s="2320"/>
      <c r="V102" s="2320"/>
      <c r="W102" s="2320"/>
      <c r="X102" s="2320"/>
      <c r="Y102" s="2320"/>
      <c r="Z102" s="2320"/>
      <c r="AA102" s="2320"/>
      <c r="AB102" s="2320"/>
      <c r="AC102" s="2320"/>
      <c r="AD102" s="2320"/>
      <c r="AE102" s="2320"/>
      <c r="AF102" s="2320"/>
      <c r="AG102" s="2320"/>
      <c r="AH102" s="2360"/>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274"/>
      <c r="C103" s="2275"/>
      <c r="D103" s="2275"/>
      <c r="E103" s="2275"/>
      <c r="F103" s="2275"/>
      <c r="G103" s="2275"/>
      <c r="H103" s="2275"/>
      <c r="I103" s="2275" t="s">
        <v>2305</v>
      </c>
      <c r="J103" s="2275"/>
      <c r="K103" s="2275"/>
      <c r="L103" s="2275"/>
      <c r="M103" s="2275"/>
      <c r="N103" s="2275"/>
      <c r="O103" s="2275" t="s">
        <v>2284</v>
      </c>
      <c r="P103" s="2275"/>
      <c r="Q103" s="2275"/>
      <c r="R103" s="2275"/>
      <c r="S103" s="2275"/>
      <c r="T103" s="2275"/>
      <c r="U103" s="2275"/>
      <c r="V103" s="2349" t="s">
        <v>2283</v>
      </c>
      <c r="W103" s="2349"/>
      <c r="X103" s="2349"/>
      <c r="Y103" s="2349"/>
      <c r="Z103" s="2349"/>
      <c r="AA103" s="2349"/>
      <c r="AB103" s="2350" t="s">
        <v>2304</v>
      </c>
      <c r="AC103" s="2350"/>
      <c r="AD103" s="2350"/>
      <c r="AE103" s="2350"/>
      <c r="AF103" s="2350"/>
      <c r="AG103" s="2350"/>
      <c r="AH103" s="2351"/>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274"/>
      <c r="C104" s="2275"/>
      <c r="D104" s="2275"/>
      <c r="E104" s="2275"/>
      <c r="F104" s="2275"/>
      <c r="G104" s="2275"/>
      <c r="H104" s="2275"/>
      <c r="I104" s="2275"/>
      <c r="J104" s="2275"/>
      <c r="K104" s="2275"/>
      <c r="L104" s="2275"/>
      <c r="M104" s="2275"/>
      <c r="N104" s="2275"/>
      <c r="O104" s="2275"/>
      <c r="P104" s="2275"/>
      <c r="Q104" s="2275"/>
      <c r="R104" s="2275"/>
      <c r="S104" s="2275"/>
      <c r="T104" s="2275"/>
      <c r="U104" s="2275"/>
      <c r="V104" s="2349"/>
      <c r="W104" s="2349"/>
      <c r="X104" s="2349"/>
      <c r="Y104" s="2349"/>
      <c r="Z104" s="2349"/>
      <c r="AA104" s="2349"/>
      <c r="AB104" s="2350"/>
      <c r="AC104" s="2350"/>
      <c r="AD104" s="2350"/>
      <c r="AE104" s="2350"/>
      <c r="AF104" s="2350"/>
      <c r="AG104" s="2350"/>
      <c r="AH104" s="2351"/>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274" t="s">
        <v>2303</v>
      </c>
      <c r="C105" s="2275"/>
      <c r="D105" s="2275"/>
      <c r="E105" s="2275"/>
      <c r="F105" s="2275"/>
      <c r="G105" s="2275"/>
      <c r="H105" s="2275"/>
      <c r="I105" s="2354">
        <v>0</v>
      </c>
      <c r="J105" s="2354"/>
      <c r="K105" s="2354"/>
      <c r="L105" s="2354"/>
      <c r="M105" s="2354"/>
      <c r="N105" s="2354"/>
      <c r="O105" s="2354">
        <v>0</v>
      </c>
      <c r="P105" s="2354"/>
      <c r="Q105" s="2354"/>
      <c r="R105" s="2354"/>
      <c r="S105" s="2354"/>
      <c r="T105" s="2354"/>
      <c r="U105" s="2354"/>
      <c r="V105" s="2354">
        <v>0</v>
      </c>
      <c r="W105" s="2354"/>
      <c r="X105" s="2354"/>
      <c r="Y105" s="2354"/>
      <c r="Z105" s="2354"/>
      <c r="AA105" s="2354"/>
      <c r="AB105" s="2354">
        <v>0</v>
      </c>
      <c r="AC105" s="2354"/>
      <c r="AD105" s="2354"/>
      <c r="AE105" s="2354"/>
      <c r="AF105" s="2354"/>
      <c r="AG105" s="2354"/>
      <c r="AH105" s="2355"/>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274" t="s">
        <v>2302</v>
      </c>
      <c r="C106" s="2275"/>
      <c r="D106" s="2275"/>
      <c r="E106" s="2275"/>
      <c r="F106" s="2275"/>
      <c r="G106" s="2275"/>
      <c r="H106" s="2275"/>
      <c r="I106" s="2354">
        <v>0</v>
      </c>
      <c r="J106" s="2354"/>
      <c r="K106" s="2354"/>
      <c r="L106" s="2354"/>
      <c r="M106" s="2354"/>
      <c r="N106" s="2354"/>
      <c r="O106" s="2354">
        <v>0</v>
      </c>
      <c r="P106" s="2354"/>
      <c r="Q106" s="2354"/>
      <c r="R106" s="2354"/>
      <c r="S106" s="2354"/>
      <c r="T106" s="2354"/>
      <c r="U106" s="2354"/>
      <c r="V106" s="2354">
        <v>0</v>
      </c>
      <c r="W106" s="2354"/>
      <c r="X106" s="2354"/>
      <c r="Y106" s="2354"/>
      <c r="Z106" s="2354"/>
      <c r="AA106" s="2354"/>
      <c r="AB106" s="2354">
        <v>0</v>
      </c>
      <c r="AC106" s="2354"/>
      <c r="AD106" s="2354"/>
      <c r="AE106" s="2354"/>
      <c r="AF106" s="2354"/>
      <c r="AG106" s="2354"/>
      <c r="AH106" s="2355"/>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292" t="s">
        <v>2301</v>
      </c>
      <c r="C107" s="2293"/>
      <c r="D107" s="2293"/>
      <c r="E107" s="2293"/>
      <c r="F107" s="2293"/>
      <c r="G107" s="2293"/>
      <c r="H107" s="2293"/>
      <c r="I107" s="2352">
        <v>0</v>
      </c>
      <c r="J107" s="2352"/>
      <c r="K107" s="2352"/>
      <c r="L107" s="2352"/>
      <c r="M107" s="2352"/>
      <c r="N107" s="2352"/>
      <c r="O107" s="2352">
        <v>0</v>
      </c>
      <c r="P107" s="2352"/>
      <c r="Q107" s="2352"/>
      <c r="R107" s="2352"/>
      <c r="S107" s="2352"/>
      <c r="T107" s="2352"/>
      <c r="U107" s="2352"/>
      <c r="V107" s="2352">
        <v>0</v>
      </c>
      <c r="W107" s="2352"/>
      <c r="X107" s="2352"/>
      <c r="Y107" s="2352"/>
      <c r="Z107" s="2352"/>
      <c r="AA107" s="2352"/>
      <c r="AB107" s="2352">
        <v>0</v>
      </c>
      <c r="AC107" s="2352"/>
      <c r="AD107" s="2352"/>
      <c r="AE107" s="2352"/>
      <c r="AF107" s="2352"/>
      <c r="AG107" s="2352"/>
      <c r="AH107" s="2353"/>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2300</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2223</v>
      </c>
      <c r="C110" s="1234"/>
      <c r="D110" s="1241"/>
      <c r="E110" s="1242"/>
      <c r="F110" s="2357"/>
      <c r="G110" s="2358"/>
      <c r="H110" s="2358"/>
      <c r="I110" s="2358"/>
      <c r="J110" s="2358"/>
      <c r="K110" s="2358"/>
      <c r="L110" s="2358"/>
      <c r="M110" s="2358"/>
      <c r="N110" s="2358"/>
      <c r="O110" s="2358"/>
      <c r="P110" s="2358"/>
      <c r="Q110" s="2358"/>
      <c r="R110" s="2359"/>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361" t="s">
        <v>2611</v>
      </c>
      <c r="C112" s="2362"/>
      <c r="D112" s="2362"/>
      <c r="E112" s="2362"/>
      <c r="F112" s="2362"/>
      <c r="G112" s="2362"/>
      <c r="H112" s="2362"/>
      <c r="I112" s="2362"/>
      <c r="J112" s="2362"/>
      <c r="K112" s="2362"/>
      <c r="L112" s="2362"/>
      <c r="M112" s="2362"/>
      <c r="N112" s="2362"/>
      <c r="O112" s="2362"/>
      <c r="P112" s="2362"/>
      <c r="Q112" s="2362"/>
      <c r="R112" s="2362"/>
      <c r="S112" s="2362"/>
      <c r="T112" s="2362"/>
      <c r="U112" s="2365" t="s">
        <v>545</v>
      </c>
      <c r="V112" s="2365"/>
      <c r="W112" s="2365"/>
      <c r="X112" s="2366"/>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363"/>
      <c r="C113" s="2364"/>
      <c r="D113" s="2364"/>
      <c r="E113" s="2364"/>
      <c r="F113" s="2364"/>
      <c r="G113" s="2364"/>
      <c r="H113" s="2364"/>
      <c r="I113" s="2364"/>
      <c r="J113" s="2364"/>
      <c r="K113" s="2364"/>
      <c r="L113" s="2364"/>
      <c r="M113" s="2364"/>
      <c r="N113" s="2364"/>
      <c r="O113" s="2364"/>
      <c r="P113" s="2364"/>
      <c r="Q113" s="2364"/>
      <c r="R113" s="2364"/>
      <c r="S113" s="2364"/>
      <c r="T113" s="2364"/>
      <c r="U113" s="2367"/>
      <c r="V113" s="2367"/>
      <c r="W113" s="2367"/>
      <c r="X113" s="2368"/>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363"/>
      <c r="C114" s="2364"/>
      <c r="D114" s="2364"/>
      <c r="E114" s="2364"/>
      <c r="F114" s="2364"/>
      <c r="G114" s="2364"/>
      <c r="H114" s="2364"/>
      <c r="I114" s="2364"/>
      <c r="J114" s="2364"/>
      <c r="K114" s="2364"/>
      <c r="L114" s="2364"/>
      <c r="M114" s="2364"/>
      <c r="N114" s="2364"/>
      <c r="O114" s="2364"/>
      <c r="P114" s="2364"/>
      <c r="Q114" s="2364"/>
      <c r="R114" s="2364"/>
      <c r="S114" s="2364"/>
      <c r="T114" s="2364"/>
      <c r="U114" s="2367"/>
      <c r="V114" s="2367"/>
      <c r="W114" s="2367"/>
      <c r="X114" s="2368"/>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363"/>
      <c r="C115" s="2364"/>
      <c r="D115" s="2364"/>
      <c r="E115" s="2364"/>
      <c r="F115" s="2364"/>
      <c r="G115" s="2364"/>
      <c r="H115" s="2364"/>
      <c r="I115" s="2364"/>
      <c r="J115" s="2364"/>
      <c r="K115" s="2364"/>
      <c r="L115" s="2364"/>
      <c r="M115" s="2364"/>
      <c r="N115" s="2364"/>
      <c r="O115" s="2364"/>
      <c r="P115" s="2364"/>
      <c r="Q115" s="2364"/>
      <c r="R115" s="2364"/>
      <c r="S115" s="2364"/>
      <c r="T115" s="2364"/>
      <c r="U115" s="2367"/>
      <c r="V115" s="2367"/>
      <c r="W115" s="2367"/>
      <c r="X115" s="2368"/>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323" t="s">
        <v>2611</v>
      </c>
      <c r="C116" s="2369"/>
      <c r="D116" s="2369"/>
      <c r="E116" s="2369"/>
      <c r="F116" s="2369"/>
      <c r="G116" s="2369"/>
      <c r="H116" s="2369"/>
      <c r="I116" s="2369"/>
      <c r="J116" s="2369"/>
      <c r="K116" s="2369"/>
      <c r="L116" s="2369"/>
      <c r="M116" s="2369"/>
      <c r="N116" s="2369"/>
      <c r="O116" s="2369"/>
      <c r="P116" s="2369"/>
      <c r="Q116" s="2369"/>
      <c r="R116" s="2369"/>
      <c r="S116" s="2369"/>
      <c r="T116" s="2369"/>
      <c r="U116" s="2372" t="s">
        <v>545</v>
      </c>
      <c r="V116" s="2372"/>
      <c r="W116" s="2372"/>
      <c r="X116" s="2373"/>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370"/>
      <c r="C117" s="2371"/>
      <c r="D117" s="2371"/>
      <c r="E117" s="2371"/>
      <c r="F117" s="2371"/>
      <c r="G117" s="2371"/>
      <c r="H117" s="2371"/>
      <c r="I117" s="2371"/>
      <c r="J117" s="2371"/>
      <c r="K117" s="2371"/>
      <c r="L117" s="2371"/>
      <c r="M117" s="2371"/>
      <c r="N117" s="2371"/>
      <c r="O117" s="2371"/>
      <c r="P117" s="2371"/>
      <c r="Q117" s="2371"/>
      <c r="R117" s="2371"/>
      <c r="S117" s="2371"/>
      <c r="T117" s="2371"/>
      <c r="U117" s="2374"/>
      <c r="V117" s="2374"/>
      <c r="W117" s="2374"/>
      <c r="X117" s="2375"/>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2299</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341" t="s">
        <v>2298</v>
      </c>
      <c r="Y120" s="2342"/>
      <c r="Z120" s="2342"/>
      <c r="AA120" s="2342"/>
      <c r="AB120" s="2342"/>
      <c r="AC120" s="2342"/>
      <c r="AD120" s="2342"/>
      <c r="AE120" s="2342"/>
      <c r="AF120" s="2342"/>
      <c r="AG120" s="2342"/>
      <c r="AH120" s="2342"/>
      <c r="AI120" s="2342"/>
      <c r="AJ120" s="2342"/>
      <c r="AK120" s="2342"/>
      <c r="AL120" s="2342"/>
      <c r="AM120" s="2342"/>
      <c r="AN120" s="2342"/>
      <c r="AO120" s="2342"/>
      <c r="AP120" s="2342"/>
      <c r="AQ120" s="2342"/>
      <c r="AR120" s="2342"/>
      <c r="AS120" s="2342"/>
      <c r="AT120" s="2342"/>
      <c r="AU120" s="2342"/>
      <c r="AV120" s="2342"/>
      <c r="AW120" s="2342"/>
      <c r="AX120" s="2342"/>
      <c r="AY120" s="2342"/>
      <c r="AZ120" s="2342"/>
      <c r="BA120" s="2342"/>
      <c r="BB120" s="2342"/>
      <c r="BC120" s="2342"/>
      <c r="BD120" s="2382"/>
      <c r="BE120" s="1215"/>
    </row>
    <row r="121" spans="1:57" ht="15.75" customHeight="1">
      <c r="A121" s="1208"/>
      <c r="B121" s="2384" t="s">
        <v>1565</v>
      </c>
      <c r="C121" s="2385"/>
      <c r="D121" s="2385"/>
      <c r="E121" s="2385"/>
      <c r="F121" s="2385"/>
      <c r="G121" s="2385"/>
      <c r="H121" s="2385"/>
      <c r="I121" s="2385"/>
      <c r="J121" s="2385"/>
      <c r="K121" s="2385"/>
      <c r="L121" s="2385"/>
      <c r="M121" s="2385"/>
      <c r="N121" s="2385"/>
      <c r="O121" s="2385"/>
      <c r="P121" s="2385"/>
      <c r="Q121" s="2385"/>
      <c r="R121" s="2385"/>
      <c r="S121" s="2385"/>
      <c r="T121" s="2385"/>
      <c r="U121" s="2386"/>
      <c r="V121" s="1208"/>
      <c r="W121" s="1208"/>
      <c r="X121" s="2343"/>
      <c r="Y121" s="2344"/>
      <c r="Z121" s="2344"/>
      <c r="AA121" s="2344"/>
      <c r="AB121" s="2344"/>
      <c r="AC121" s="2344"/>
      <c r="AD121" s="2344"/>
      <c r="AE121" s="2344"/>
      <c r="AF121" s="2344"/>
      <c r="AG121" s="2344"/>
      <c r="AH121" s="2344"/>
      <c r="AI121" s="2344"/>
      <c r="AJ121" s="2344"/>
      <c r="AK121" s="2344"/>
      <c r="AL121" s="2344"/>
      <c r="AM121" s="2344"/>
      <c r="AN121" s="2344"/>
      <c r="AO121" s="2344"/>
      <c r="AP121" s="2344"/>
      <c r="AQ121" s="2344"/>
      <c r="AR121" s="2344"/>
      <c r="AS121" s="2344"/>
      <c r="AT121" s="2344"/>
      <c r="AU121" s="2344"/>
      <c r="AV121" s="2344"/>
      <c r="AW121" s="2344"/>
      <c r="AX121" s="2344"/>
      <c r="AY121" s="2344"/>
      <c r="AZ121" s="2344"/>
      <c r="BA121" s="2344"/>
      <c r="BB121" s="2344"/>
      <c r="BC121" s="2344"/>
      <c r="BD121" s="2383"/>
      <c r="BE121" s="1215"/>
    </row>
    <row r="122" spans="1:57" ht="15.75" customHeight="1">
      <c r="A122" s="1208"/>
      <c r="B122" s="2403"/>
      <c r="C122" s="2404"/>
      <c r="D122" s="2404"/>
      <c r="E122" s="2404"/>
      <c r="F122" s="2404"/>
      <c r="G122" s="2404"/>
      <c r="H122" s="2404"/>
      <c r="I122" s="2275" t="s">
        <v>2297</v>
      </c>
      <c r="J122" s="2275"/>
      <c r="K122" s="2275"/>
      <c r="L122" s="2275"/>
      <c r="M122" s="2275"/>
      <c r="N122" s="2275"/>
      <c r="O122" s="2407" t="s">
        <v>2296</v>
      </c>
      <c r="P122" s="2407"/>
      <c r="Q122" s="2407"/>
      <c r="R122" s="2407"/>
      <c r="S122" s="2407"/>
      <c r="T122" s="2407"/>
      <c r="U122" s="2408"/>
      <c r="V122" s="1208"/>
      <c r="W122" s="1208"/>
      <c r="X122" s="2323" t="s">
        <v>2763</v>
      </c>
      <c r="Y122" s="2324"/>
      <c r="Z122" s="2324"/>
      <c r="AA122" s="2324"/>
      <c r="AB122" s="2324"/>
      <c r="AC122" s="2324"/>
      <c r="AD122" s="2324"/>
      <c r="AE122" s="2324"/>
      <c r="AF122" s="2324"/>
      <c r="AG122" s="2324"/>
      <c r="AH122" s="2324"/>
      <c r="AI122" s="2324"/>
      <c r="AJ122" s="2324"/>
      <c r="AK122" s="2324"/>
      <c r="AL122" s="2324"/>
      <c r="AM122" s="2324"/>
      <c r="AN122" s="2324"/>
      <c r="AO122" s="2324"/>
      <c r="AP122" s="2324"/>
      <c r="AQ122" s="2324"/>
      <c r="AR122" s="2324"/>
      <c r="AS122" s="2324"/>
      <c r="AT122" s="2324"/>
      <c r="AU122" s="2324"/>
      <c r="AV122" s="2324"/>
      <c r="AW122" s="2324"/>
      <c r="AX122" s="2324"/>
      <c r="AY122" s="2324"/>
      <c r="AZ122" s="2324"/>
      <c r="BA122" s="2324"/>
      <c r="BB122" s="2324"/>
      <c r="BC122" s="2324"/>
      <c r="BD122" s="2325"/>
      <c r="BE122" s="1215"/>
    </row>
    <row r="123" spans="1:57" ht="15.75" customHeight="1">
      <c r="A123" s="1208"/>
      <c r="B123" s="2376" t="s">
        <v>2282</v>
      </c>
      <c r="C123" s="2377"/>
      <c r="D123" s="2377"/>
      <c r="E123" s="2377"/>
      <c r="F123" s="2377"/>
      <c r="G123" s="2377"/>
      <c r="H123" s="2377"/>
      <c r="I123" s="2354">
        <v>150</v>
      </c>
      <c r="J123" s="2354"/>
      <c r="K123" s="2354"/>
      <c r="L123" s="2354"/>
      <c r="M123" s="2354"/>
      <c r="N123" s="2354"/>
      <c r="O123" s="2354">
        <v>14</v>
      </c>
      <c r="P123" s="2354"/>
      <c r="Q123" s="2354"/>
      <c r="R123" s="2354"/>
      <c r="S123" s="2354"/>
      <c r="T123" s="2354"/>
      <c r="U123" s="2355"/>
      <c r="V123" s="1208"/>
      <c r="W123" s="1208"/>
      <c r="X123" s="2326"/>
      <c r="Y123" s="2324"/>
      <c r="Z123" s="2324"/>
      <c r="AA123" s="2324"/>
      <c r="AB123" s="2324"/>
      <c r="AC123" s="2324"/>
      <c r="AD123" s="2324"/>
      <c r="AE123" s="2324"/>
      <c r="AF123" s="2324"/>
      <c r="AG123" s="2324"/>
      <c r="AH123" s="2324"/>
      <c r="AI123" s="2324"/>
      <c r="AJ123" s="2324"/>
      <c r="AK123" s="2324"/>
      <c r="AL123" s="2324"/>
      <c r="AM123" s="2324"/>
      <c r="AN123" s="2324"/>
      <c r="AO123" s="2324"/>
      <c r="AP123" s="2324"/>
      <c r="AQ123" s="2324"/>
      <c r="AR123" s="2324"/>
      <c r="AS123" s="2324"/>
      <c r="AT123" s="2324"/>
      <c r="AU123" s="2324"/>
      <c r="AV123" s="2324"/>
      <c r="AW123" s="2324"/>
      <c r="AX123" s="2324"/>
      <c r="AY123" s="2324"/>
      <c r="AZ123" s="2324"/>
      <c r="BA123" s="2324"/>
      <c r="BB123" s="2324"/>
      <c r="BC123" s="2324"/>
      <c r="BD123" s="2325"/>
      <c r="BE123" s="1215"/>
    </row>
    <row r="124" spans="1:57" ht="15.75" customHeight="1" thickBot="1">
      <c r="A124" s="1208"/>
      <c r="B124" s="2378" t="s">
        <v>2281</v>
      </c>
      <c r="C124" s="2379"/>
      <c r="D124" s="2379"/>
      <c r="E124" s="2379"/>
      <c r="F124" s="2379"/>
      <c r="G124" s="2379"/>
      <c r="H124" s="2379"/>
      <c r="I124" s="2352">
        <v>300</v>
      </c>
      <c r="J124" s="2352"/>
      <c r="K124" s="2352"/>
      <c r="L124" s="2352"/>
      <c r="M124" s="2352"/>
      <c r="N124" s="2352"/>
      <c r="O124" s="2380"/>
      <c r="P124" s="2380"/>
      <c r="Q124" s="2380"/>
      <c r="R124" s="2380"/>
      <c r="S124" s="2380"/>
      <c r="T124" s="2380"/>
      <c r="U124" s="2381"/>
      <c r="V124" s="1208"/>
      <c r="W124" s="1208"/>
      <c r="X124" s="2326"/>
      <c r="Y124" s="2324"/>
      <c r="Z124" s="2324"/>
      <c r="AA124" s="2324"/>
      <c r="AB124" s="2324"/>
      <c r="AC124" s="2324"/>
      <c r="AD124" s="2324"/>
      <c r="AE124" s="2324"/>
      <c r="AF124" s="2324"/>
      <c r="AG124" s="2324"/>
      <c r="AH124" s="2324"/>
      <c r="AI124" s="2324"/>
      <c r="AJ124" s="2324"/>
      <c r="AK124" s="2324"/>
      <c r="AL124" s="2324"/>
      <c r="AM124" s="2324"/>
      <c r="AN124" s="2324"/>
      <c r="AO124" s="2324"/>
      <c r="AP124" s="2324"/>
      <c r="AQ124" s="2324"/>
      <c r="AR124" s="2324"/>
      <c r="AS124" s="2324"/>
      <c r="AT124" s="2324"/>
      <c r="AU124" s="2324"/>
      <c r="AV124" s="2324"/>
      <c r="AW124" s="2324"/>
      <c r="AX124" s="2324"/>
      <c r="AY124" s="2324"/>
      <c r="AZ124" s="2324"/>
      <c r="BA124" s="2324"/>
      <c r="BB124" s="2324"/>
      <c r="BC124" s="2324"/>
      <c r="BD124" s="2325"/>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326"/>
      <c r="Y125" s="2324"/>
      <c r="Z125" s="2324"/>
      <c r="AA125" s="2324"/>
      <c r="AB125" s="2324"/>
      <c r="AC125" s="2324"/>
      <c r="AD125" s="2324"/>
      <c r="AE125" s="2324"/>
      <c r="AF125" s="2324"/>
      <c r="AG125" s="2324"/>
      <c r="AH125" s="2324"/>
      <c r="AI125" s="2324"/>
      <c r="AJ125" s="2324"/>
      <c r="AK125" s="2324"/>
      <c r="AL125" s="2324"/>
      <c r="AM125" s="2324"/>
      <c r="AN125" s="2324"/>
      <c r="AO125" s="2324"/>
      <c r="AP125" s="2324"/>
      <c r="AQ125" s="2324"/>
      <c r="AR125" s="2324"/>
      <c r="AS125" s="2324"/>
      <c r="AT125" s="2324"/>
      <c r="AU125" s="2324"/>
      <c r="AV125" s="2324"/>
      <c r="AW125" s="2324"/>
      <c r="AX125" s="2324"/>
      <c r="AY125" s="2324"/>
      <c r="AZ125" s="2324"/>
      <c r="BA125" s="2324"/>
      <c r="BB125" s="2324"/>
      <c r="BC125" s="2324"/>
      <c r="BD125" s="2325"/>
      <c r="BE125" s="1215"/>
    </row>
    <row r="126" spans="1:57" ht="15.75" customHeight="1" thickBot="1">
      <c r="A126" s="1208"/>
      <c r="B126" s="1231" t="s">
        <v>2295</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326"/>
      <c r="Y126" s="2324"/>
      <c r="Z126" s="2324"/>
      <c r="AA126" s="2324"/>
      <c r="AB126" s="2324"/>
      <c r="AC126" s="2324"/>
      <c r="AD126" s="2324"/>
      <c r="AE126" s="2324"/>
      <c r="AF126" s="2324"/>
      <c r="AG126" s="2324"/>
      <c r="AH126" s="2324"/>
      <c r="AI126" s="2324"/>
      <c r="AJ126" s="2324"/>
      <c r="AK126" s="2324"/>
      <c r="AL126" s="2324"/>
      <c r="AM126" s="2324"/>
      <c r="AN126" s="2324"/>
      <c r="AO126" s="2324"/>
      <c r="AP126" s="2324"/>
      <c r="AQ126" s="2324"/>
      <c r="AR126" s="2324"/>
      <c r="AS126" s="2324"/>
      <c r="AT126" s="2324"/>
      <c r="AU126" s="2324"/>
      <c r="AV126" s="2324"/>
      <c r="AW126" s="2324"/>
      <c r="AX126" s="2324"/>
      <c r="AY126" s="2324"/>
      <c r="AZ126" s="2324"/>
      <c r="BA126" s="2324"/>
      <c r="BB126" s="2324"/>
      <c r="BC126" s="2324"/>
      <c r="BD126" s="2325"/>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326"/>
      <c r="Y127" s="2324"/>
      <c r="Z127" s="2324"/>
      <c r="AA127" s="2324"/>
      <c r="AB127" s="2324"/>
      <c r="AC127" s="2324"/>
      <c r="AD127" s="2324"/>
      <c r="AE127" s="2324"/>
      <c r="AF127" s="2324"/>
      <c r="AG127" s="2324"/>
      <c r="AH127" s="2324"/>
      <c r="AI127" s="2324"/>
      <c r="AJ127" s="2324"/>
      <c r="AK127" s="2324"/>
      <c r="AL127" s="2324"/>
      <c r="AM127" s="2324"/>
      <c r="AN127" s="2324"/>
      <c r="AO127" s="2324"/>
      <c r="AP127" s="2324"/>
      <c r="AQ127" s="2324"/>
      <c r="AR127" s="2324"/>
      <c r="AS127" s="2324"/>
      <c r="AT127" s="2324"/>
      <c r="AU127" s="2324"/>
      <c r="AV127" s="2324"/>
      <c r="AW127" s="2324"/>
      <c r="AX127" s="2324"/>
      <c r="AY127" s="2324"/>
      <c r="AZ127" s="2324"/>
      <c r="BA127" s="2324"/>
      <c r="BB127" s="2324"/>
      <c r="BC127" s="2324"/>
      <c r="BD127" s="2325"/>
      <c r="BE127" s="1215"/>
    </row>
    <row r="128" spans="1:57" ht="15.75" customHeight="1">
      <c r="A128" s="1208"/>
      <c r="B128" s="2176" t="s">
        <v>2294</v>
      </c>
      <c r="C128" s="2177"/>
      <c r="D128" s="2177"/>
      <c r="E128" s="2177"/>
      <c r="F128" s="2177"/>
      <c r="G128" s="2177"/>
      <c r="H128" s="2177"/>
      <c r="I128" s="2177"/>
      <c r="J128" s="2177"/>
      <c r="K128" s="2177"/>
      <c r="L128" s="2177"/>
      <c r="M128" s="2177"/>
      <c r="N128" s="2177"/>
      <c r="O128" s="2177"/>
      <c r="P128" s="2177"/>
      <c r="Q128" s="2177"/>
      <c r="R128" s="2177"/>
      <c r="S128" s="2177"/>
      <c r="T128" s="2177"/>
      <c r="U128" s="2178"/>
      <c r="V128" s="1208"/>
      <c r="W128" s="1208"/>
      <c r="X128" s="2326"/>
      <c r="Y128" s="2324"/>
      <c r="Z128" s="2324"/>
      <c r="AA128" s="2324"/>
      <c r="AB128" s="2324"/>
      <c r="AC128" s="2324"/>
      <c r="AD128" s="2324"/>
      <c r="AE128" s="2324"/>
      <c r="AF128" s="2324"/>
      <c r="AG128" s="2324"/>
      <c r="AH128" s="2324"/>
      <c r="AI128" s="2324"/>
      <c r="AJ128" s="2324"/>
      <c r="AK128" s="2324"/>
      <c r="AL128" s="2324"/>
      <c r="AM128" s="2324"/>
      <c r="AN128" s="2324"/>
      <c r="AO128" s="2324"/>
      <c r="AP128" s="2324"/>
      <c r="AQ128" s="2324"/>
      <c r="AR128" s="2324"/>
      <c r="AS128" s="2324"/>
      <c r="AT128" s="2324"/>
      <c r="AU128" s="2324"/>
      <c r="AV128" s="2324"/>
      <c r="AW128" s="2324"/>
      <c r="AX128" s="2324"/>
      <c r="AY128" s="2324"/>
      <c r="AZ128" s="2324"/>
      <c r="BA128" s="2324"/>
      <c r="BB128" s="2324"/>
      <c r="BC128" s="2324"/>
      <c r="BD128" s="2325"/>
      <c r="BE128" s="1215"/>
    </row>
    <row r="129" spans="1:57" ht="15.75" customHeight="1">
      <c r="A129" s="1208"/>
      <c r="B129" s="2403"/>
      <c r="C129" s="2404"/>
      <c r="D129" s="2404"/>
      <c r="E129" s="2404"/>
      <c r="F129" s="2404"/>
      <c r="G129" s="2404"/>
      <c r="H129" s="2404"/>
      <c r="I129" s="2405" t="s">
        <v>2284</v>
      </c>
      <c r="J129" s="2405"/>
      <c r="K129" s="2405"/>
      <c r="L129" s="2405"/>
      <c r="M129" s="2405"/>
      <c r="N129" s="2405"/>
      <c r="O129" s="2405"/>
      <c r="P129" s="2405" t="s">
        <v>2283</v>
      </c>
      <c r="Q129" s="2405"/>
      <c r="R129" s="2405"/>
      <c r="S129" s="2405"/>
      <c r="T129" s="2405"/>
      <c r="U129" s="2406"/>
      <c r="V129" s="1208"/>
      <c r="W129" s="1208"/>
      <c r="X129" s="2326"/>
      <c r="Y129" s="2324"/>
      <c r="Z129" s="2324"/>
      <c r="AA129" s="2324"/>
      <c r="AB129" s="2324"/>
      <c r="AC129" s="2324"/>
      <c r="AD129" s="2324"/>
      <c r="AE129" s="2324"/>
      <c r="AF129" s="2324"/>
      <c r="AG129" s="2324"/>
      <c r="AH129" s="2324"/>
      <c r="AI129" s="2324"/>
      <c r="AJ129" s="2324"/>
      <c r="AK129" s="2324"/>
      <c r="AL129" s="2324"/>
      <c r="AM129" s="2324"/>
      <c r="AN129" s="2324"/>
      <c r="AO129" s="2324"/>
      <c r="AP129" s="2324"/>
      <c r="AQ129" s="2324"/>
      <c r="AR129" s="2324"/>
      <c r="AS129" s="2324"/>
      <c r="AT129" s="2324"/>
      <c r="AU129" s="2324"/>
      <c r="AV129" s="2324"/>
      <c r="AW129" s="2324"/>
      <c r="AX129" s="2324"/>
      <c r="AY129" s="2324"/>
      <c r="AZ129" s="2324"/>
      <c r="BA129" s="2324"/>
      <c r="BB129" s="2324"/>
      <c r="BC129" s="2324"/>
      <c r="BD129" s="2325"/>
      <c r="BE129" s="1215"/>
    </row>
    <row r="130" spans="1:57" ht="15.75" customHeight="1">
      <c r="A130" s="1208"/>
      <c r="B130" s="2403"/>
      <c r="C130" s="2404"/>
      <c r="D130" s="2404"/>
      <c r="E130" s="2404"/>
      <c r="F130" s="2404"/>
      <c r="G130" s="2404"/>
      <c r="H130" s="2404"/>
      <c r="I130" s="2405"/>
      <c r="J130" s="2405"/>
      <c r="K130" s="2405"/>
      <c r="L130" s="2405"/>
      <c r="M130" s="2405"/>
      <c r="N130" s="2405"/>
      <c r="O130" s="2405"/>
      <c r="P130" s="2405"/>
      <c r="Q130" s="2405"/>
      <c r="R130" s="2405"/>
      <c r="S130" s="2405"/>
      <c r="T130" s="2405"/>
      <c r="U130" s="2406"/>
      <c r="V130" s="1208"/>
      <c r="W130" s="1208"/>
      <c r="X130" s="2326"/>
      <c r="Y130" s="2324"/>
      <c r="Z130" s="2324"/>
      <c r="AA130" s="2324"/>
      <c r="AB130" s="2324"/>
      <c r="AC130" s="2324"/>
      <c r="AD130" s="2324"/>
      <c r="AE130" s="2324"/>
      <c r="AF130" s="2324"/>
      <c r="AG130" s="2324"/>
      <c r="AH130" s="2324"/>
      <c r="AI130" s="2324"/>
      <c r="AJ130" s="2324"/>
      <c r="AK130" s="2324"/>
      <c r="AL130" s="2324"/>
      <c r="AM130" s="2324"/>
      <c r="AN130" s="2324"/>
      <c r="AO130" s="2324"/>
      <c r="AP130" s="2324"/>
      <c r="AQ130" s="2324"/>
      <c r="AR130" s="2324"/>
      <c r="AS130" s="2324"/>
      <c r="AT130" s="2324"/>
      <c r="AU130" s="2324"/>
      <c r="AV130" s="2324"/>
      <c r="AW130" s="2324"/>
      <c r="AX130" s="2324"/>
      <c r="AY130" s="2324"/>
      <c r="AZ130" s="2324"/>
      <c r="BA130" s="2324"/>
      <c r="BB130" s="2324"/>
      <c r="BC130" s="2324"/>
      <c r="BD130" s="2325"/>
      <c r="BE130" s="1215"/>
    </row>
    <row r="131" spans="1:57" ht="15.75" customHeight="1">
      <c r="A131" s="1208"/>
      <c r="B131" s="2376" t="s">
        <v>2282</v>
      </c>
      <c r="C131" s="2377"/>
      <c r="D131" s="2377"/>
      <c r="E131" s="2377"/>
      <c r="F131" s="2377"/>
      <c r="G131" s="2377"/>
      <c r="H131" s="2377"/>
      <c r="I131" s="2354">
        <v>7</v>
      </c>
      <c r="J131" s="2354"/>
      <c r="K131" s="2354"/>
      <c r="L131" s="2354"/>
      <c r="M131" s="2354"/>
      <c r="N131" s="2354"/>
      <c r="O131" s="2354"/>
      <c r="P131" s="2354">
        <v>7</v>
      </c>
      <c r="Q131" s="2354"/>
      <c r="R131" s="2354"/>
      <c r="S131" s="2354"/>
      <c r="T131" s="2354"/>
      <c r="U131" s="2355"/>
      <c r="V131" s="1208"/>
      <c r="W131" s="1208"/>
      <c r="X131" s="2326"/>
      <c r="Y131" s="2324"/>
      <c r="Z131" s="2324"/>
      <c r="AA131" s="2324"/>
      <c r="AB131" s="2324"/>
      <c r="AC131" s="2324"/>
      <c r="AD131" s="2324"/>
      <c r="AE131" s="2324"/>
      <c r="AF131" s="2324"/>
      <c r="AG131" s="2324"/>
      <c r="AH131" s="2324"/>
      <c r="AI131" s="2324"/>
      <c r="AJ131" s="2324"/>
      <c r="AK131" s="2324"/>
      <c r="AL131" s="2324"/>
      <c r="AM131" s="2324"/>
      <c r="AN131" s="2324"/>
      <c r="AO131" s="2324"/>
      <c r="AP131" s="2324"/>
      <c r="AQ131" s="2324"/>
      <c r="AR131" s="2324"/>
      <c r="AS131" s="2324"/>
      <c r="AT131" s="2324"/>
      <c r="AU131" s="2324"/>
      <c r="AV131" s="2324"/>
      <c r="AW131" s="2324"/>
      <c r="AX131" s="2324"/>
      <c r="AY131" s="2324"/>
      <c r="AZ131" s="2324"/>
      <c r="BA131" s="2324"/>
      <c r="BB131" s="2324"/>
      <c r="BC131" s="2324"/>
      <c r="BD131" s="2325"/>
      <c r="BE131" s="1215"/>
    </row>
    <row r="132" spans="1:57" ht="15.75" customHeight="1" thickBot="1">
      <c r="A132" s="1208"/>
      <c r="B132" s="2378" t="s">
        <v>2281</v>
      </c>
      <c r="C132" s="2379"/>
      <c r="D132" s="2379"/>
      <c r="E132" s="2379"/>
      <c r="F132" s="2379"/>
      <c r="G132" s="2379"/>
      <c r="H132" s="2379"/>
      <c r="I132" s="2352">
        <v>0</v>
      </c>
      <c r="J132" s="2352"/>
      <c r="K132" s="2352"/>
      <c r="L132" s="2352"/>
      <c r="M132" s="2352"/>
      <c r="N132" s="2352"/>
      <c r="O132" s="2352"/>
      <c r="P132" s="2352">
        <v>0</v>
      </c>
      <c r="Q132" s="2352"/>
      <c r="R132" s="2352"/>
      <c r="S132" s="2352"/>
      <c r="T132" s="2352"/>
      <c r="U132" s="2353"/>
      <c r="V132" s="1208"/>
      <c r="W132" s="1208"/>
      <c r="X132" s="2327"/>
      <c r="Y132" s="2328"/>
      <c r="Z132" s="2328"/>
      <c r="AA132" s="2328"/>
      <c r="AB132" s="2328"/>
      <c r="AC132" s="2328"/>
      <c r="AD132" s="2328"/>
      <c r="AE132" s="2328"/>
      <c r="AF132" s="2328"/>
      <c r="AG132" s="2328"/>
      <c r="AH132" s="2328"/>
      <c r="AI132" s="2328"/>
      <c r="AJ132" s="2328"/>
      <c r="AK132" s="2328"/>
      <c r="AL132" s="2328"/>
      <c r="AM132" s="2328"/>
      <c r="AN132" s="2328"/>
      <c r="AO132" s="2328"/>
      <c r="AP132" s="2328"/>
      <c r="AQ132" s="2328"/>
      <c r="AR132" s="2328"/>
      <c r="AS132" s="2328"/>
      <c r="AT132" s="2328"/>
      <c r="AU132" s="2328"/>
      <c r="AV132" s="2328"/>
      <c r="AW132" s="2328"/>
      <c r="AX132" s="2328"/>
      <c r="AY132" s="2328"/>
      <c r="AZ132" s="2328"/>
      <c r="BA132" s="2328"/>
      <c r="BB132" s="2328"/>
      <c r="BC132" s="2328"/>
      <c r="BD132" s="2329"/>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401" t="s">
        <v>2293</v>
      </c>
      <c r="C134" s="2402"/>
      <c r="D134" s="2402"/>
      <c r="E134" s="2402"/>
      <c r="F134" s="2402"/>
      <c r="G134" s="2402"/>
      <c r="H134" s="2402"/>
      <c r="I134" s="2402"/>
      <c r="J134" s="2402"/>
      <c r="K134" s="2402"/>
      <c r="L134" s="2402"/>
      <c r="M134" s="2402"/>
      <c r="N134" s="2402"/>
      <c r="O134" s="2402"/>
      <c r="P134" s="2402"/>
      <c r="Q134" s="2402"/>
      <c r="R134" s="2402"/>
      <c r="S134" s="2402"/>
      <c r="T134" s="2402"/>
      <c r="U134" s="2402"/>
      <c r="V134" s="2402"/>
      <c r="W134" s="2402"/>
      <c r="X134" s="2402"/>
      <c r="Y134" s="2402"/>
      <c r="Z134" s="2402"/>
      <c r="AA134" s="2402"/>
      <c r="AB134" s="2402"/>
      <c r="AC134" s="2402"/>
      <c r="AD134" s="2402"/>
      <c r="AE134" s="2402"/>
      <c r="AF134" s="2402"/>
      <c r="AG134" s="2402"/>
      <c r="AH134" s="2299" t="s">
        <v>545</v>
      </c>
      <c r="AI134" s="2299"/>
      <c r="AJ134" s="2299"/>
      <c r="AK134" s="2299"/>
      <c r="AL134" s="2299"/>
      <c r="AM134" s="2299"/>
      <c r="AN134" s="2299"/>
      <c r="AO134" s="2299"/>
      <c r="AP134" s="2299"/>
      <c r="AQ134" s="2299"/>
      <c r="AR134" s="2299"/>
      <c r="AS134" s="2299"/>
      <c r="AT134" s="2299"/>
      <c r="AU134" s="2299"/>
      <c r="AV134" s="2299"/>
      <c r="AW134" s="2299"/>
      <c r="AX134" s="2300"/>
      <c r="AY134" s="1208"/>
      <c r="AZ134" s="1208"/>
      <c r="BA134" s="1208"/>
      <c r="BB134" s="1208"/>
      <c r="BC134" s="1208"/>
      <c r="BD134" s="1208"/>
      <c r="BE134" s="1215"/>
    </row>
    <row r="135" spans="1:57" ht="15.75" customHeight="1" thickBot="1">
      <c r="A135" s="1208"/>
      <c r="B135" s="2387" t="s">
        <v>2292</v>
      </c>
      <c r="C135" s="2388"/>
      <c r="D135" s="2388"/>
      <c r="E135" s="2388"/>
      <c r="F135" s="2388"/>
      <c r="G135" s="2388"/>
      <c r="H135" s="2388"/>
      <c r="I135" s="2388"/>
      <c r="J135" s="2388"/>
      <c r="K135" s="2388"/>
      <c r="L135" s="2388"/>
      <c r="M135" s="2388"/>
      <c r="N135" s="2388"/>
      <c r="O135" s="2388"/>
      <c r="P135" s="2388"/>
      <c r="Q135" s="2388"/>
      <c r="R135" s="2388"/>
      <c r="S135" s="2388"/>
      <c r="T135" s="2388"/>
      <c r="U135" s="2388"/>
      <c r="V135" s="2388"/>
      <c r="W135" s="2388"/>
      <c r="X135" s="2388"/>
      <c r="Y135" s="2388"/>
      <c r="Z135" s="2388"/>
      <c r="AA135" s="2388"/>
      <c r="AB135" s="2388"/>
      <c r="AC135" s="2388"/>
      <c r="AD135" s="2388"/>
      <c r="AE135" s="2388"/>
      <c r="AF135" s="2388"/>
      <c r="AG135" s="2389"/>
      <c r="AH135" s="2357" t="s">
        <v>2764</v>
      </c>
      <c r="AI135" s="2358"/>
      <c r="AJ135" s="2358"/>
      <c r="AK135" s="2358"/>
      <c r="AL135" s="2358"/>
      <c r="AM135" s="2358"/>
      <c r="AN135" s="2358"/>
      <c r="AO135" s="2358"/>
      <c r="AP135" s="2358"/>
      <c r="AQ135" s="2358"/>
      <c r="AR135" s="2358"/>
      <c r="AS135" s="2358"/>
      <c r="AT135" s="2358"/>
      <c r="AU135" s="2358"/>
      <c r="AV135" s="2358"/>
      <c r="AW135" s="2358"/>
      <c r="AX135" s="2359"/>
      <c r="AY135" s="1208"/>
      <c r="AZ135" s="1208"/>
      <c r="BA135" s="1208"/>
      <c r="BB135" s="1208"/>
      <c r="BC135" s="1208"/>
      <c r="BD135" s="1208"/>
      <c r="BE135" s="1215"/>
    </row>
    <row r="136" spans="1:57" ht="15.75" customHeight="1">
      <c r="A136" s="1208"/>
      <c r="B136" s="2387" t="s">
        <v>2291</v>
      </c>
      <c r="C136" s="2388"/>
      <c r="D136" s="2388"/>
      <c r="E136" s="2388"/>
      <c r="F136" s="2388"/>
      <c r="G136" s="2388"/>
      <c r="H136" s="2388"/>
      <c r="I136" s="2388"/>
      <c r="J136" s="2388"/>
      <c r="K136" s="2388"/>
      <c r="L136" s="2388"/>
      <c r="M136" s="2388"/>
      <c r="N136" s="2388"/>
      <c r="O136" s="2388"/>
      <c r="P136" s="2388"/>
      <c r="Q136" s="2388"/>
      <c r="R136" s="2388"/>
      <c r="S136" s="2388"/>
      <c r="T136" s="2388"/>
      <c r="U136" s="2388"/>
      <c r="V136" s="2388"/>
      <c r="W136" s="2388"/>
      <c r="X136" s="2388"/>
      <c r="Y136" s="2388"/>
      <c r="Z136" s="2388"/>
      <c r="AA136" s="2388"/>
      <c r="AB136" s="2388"/>
      <c r="AC136" s="2388"/>
      <c r="AD136" s="2388"/>
      <c r="AE136" s="2388"/>
      <c r="AF136" s="2388"/>
      <c r="AG136" s="2389"/>
      <c r="AH136" s="2299" t="s">
        <v>545</v>
      </c>
      <c r="AI136" s="2299"/>
      <c r="AJ136" s="2299"/>
      <c r="AK136" s="2299"/>
      <c r="AL136" s="2299"/>
      <c r="AM136" s="2299"/>
      <c r="AN136" s="2299"/>
      <c r="AO136" s="2299"/>
      <c r="AP136" s="2299"/>
      <c r="AQ136" s="2299"/>
      <c r="AR136" s="2299"/>
      <c r="AS136" s="2299"/>
      <c r="AT136" s="2299"/>
      <c r="AU136" s="2299"/>
      <c r="AV136" s="2299"/>
      <c r="AW136" s="2299"/>
      <c r="AX136" s="2300"/>
      <c r="AY136" s="1208"/>
      <c r="AZ136" s="1208"/>
      <c r="BA136" s="1208"/>
      <c r="BB136" s="1208"/>
      <c r="BC136" s="1208"/>
      <c r="BD136" s="1208"/>
      <c r="BE136" s="1215"/>
    </row>
    <row r="137" spans="1:57" ht="15.75" customHeight="1">
      <c r="A137" s="1208"/>
      <c r="B137" s="2390" t="s">
        <v>2290</v>
      </c>
      <c r="C137" s="2391"/>
      <c r="D137" s="2391"/>
      <c r="E137" s="2391"/>
      <c r="F137" s="2391"/>
      <c r="G137" s="2391"/>
      <c r="H137" s="2391"/>
      <c r="I137" s="2391"/>
      <c r="J137" s="2391"/>
      <c r="K137" s="2391"/>
      <c r="L137" s="2391"/>
      <c r="M137" s="2391"/>
      <c r="N137" s="2391"/>
      <c r="O137" s="2391"/>
      <c r="P137" s="2391"/>
      <c r="Q137" s="2391"/>
      <c r="R137" s="2392" t="s">
        <v>2765</v>
      </c>
      <c r="S137" s="2392"/>
      <c r="T137" s="2392"/>
      <c r="U137" s="2392"/>
      <c r="V137" s="2392"/>
      <c r="W137" s="2392"/>
      <c r="X137" s="2392"/>
      <c r="Y137" s="2392"/>
      <c r="Z137" s="2392"/>
      <c r="AA137" s="2392"/>
      <c r="AB137" s="2392"/>
      <c r="AC137" s="2392"/>
      <c r="AD137" s="2392"/>
      <c r="AE137" s="2392"/>
      <c r="AF137" s="2392"/>
      <c r="AG137" s="2392"/>
      <c r="AH137" s="2392"/>
      <c r="AI137" s="2392"/>
      <c r="AJ137" s="2392"/>
      <c r="AK137" s="2392"/>
      <c r="AL137" s="2392"/>
      <c r="AM137" s="2392"/>
      <c r="AN137" s="2392"/>
      <c r="AO137" s="2392"/>
      <c r="AP137" s="2392"/>
      <c r="AQ137" s="2392"/>
      <c r="AR137" s="2392"/>
      <c r="AS137" s="2392"/>
      <c r="AT137" s="2392"/>
      <c r="AU137" s="2392"/>
      <c r="AV137" s="2392"/>
      <c r="AW137" s="2392"/>
      <c r="AX137" s="2393"/>
      <c r="AY137" s="1208"/>
      <c r="AZ137" s="1208"/>
      <c r="BA137" s="1208"/>
      <c r="BB137" s="1208"/>
      <c r="BC137" s="1208" t="s">
        <v>250</v>
      </c>
      <c r="BD137" s="1208"/>
      <c r="BE137" s="1215"/>
    </row>
    <row r="138" spans="1:57" ht="15.75" customHeight="1">
      <c r="A138" s="1208"/>
      <c r="B138" s="2394" t="s">
        <v>2778</v>
      </c>
      <c r="C138" s="2395"/>
      <c r="D138" s="2395"/>
      <c r="E138" s="2395"/>
      <c r="F138" s="2395"/>
      <c r="G138" s="2395"/>
      <c r="H138" s="2395"/>
      <c r="I138" s="2395"/>
      <c r="J138" s="2395"/>
      <c r="K138" s="2395"/>
      <c r="L138" s="2395"/>
      <c r="M138" s="2395"/>
      <c r="N138" s="2395"/>
      <c r="O138" s="2395"/>
      <c r="P138" s="2395"/>
      <c r="Q138" s="2395"/>
      <c r="R138" s="2395"/>
      <c r="S138" s="2395"/>
      <c r="T138" s="2395"/>
      <c r="U138" s="2395"/>
      <c r="V138" s="2395"/>
      <c r="W138" s="2395"/>
      <c r="X138" s="2395"/>
      <c r="Y138" s="2395"/>
      <c r="Z138" s="2395"/>
      <c r="AA138" s="2395"/>
      <c r="AB138" s="2395"/>
      <c r="AC138" s="2395"/>
      <c r="AD138" s="2395"/>
      <c r="AE138" s="2395"/>
      <c r="AF138" s="2395"/>
      <c r="AG138" s="2395"/>
      <c r="AH138" s="2395"/>
      <c r="AI138" s="2395"/>
      <c r="AJ138" s="2395"/>
      <c r="AK138" s="2395"/>
      <c r="AL138" s="2395"/>
      <c r="AM138" s="2395"/>
      <c r="AN138" s="2395"/>
      <c r="AO138" s="2395"/>
      <c r="AP138" s="2395"/>
      <c r="AQ138" s="2395"/>
      <c r="AR138" s="2395"/>
      <c r="AS138" s="2395"/>
      <c r="AT138" s="2395"/>
      <c r="AU138" s="2395"/>
      <c r="AV138" s="2395"/>
      <c r="AW138" s="2395"/>
      <c r="AX138" s="2396"/>
      <c r="AY138" s="1208"/>
      <c r="AZ138" s="1208"/>
      <c r="BA138" s="1208"/>
      <c r="BB138" s="1208"/>
      <c r="BC138" s="1208"/>
      <c r="BD138" s="1208"/>
      <c r="BE138" s="1215"/>
    </row>
    <row r="139" spans="1:57" ht="15.75" customHeight="1">
      <c r="A139" s="1208"/>
      <c r="B139" s="2397"/>
      <c r="C139" s="2395"/>
      <c r="D139" s="2395"/>
      <c r="E139" s="2395"/>
      <c r="F139" s="2395"/>
      <c r="G139" s="2395"/>
      <c r="H139" s="2395"/>
      <c r="I139" s="2395"/>
      <c r="J139" s="2395"/>
      <c r="K139" s="2395"/>
      <c r="L139" s="2395"/>
      <c r="M139" s="2395"/>
      <c r="N139" s="2395"/>
      <c r="O139" s="2395"/>
      <c r="P139" s="2395"/>
      <c r="Q139" s="2395"/>
      <c r="R139" s="2395"/>
      <c r="S139" s="2395"/>
      <c r="T139" s="2395"/>
      <c r="U139" s="2395"/>
      <c r="V139" s="2395"/>
      <c r="W139" s="2395"/>
      <c r="X139" s="2395"/>
      <c r="Y139" s="2395"/>
      <c r="Z139" s="2395"/>
      <c r="AA139" s="2395"/>
      <c r="AB139" s="2395"/>
      <c r="AC139" s="2395"/>
      <c r="AD139" s="2395"/>
      <c r="AE139" s="2395"/>
      <c r="AF139" s="2395"/>
      <c r="AG139" s="2395"/>
      <c r="AH139" s="2395"/>
      <c r="AI139" s="2395"/>
      <c r="AJ139" s="2395"/>
      <c r="AK139" s="2395"/>
      <c r="AL139" s="2395"/>
      <c r="AM139" s="2395"/>
      <c r="AN139" s="2395"/>
      <c r="AO139" s="2395"/>
      <c r="AP139" s="2395"/>
      <c r="AQ139" s="2395"/>
      <c r="AR139" s="2395"/>
      <c r="AS139" s="2395"/>
      <c r="AT139" s="2395"/>
      <c r="AU139" s="2395"/>
      <c r="AV139" s="2395"/>
      <c r="AW139" s="2395"/>
      <c r="AX139" s="2396"/>
      <c r="AY139" s="1208"/>
      <c r="AZ139" s="1208"/>
      <c r="BA139" s="1208"/>
      <c r="BB139" s="1208"/>
      <c r="BC139" s="1208"/>
      <c r="BD139" s="1208"/>
      <c r="BE139" s="1215"/>
    </row>
    <row r="140" spans="1:57" ht="15.75" customHeight="1">
      <c r="A140" s="1208"/>
      <c r="B140" s="2397"/>
      <c r="C140" s="2395"/>
      <c r="D140" s="2395"/>
      <c r="E140" s="2395"/>
      <c r="F140" s="2395"/>
      <c r="G140" s="2395"/>
      <c r="H140" s="2395"/>
      <c r="I140" s="2395"/>
      <c r="J140" s="2395"/>
      <c r="K140" s="2395"/>
      <c r="L140" s="2395"/>
      <c r="M140" s="2395"/>
      <c r="N140" s="2395"/>
      <c r="O140" s="2395"/>
      <c r="P140" s="2395"/>
      <c r="Q140" s="2395"/>
      <c r="R140" s="2395"/>
      <c r="S140" s="2395"/>
      <c r="T140" s="2395"/>
      <c r="U140" s="2395"/>
      <c r="V140" s="2395"/>
      <c r="W140" s="2395"/>
      <c r="X140" s="2395"/>
      <c r="Y140" s="2395"/>
      <c r="Z140" s="2395"/>
      <c r="AA140" s="2395"/>
      <c r="AB140" s="2395"/>
      <c r="AC140" s="2395"/>
      <c r="AD140" s="2395"/>
      <c r="AE140" s="2395"/>
      <c r="AF140" s="2395"/>
      <c r="AG140" s="2395"/>
      <c r="AH140" s="2395"/>
      <c r="AI140" s="2395"/>
      <c r="AJ140" s="2395"/>
      <c r="AK140" s="2395"/>
      <c r="AL140" s="2395"/>
      <c r="AM140" s="2395"/>
      <c r="AN140" s="2395"/>
      <c r="AO140" s="2395"/>
      <c r="AP140" s="2395"/>
      <c r="AQ140" s="2395"/>
      <c r="AR140" s="2395"/>
      <c r="AS140" s="2395"/>
      <c r="AT140" s="2395"/>
      <c r="AU140" s="2395"/>
      <c r="AV140" s="2395"/>
      <c r="AW140" s="2395"/>
      <c r="AX140" s="2396"/>
      <c r="AY140" s="1208"/>
      <c r="AZ140" s="1208"/>
      <c r="BA140" s="1208"/>
      <c r="BB140" s="1208"/>
      <c r="BC140" s="1208"/>
      <c r="BD140" s="1208"/>
      <c r="BE140" s="1215"/>
    </row>
    <row r="141" spans="1:57" ht="15.75" customHeight="1">
      <c r="A141" s="1208"/>
      <c r="B141" s="2397"/>
      <c r="C141" s="2395"/>
      <c r="D141" s="2395"/>
      <c r="E141" s="2395"/>
      <c r="F141" s="2395"/>
      <c r="G141" s="2395"/>
      <c r="H141" s="2395"/>
      <c r="I141" s="2395"/>
      <c r="J141" s="2395"/>
      <c r="K141" s="2395"/>
      <c r="L141" s="2395"/>
      <c r="M141" s="2395"/>
      <c r="N141" s="2395"/>
      <c r="O141" s="2395"/>
      <c r="P141" s="2395"/>
      <c r="Q141" s="2395"/>
      <c r="R141" s="2395"/>
      <c r="S141" s="2395"/>
      <c r="T141" s="2395"/>
      <c r="U141" s="2395"/>
      <c r="V141" s="2395"/>
      <c r="W141" s="2395"/>
      <c r="X141" s="2395"/>
      <c r="Y141" s="2395"/>
      <c r="Z141" s="2395"/>
      <c r="AA141" s="2395"/>
      <c r="AB141" s="2395"/>
      <c r="AC141" s="2395"/>
      <c r="AD141" s="2395"/>
      <c r="AE141" s="2395"/>
      <c r="AF141" s="2395"/>
      <c r="AG141" s="2395"/>
      <c r="AH141" s="2395"/>
      <c r="AI141" s="2395"/>
      <c r="AJ141" s="2395"/>
      <c r="AK141" s="2395"/>
      <c r="AL141" s="2395"/>
      <c r="AM141" s="2395"/>
      <c r="AN141" s="2395"/>
      <c r="AO141" s="2395"/>
      <c r="AP141" s="2395"/>
      <c r="AQ141" s="2395"/>
      <c r="AR141" s="2395"/>
      <c r="AS141" s="2395"/>
      <c r="AT141" s="2395"/>
      <c r="AU141" s="2395"/>
      <c r="AV141" s="2395"/>
      <c r="AW141" s="2395"/>
      <c r="AX141" s="2396"/>
      <c r="AY141" s="1208"/>
      <c r="AZ141" s="1208"/>
      <c r="BA141" s="1208"/>
      <c r="BB141" s="1208"/>
      <c r="BC141" s="1208"/>
      <c r="BD141" s="1208"/>
      <c r="BE141" s="1215"/>
    </row>
    <row r="142" spans="1:57" ht="15.75" customHeight="1">
      <c r="A142" s="1208"/>
      <c r="B142" s="2397"/>
      <c r="C142" s="2395"/>
      <c r="D142" s="2395"/>
      <c r="E142" s="2395"/>
      <c r="F142" s="2395"/>
      <c r="G142" s="2395"/>
      <c r="H142" s="2395"/>
      <c r="I142" s="2395"/>
      <c r="J142" s="2395"/>
      <c r="K142" s="2395"/>
      <c r="L142" s="2395"/>
      <c r="M142" s="2395"/>
      <c r="N142" s="2395"/>
      <c r="O142" s="2395"/>
      <c r="P142" s="2395"/>
      <c r="Q142" s="2395"/>
      <c r="R142" s="2395"/>
      <c r="S142" s="2395"/>
      <c r="T142" s="2395"/>
      <c r="U142" s="2395"/>
      <c r="V142" s="2395"/>
      <c r="W142" s="2395"/>
      <c r="X142" s="2395"/>
      <c r="Y142" s="2395"/>
      <c r="Z142" s="2395"/>
      <c r="AA142" s="2395"/>
      <c r="AB142" s="2395"/>
      <c r="AC142" s="2395"/>
      <c r="AD142" s="2395"/>
      <c r="AE142" s="2395"/>
      <c r="AF142" s="2395"/>
      <c r="AG142" s="2395"/>
      <c r="AH142" s="2395"/>
      <c r="AI142" s="2395"/>
      <c r="AJ142" s="2395"/>
      <c r="AK142" s="2395"/>
      <c r="AL142" s="2395"/>
      <c r="AM142" s="2395"/>
      <c r="AN142" s="2395"/>
      <c r="AO142" s="2395"/>
      <c r="AP142" s="2395"/>
      <c r="AQ142" s="2395"/>
      <c r="AR142" s="2395"/>
      <c r="AS142" s="2395"/>
      <c r="AT142" s="2395"/>
      <c r="AU142" s="2395"/>
      <c r="AV142" s="2395"/>
      <c r="AW142" s="2395"/>
      <c r="AX142" s="2396"/>
      <c r="AY142" s="1208"/>
      <c r="AZ142" s="1208"/>
      <c r="BA142" s="1208"/>
      <c r="BB142" s="1208"/>
      <c r="BC142" s="1208"/>
      <c r="BD142" s="1208"/>
      <c r="BE142" s="1215"/>
    </row>
    <row r="143" spans="1:57" ht="15.75" customHeight="1">
      <c r="A143" s="1208"/>
      <c r="B143" s="2397"/>
      <c r="C143" s="2395"/>
      <c r="D143" s="2395"/>
      <c r="E143" s="2395"/>
      <c r="F143" s="2395"/>
      <c r="G143" s="2395"/>
      <c r="H143" s="2395"/>
      <c r="I143" s="2395"/>
      <c r="J143" s="2395"/>
      <c r="K143" s="2395"/>
      <c r="L143" s="2395"/>
      <c r="M143" s="2395"/>
      <c r="N143" s="2395"/>
      <c r="O143" s="2395"/>
      <c r="P143" s="2395"/>
      <c r="Q143" s="2395"/>
      <c r="R143" s="2395"/>
      <c r="S143" s="2395"/>
      <c r="T143" s="2395"/>
      <c r="U143" s="2395"/>
      <c r="V143" s="2395"/>
      <c r="W143" s="2395"/>
      <c r="X143" s="2395"/>
      <c r="Y143" s="2395"/>
      <c r="Z143" s="2395"/>
      <c r="AA143" s="2395"/>
      <c r="AB143" s="2395"/>
      <c r="AC143" s="2395"/>
      <c r="AD143" s="2395"/>
      <c r="AE143" s="2395"/>
      <c r="AF143" s="2395"/>
      <c r="AG143" s="2395"/>
      <c r="AH143" s="2395"/>
      <c r="AI143" s="2395"/>
      <c r="AJ143" s="2395"/>
      <c r="AK143" s="2395"/>
      <c r="AL143" s="2395"/>
      <c r="AM143" s="2395"/>
      <c r="AN143" s="2395"/>
      <c r="AO143" s="2395"/>
      <c r="AP143" s="2395"/>
      <c r="AQ143" s="2395"/>
      <c r="AR143" s="2395"/>
      <c r="AS143" s="2395"/>
      <c r="AT143" s="2395"/>
      <c r="AU143" s="2395"/>
      <c r="AV143" s="2395"/>
      <c r="AW143" s="2395"/>
      <c r="AX143" s="2396"/>
      <c r="AY143" s="1208"/>
      <c r="AZ143" s="1208"/>
      <c r="BA143" s="1208"/>
      <c r="BB143" s="1208"/>
      <c r="BC143" s="1208"/>
      <c r="BD143" s="1208"/>
      <c r="BE143" s="1215"/>
    </row>
    <row r="144" spans="1:57" ht="15.75" customHeight="1">
      <c r="A144" s="1208"/>
      <c r="B144" s="2397"/>
      <c r="C144" s="2395"/>
      <c r="D144" s="2395"/>
      <c r="E144" s="2395"/>
      <c r="F144" s="2395"/>
      <c r="G144" s="2395"/>
      <c r="H144" s="2395"/>
      <c r="I144" s="2395"/>
      <c r="J144" s="2395"/>
      <c r="K144" s="2395"/>
      <c r="L144" s="2395"/>
      <c r="M144" s="2395"/>
      <c r="N144" s="2395"/>
      <c r="O144" s="2395"/>
      <c r="P144" s="2395"/>
      <c r="Q144" s="2395"/>
      <c r="R144" s="2395"/>
      <c r="S144" s="2395"/>
      <c r="T144" s="2395"/>
      <c r="U144" s="2395"/>
      <c r="V144" s="2395"/>
      <c r="W144" s="2395"/>
      <c r="X144" s="2395"/>
      <c r="Y144" s="2395"/>
      <c r="Z144" s="2395"/>
      <c r="AA144" s="2395"/>
      <c r="AB144" s="2395"/>
      <c r="AC144" s="2395"/>
      <c r="AD144" s="2395"/>
      <c r="AE144" s="2395"/>
      <c r="AF144" s="2395"/>
      <c r="AG144" s="2395"/>
      <c r="AH144" s="2395"/>
      <c r="AI144" s="2395"/>
      <c r="AJ144" s="2395"/>
      <c r="AK144" s="2395"/>
      <c r="AL144" s="2395"/>
      <c r="AM144" s="2395"/>
      <c r="AN144" s="2395"/>
      <c r="AO144" s="2395"/>
      <c r="AP144" s="2395"/>
      <c r="AQ144" s="2395"/>
      <c r="AR144" s="2395"/>
      <c r="AS144" s="2395"/>
      <c r="AT144" s="2395"/>
      <c r="AU144" s="2395"/>
      <c r="AV144" s="2395"/>
      <c r="AW144" s="2395"/>
      <c r="AX144" s="2396"/>
      <c r="AY144" s="1208"/>
      <c r="AZ144" s="1208"/>
      <c r="BA144" s="1208"/>
      <c r="BB144" s="1208"/>
      <c r="BC144" s="1208"/>
      <c r="BD144" s="1208"/>
      <c r="BE144" s="1215"/>
    </row>
    <row r="145" spans="1:57" ht="15.75" customHeight="1">
      <c r="A145" s="1208"/>
      <c r="B145" s="2397"/>
      <c r="C145" s="2395"/>
      <c r="D145" s="2395"/>
      <c r="E145" s="2395"/>
      <c r="F145" s="2395"/>
      <c r="G145" s="2395"/>
      <c r="H145" s="2395"/>
      <c r="I145" s="2395"/>
      <c r="J145" s="2395"/>
      <c r="K145" s="2395"/>
      <c r="L145" s="2395"/>
      <c r="M145" s="2395"/>
      <c r="N145" s="2395"/>
      <c r="O145" s="2395"/>
      <c r="P145" s="2395"/>
      <c r="Q145" s="2395"/>
      <c r="R145" s="2395"/>
      <c r="S145" s="2395"/>
      <c r="T145" s="2395"/>
      <c r="U145" s="2395"/>
      <c r="V145" s="2395"/>
      <c r="W145" s="2395"/>
      <c r="X145" s="2395"/>
      <c r="Y145" s="2395"/>
      <c r="Z145" s="2395"/>
      <c r="AA145" s="2395"/>
      <c r="AB145" s="2395"/>
      <c r="AC145" s="2395"/>
      <c r="AD145" s="2395"/>
      <c r="AE145" s="2395"/>
      <c r="AF145" s="2395"/>
      <c r="AG145" s="2395"/>
      <c r="AH145" s="2395"/>
      <c r="AI145" s="2395"/>
      <c r="AJ145" s="2395"/>
      <c r="AK145" s="2395"/>
      <c r="AL145" s="2395"/>
      <c r="AM145" s="2395"/>
      <c r="AN145" s="2395"/>
      <c r="AO145" s="2395"/>
      <c r="AP145" s="2395"/>
      <c r="AQ145" s="2395"/>
      <c r="AR145" s="2395"/>
      <c r="AS145" s="2395"/>
      <c r="AT145" s="2395"/>
      <c r="AU145" s="2395"/>
      <c r="AV145" s="2395"/>
      <c r="AW145" s="2395"/>
      <c r="AX145" s="2396"/>
      <c r="AY145" s="1208"/>
      <c r="AZ145" s="1208"/>
      <c r="BA145" s="1208"/>
      <c r="BB145" s="1208"/>
      <c r="BC145" s="1208"/>
      <c r="BD145" s="1208"/>
      <c r="BE145" s="1215"/>
    </row>
    <row r="146" spans="1:57" ht="15.75" customHeight="1">
      <c r="A146" s="1208"/>
      <c r="B146" s="2397"/>
      <c r="C146" s="2395"/>
      <c r="D146" s="2395"/>
      <c r="E146" s="2395"/>
      <c r="F146" s="2395"/>
      <c r="G146" s="2395"/>
      <c r="H146" s="2395"/>
      <c r="I146" s="2395"/>
      <c r="J146" s="2395"/>
      <c r="K146" s="2395"/>
      <c r="L146" s="2395"/>
      <c r="M146" s="2395"/>
      <c r="N146" s="2395"/>
      <c r="O146" s="2395"/>
      <c r="P146" s="2395"/>
      <c r="Q146" s="2395"/>
      <c r="R146" s="2395"/>
      <c r="S146" s="2395"/>
      <c r="T146" s="2395"/>
      <c r="U146" s="2395"/>
      <c r="V146" s="2395"/>
      <c r="W146" s="2395"/>
      <c r="X146" s="2395"/>
      <c r="Y146" s="2395"/>
      <c r="Z146" s="2395"/>
      <c r="AA146" s="2395"/>
      <c r="AB146" s="2395"/>
      <c r="AC146" s="2395"/>
      <c r="AD146" s="2395"/>
      <c r="AE146" s="2395"/>
      <c r="AF146" s="2395"/>
      <c r="AG146" s="2395"/>
      <c r="AH146" s="2395"/>
      <c r="AI146" s="2395"/>
      <c r="AJ146" s="2395"/>
      <c r="AK146" s="2395"/>
      <c r="AL146" s="2395"/>
      <c r="AM146" s="2395"/>
      <c r="AN146" s="2395"/>
      <c r="AO146" s="2395"/>
      <c r="AP146" s="2395"/>
      <c r="AQ146" s="2395"/>
      <c r="AR146" s="2395"/>
      <c r="AS146" s="2395"/>
      <c r="AT146" s="2395"/>
      <c r="AU146" s="2395"/>
      <c r="AV146" s="2395"/>
      <c r="AW146" s="2395"/>
      <c r="AX146" s="2396"/>
      <c r="AY146" s="1208"/>
      <c r="AZ146" s="1208"/>
      <c r="BA146" s="1208"/>
      <c r="BB146" s="1208"/>
      <c r="BC146" s="1208"/>
      <c r="BD146" s="1208"/>
      <c r="BE146" s="1215"/>
    </row>
    <row r="147" spans="1:57" ht="15.75" customHeight="1" thickBot="1">
      <c r="A147" s="1208"/>
      <c r="B147" s="2398"/>
      <c r="C147" s="2399"/>
      <c r="D147" s="2399"/>
      <c r="E147" s="2399"/>
      <c r="F147" s="2399"/>
      <c r="G147" s="2399"/>
      <c r="H147" s="2399"/>
      <c r="I147" s="2399"/>
      <c r="J147" s="2399"/>
      <c r="K147" s="2399"/>
      <c r="L147" s="2399"/>
      <c r="M147" s="2399"/>
      <c r="N147" s="2399"/>
      <c r="O147" s="2399"/>
      <c r="P147" s="2399"/>
      <c r="Q147" s="2399"/>
      <c r="R147" s="2399"/>
      <c r="S147" s="2399"/>
      <c r="T147" s="2399"/>
      <c r="U147" s="2399"/>
      <c r="V147" s="2399"/>
      <c r="W147" s="2399"/>
      <c r="X147" s="2399"/>
      <c r="Y147" s="2399"/>
      <c r="Z147" s="2399"/>
      <c r="AA147" s="2399"/>
      <c r="AB147" s="2399"/>
      <c r="AC147" s="2399"/>
      <c r="AD147" s="2399"/>
      <c r="AE147" s="2399"/>
      <c r="AF147" s="2399"/>
      <c r="AG147" s="2399"/>
      <c r="AH147" s="2399"/>
      <c r="AI147" s="2399"/>
      <c r="AJ147" s="2399"/>
      <c r="AK147" s="2399"/>
      <c r="AL147" s="2399"/>
      <c r="AM147" s="2399"/>
      <c r="AN147" s="2399"/>
      <c r="AO147" s="2399"/>
      <c r="AP147" s="2399"/>
      <c r="AQ147" s="2399"/>
      <c r="AR147" s="2399"/>
      <c r="AS147" s="2399"/>
      <c r="AT147" s="2399"/>
      <c r="AU147" s="2399"/>
      <c r="AV147" s="2399"/>
      <c r="AW147" s="2399"/>
      <c r="AX147" s="2400"/>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2289</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2288</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271" t="s">
        <v>2287</v>
      </c>
      <c r="C151" s="2272"/>
      <c r="D151" s="2272"/>
      <c r="E151" s="2272"/>
      <c r="F151" s="2272"/>
      <c r="G151" s="2272"/>
      <c r="H151" s="2272"/>
      <c r="I151" s="2272"/>
      <c r="J151" s="2272"/>
      <c r="K151" s="2272"/>
      <c r="L151" s="2272"/>
      <c r="M151" s="2272"/>
      <c r="N151" s="2272"/>
      <c r="O151" s="2272"/>
      <c r="P151" s="2272"/>
      <c r="Q151" s="2272"/>
      <c r="R151" s="2272"/>
      <c r="S151" s="2272"/>
      <c r="T151" s="2272"/>
      <c r="U151" s="2273"/>
      <c r="V151" s="1208"/>
      <c r="W151" s="1209"/>
      <c r="X151" s="2271" t="s">
        <v>2286</v>
      </c>
      <c r="Y151" s="2272"/>
      <c r="Z151" s="2272"/>
      <c r="AA151" s="2272"/>
      <c r="AB151" s="2272"/>
      <c r="AC151" s="2272"/>
      <c r="AD151" s="2272"/>
      <c r="AE151" s="2272"/>
      <c r="AF151" s="2272"/>
      <c r="AG151" s="2272"/>
      <c r="AH151" s="2272"/>
      <c r="AI151" s="2272"/>
      <c r="AJ151" s="2272"/>
      <c r="AK151" s="2272"/>
      <c r="AL151" s="2272"/>
      <c r="AM151" s="2272"/>
      <c r="AN151" s="2272"/>
      <c r="AO151" s="2272"/>
      <c r="AP151" s="2272"/>
      <c r="AQ151" s="2273"/>
      <c r="AR151" s="1208"/>
      <c r="AS151" s="1208"/>
      <c r="AT151" s="1208"/>
      <c r="AU151" s="1208"/>
      <c r="AV151" s="1208"/>
      <c r="AW151" s="1208"/>
      <c r="AX151" s="1208"/>
      <c r="AY151" s="1208"/>
      <c r="AZ151" s="1208"/>
      <c r="BA151" s="1208"/>
      <c r="BB151" s="1208"/>
      <c r="BC151" s="1208"/>
      <c r="BD151" s="1208"/>
      <c r="BE151" s="1215"/>
    </row>
    <row r="152" spans="1:57" ht="15.75" customHeight="1">
      <c r="A152" s="1208"/>
      <c r="B152" s="2403"/>
      <c r="C152" s="2404"/>
      <c r="D152" s="2404"/>
      <c r="E152" s="2404"/>
      <c r="F152" s="2404"/>
      <c r="G152" s="2404"/>
      <c r="H152" s="2404"/>
      <c r="I152" s="2405" t="s">
        <v>2284</v>
      </c>
      <c r="J152" s="2405"/>
      <c r="K152" s="2405"/>
      <c r="L152" s="2405"/>
      <c r="M152" s="2405"/>
      <c r="N152" s="2405"/>
      <c r="O152" s="2405"/>
      <c r="P152" s="2405" t="s">
        <v>2285</v>
      </c>
      <c r="Q152" s="2405"/>
      <c r="R152" s="2405"/>
      <c r="S152" s="2405"/>
      <c r="T152" s="2405"/>
      <c r="U152" s="2406"/>
      <c r="V152" s="1208"/>
      <c r="W152" s="1208"/>
      <c r="X152" s="2403"/>
      <c r="Y152" s="2404"/>
      <c r="Z152" s="2404"/>
      <c r="AA152" s="2404"/>
      <c r="AB152" s="2404"/>
      <c r="AC152" s="2404"/>
      <c r="AD152" s="2404"/>
      <c r="AE152" s="2405" t="s">
        <v>2284</v>
      </c>
      <c r="AF152" s="2405"/>
      <c r="AG152" s="2405"/>
      <c r="AH152" s="2405"/>
      <c r="AI152" s="2405"/>
      <c r="AJ152" s="2405"/>
      <c r="AK152" s="2405"/>
      <c r="AL152" s="2405" t="s">
        <v>2283</v>
      </c>
      <c r="AM152" s="2405"/>
      <c r="AN152" s="2405"/>
      <c r="AO152" s="2405"/>
      <c r="AP152" s="2405"/>
      <c r="AQ152" s="2406"/>
      <c r="AR152" s="1208"/>
      <c r="AS152" s="1208"/>
      <c r="AT152" s="1208"/>
      <c r="AU152" s="1208"/>
      <c r="AV152" s="1208"/>
      <c r="AW152" s="1208"/>
      <c r="AX152" s="1208"/>
      <c r="AY152" s="1208"/>
      <c r="AZ152" s="1208"/>
      <c r="BA152" s="1208"/>
      <c r="BB152" s="1208"/>
      <c r="BC152" s="1208"/>
      <c r="BD152" s="1208"/>
      <c r="BE152" s="1215"/>
    </row>
    <row r="153" spans="1:57" ht="15.75" customHeight="1">
      <c r="A153" s="1208"/>
      <c r="B153" s="2403"/>
      <c r="C153" s="2404"/>
      <c r="D153" s="2404"/>
      <c r="E153" s="2404"/>
      <c r="F153" s="2404"/>
      <c r="G153" s="2404"/>
      <c r="H153" s="2404"/>
      <c r="I153" s="2405"/>
      <c r="J153" s="2405"/>
      <c r="K153" s="2405"/>
      <c r="L153" s="2405"/>
      <c r="M153" s="2405"/>
      <c r="N153" s="2405"/>
      <c r="O153" s="2405"/>
      <c r="P153" s="2405"/>
      <c r="Q153" s="2405"/>
      <c r="R153" s="2405"/>
      <c r="S153" s="2405"/>
      <c r="T153" s="2405"/>
      <c r="U153" s="2406"/>
      <c r="V153" s="1208"/>
      <c r="W153" s="1208"/>
      <c r="X153" s="2403"/>
      <c r="Y153" s="2404"/>
      <c r="Z153" s="2404"/>
      <c r="AA153" s="2404"/>
      <c r="AB153" s="2404"/>
      <c r="AC153" s="2404"/>
      <c r="AD153" s="2404"/>
      <c r="AE153" s="2405"/>
      <c r="AF153" s="2405"/>
      <c r="AG153" s="2405"/>
      <c r="AH153" s="2405"/>
      <c r="AI153" s="2405"/>
      <c r="AJ153" s="2405"/>
      <c r="AK153" s="2405"/>
      <c r="AL153" s="2405"/>
      <c r="AM153" s="2405"/>
      <c r="AN153" s="2405"/>
      <c r="AO153" s="2405"/>
      <c r="AP153" s="2405"/>
      <c r="AQ153" s="2406"/>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376" t="s">
        <v>2282</v>
      </c>
      <c r="C154" s="2377"/>
      <c r="D154" s="2377"/>
      <c r="E154" s="2377"/>
      <c r="F154" s="2377"/>
      <c r="G154" s="2377"/>
      <c r="H154" s="2377"/>
      <c r="I154" s="2354">
        <v>1</v>
      </c>
      <c r="J154" s="2354"/>
      <c r="K154" s="2354"/>
      <c r="L154" s="2354"/>
      <c r="M154" s="2354"/>
      <c r="N154" s="2354"/>
      <c r="O154" s="2354"/>
      <c r="P154" s="2354">
        <v>3</v>
      </c>
      <c r="Q154" s="2354"/>
      <c r="R154" s="2354"/>
      <c r="S154" s="2354"/>
      <c r="T154" s="2354"/>
      <c r="U154" s="2355"/>
      <c r="V154" s="1208"/>
      <c r="W154" s="1208"/>
      <c r="X154" s="2378" t="s">
        <v>2282</v>
      </c>
      <c r="Y154" s="2379"/>
      <c r="Z154" s="2379"/>
      <c r="AA154" s="2379"/>
      <c r="AB154" s="2379"/>
      <c r="AC154" s="2379"/>
      <c r="AD154" s="2379"/>
      <c r="AE154" s="2352">
        <v>40</v>
      </c>
      <c r="AF154" s="2352"/>
      <c r="AG154" s="2352"/>
      <c r="AH154" s="2352"/>
      <c r="AI154" s="2352"/>
      <c r="AJ154" s="2352"/>
      <c r="AK154" s="2352"/>
      <c r="AL154" s="2352">
        <v>61</v>
      </c>
      <c r="AM154" s="2352"/>
      <c r="AN154" s="2352"/>
      <c r="AO154" s="2352"/>
      <c r="AP154" s="2352"/>
      <c r="AQ154" s="2353"/>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378" t="s">
        <v>2281</v>
      </c>
      <c r="C155" s="2379"/>
      <c r="D155" s="2379"/>
      <c r="E155" s="2379"/>
      <c r="F155" s="2379"/>
      <c r="G155" s="2379"/>
      <c r="H155" s="2379"/>
      <c r="I155" s="2352">
        <v>0</v>
      </c>
      <c r="J155" s="2352"/>
      <c r="K155" s="2352"/>
      <c r="L155" s="2352"/>
      <c r="M155" s="2352"/>
      <c r="N155" s="2352"/>
      <c r="O155" s="2352"/>
      <c r="P155" s="2352">
        <v>7</v>
      </c>
      <c r="Q155" s="2352"/>
      <c r="R155" s="2352"/>
      <c r="S155" s="2352"/>
      <c r="T155" s="2352"/>
      <c r="U155" s="2353"/>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271" t="s">
        <v>2280</v>
      </c>
      <c r="D157" s="2272"/>
      <c r="E157" s="2272"/>
      <c r="F157" s="2272"/>
      <c r="G157" s="2272"/>
      <c r="H157" s="2272"/>
      <c r="I157" s="2272"/>
      <c r="J157" s="2272"/>
      <c r="K157" s="2272"/>
      <c r="L157" s="2272"/>
      <c r="M157" s="2272"/>
      <c r="N157" s="2272"/>
      <c r="O157" s="2272"/>
      <c r="P157" s="2272"/>
      <c r="Q157" s="2272"/>
      <c r="R157" s="2272"/>
      <c r="S157" s="2272"/>
      <c r="T157" s="2272"/>
      <c r="U157" s="2272"/>
      <c r="V157" s="2272"/>
      <c r="W157" s="2272"/>
      <c r="X157" s="2272"/>
      <c r="Y157" s="2272"/>
      <c r="Z157" s="2272"/>
      <c r="AA157" s="2272"/>
      <c r="AB157" s="2272"/>
      <c r="AC157" s="2272"/>
      <c r="AD157" s="2272"/>
      <c r="AE157" s="2272"/>
      <c r="AF157" s="2272"/>
      <c r="AG157" s="2273"/>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403" t="s">
        <v>2266</v>
      </c>
      <c r="D158" s="2404"/>
      <c r="E158" s="2404"/>
      <c r="F158" s="2404"/>
      <c r="G158" s="2404"/>
      <c r="H158" s="2404"/>
      <c r="I158" s="2404"/>
      <c r="J158" s="2404"/>
      <c r="K158" s="2404"/>
      <c r="L158" s="2404"/>
      <c r="M158" s="2404"/>
      <c r="N158" s="2404"/>
      <c r="O158" s="2404"/>
      <c r="P158" s="2404"/>
      <c r="Q158" s="2404" t="s">
        <v>2279</v>
      </c>
      <c r="R158" s="2404"/>
      <c r="S158" s="2404"/>
      <c r="T158" s="2350" t="s">
        <v>2278</v>
      </c>
      <c r="U158" s="2350"/>
      <c r="V158" s="2350"/>
      <c r="W158" s="2350"/>
      <c r="X158" s="2350"/>
      <c r="Y158" s="2350"/>
      <c r="Z158" s="2350"/>
      <c r="AA158" s="2350"/>
      <c r="AB158" s="2404" t="s">
        <v>2277</v>
      </c>
      <c r="AC158" s="2404"/>
      <c r="AD158" s="2404"/>
      <c r="AE158" s="2404"/>
      <c r="AF158" s="2404"/>
      <c r="AG158" s="2414"/>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409" t="s">
        <v>2276</v>
      </c>
      <c r="D159" s="2410"/>
      <c r="E159" s="2410"/>
      <c r="F159" s="2410"/>
      <c r="G159" s="2410"/>
      <c r="H159" s="2410"/>
      <c r="I159" s="2410"/>
      <c r="J159" s="2410"/>
      <c r="K159" s="2410"/>
      <c r="L159" s="2410"/>
      <c r="M159" s="2410"/>
      <c r="N159" s="2410"/>
      <c r="O159" s="2410"/>
      <c r="P159" s="2410"/>
      <c r="Q159" s="2411">
        <v>55</v>
      </c>
      <c r="R159" s="2411"/>
      <c r="S159" s="2411"/>
      <c r="T159" s="2412"/>
      <c r="U159" s="2412"/>
      <c r="V159" s="2412"/>
      <c r="W159" s="2412"/>
      <c r="X159" s="2412"/>
      <c r="Y159" s="2412"/>
      <c r="Z159" s="2412"/>
      <c r="AA159" s="2412"/>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409" t="s">
        <v>2275</v>
      </c>
      <c r="D160" s="2410"/>
      <c r="E160" s="2410"/>
      <c r="F160" s="2410"/>
      <c r="G160" s="2410"/>
      <c r="H160" s="2410"/>
      <c r="I160" s="2410"/>
      <c r="J160" s="2410"/>
      <c r="K160" s="2410"/>
      <c r="L160" s="2410"/>
      <c r="M160" s="2410"/>
      <c r="N160" s="2410"/>
      <c r="O160" s="2410"/>
      <c r="P160" s="2410"/>
      <c r="Q160" s="2411">
        <v>55</v>
      </c>
      <c r="R160" s="2411"/>
      <c r="S160" s="2411"/>
      <c r="T160" s="2413"/>
      <c r="U160" s="2413"/>
      <c r="V160" s="2413"/>
      <c r="W160" s="2413"/>
      <c r="X160" s="2413"/>
      <c r="Y160" s="2413"/>
      <c r="Z160" s="2413"/>
      <c r="AA160" s="2413"/>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409" t="s">
        <v>2274</v>
      </c>
      <c r="D161" s="2410"/>
      <c r="E161" s="2410"/>
      <c r="F161" s="2410"/>
      <c r="G161" s="2410"/>
      <c r="H161" s="2410"/>
      <c r="I161" s="2410"/>
      <c r="J161" s="2410"/>
      <c r="K161" s="2410"/>
      <c r="L161" s="2410"/>
      <c r="M161" s="2410"/>
      <c r="N161" s="2410"/>
      <c r="O161" s="2410"/>
      <c r="P161" s="2410"/>
      <c r="Q161" s="2411">
        <v>55</v>
      </c>
      <c r="R161" s="2411"/>
      <c r="S161" s="2411"/>
      <c r="T161" s="2412"/>
      <c r="U161" s="2412"/>
      <c r="V161" s="2412"/>
      <c r="W161" s="2412"/>
      <c r="X161" s="2412"/>
      <c r="Y161" s="2412"/>
      <c r="Z161" s="2412"/>
      <c r="AA161" s="2412"/>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409" t="s">
        <v>2273</v>
      </c>
      <c r="D162" s="2410"/>
      <c r="E162" s="2410"/>
      <c r="F162" s="2410"/>
      <c r="G162" s="2410"/>
      <c r="H162" s="2410"/>
      <c r="I162" s="2410"/>
      <c r="J162" s="2410"/>
      <c r="K162" s="2410"/>
      <c r="L162" s="2410"/>
      <c r="M162" s="2410"/>
      <c r="N162" s="2410"/>
      <c r="O162" s="2410"/>
      <c r="P162" s="2410"/>
      <c r="Q162" s="2411">
        <v>55</v>
      </c>
      <c r="R162" s="2411"/>
      <c r="S162" s="2411"/>
      <c r="T162" s="2412"/>
      <c r="U162" s="2412"/>
      <c r="V162" s="2412"/>
      <c r="W162" s="2412"/>
      <c r="X162" s="2412"/>
      <c r="Y162" s="2412"/>
      <c r="Z162" s="2412"/>
      <c r="AA162" s="2412"/>
      <c r="AB162" s="2415">
        <v>0</v>
      </c>
      <c r="AC162" s="2415"/>
      <c r="AD162" s="2415"/>
      <c r="AE162" s="2415"/>
      <c r="AF162" s="2415"/>
      <c r="AG162" s="2416"/>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409" t="s">
        <v>170</v>
      </c>
      <c r="D163" s="2410"/>
      <c r="E163" s="2410"/>
      <c r="F163" s="2417" t="s">
        <v>2255</v>
      </c>
      <c r="G163" s="2417"/>
      <c r="H163" s="2417"/>
      <c r="I163" s="2417"/>
      <c r="J163" s="2417"/>
      <c r="K163" s="2417"/>
      <c r="L163" s="2417"/>
      <c r="M163" s="2417"/>
      <c r="N163" s="2417"/>
      <c r="O163" s="2417"/>
      <c r="P163" s="2417"/>
      <c r="Q163" s="2411">
        <v>55</v>
      </c>
      <c r="R163" s="2411"/>
      <c r="S163" s="2411"/>
      <c r="T163" s="2413"/>
      <c r="U163" s="2413"/>
      <c r="V163" s="2413"/>
      <c r="W163" s="2413"/>
      <c r="X163" s="2413"/>
      <c r="Y163" s="2413"/>
      <c r="Z163" s="2413"/>
      <c r="AA163" s="2413"/>
      <c r="AB163" s="2415">
        <v>0</v>
      </c>
      <c r="AC163" s="2415"/>
      <c r="AD163" s="2415"/>
      <c r="AE163" s="2415"/>
      <c r="AF163" s="2415"/>
      <c r="AG163" s="2416"/>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409" t="s">
        <v>170</v>
      </c>
      <c r="D164" s="2410"/>
      <c r="E164" s="2410"/>
      <c r="F164" s="2417" t="s">
        <v>2255</v>
      </c>
      <c r="G164" s="2417"/>
      <c r="H164" s="2417"/>
      <c r="I164" s="2417"/>
      <c r="J164" s="2417"/>
      <c r="K164" s="2417"/>
      <c r="L164" s="2417"/>
      <c r="M164" s="2417"/>
      <c r="N164" s="2417"/>
      <c r="O164" s="2417"/>
      <c r="P164" s="2417"/>
      <c r="Q164" s="2411">
        <v>55</v>
      </c>
      <c r="R164" s="2411"/>
      <c r="S164" s="2411"/>
      <c r="T164" s="2413"/>
      <c r="U164" s="2413"/>
      <c r="V164" s="2413"/>
      <c r="W164" s="2413"/>
      <c r="X164" s="2413"/>
      <c r="Y164" s="2413"/>
      <c r="Z164" s="2413"/>
      <c r="AA164" s="2413"/>
      <c r="AB164" s="2415">
        <v>0</v>
      </c>
      <c r="AC164" s="2415"/>
      <c r="AD164" s="2415"/>
      <c r="AE164" s="2415"/>
      <c r="AF164" s="2415"/>
      <c r="AG164" s="2416"/>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418" t="s">
        <v>170</v>
      </c>
      <c r="D165" s="2419"/>
      <c r="E165" s="2419"/>
      <c r="F165" s="2420" t="s">
        <v>2255</v>
      </c>
      <c r="G165" s="2420"/>
      <c r="H165" s="2420"/>
      <c r="I165" s="2420"/>
      <c r="J165" s="2420"/>
      <c r="K165" s="2420"/>
      <c r="L165" s="2420"/>
      <c r="M165" s="2420"/>
      <c r="N165" s="2420"/>
      <c r="O165" s="2420"/>
      <c r="P165" s="2420"/>
      <c r="Q165" s="2421">
        <v>55</v>
      </c>
      <c r="R165" s="2421"/>
      <c r="S165" s="2421"/>
      <c r="T165" s="2422"/>
      <c r="U165" s="2422"/>
      <c r="V165" s="2422"/>
      <c r="W165" s="2422"/>
      <c r="X165" s="2422"/>
      <c r="Y165" s="2422"/>
      <c r="Z165" s="2422"/>
      <c r="AA165" s="2422"/>
      <c r="AB165" s="2423">
        <v>0</v>
      </c>
      <c r="AC165" s="2423"/>
      <c r="AD165" s="2423"/>
      <c r="AE165" s="2423"/>
      <c r="AF165" s="2423"/>
      <c r="AG165" s="2424"/>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319" t="s">
        <v>2272</v>
      </c>
      <c r="D167" s="2320"/>
      <c r="E167" s="2320"/>
      <c r="F167" s="2320"/>
      <c r="G167" s="2320"/>
      <c r="H167" s="2320"/>
      <c r="I167" s="2320"/>
      <c r="J167" s="2320"/>
      <c r="K167" s="2320"/>
      <c r="L167" s="2320"/>
      <c r="M167" s="2320"/>
      <c r="N167" s="2360"/>
      <c r="O167" s="1208"/>
      <c r="P167" s="2425" t="s">
        <v>2271</v>
      </c>
      <c r="Q167" s="2426"/>
      <c r="R167" s="2426"/>
      <c r="S167" s="2426"/>
      <c r="T167" s="2426"/>
      <c r="U167" s="2426"/>
      <c r="V167" s="2426"/>
      <c r="W167" s="2426"/>
      <c r="X167" s="2426"/>
      <c r="Y167" s="2426"/>
      <c r="Z167" s="2426"/>
      <c r="AA167" s="2426"/>
      <c r="AB167" s="2426"/>
      <c r="AC167" s="2426"/>
      <c r="AD167" s="2426"/>
      <c r="AE167" s="2426"/>
      <c r="AF167" s="2426"/>
      <c r="AG167" s="2426"/>
      <c r="AH167" s="2426"/>
      <c r="AI167" s="2426"/>
      <c r="AJ167" s="2426"/>
      <c r="AK167" s="2426"/>
      <c r="AL167" s="2426"/>
      <c r="AM167" s="2426"/>
      <c r="AN167" s="2426"/>
      <c r="AO167" s="2427"/>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403" t="s">
        <v>2270</v>
      </c>
      <c r="D168" s="2404"/>
      <c r="E168" s="2404"/>
      <c r="F168" s="2404"/>
      <c r="G168" s="2404"/>
      <c r="H168" s="2404"/>
      <c r="I168" s="2404" t="s">
        <v>2269</v>
      </c>
      <c r="J168" s="2404"/>
      <c r="K168" s="2404"/>
      <c r="L168" s="2404"/>
      <c r="M168" s="2404"/>
      <c r="N168" s="2414"/>
      <c r="O168" s="1208"/>
      <c r="P168" s="2326" t="s">
        <v>591</v>
      </c>
      <c r="Q168" s="2324"/>
      <c r="R168" s="2324"/>
      <c r="S168" s="2324"/>
      <c r="T168" s="2324"/>
      <c r="U168" s="2324"/>
      <c r="V168" s="2324"/>
      <c r="W168" s="2324"/>
      <c r="X168" s="2324"/>
      <c r="Y168" s="2324"/>
      <c r="Z168" s="2324"/>
      <c r="AA168" s="2324"/>
      <c r="AB168" s="2324"/>
      <c r="AC168" s="2324"/>
      <c r="AD168" s="2324"/>
      <c r="AE168" s="2324"/>
      <c r="AF168" s="2324"/>
      <c r="AG168" s="2324"/>
      <c r="AH168" s="2324"/>
      <c r="AI168" s="2324"/>
      <c r="AJ168" s="2324"/>
      <c r="AK168" s="2324"/>
      <c r="AL168" s="2324"/>
      <c r="AM168" s="2324"/>
      <c r="AN168" s="2324"/>
      <c r="AO168" s="2325"/>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330" t="s">
        <v>2761</v>
      </c>
      <c r="D169" s="2278"/>
      <c r="E169" s="2278"/>
      <c r="F169" s="2278"/>
      <c r="G169" s="2278"/>
      <c r="H169" s="2278"/>
      <c r="I169" s="2412">
        <v>45958</v>
      </c>
      <c r="J169" s="2412"/>
      <c r="K169" s="2412"/>
      <c r="L169" s="2412"/>
      <c r="M169" s="2412"/>
      <c r="N169" s="2428"/>
      <c r="O169" s="1208"/>
      <c r="P169" s="2326"/>
      <c r="Q169" s="2324"/>
      <c r="R169" s="2324"/>
      <c r="S169" s="2324"/>
      <c r="T169" s="2324"/>
      <c r="U169" s="2324"/>
      <c r="V169" s="2324"/>
      <c r="W169" s="2324"/>
      <c r="X169" s="2324"/>
      <c r="Y169" s="2324"/>
      <c r="Z169" s="2324"/>
      <c r="AA169" s="2324"/>
      <c r="AB169" s="2324"/>
      <c r="AC169" s="2324"/>
      <c r="AD169" s="2324"/>
      <c r="AE169" s="2324"/>
      <c r="AF169" s="2324"/>
      <c r="AG169" s="2324"/>
      <c r="AH169" s="2324"/>
      <c r="AI169" s="2324"/>
      <c r="AJ169" s="2324"/>
      <c r="AK169" s="2324"/>
      <c r="AL169" s="2324"/>
      <c r="AM169" s="2324"/>
      <c r="AN169" s="2324"/>
      <c r="AO169" s="2325"/>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330" t="s">
        <v>2762</v>
      </c>
      <c r="D170" s="2278"/>
      <c r="E170" s="2278"/>
      <c r="F170" s="2278"/>
      <c r="G170" s="2278"/>
      <c r="H170" s="2278"/>
      <c r="I170" s="2412">
        <v>46085</v>
      </c>
      <c r="J170" s="2412"/>
      <c r="K170" s="2412"/>
      <c r="L170" s="2412"/>
      <c r="M170" s="2412"/>
      <c r="N170" s="2428"/>
      <c r="O170" s="1208"/>
      <c r="P170" s="2326"/>
      <c r="Q170" s="2324"/>
      <c r="R170" s="2324"/>
      <c r="S170" s="2324"/>
      <c r="T170" s="2324"/>
      <c r="U170" s="2324"/>
      <c r="V170" s="2324"/>
      <c r="W170" s="2324"/>
      <c r="X170" s="2324"/>
      <c r="Y170" s="2324"/>
      <c r="Z170" s="2324"/>
      <c r="AA170" s="2324"/>
      <c r="AB170" s="2324"/>
      <c r="AC170" s="2324"/>
      <c r="AD170" s="2324"/>
      <c r="AE170" s="2324"/>
      <c r="AF170" s="2324"/>
      <c r="AG170" s="2324"/>
      <c r="AH170" s="2324"/>
      <c r="AI170" s="2324"/>
      <c r="AJ170" s="2324"/>
      <c r="AK170" s="2324"/>
      <c r="AL170" s="2324"/>
      <c r="AM170" s="2324"/>
      <c r="AN170" s="2324"/>
      <c r="AO170" s="2325"/>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330"/>
      <c r="D171" s="2278"/>
      <c r="E171" s="2278"/>
      <c r="F171" s="2278"/>
      <c r="G171" s="2278"/>
      <c r="H171" s="2278"/>
      <c r="I171" s="2412"/>
      <c r="J171" s="2412"/>
      <c r="K171" s="2412"/>
      <c r="L171" s="2412"/>
      <c r="M171" s="2412"/>
      <c r="N171" s="2428"/>
      <c r="O171" s="1208"/>
      <c r="P171" s="2326"/>
      <c r="Q171" s="2324"/>
      <c r="R171" s="2324"/>
      <c r="S171" s="2324"/>
      <c r="T171" s="2324"/>
      <c r="U171" s="2324"/>
      <c r="V171" s="2324"/>
      <c r="W171" s="2324"/>
      <c r="X171" s="2324"/>
      <c r="Y171" s="2324"/>
      <c r="Z171" s="2324"/>
      <c r="AA171" s="2324"/>
      <c r="AB171" s="2324"/>
      <c r="AC171" s="2324"/>
      <c r="AD171" s="2324"/>
      <c r="AE171" s="2324"/>
      <c r="AF171" s="2324"/>
      <c r="AG171" s="2324"/>
      <c r="AH171" s="2324"/>
      <c r="AI171" s="2324"/>
      <c r="AJ171" s="2324"/>
      <c r="AK171" s="2324"/>
      <c r="AL171" s="2324"/>
      <c r="AM171" s="2324"/>
      <c r="AN171" s="2324"/>
      <c r="AO171" s="2325"/>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330"/>
      <c r="D172" s="2278"/>
      <c r="E172" s="2278"/>
      <c r="F172" s="2278"/>
      <c r="G172" s="2278"/>
      <c r="H172" s="2278"/>
      <c r="I172" s="2412"/>
      <c r="J172" s="2412"/>
      <c r="K172" s="2412"/>
      <c r="L172" s="2412"/>
      <c r="M172" s="2412"/>
      <c r="N172" s="2428"/>
      <c r="O172" s="1208"/>
      <c r="P172" s="2326"/>
      <c r="Q172" s="2324"/>
      <c r="R172" s="2324"/>
      <c r="S172" s="2324"/>
      <c r="T172" s="2324"/>
      <c r="U172" s="2324"/>
      <c r="V172" s="2324"/>
      <c r="W172" s="2324"/>
      <c r="X172" s="2324"/>
      <c r="Y172" s="2324"/>
      <c r="Z172" s="2324"/>
      <c r="AA172" s="2324"/>
      <c r="AB172" s="2324"/>
      <c r="AC172" s="2324"/>
      <c r="AD172" s="2324"/>
      <c r="AE172" s="2324"/>
      <c r="AF172" s="2324"/>
      <c r="AG172" s="2324"/>
      <c r="AH172" s="2324"/>
      <c r="AI172" s="2324"/>
      <c r="AJ172" s="2324"/>
      <c r="AK172" s="2324"/>
      <c r="AL172" s="2324"/>
      <c r="AM172" s="2324"/>
      <c r="AN172" s="2324"/>
      <c r="AO172" s="2325"/>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330"/>
      <c r="D173" s="2278"/>
      <c r="E173" s="2278"/>
      <c r="F173" s="2278"/>
      <c r="G173" s="2278"/>
      <c r="H173" s="2278"/>
      <c r="I173" s="2412"/>
      <c r="J173" s="2412"/>
      <c r="K173" s="2412"/>
      <c r="L173" s="2412"/>
      <c r="M173" s="2412"/>
      <c r="N173" s="2428"/>
      <c r="O173" s="1208"/>
      <c r="P173" s="2326"/>
      <c r="Q173" s="2324"/>
      <c r="R173" s="2324"/>
      <c r="S173" s="2324"/>
      <c r="T173" s="2324"/>
      <c r="U173" s="2324"/>
      <c r="V173" s="2324"/>
      <c r="W173" s="2324"/>
      <c r="X173" s="2324"/>
      <c r="Y173" s="2324"/>
      <c r="Z173" s="2324"/>
      <c r="AA173" s="2324"/>
      <c r="AB173" s="2324"/>
      <c r="AC173" s="2324"/>
      <c r="AD173" s="2324"/>
      <c r="AE173" s="2324"/>
      <c r="AF173" s="2324"/>
      <c r="AG173" s="2324"/>
      <c r="AH173" s="2324"/>
      <c r="AI173" s="2324"/>
      <c r="AJ173" s="2324"/>
      <c r="AK173" s="2324"/>
      <c r="AL173" s="2324"/>
      <c r="AM173" s="2324"/>
      <c r="AN173" s="2324"/>
      <c r="AO173" s="2325"/>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330"/>
      <c r="D174" s="2278"/>
      <c r="E174" s="2278"/>
      <c r="F174" s="2278"/>
      <c r="G174" s="2278"/>
      <c r="H174" s="2278"/>
      <c r="I174" s="2412"/>
      <c r="J174" s="2412"/>
      <c r="K174" s="2412"/>
      <c r="L174" s="2412"/>
      <c r="M174" s="2412"/>
      <c r="N174" s="2428"/>
      <c r="O174" s="1208"/>
      <c r="P174" s="2326"/>
      <c r="Q174" s="2324"/>
      <c r="R174" s="2324"/>
      <c r="S174" s="2324"/>
      <c r="T174" s="2324"/>
      <c r="U174" s="2324"/>
      <c r="V174" s="2324"/>
      <c r="W174" s="2324"/>
      <c r="X174" s="2324"/>
      <c r="Y174" s="2324"/>
      <c r="Z174" s="2324"/>
      <c r="AA174" s="2324"/>
      <c r="AB174" s="2324"/>
      <c r="AC174" s="2324"/>
      <c r="AD174" s="2324"/>
      <c r="AE174" s="2324"/>
      <c r="AF174" s="2324"/>
      <c r="AG174" s="2324"/>
      <c r="AH174" s="2324"/>
      <c r="AI174" s="2324"/>
      <c r="AJ174" s="2324"/>
      <c r="AK174" s="2324"/>
      <c r="AL174" s="2324"/>
      <c r="AM174" s="2324"/>
      <c r="AN174" s="2324"/>
      <c r="AO174" s="2325"/>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429"/>
      <c r="D175" s="2430"/>
      <c r="E175" s="2430"/>
      <c r="F175" s="2430"/>
      <c r="G175" s="2430"/>
      <c r="H175" s="2430"/>
      <c r="I175" s="2431"/>
      <c r="J175" s="2431"/>
      <c r="K175" s="2431"/>
      <c r="L175" s="2431"/>
      <c r="M175" s="2431"/>
      <c r="N175" s="2432"/>
      <c r="O175" s="1208"/>
      <c r="P175" s="2327"/>
      <c r="Q175" s="2328"/>
      <c r="R175" s="2328"/>
      <c r="S175" s="2328"/>
      <c r="T175" s="2328"/>
      <c r="U175" s="2328"/>
      <c r="V175" s="2328"/>
      <c r="W175" s="2328"/>
      <c r="X175" s="2328"/>
      <c r="Y175" s="2328"/>
      <c r="Z175" s="2328"/>
      <c r="AA175" s="2328"/>
      <c r="AB175" s="2328"/>
      <c r="AC175" s="2328"/>
      <c r="AD175" s="2328"/>
      <c r="AE175" s="2328"/>
      <c r="AF175" s="2328"/>
      <c r="AG175" s="2328"/>
      <c r="AH175" s="2328"/>
      <c r="AI175" s="2328"/>
      <c r="AJ175" s="2328"/>
      <c r="AK175" s="2328"/>
      <c r="AL175" s="2328"/>
      <c r="AM175" s="2328"/>
      <c r="AN175" s="2328"/>
      <c r="AO175" s="2329"/>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436" t="s">
        <v>2268</v>
      </c>
      <c r="D177" s="2437"/>
      <c r="E177" s="2437"/>
      <c r="F177" s="2437"/>
      <c r="G177" s="2437"/>
      <c r="H177" s="2437"/>
      <c r="I177" s="2437"/>
      <c r="J177" s="2437"/>
      <c r="K177" s="2437"/>
      <c r="L177" s="2437"/>
      <c r="M177" s="2437"/>
      <c r="N177" s="2437"/>
      <c r="O177" s="2437"/>
      <c r="P177" s="2437"/>
      <c r="Q177" s="2437"/>
      <c r="R177" s="2437"/>
      <c r="S177" s="2437"/>
      <c r="T177" s="2437"/>
      <c r="U177" s="2437"/>
      <c r="V177" s="2437"/>
      <c r="W177" s="2437"/>
      <c r="X177" s="2437"/>
      <c r="Y177" s="2437"/>
      <c r="Z177" s="2437"/>
      <c r="AA177" s="2437"/>
      <c r="AB177" s="2437"/>
      <c r="AC177" s="2437"/>
      <c r="AD177" s="2437"/>
      <c r="AE177" s="2438"/>
      <c r="AF177" s="1208"/>
      <c r="AG177" s="1208"/>
      <c r="AH177" s="2446"/>
      <c r="AI177" s="2446"/>
      <c r="AJ177" s="2446"/>
      <c r="AK177" s="2446"/>
      <c r="AL177" s="2446"/>
      <c r="AM177" s="2446"/>
      <c r="AN177" s="2446"/>
      <c r="AO177" s="2446"/>
      <c r="AP177" s="2446"/>
      <c r="AQ177" s="2446"/>
      <c r="AR177" s="2446"/>
      <c r="AS177" s="2446"/>
      <c r="AT177" s="2446"/>
      <c r="AU177" s="2446"/>
      <c r="AV177" s="2446"/>
      <c r="AW177" s="2446"/>
      <c r="AX177" s="2446"/>
      <c r="AY177" s="2446"/>
      <c r="AZ177" s="2446"/>
      <c r="BA177" s="2446"/>
      <c r="BB177" s="2446"/>
      <c r="BC177" s="2446"/>
      <c r="BD177" s="2446"/>
      <c r="BE177" s="2446"/>
    </row>
    <row r="178" spans="1:57" ht="15.75" customHeight="1" thickBot="1">
      <c r="A178" s="1208"/>
      <c r="B178" s="1208"/>
      <c r="C178" s="2439"/>
      <c r="D178" s="2440"/>
      <c r="E178" s="2440"/>
      <c r="F178" s="2440"/>
      <c r="G178" s="2440"/>
      <c r="H178" s="2440"/>
      <c r="I178" s="2440"/>
      <c r="J178" s="2440"/>
      <c r="K178" s="2440"/>
      <c r="L178" s="2440"/>
      <c r="M178" s="2440"/>
      <c r="N178" s="2440"/>
      <c r="O178" s="2440"/>
      <c r="P178" s="2440"/>
      <c r="Q178" s="2440"/>
      <c r="R178" s="2440"/>
      <c r="S178" s="2440"/>
      <c r="T178" s="2440"/>
      <c r="U178" s="2440"/>
      <c r="V178" s="2440"/>
      <c r="W178" s="2440"/>
      <c r="X178" s="2440"/>
      <c r="Y178" s="2440"/>
      <c r="Z178" s="2440"/>
      <c r="AA178" s="2440"/>
      <c r="AB178" s="2440"/>
      <c r="AC178" s="2440"/>
      <c r="AD178" s="2440"/>
      <c r="AE178" s="2441"/>
      <c r="AF178" s="1208"/>
      <c r="AG178" s="1208"/>
      <c r="AH178" s="2446"/>
      <c r="AI178" s="2446"/>
      <c r="AJ178" s="2446"/>
      <c r="AK178" s="2446"/>
      <c r="AL178" s="2446"/>
      <c r="AM178" s="2446"/>
      <c r="AN178" s="2446"/>
      <c r="AO178" s="2446"/>
      <c r="AP178" s="2446"/>
      <c r="AQ178" s="2446"/>
      <c r="AR178" s="2446"/>
      <c r="AS178" s="2446"/>
      <c r="AT178" s="2446"/>
      <c r="AU178" s="2446"/>
      <c r="AV178" s="2446"/>
      <c r="AW178" s="2446"/>
      <c r="AX178" s="2446"/>
      <c r="AY178" s="2446"/>
      <c r="AZ178" s="2446"/>
      <c r="BA178" s="2446"/>
      <c r="BB178" s="2446"/>
      <c r="BC178" s="2446"/>
      <c r="BD178" s="2446"/>
      <c r="BE178" s="2446"/>
    </row>
    <row r="179" spans="1:57" ht="15.75" customHeight="1">
      <c r="A179" s="1208"/>
      <c r="B179" s="1208"/>
      <c r="C179" s="2319" t="s">
        <v>2266</v>
      </c>
      <c r="D179" s="2320"/>
      <c r="E179" s="2320"/>
      <c r="F179" s="2320"/>
      <c r="G179" s="2320"/>
      <c r="H179" s="2320"/>
      <c r="I179" s="2320"/>
      <c r="J179" s="2320"/>
      <c r="K179" s="2320"/>
      <c r="L179" s="2320"/>
      <c r="M179" s="2320"/>
      <c r="N179" s="2320" t="s">
        <v>2267</v>
      </c>
      <c r="O179" s="2320"/>
      <c r="P179" s="2320"/>
      <c r="Q179" s="2320"/>
      <c r="R179" s="2320"/>
      <c r="S179" s="2320"/>
      <c r="T179" s="2320"/>
      <c r="U179" s="2272" t="s">
        <v>2266</v>
      </c>
      <c r="V179" s="2272"/>
      <c r="W179" s="2272"/>
      <c r="X179" s="2272"/>
      <c r="Y179" s="2272"/>
      <c r="Z179" s="2272"/>
      <c r="AA179" s="2272"/>
      <c r="AB179" s="2272"/>
      <c r="AC179" s="2272"/>
      <c r="AD179" s="2272"/>
      <c r="AE179" s="2273"/>
      <c r="AF179" s="1208"/>
      <c r="AG179" s="1208"/>
      <c r="AH179" s="2446"/>
      <c r="AI179" s="2446"/>
      <c r="AJ179" s="2446"/>
      <c r="AK179" s="2446"/>
      <c r="AL179" s="2446"/>
      <c r="AM179" s="2446"/>
      <c r="AN179" s="2446"/>
      <c r="AO179" s="2446"/>
      <c r="AP179" s="2446"/>
      <c r="AQ179" s="2446"/>
      <c r="AR179" s="2446"/>
      <c r="AS179" s="2446"/>
      <c r="AT179" s="2446"/>
      <c r="AU179" s="2446"/>
      <c r="AV179" s="2446"/>
      <c r="AW179" s="2446"/>
      <c r="AX179" s="2446"/>
      <c r="AY179" s="2446"/>
      <c r="AZ179" s="2446"/>
      <c r="BA179" s="2446"/>
      <c r="BB179" s="2446"/>
      <c r="BC179" s="2446"/>
      <c r="BD179" s="2446"/>
      <c r="BE179" s="2446"/>
    </row>
    <row r="180" spans="1:57" ht="15.75" customHeight="1">
      <c r="A180" s="1208"/>
      <c r="B180" s="1208"/>
      <c r="C180" s="2433" t="s">
        <v>2265</v>
      </c>
      <c r="D180" s="2434"/>
      <c r="E180" s="2434"/>
      <c r="F180" s="2434"/>
      <c r="G180" s="2434"/>
      <c r="H180" s="2434"/>
      <c r="I180" s="2434"/>
      <c r="J180" s="2434"/>
      <c r="K180" s="2434"/>
      <c r="L180" s="2434"/>
      <c r="M180" s="2434"/>
      <c r="N180" s="2435">
        <f>'Sources and Uses Budget'!B105</f>
        <v>79606911</v>
      </c>
      <c r="O180" s="2435"/>
      <c r="P180" s="2435"/>
      <c r="Q180" s="2435"/>
      <c r="R180" s="2435"/>
      <c r="S180" s="2435"/>
      <c r="T180" s="2435"/>
      <c r="U180" s="2447"/>
      <c r="V180" s="2447"/>
      <c r="W180" s="2447"/>
      <c r="X180" s="2447"/>
      <c r="Y180" s="2447"/>
      <c r="Z180" s="2447"/>
      <c r="AA180" s="2447"/>
      <c r="AB180" s="2447"/>
      <c r="AC180" s="2447"/>
      <c r="AD180" s="2447"/>
      <c r="AE180" s="2448"/>
      <c r="AF180" s="1208"/>
      <c r="AG180" s="1208"/>
      <c r="AH180" s="2446"/>
      <c r="AI180" s="2446"/>
      <c r="AJ180" s="2446"/>
      <c r="AK180" s="2446"/>
      <c r="AL180" s="2446"/>
      <c r="AM180" s="2446"/>
      <c r="AN180" s="2446"/>
      <c r="AO180" s="2446"/>
      <c r="AP180" s="2446"/>
      <c r="AQ180" s="2446"/>
      <c r="AR180" s="2446"/>
      <c r="AS180" s="2446"/>
      <c r="AT180" s="2446"/>
      <c r="AU180" s="2446"/>
      <c r="AV180" s="2446"/>
      <c r="AW180" s="2446"/>
      <c r="AX180" s="2446"/>
      <c r="AY180" s="2446"/>
      <c r="AZ180" s="2446"/>
      <c r="BA180" s="2446"/>
      <c r="BB180" s="2446"/>
      <c r="BC180" s="2446"/>
      <c r="BD180" s="2446"/>
      <c r="BE180" s="2446"/>
    </row>
    <row r="181" spans="1:57" ht="15.75" customHeight="1">
      <c r="A181" s="1208"/>
      <c r="B181" s="1208"/>
      <c r="C181" s="2433" t="s">
        <v>2264</v>
      </c>
      <c r="D181" s="2434"/>
      <c r="E181" s="2434"/>
      <c r="F181" s="2434"/>
      <c r="G181" s="2434"/>
      <c r="H181" s="2434"/>
      <c r="I181" s="2434"/>
      <c r="J181" s="2434"/>
      <c r="K181" s="2434"/>
      <c r="L181" s="2434"/>
      <c r="M181" s="2434"/>
      <c r="N181" s="2435">
        <f>N180/J29</f>
        <v>780459.9117647059</v>
      </c>
      <c r="O181" s="2435"/>
      <c r="P181" s="2435"/>
      <c r="Q181" s="2435"/>
      <c r="R181" s="2435"/>
      <c r="S181" s="2435"/>
      <c r="T181" s="2435"/>
      <c r="U181" s="1248"/>
      <c r="V181" s="1248"/>
      <c r="W181" s="1248"/>
      <c r="X181" s="1248"/>
      <c r="Y181" s="1248"/>
      <c r="Z181" s="1248"/>
      <c r="AA181" s="1248"/>
      <c r="AB181" s="1248"/>
      <c r="AC181" s="1248"/>
      <c r="AD181" s="1248"/>
      <c r="AE181" s="1249"/>
      <c r="AF181" s="1208"/>
      <c r="AG181" s="1208"/>
      <c r="AH181" s="2446"/>
      <c r="AI181" s="2446"/>
      <c r="AJ181" s="2446"/>
      <c r="AK181" s="2446"/>
      <c r="AL181" s="2446"/>
      <c r="AM181" s="2446"/>
      <c r="AN181" s="2446"/>
      <c r="AO181" s="2446"/>
      <c r="AP181" s="2446"/>
      <c r="AQ181" s="2446"/>
      <c r="AR181" s="2446"/>
      <c r="AS181" s="2446"/>
      <c r="AT181" s="2446"/>
      <c r="AU181" s="2446"/>
      <c r="AV181" s="2446"/>
      <c r="AW181" s="2446"/>
      <c r="AX181" s="2446"/>
      <c r="AY181" s="2446"/>
      <c r="AZ181" s="2446"/>
      <c r="BA181" s="2446"/>
      <c r="BB181" s="2446"/>
      <c r="BC181" s="2446"/>
      <c r="BD181" s="2446"/>
      <c r="BE181" s="2446"/>
    </row>
    <row r="182" spans="1:57" ht="15.75" customHeight="1">
      <c r="A182" s="1208"/>
      <c r="B182" s="1208"/>
      <c r="C182" s="2449" t="s">
        <v>2263</v>
      </c>
      <c r="D182" s="2450"/>
      <c r="E182" s="2450"/>
      <c r="F182" s="2450"/>
      <c r="G182" s="2450"/>
      <c r="H182" s="2450"/>
      <c r="I182" s="2450"/>
      <c r="J182" s="2450"/>
      <c r="K182" s="2450"/>
      <c r="L182" s="2450"/>
      <c r="M182" s="2450"/>
      <c r="N182" s="2313">
        <v>0</v>
      </c>
      <c r="O182" s="2313"/>
      <c r="P182" s="2313"/>
      <c r="Q182" s="2313"/>
      <c r="R182" s="2313"/>
      <c r="S182" s="2313"/>
      <c r="T182" s="2313"/>
      <c r="U182" s="2290"/>
      <c r="V182" s="2290"/>
      <c r="W182" s="2290"/>
      <c r="X182" s="2290"/>
      <c r="Y182" s="2290"/>
      <c r="Z182" s="2290"/>
      <c r="AA182" s="2290"/>
      <c r="AB182" s="2290"/>
      <c r="AC182" s="2290"/>
      <c r="AD182" s="2290"/>
      <c r="AE182" s="2291"/>
      <c r="AF182" s="1208"/>
      <c r="AG182" s="1208"/>
      <c r="AH182" s="2446"/>
      <c r="AI182" s="2446"/>
      <c r="AJ182" s="2446"/>
      <c r="AK182" s="2446"/>
      <c r="AL182" s="2446"/>
      <c r="AM182" s="2446"/>
      <c r="AN182" s="2446"/>
      <c r="AO182" s="2446"/>
      <c r="AP182" s="2446"/>
      <c r="AQ182" s="2446"/>
      <c r="AR182" s="2446"/>
      <c r="AS182" s="2446"/>
      <c r="AT182" s="2446"/>
      <c r="AU182" s="2446"/>
      <c r="AV182" s="2446"/>
      <c r="AW182" s="2446"/>
      <c r="AX182" s="2446"/>
      <c r="AY182" s="2446"/>
      <c r="AZ182" s="2446"/>
      <c r="BA182" s="2446"/>
      <c r="BB182" s="2446"/>
      <c r="BC182" s="2446"/>
      <c r="BD182" s="2446"/>
      <c r="BE182" s="2446"/>
    </row>
    <row r="183" spans="1:57" ht="15.75" customHeight="1" thickBot="1">
      <c r="A183" s="1208"/>
      <c r="B183" s="1208"/>
      <c r="C183" s="2433" t="s">
        <v>2262</v>
      </c>
      <c r="D183" s="2434"/>
      <c r="E183" s="2434"/>
      <c r="F183" s="2434"/>
      <c r="G183" s="2434"/>
      <c r="H183" s="2434"/>
      <c r="I183" s="2434"/>
      <c r="J183" s="2434"/>
      <c r="K183" s="2434"/>
      <c r="L183" s="2434"/>
      <c r="M183" s="2434"/>
      <c r="N183" s="2451">
        <f>SUM('Sources and Uses Budget'!B85:B86)</f>
        <v>4590000</v>
      </c>
      <c r="O183" s="2451"/>
      <c r="P183" s="2451"/>
      <c r="Q183" s="2451"/>
      <c r="R183" s="2451"/>
      <c r="S183" s="2451"/>
      <c r="T183" s="2451"/>
      <c r="U183" s="2290" t="s">
        <v>2783</v>
      </c>
      <c r="V183" s="2290"/>
      <c r="W183" s="2290"/>
      <c r="X183" s="2290"/>
      <c r="Y183" s="2290"/>
      <c r="Z183" s="2290"/>
      <c r="AA183" s="2290"/>
      <c r="AB183" s="2290"/>
      <c r="AC183" s="2290"/>
      <c r="AD183" s="2290"/>
      <c r="AE183" s="2291"/>
      <c r="AF183" s="1208"/>
      <c r="AG183" s="1208"/>
      <c r="AH183" s="2446"/>
      <c r="AI183" s="2446"/>
      <c r="AJ183" s="2446"/>
      <c r="AK183" s="2446"/>
      <c r="AL183" s="2446"/>
      <c r="AM183" s="2446"/>
      <c r="AN183" s="2446"/>
      <c r="AO183" s="2446"/>
      <c r="AP183" s="2446"/>
      <c r="AQ183" s="2446"/>
      <c r="AR183" s="2446"/>
      <c r="AS183" s="2446"/>
      <c r="AT183" s="2446"/>
      <c r="AU183" s="2446"/>
      <c r="AV183" s="2446"/>
      <c r="AW183" s="2446"/>
      <c r="AX183" s="2446"/>
      <c r="AY183" s="2446"/>
      <c r="AZ183" s="2446"/>
      <c r="BA183" s="2446"/>
      <c r="BB183" s="2446"/>
      <c r="BC183" s="2446"/>
      <c r="BD183" s="2446"/>
      <c r="BE183" s="2446"/>
    </row>
    <row r="184" spans="1:57" ht="15.75" customHeight="1" thickBot="1">
      <c r="A184" s="1208"/>
      <c r="B184" s="1208"/>
      <c r="C184" s="2433" t="s">
        <v>2261</v>
      </c>
      <c r="D184" s="2434"/>
      <c r="E184" s="2434"/>
      <c r="F184" s="2434"/>
      <c r="G184" s="2434"/>
      <c r="H184" s="2434"/>
      <c r="I184" s="2434"/>
      <c r="J184" s="2434"/>
      <c r="K184" s="2434"/>
      <c r="L184" s="2434"/>
      <c r="M184" s="2434"/>
      <c r="N184" s="2451">
        <f>'Sources and Uses Budget'!B8</f>
        <v>4414514</v>
      </c>
      <c r="O184" s="2451"/>
      <c r="P184" s="2451"/>
      <c r="Q184" s="2451"/>
      <c r="R184" s="2451"/>
      <c r="S184" s="2451"/>
      <c r="T184" s="2451"/>
      <c r="U184" s="2290" t="s">
        <v>2782</v>
      </c>
      <c r="V184" s="2290"/>
      <c r="W184" s="2290"/>
      <c r="X184" s="2290"/>
      <c r="Y184" s="2290"/>
      <c r="Z184" s="2290"/>
      <c r="AA184" s="2290"/>
      <c r="AB184" s="2290"/>
      <c r="AC184" s="2290"/>
      <c r="AD184" s="2290"/>
      <c r="AE184" s="2291"/>
      <c r="AF184" s="1208"/>
      <c r="AG184" s="1208"/>
      <c r="AH184" s="2455" t="s">
        <v>2259</v>
      </c>
      <c r="AI184" s="2456"/>
      <c r="AJ184" s="2456"/>
      <c r="AK184" s="2456"/>
      <c r="AL184" s="2456"/>
      <c r="AM184" s="2456"/>
      <c r="AN184" s="2456"/>
      <c r="AO184" s="2456"/>
      <c r="AP184" s="2456"/>
      <c r="AQ184" s="2456"/>
      <c r="AR184" s="2456"/>
      <c r="AS184" s="2456"/>
      <c r="AT184" s="2456"/>
      <c r="AU184" s="2456"/>
      <c r="AV184" s="2456"/>
      <c r="AW184" s="2456"/>
      <c r="AX184" s="2456"/>
      <c r="AY184" s="2456"/>
      <c r="AZ184" s="2456"/>
      <c r="BA184" s="2456"/>
      <c r="BB184" s="2456"/>
      <c r="BC184" s="2456"/>
      <c r="BD184" s="2456"/>
      <c r="BE184" s="2457"/>
    </row>
    <row r="185" spans="1:57" ht="15.75" customHeight="1">
      <c r="A185" s="1208"/>
      <c r="B185" s="1208"/>
      <c r="C185" s="2433" t="s">
        <v>2260</v>
      </c>
      <c r="D185" s="2434"/>
      <c r="E185" s="2434"/>
      <c r="F185" s="2434"/>
      <c r="G185" s="2434"/>
      <c r="H185" s="2434"/>
      <c r="I185" s="2434"/>
      <c r="J185" s="2434"/>
      <c r="K185" s="2434"/>
      <c r="L185" s="2434"/>
      <c r="M185" s="2434"/>
      <c r="N185" s="2442">
        <v>0</v>
      </c>
      <c r="O185" s="2442"/>
      <c r="P185" s="2442"/>
      <c r="Q185" s="2442"/>
      <c r="R185" s="2442"/>
      <c r="S185" s="2442"/>
      <c r="T185" s="2442"/>
      <c r="U185" s="2290"/>
      <c r="V185" s="2290"/>
      <c r="W185" s="2290"/>
      <c r="X185" s="2290"/>
      <c r="Y185" s="2290"/>
      <c r="Z185" s="2290"/>
      <c r="AA185" s="2290"/>
      <c r="AB185" s="2290"/>
      <c r="AC185" s="2290"/>
      <c r="AD185" s="2290"/>
      <c r="AE185" s="2291"/>
      <c r="AF185" s="1208"/>
      <c r="AG185" s="1208"/>
      <c r="AH185" s="2458" t="s">
        <v>2259</v>
      </c>
      <c r="AI185" s="2459"/>
      <c r="AJ185" s="2459"/>
      <c r="AK185" s="2459"/>
      <c r="AL185" s="2459"/>
      <c r="AM185" s="2459"/>
      <c r="AN185" s="2459"/>
      <c r="AO185" s="2459"/>
      <c r="AP185" s="2459"/>
      <c r="AQ185" s="2459"/>
      <c r="AR185" s="2459"/>
      <c r="AS185" s="2459"/>
      <c r="AT185" s="2459"/>
      <c r="AU185" s="2460">
        <f>Application!AO637</f>
        <v>6132663</v>
      </c>
      <c r="AV185" s="2460"/>
      <c r="AW185" s="2460"/>
      <c r="AX185" s="2460"/>
      <c r="AY185" s="2460"/>
      <c r="AZ185" s="2460"/>
      <c r="BA185" s="2460"/>
      <c r="BB185" s="2460"/>
      <c r="BC185" s="2461"/>
      <c r="BD185" s="2462"/>
      <c r="BE185" s="2463"/>
    </row>
    <row r="186" spans="1:57" ht="15.75" customHeight="1">
      <c r="A186" s="1208"/>
      <c r="B186" s="1208"/>
      <c r="C186" s="2433" t="s">
        <v>2258</v>
      </c>
      <c r="D186" s="2434"/>
      <c r="E186" s="2434"/>
      <c r="F186" s="2434"/>
      <c r="G186" s="2434"/>
      <c r="H186" s="2434"/>
      <c r="I186" s="2434"/>
      <c r="J186" s="2434"/>
      <c r="K186" s="2434"/>
      <c r="L186" s="2434"/>
      <c r="M186" s="2434"/>
      <c r="N186" s="2442"/>
      <c r="O186" s="2442"/>
      <c r="P186" s="2442"/>
      <c r="Q186" s="2442"/>
      <c r="R186" s="2442"/>
      <c r="S186" s="2442"/>
      <c r="T186" s="2442"/>
      <c r="U186" s="2290"/>
      <c r="V186" s="2290"/>
      <c r="W186" s="2290"/>
      <c r="X186" s="2290"/>
      <c r="Y186" s="2290"/>
      <c r="Z186" s="2290"/>
      <c r="AA186" s="2290"/>
      <c r="AB186" s="2290"/>
      <c r="AC186" s="2290"/>
      <c r="AD186" s="2290"/>
      <c r="AE186" s="2291"/>
      <c r="AF186" s="1208"/>
      <c r="AG186" s="1208"/>
      <c r="AH186" s="2443" t="s">
        <v>2257</v>
      </c>
      <c r="AI186" s="2444"/>
      <c r="AJ186" s="2444"/>
      <c r="AK186" s="2444"/>
      <c r="AL186" s="2444"/>
      <c r="AM186" s="2444"/>
      <c r="AN186" s="2444"/>
      <c r="AO186" s="2444"/>
      <c r="AP186" s="2444"/>
      <c r="AQ186" s="2444"/>
      <c r="AR186" s="2444"/>
      <c r="AS186" s="2444"/>
      <c r="AT186" s="2444"/>
      <c r="AU186" s="2445">
        <v>3047132</v>
      </c>
      <c r="AV186" s="2445"/>
      <c r="AW186" s="2445"/>
      <c r="AX186" s="2445"/>
      <c r="AY186" s="2445"/>
      <c r="AZ186" s="2445"/>
      <c r="BA186" s="2445"/>
      <c r="BB186" s="2445"/>
      <c r="BC186" s="2452"/>
      <c r="BD186" s="2453"/>
      <c r="BE186" s="2454"/>
    </row>
    <row r="187" spans="1:57" ht="15.75" customHeight="1">
      <c r="A187" s="1208"/>
      <c r="B187" s="1208"/>
      <c r="C187" s="2468" t="s">
        <v>300</v>
      </c>
      <c r="D187" s="2411"/>
      <c r="E187" s="2464" t="s">
        <v>2255</v>
      </c>
      <c r="F187" s="2464"/>
      <c r="G187" s="2464"/>
      <c r="H187" s="2464"/>
      <c r="I187" s="2464"/>
      <c r="J187" s="2464"/>
      <c r="K187" s="2464"/>
      <c r="L187" s="2464"/>
      <c r="M187" s="2464"/>
      <c r="N187" s="2442">
        <v>0</v>
      </c>
      <c r="O187" s="2442"/>
      <c r="P187" s="2442"/>
      <c r="Q187" s="2442"/>
      <c r="R187" s="2442"/>
      <c r="S187" s="2442"/>
      <c r="T187" s="2442"/>
      <c r="U187" s="2290"/>
      <c r="V187" s="2290"/>
      <c r="W187" s="2290"/>
      <c r="X187" s="2290"/>
      <c r="Y187" s="2290"/>
      <c r="Z187" s="2290"/>
      <c r="AA187" s="2290"/>
      <c r="AB187" s="2290"/>
      <c r="AC187" s="2290"/>
      <c r="AD187" s="2290"/>
      <c r="AE187" s="2291"/>
      <c r="AF187" s="1208"/>
      <c r="AG187" s="1208"/>
      <c r="AH187" s="2469" t="s">
        <v>2256</v>
      </c>
      <c r="AI187" s="2470"/>
      <c r="AJ187" s="2470"/>
      <c r="AK187" s="2470"/>
      <c r="AL187" s="2470"/>
      <c r="AM187" s="2470"/>
      <c r="AN187" s="2470"/>
      <c r="AO187" s="2470"/>
      <c r="AP187" s="2470"/>
      <c r="AQ187" s="2470"/>
      <c r="AR187" s="2470"/>
      <c r="AS187" s="2470"/>
      <c r="AT187" s="2470"/>
      <c r="AU187" s="2471">
        <f>SUM(AU185:BB186)</f>
        <v>9179795</v>
      </c>
      <c r="AV187" s="2471"/>
      <c r="AW187" s="2471"/>
      <c r="AX187" s="2471"/>
      <c r="AY187" s="2471"/>
      <c r="AZ187" s="2471"/>
      <c r="BA187" s="2471"/>
      <c r="BB187" s="2471"/>
      <c r="BC187" s="2452"/>
      <c r="BD187" s="2453"/>
      <c r="BE187" s="2454"/>
    </row>
    <row r="188" spans="1:57" ht="15.75" customHeight="1" thickBot="1">
      <c r="A188" s="1208"/>
      <c r="B188" s="1208"/>
      <c r="C188" s="2330" t="s">
        <v>300</v>
      </c>
      <c r="D188" s="2278"/>
      <c r="E188" s="2464" t="s">
        <v>2255</v>
      </c>
      <c r="F188" s="2464"/>
      <c r="G188" s="2464"/>
      <c r="H188" s="2464"/>
      <c r="I188" s="2464"/>
      <c r="J188" s="2464"/>
      <c r="K188" s="2464"/>
      <c r="L188" s="2464"/>
      <c r="M188" s="2464"/>
      <c r="N188" s="2442">
        <v>0</v>
      </c>
      <c r="O188" s="2442"/>
      <c r="P188" s="2442"/>
      <c r="Q188" s="2442"/>
      <c r="R188" s="2442"/>
      <c r="S188" s="2442"/>
      <c r="T188" s="2442"/>
      <c r="U188" s="2290"/>
      <c r="V188" s="2290"/>
      <c r="W188" s="2290"/>
      <c r="X188" s="2290"/>
      <c r="Y188" s="2290"/>
      <c r="Z188" s="2290"/>
      <c r="AA188" s="2290"/>
      <c r="AB188" s="2290"/>
      <c r="AC188" s="2290"/>
      <c r="AD188" s="2290"/>
      <c r="AE188" s="2291"/>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465"/>
      <c r="BD188" s="2466"/>
      <c r="BE188" s="2467"/>
    </row>
    <row r="189" spans="1:57" ht="15.75" customHeight="1" thickBot="1">
      <c r="A189" s="1208"/>
      <c r="B189" s="1208"/>
      <c r="C189" s="2489" t="s">
        <v>300</v>
      </c>
      <c r="D189" s="2490"/>
      <c r="E189" s="2491" t="s">
        <v>2255</v>
      </c>
      <c r="F189" s="2491"/>
      <c r="G189" s="2491"/>
      <c r="H189" s="2491"/>
      <c r="I189" s="2491"/>
      <c r="J189" s="2491"/>
      <c r="K189" s="2491"/>
      <c r="L189" s="2491"/>
      <c r="M189" s="2492"/>
      <c r="N189" s="2493">
        <v>0</v>
      </c>
      <c r="O189" s="2493"/>
      <c r="P189" s="2493"/>
      <c r="Q189" s="2493"/>
      <c r="R189" s="2493"/>
      <c r="S189" s="2493"/>
      <c r="T189" s="2494"/>
      <c r="U189" s="2495"/>
      <c r="V189" s="2496"/>
      <c r="W189" s="2496"/>
      <c r="X189" s="2496"/>
      <c r="Y189" s="2496"/>
      <c r="Z189" s="2496"/>
      <c r="AA189" s="2496"/>
      <c r="AB189" s="2496"/>
      <c r="AC189" s="2496"/>
      <c r="AD189" s="2496"/>
      <c r="AE189" s="2497"/>
      <c r="AF189" s="1208"/>
      <c r="AG189" s="1208"/>
      <c r="AH189" s="2498" t="s">
        <v>2254</v>
      </c>
      <c r="AI189" s="2499"/>
      <c r="AJ189" s="2499"/>
      <c r="AK189" s="2499"/>
      <c r="AL189" s="2499"/>
      <c r="AM189" s="2499"/>
      <c r="AN189" s="2499"/>
      <c r="AO189" s="2499"/>
      <c r="AP189" s="2499"/>
      <c r="AQ189" s="2499"/>
      <c r="AR189" s="2499"/>
      <c r="AS189" s="2499"/>
      <c r="AT189" s="2499"/>
      <c r="AU189" s="2500"/>
      <c r="AV189" s="2500"/>
      <c r="AW189" s="2500"/>
      <c r="AX189" s="2500"/>
      <c r="AY189" s="2500"/>
      <c r="AZ189" s="2500"/>
      <c r="BA189" s="2500"/>
      <c r="BB189" s="2500"/>
      <c r="BC189" s="1164"/>
      <c r="BD189" s="1164"/>
      <c r="BE189" s="1252"/>
    </row>
    <row r="190" spans="1:57" ht="15.75" customHeight="1">
      <c r="A190" s="1208"/>
      <c r="B190" s="1208"/>
      <c r="C190" s="2472" t="s">
        <v>2253</v>
      </c>
      <c r="D190" s="2473"/>
      <c r="E190" s="2473"/>
      <c r="F190" s="2473"/>
      <c r="G190" s="2473"/>
      <c r="H190" s="2473"/>
      <c r="I190" s="2473"/>
      <c r="J190" s="2473"/>
      <c r="K190" s="2473"/>
      <c r="L190" s="2473"/>
      <c r="M190" s="2473"/>
      <c r="N190" s="2474">
        <f>SUM(N182:T189)</f>
        <v>9004514</v>
      </c>
      <c r="O190" s="2474"/>
      <c r="P190" s="2474"/>
      <c r="Q190" s="2474"/>
      <c r="R190" s="2474"/>
      <c r="S190" s="2474"/>
      <c r="T190" s="2475"/>
      <c r="U190" s="1208"/>
      <c r="V190" s="1208"/>
      <c r="W190" s="1208"/>
      <c r="X190" s="1208"/>
      <c r="Y190" s="1208"/>
      <c r="Z190" s="1208"/>
      <c r="AA190" s="1208"/>
      <c r="AB190" s="1208"/>
      <c r="AC190" s="1208"/>
      <c r="AD190" s="1208"/>
      <c r="AE190" s="1208"/>
      <c r="AF190" s="1208"/>
      <c r="AG190" s="1208"/>
      <c r="AH190" s="2476" t="s">
        <v>2252</v>
      </c>
      <c r="AI190" s="2477"/>
      <c r="AJ190" s="2477"/>
      <c r="AK190" s="2477"/>
      <c r="AL190" s="2477"/>
      <c r="AM190" s="2477"/>
      <c r="AN190" s="2477"/>
      <c r="AO190" s="2477"/>
      <c r="AP190" s="2477"/>
      <c r="AQ190" s="2477"/>
      <c r="AR190" s="2477"/>
      <c r="AS190" s="2477"/>
      <c r="AT190" s="2477"/>
      <c r="AU190" s="2477"/>
      <c r="AV190" s="2477"/>
      <c r="AW190" s="2477"/>
      <c r="AX190" s="2477"/>
      <c r="AY190" s="2477"/>
      <c r="AZ190" s="2477"/>
      <c r="BA190" s="2477"/>
      <c r="BB190" s="2477"/>
      <c r="BC190" s="2477"/>
      <c r="BD190" s="2477"/>
      <c r="BE190" s="2478"/>
    </row>
    <row r="191" spans="1:57" ht="15.75" customHeight="1" thickBot="1">
      <c r="A191" s="1208"/>
      <c r="B191" s="1208"/>
      <c r="C191" s="2482" t="s">
        <v>2251</v>
      </c>
      <c r="D191" s="2483"/>
      <c r="E191" s="2483"/>
      <c r="F191" s="2483"/>
      <c r="G191" s="2483"/>
      <c r="H191" s="2483"/>
      <c r="I191" s="2483"/>
      <c r="J191" s="2483"/>
      <c r="K191" s="2483"/>
      <c r="L191" s="2483"/>
      <c r="M191" s="2483"/>
      <c r="N191" s="2484">
        <f>(N180-N190)/J29</f>
        <v>692180.36274509807</v>
      </c>
      <c r="O191" s="2485"/>
      <c r="P191" s="2485"/>
      <c r="Q191" s="2485"/>
      <c r="R191" s="2485"/>
      <c r="S191" s="2485"/>
      <c r="T191" s="2486"/>
      <c r="U191" s="1216"/>
      <c r="V191" s="1208"/>
      <c r="W191" s="1208"/>
      <c r="X191" s="1208"/>
      <c r="Y191" s="1208"/>
      <c r="Z191" s="1208"/>
      <c r="AA191" s="1208"/>
      <c r="AB191" s="1208"/>
      <c r="AC191" s="1208"/>
      <c r="AD191" s="1208"/>
      <c r="AE191" s="1208"/>
      <c r="AF191" s="1208"/>
      <c r="AG191" s="1208"/>
      <c r="AH191" s="2479"/>
      <c r="AI191" s="2480"/>
      <c r="AJ191" s="2480"/>
      <c r="AK191" s="2480"/>
      <c r="AL191" s="2480"/>
      <c r="AM191" s="2480"/>
      <c r="AN191" s="2480"/>
      <c r="AO191" s="2480"/>
      <c r="AP191" s="2480"/>
      <c r="AQ191" s="2480"/>
      <c r="AR191" s="2480"/>
      <c r="AS191" s="2480"/>
      <c r="AT191" s="2480"/>
      <c r="AU191" s="2480"/>
      <c r="AV191" s="2480"/>
      <c r="AW191" s="2480"/>
      <c r="AX191" s="2480"/>
      <c r="AY191" s="2480"/>
      <c r="AZ191" s="2480"/>
      <c r="BA191" s="2480"/>
      <c r="BB191" s="2480"/>
      <c r="BC191" s="2480"/>
      <c r="BD191" s="2480"/>
      <c r="BE191" s="2481"/>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487"/>
      <c r="AI192" s="2487"/>
      <c r="AJ192" s="2487"/>
      <c r="AK192" s="2487"/>
      <c r="AL192" s="2487"/>
      <c r="AM192" s="2487"/>
      <c r="AN192" s="2487"/>
      <c r="AO192" s="2487"/>
      <c r="AP192" s="2487"/>
      <c r="AQ192" s="2487"/>
      <c r="AR192" s="2487"/>
      <c r="AS192" s="2488"/>
      <c r="AT192" s="2488"/>
      <c r="AU192" s="2488"/>
      <c r="AV192" s="2488"/>
      <c r="AW192" s="2488"/>
      <c r="AX192" s="2488"/>
      <c r="AY192" s="2488"/>
      <c r="AZ192" s="2488"/>
      <c r="BA192" s="2488"/>
      <c r="BB192" s="2488"/>
      <c r="BC192" s="2488"/>
      <c r="BD192" s="2488"/>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506" t="s">
        <v>2250</v>
      </c>
      <c r="D194" s="2507"/>
      <c r="E194" s="2507"/>
      <c r="F194" s="2507"/>
      <c r="G194" s="2507"/>
      <c r="H194" s="2507"/>
      <c r="I194" s="2507"/>
      <c r="J194" s="2507"/>
      <c r="K194" s="2507"/>
      <c r="L194" s="2507"/>
      <c r="M194" s="2507"/>
      <c r="N194" s="2507"/>
      <c r="O194" s="2507"/>
      <c r="P194" s="2507"/>
      <c r="Q194" s="2507"/>
      <c r="R194" s="2507"/>
      <c r="S194" s="2507"/>
      <c r="T194" s="2507"/>
      <c r="U194" s="2507"/>
      <c r="V194" s="2507"/>
      <c r="W194" s="2507"/>
      <c r="X194" s="2507"/>
      <c r="Y194" s="2507"/>
      <c r="Z194" s="2507"/>
      <c r="AA194" s="2507"/>
      <c r="AB194" s="2507"/>
      <c r="AC194" s="2507"/>
      <c r="AD194" s="2507"/>
      <c r="AE194" s="2508"/>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509" t="s">
        <v>2249</v>
      </c>
      <c r="D195" s="2509"/>
      <c r="E195" s="2509"/>
      <c r="F195" s="2509"/>
      <c r="G195" s="2509"/>
      <c r="H195" s="2509"/>
      <c r="I195" s="2509"/>
      <c r="J195" s="2509"/>
      <c r="K195" s="2509"/>
      <c r="L195" s="2509"/>
      <c r="M195" s="2509"/>
      <c r="N195" s="2509"/>
      <c r="O195" s="2510" t="s">
        <v>2248</v>
      </c>
      <c r="P195" s="2510"/>
      <c r="Q195" s="2510"/>
      <c r="R195" s="2510"/>
      <c r="S195" s="2510"/>
      <c r="T195" s="2510"/>
      <c r="U195" s="2510"/>
      <c r="V195" s="2510"/>
      <c r="W195" s="2510"/>
      <c r="X195" s="2510" t="s">
        <v>2247</v>
      </c>
      <c r="Y195" s="2510"/>
      <c r="Z195" s="2510"/>
      <c r="AA195" s="2510"/>
      <c r="AB195" s="2510"/>
      <c r="AC195" s="2510"/>
      <c r="AD195" s="2510"/>
      <c r="AE195" s="2510"/>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501" t="s">
        <v>2246</v>
      </c>
      <c r="D196" s="2501"/>
      <c r="E196" s="2501"/>
      <c r="F196" s="2501"/>
      <c r="G196" s="2501"/>
      <c r="H196" s="2501"/>
      <c r="I196" s="2501"/>
      <c r="J196" s="2501"/>
      <c r="K196" s="2501"/>
      <c r="L196" s="2501"/>
      <c r="M196" s="2501"/>
      <c r="N196" s="2501"/>
      <c r="O196" s="2502">
        <v>5000</v>
      </c>
      <c r="P196" s="2502"/>
      <c r="Q196" s="2502"/>
      <c r="R196" s="2502"/>
      <c r="S196" s="2502"/>
      <c r="T196" s="2502"/>
      <c r="U196" s="2502"/>
      <c r="V196" s="2502"/>
      <c r="W196" s="2502"/>
      <c r="X196" s="2503">
        <v>0.03</v>
      </c>
      <c r="Y196" s="2503"/>
      <c r="Z196" s="2503"/>
      <c r="AA196" s="2503"/>
      <c r="AB196" s="2503"/>
      <c r="AC196" s="2503"/>
      <c r="AD196" s="2503"/>
      <c r="AE196" s="2503"/>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501" t="s">
        <v>854</v>
      </c>
      <c r="D197" s="2501"/>
      <c r="E197" s="2501"/>
      <c r="F197" s="2501"/>
      <c r="G197" s="2501"/>
      <c r="H197" s="2501"/>
      <c r="I197" s="2501"/>
      <c r="J197" s="2501"/>
      <c r="K197" s="2501"/>
      <c r="L197" s="2501"/>
      <c r="M197" s="2501"/>
      <c r="N197" s="2501"/>
      <c r="O197" s="2502">
        <v>10800</v>
      </c>
      <c r="P197" s="2502"/>
      <c r="Q197" s="2502"/>
      <c r="R197" s="2502"/>
      <c r="S197" s="2502"/>
      <c r="T197" s="2502"/>
      <c r="U197" s="2502"/>
      <c r="V197" s="2502"/>
      <c r="W197" s="2502"/>
      <c r="X197" s="2503">
        <v>0.03</v>
      </c>
      <c r="Y197" s="2503"/>
      <c r="Z197" s="2503"/>
      <c r="AA197" s="2503"/>
      <c r="AB197" s="2503"/>
      <c r="AC197" s="2503"/>
      <c r="AD197" s="2503"/>
      <c r="AE197" s="2503"/>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501" t="s">
        <v>2245</v>
      </c>
      <c r="D198" s="2501"/>
      <c r="E198" s="2501"/>
      <c r="F198" s="2501"/>
      <c r="G198" s="2501"/>
      <c r="H198" s="2501"/>
      <c r="I198" s="2501"/>
      <c r="J198" s="2501"/>
      <c r="K198" s="2501"/>
      <c r="L198" s="2501"/>
      <c r="M198" s="2501"/>
      <c r="N198" s="2501"/>
      <c r="O198" s="2504">
        <f>SUM(O196:W197)</f>
        <v>15800</v>
      </c>
      <c r="P198" s="2505"/>
      <c r="Q198" s="2505"/>
      <c r="R198" s="2505"/>
      <c r="S198" s="2505"/>
      <c r="T198" s="2505"/>
      <c r="U198" s="2505"/>
      <c r="V198" s="2505"/>
      <c r="W198" s="2505"/>
      <c r="X198" s="2505" t="s">
        <v>2244</v>
      </c>
      <c r="Y198" s="2505"/>
      <c r="Z198" s="2505"/>
      <c r="AA198" s="2505"/>
      <c r="AB198" s="2505"/>
      <c r="AC198" s="2505"/>
      <c r="AD198" s="2505"/>
      <c r="AE198" s="2505"/>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511" t="s">
        <v>2243</v>
      </c>
      <c r="D199" s="2511"/>
      <c r="E199" s="2511"/>
      <c r="F199" s="2511"/>
      <c r="G199" s="2511"/>
      <c r="H199" s="2511"/>
      <c r="I199" s="2511"/>
      <c r="J199" s="2511"/>
      <c r="K199" s="2511"/>
      <c r="L199" s="2511"/>
      <c r="M199" s="2511"/>
      <c r="N199" s="2511"/>
      <c r="O199" s="2511"/>
      <c r="P199" s="2511"/>
      <c r="Q199" s="2511"/>
      <c r="R199" s="2511"/>
      <c r="S199" s="2511"/>
      <c r="T199" s="2511"/>
      <c r="U199" s="2511"/>
      <c r="V199" s="2511"/>
      <c r="W199" s="2511"/>
      <c r="X199" s="2511"/>
      <c r="Y199" s="2511"/>
      <c r="Z199" s="2511"/>
      <c r="AA199" s="2511"/>
      <c r="AB199" s="2511"/>
      <c r="AC199" s="2511"/>
      <c r="AD199" s="2511"/>
      <c r="AE199" s="2511"/>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512" t="s">
        <v>2242</v>
      </c>
      <c r="D201" s="2513"/>
      <c r="E201" s="2513"/>
      <c r="F201" s="2513"/>
      <c r="G201" s="2513"/>
      <c r="H201" s="2513"/>
      <c r="I201" s="2513"/>
      <c r="J201" s="2513"/>
      <c r="K201" s="2513"/>
      <c r="L201" s="2513"/>
      <c r="M201" s="2513"/>
      <c r="N201" s="2513"/>
      <c r="O201" s="2513"/>
      <c r="P201" s="2513"/>
      <c r="Q201" s="2513"/>
      <c r="R201" s="2513"/>
      <c r="S201" s="2513"/>
      <c r="T201" s="2513"/>
      <c r="U201" s="2513"/>
      <c r="V201" s="2513"/>
      <c r="W201" s="2513"/>
      <c r="X201" s="2513"/>
      <c r="Y201" s="2513"/>
      <c r="Z201" s="2513"/>
      <c r="AA201" s="2513"/>
      <c r="AB201" s="2513"/>
      <c r="AC201" s="2513"/>
      <c r="AD201" s="2513"/>
      <c r="AE201" s="2513"/>
      <c r="AF201" s="2513"/>
      <c r="AG201" s="2513"/>
      <c r="AH201" s="2513"/>
      <c r="AI201" s="2513"/>
      <c r="AJ201" s="2513"/>
      <c r="AK201" s="2514"/>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515" t="s">
        <v>2241</v>
      </c>
      <c r="D202" s="2516"/>
      <c r="E202" s="2516"/>
      <c r="F202" s="2517"/>
      <c r="G202" s="2521" t="s">
        <v>2240</v>
      </c>
      <c r="H202" s="2516"/>
      <c r="I202" s="2516"/>
      <c r="J202" s="2516"/>
      <c r="K202" s="2516"/>
      <c r="L202" s="2516"/>
      <c r="M202" s="2516"/>
      <c r="N202" s="2516"/>
      <c r="O202" s="2517"/>
      <c r="P202" s="2523" t="s">
        <v>2239</v>
      </c>
      <c r="Q202" s="2524"/>
      <c r="R202" s="2524"/>
      <c r="S202" s="2524"/>
      <c r="T202" s="2525"/>
      <c r="U202" s="2529" t="s">
        <v>2238</v>
      </c>
      <c r="V202" s="2530"/>
      <c r="W202" s="2530"/>
      <c r="X202" s="2531"/>
      <c r="Y202" s="2529" t="s">
        <v>2237</v>
      </c>
      <c r="Z202" s="2530"/>
      <c r="AA202" s="2530"/>
      <c r="AB202" s="2531"/>
      <c r="AC202" s="2529" t="s">
        <v>2236</v>
      </c>
      <c r="AD202" s="2530"/>
      <c r="AE202" s="2530"/>
      <c r="AF202" s="2531"/>
      <c r="AG202" s="2521" t="s">
        <v>2235</v>
      </c>
      <c r="AH202" s="2516"/>
      <c r="AI202" s="2516"/>
      <c r="AJ202" s="2516"/>
      <c r="AK202" s="2535"/>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518"/>
      <c r="D203" s="2519"/>
      <c r="E203" s="2519"/>
      <c r="F203" s="2520"/>
      <c r="G203" s="2522"/>
      <c r="H203" s="2519"/>
      <c r="I203" s="2519"/>
      <c r="J203" s="2519"/>
      <c r="K203" s="2519"/>
      <c r="L203" s="2519"/>
      <c r="M203" s="2519"/>
      <c r="N203" s="2519"/>
      <c r="O203" s="2520"/>
      <c r="P203" s="2526"/>
      <c r="Q203" s="2527"/>
      <c r="R203" s="2527"/>
      <c r="S203" s="2527"/>
      <c r="T203" s="2528"/>
      <c r="U203" s="2532"/>
      <c r="V203" s="2533"/>
      <c r="W203" s="2533"/>
      <c r="X203" s="2534"/>
      <c r="Y203" s="2532"/>
      <c r="Z203" s="2533"/>
      <c r="AA203" s="2533"/>
      <c r="AB203" s="2534"/>
      <c r="AC203" s="2532"/>
      <c r="AD203" s="2533"/>
      <c r="AE203" s="2533"/>
      <c r="AF203" s="2534"/>
      <c r="AG203" s="2522"/>
      <c r="AH203" s="2519"/>
      <c r="AI203" s="2519"/>
      <c r="AJ203" s="2519"/>
      <c r="AK203" s="2536"/>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540">
        <v>1</v>
      </c>
      <c r="D204" s="2541"/>
      <c r="E204" s="2541"/>
      <c r="F204" s="2541"/>
      <c r="G204" s="2542" t="s">
        <v>2779</v>
      </c>
      <c r="H204" s="2542"/>
      <c r="I204" s="2542"/>
      <c r="J204" s="2542"/>
      <c r="K204" s="2542"/>
      <c r="L204" s="2542"/>
      <c r="M204" s="2542"/>
      <c r="N204" s="2542"/>
      <c r="O204" s="2542"/>
      <c r="P204" s="2543">
        <v>46419</v>
      </c>
      <c r="Q204" s="2546"/>
      <c r="R204" s="2546"/>
      <c r="S204" s="2546"/>
      <c r="T204" s="2546"/>
      <c r="U204" s="2544">
        <f>34822293*0.2</f>
        <v>6964458.6000000006</v>
      </c>
      <c r="V204" s="2544"/>
      <c r="W204" s="2544"/>
      <c r="X204" s="2544"/>
      <c r="Y204" s="2544">
        <f>AU186*0.2</f>
        <v>609426.4</v>
      </c>
      <c r="Z204" s="2544"/>
      <c r="AA204" s="2544"/>
      <c r="AB204" s="2544"/>
      <c r="AC204" s="2545">
        <f>Y204/AU187</f>
        <v>6.6387800599032987E-2</v>
      </c>
      <c r="AD204" s="2545"/>
      <c r="AE204" s="2545"/>
      <c r="AF204" s="2545"/>
      <c r="AG204" s="2537" t="s">
        <v>2805</v>
      </c>
      <c r="AH204" s="2538"/>
      <c r="AI204" s="2538"/>
      <c r="AJ204" s="2538"/>
      <c r="AK204" s="2539"/>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540">
        <v>2</v>
      </c>
      <c r="D205" s="2541"/>
      <c r="E205" s="2541"/>
      <c r="F205" s="2541"/>
      <c r="G205" s="2542" t="s">
        <v>2804</v>
      </c>
      <c r="H205" s="2542"/>
      <c r="I205" s="2542"/>
      <c r="J205" s="2542"/>
      <c r="K205" s="2542"/>
      <c r="L205" s="2542"/>
      <c r="M205" s="2542"/>
      <c r="N205" s="2542"/>
      <c r="O205" s="2542"/>
      <c r="P205" s="2543">
        <v>47150</v>
      </c>
      <c r="Q205" s="2543"/>
      <c r="R205" s="2543"/>
      <c r="S205" s="2543"/>
      <c r="T205" s="2543"/>
      <c r="U205" s="2544">
        <f>34822293*0.7</f>
        <v>24375605.099999998</v>
      </c>
      <c r="V205" s="2544"/>
      <c r="W205" s="2544"/>
      <c r="X205" s="2544"/>
      <c r="Y205" s="2544">
        <f>AU186*0.7</f>
        <v>2132992.4</v>
      </c>
      <c r="Z205" s="2544"/>
      <c r="AA205" s="2544"/>
      <c r="AB205" s="2544"/>
      <c r="AC205" s="2545">
        <f>Y205/AU187</f>
        <v>0.23235730209661543</v>
      </c>
      <c r="AD205" s="2545"/>
      <c r="AE205" s="2545"/>
      <c r="AF205" s="2545"/>
      <c r="AG205" s="2537" t="s">
        <v>2805</v>
      </c>
      <c r="AH205" s="2538"/>
      <c r="AI205" s="2538"/>
      <c r="AJ205" s="2538"/>
      <c r="AK205" s="2539"/>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540">
        <v>3</v>
      </c>
      <c r="D206" s="2541"/>
      <c r="E206" s="2541"/>
      <c r="F206" s="2541"/>
      <c r="G206" s="2542" t="s">
        <v>2780</v>
      </c>
      <c r="H206" s="2542"/>
      <c r="I206" s="2542"/>
      <c r="J206" s="2542"/>
      <c r="K206" s="2542"/>
      <c r="L206" s="2542"/>
      <c r="M206" s="2542"/>
      <c r="N206" s="2542"/>
      <c r="O206" s="2542"/>
      <c r="P206" s="2543">
        <v>47331</v>
      </c>
      <c r="Q206" s="2543"/>
      <c r="R206" s="2543"/>
      <c r="S206" s="2543"/>
      <c r="T206" s="2543"/>
      <c r="U206" s="2544">
        <f>34822293*0.075</f>
        <v>2611671.9750000001</v>
      </c>
      <c r="V206" s="2544"/>
      <c r="W206" s="2544"/>
      <c r="X206" s="2544"/>
      <c r="Y206" s="2544">
        <f>AU186*0.075</f>
        <v>228534.9</v>
      </c>
      <c r="Z206" s="2544"/>
      <c r="AA206" s="2544"/>
      <c r="AB206" s="2544"/>
      <c r="AC206" s="2545">
        <f>Y206/AU187</f>
        <v>2.489542522463737E-2</v>
      </c>
      <c r="AD206" s="2545"/>
      <c r="AE206" s="2545"/>
      <c r="AF206" s="2545"/>
      <c r="AG206" s="2537" t="s">
        <v>2805</v>
      </c>
      <c r="AH206" s="2538"/>
      <c r="AI206" s="2538"/>
      <c r="AJ206" s="2538"/>
      <c r="AK206" s="2539"/>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540">
        <v>4</v>
      </c>
      <c r="D207" s="2541"/>
      <c r="E207" s="2541"/>
      <c r="F207" s="2541"/>
      <c r="G207" s="2542">
        <v>8609</v>
      </c>
      <c r="H207" s="2542"/>
      <c r="I207" s="2542"/>
      <c r="J207" s="2542"/>
      <c r="K207" s="2542"/>
      <c r="L207" s="2542"/>
      <c r="M207" s="2542"/>
      <c r="N207" s="2542"/>
      <c r="O207" s="2542"/>
      <c r="P207" s="2543">
        <v>47696</v>
      </c>
      <c r="Q207" s="2543"/>
      <c r="R207" s="2543"/>
      <c r="S207" s="2543"/>
      <c r="T207" s="2543"/>
      <c r="U207" s="2544">
        <f>34822293*0.025</f>
        <v>870557.32500000007</v>
      </c>
      <c r="V207" s="2544"/>
      <c r="W207" s="2544"/>
      <c r="X207" s="2544"/>
      <c r="Y207" s="2544">
        <f>AU186*0.025</f>
        <v>76178.3</v>
      </c>
      <c r="Z207" s="2544"/>
      <c r="AA207" s="2544"/>
      <c r="AB207" s="2544"/>
      <c r="AC207" s="2545">
        <f>Y207/AU187</f>
        <v>8.2984750748791233E-3</v>
      </c>
      <c r="AD207" s="2545"/>
      <c r="AE207" s="2545"/>
      <c r="AF207" s="2545"/>
      <c r="AG207" s="2537" t="s">
        <v>2805</v>
      </c>
      <c r="AH207" s="2538"/>
      <c r="AI207" s="2538"/>
      <c r="AJ207" s="2538"/>
      <c r="AK207" s="2539"/>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540">
        <v>5</v>
      </c>
      <c r="D208" s="2541"/>
      <c r="E208" s="2541"/>
      <c r="F208" s="2541"/>
      <c r="G208" s="2542" t="s">
        <v>1857</v>
      </c>
      <c r="H208" s="2542"/>
      <c r="I208" s="2542"/>
      <c r="J208" s="2542"/>
      <c r="K208" s="2542"/>
      <c r="L208" s="2542"/>
      <c r="M208" s="2542"/>
      <c r="N208" s="2542"/>
      <c r="O208" s="2542"/>
      <c r="P208" s="2543"/>
      <c r="Q208" s="2543"/>
      <c r="R208" s="2543"/>
      <c r="S208" s="2543"/>
      <c r="T208" s="2543"/>
      <c r="U208" s="2544" t="s">
        <v>1857</v>
      </c>
      <c r="V208" s="2544"/>
      <c r="W208" s="2544"/>
      <c r="X208" s="2544"/>
      <c r="Y208" s="2544" t="s">
        <v>1857</v>
      </c>
      <c r="Z208" s="2544"/>
      <c r="AA208" s="2544"/>
      <c r="AB208" s="2544"/>
      <c r="AC208" s="2545" t="s">
        <v>1857</v>
      </c>
      <c r="AD208" s="2545"/>
      <c r="AE208" s="2545"/>
      <c r="AF208" s="2545"/>
      <c r="AG208" s="2537"/>
      <c r="AH208" s="2538"/>
      <c r="AI208" s="2538"/>
      <c r="AJ208" s="2538"/>
      <c r="AK208" s="2539"/>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540">
        <v>6</v>
      </c>
      <c r="D209" s="2541"/>
      <c r="E209" s="2541"/>
      <c r="F209" s="2541"/>
      <c r="G209" s="2542" t="s">
        <v>1857</v>
      </c>
      <c r="H209" s="2542"/>
      <c r="I209" s="2542"/>
      <c r="J209" s="2542"/>
      <c r="K209" s="2542"/>
      <c r="L209" s="2542"/>
      <c r="M209" s="2542"/>
      <c r="N209" s="2542"/>
      <c r="O209" s="2542"/>
      <c r="P209" s="2543"/>
      <c r="Q209" s="2543"/>
      <c r="R209" s="2543"/>
      <c r="S209" s="2543"/>
      <c r="T209" s="2543"/>
      <c r="U209" s="2544"/>
      <c r="V209" s="2544"/>
      <c r="W209" s="2544"/>
      <c r="X209" s="2544"/>
      <c r="Y209" s="2544"/>
      <c r="Z209" s="2544"/>
      <c r="AA209" s="2544"/>
      <c r="AB209" s="2544"/>
      <c r="AC209" s="2545" t="s">
        <v>1857</v>
      </c>
      <c r="AD209" s="2545"/>
      <c r="AE209" s="2545"/>
      <c r="AF209" s="2545"/>
      <c r="AG209" s="2537"/>
      <c r="AH209" s="2538"/>
      <c r="AI209" s="2538"/>
      <c r="AJ209" s="2538"/>
      <c r="AK209" s="2539"/>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540">
        <v>7</v>
      </c>
      <c r="D210" s="2541"/>
      <c r="E210" s="2541"/>
      <c r="F210" s="2541"/>
      <c r="G210" s="2542"/>
      <c r="H210" s="2542"/>
      <c r="I210" s="2542"/>
      <c r="J210" s="2542"/>
      <c r="K210" s="2542"/>
      <c r="L210" s="2542"/>
      <c r="M210" s="2542"/>
      <c r="N210" s="2542"/>
      <c r="O210" s="2542"/>
      <c r="P210" s="2543"/>
      <c r="Q210" s="2543"/>
      <c r="R210" s="2543"/>
      <c r="S210" s="2543"/>
      <c r="T210" s="2543"/>
      <c r="U210" s="2544"/>
      <c r="V210" s="2544"/>
      <c r="W210" s="2544"/>
      <c r="X210" s="2544"/>
      <c r="Y210" s="2544"/>
      <c r="Z210" s="2544"/>
      <c r="AA210" s="2544"/>
      <c r="AB210" s="2544"/>
      <c r="AC210" s="2545" t="s">
        <v>1857</v>
      </c>
      <c r="AD210" s="2545"/>
      <c r="AE210" s="2545"/>
      <c r="AF210" s="2545"/>
      <c r="AG210" s="2537"/>
      <c r="AH210" s="2538"/>
      <c r="AI210" s="2538"/>
      <c r="AJ210" s="2538"/>
      <c r="AK210" s="2539"/>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559" t="s">
        <v>2234</v>
      </c>
      <c r="D211" s="2560"/>
      <c r="E211" s="2560"/>
      <c r="F211" s="2560"/>
      <c r="G211" s="2560"/>
      <c r="H211" s="2560"/>
      <c r="I211" s="2560"/>
      <c r="J211" s="2560"/>
      <c r="K211" s="2560"/>
      <c r="L211" s="2560"/>
      <c r="M211" s="2560"/>
      <c r="N211" s="2560"/>
      <c r="O211" s="2560"/>
      <c r="P211" s="2561"/>
      <c r="Q211" s="2561"/>
      <c r="R211" s="2561"/>
      <c r="S211" s="2561"/>
      <c r="T211" s="2561"/>
      <c r="U211" s="2562">
        <f>-SUM(U204:U210)</f>
        <v>-34822293</v>
      </c>
      <c r="V211" s="2562"/>
      <c r="W211" s="2562"/>
      <c r="X211" s="2562"/>
      <c r="Y211" s="2562">
        <f>-SUM(Y204:Y210)</f>
        <v>-3047131.9999999995</v>
      </c>
      <c r="Z211" s="2562"/>
      <c r="AA211" s="2562"/>
      <c r="AB211" s="2562"/>
      <c r="AC211" s="2563">
        <f>-SUM(AC204:AC210)</f>
        <v>-0.33193900299516493</v>
      </c>
      <c r="AD211" s="2563"/>
      <c r="AE211" s="2563"/>
      <c r="AF211" s="2563"/>
      <c r="AG211" s="2564"/>
      <c r="AH211" s="2565"/>
      <c r="AI211" s="2565"/>
      <c r="AJ211" s="2565"/>
      <c r="AK211" s="2566"/>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2233</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547" t="s">
        <v>2232</v>
      </c>
      <c r="C216" s="2548"/>
      <c r="D216" s="2548"/>
      <c r="E216" s="2548"/>
      <c r="F216" s="2548"/>
      <c r="G216" s="2548"/>
      <c r="H216" s="2548"/>
      <c r="I216" s="2548"/>
      <c r="J216" s="2548"/>
      <c r="K216" s="2548"/>
      <c r="L216" s="2548"/>
      <c r="M216" s="2548"/>
      <c r="N216" s="2548"/>
      <c r="O216" s="2548"/>
      <c r="P216" s="2548"/>
      <c r="Q216" s="2548"/>
      <c r="R216" s="2548"/>
      <c r="S216" s="2548"/>
      <c r="T216" s="2548"/>
      <c r="U216" s="2548"/>
      <c r="V216" s="2548"/>
      <c r="W216" s="2548"/>
      <c r="X216" s="2548"/>
      <c r="Y216" s="2548"/>
      <c r="Z216" s="2548"/>
      <c r="AA216" s="2548"/>
      <c r="AB216" s="2548"/>
      <c r="AC216" s="2548"/>
      <c r="AD216" s="2548"/>
      <c r="AE216" s="2548"/>
      <c r="AF216" s="2548"/>
      <c r="AG216" s="2548"/>
      <c r="AH216" s="2548"/>
      <c r="AI216" s="2548"/>
      <c r="AJ216" s="2548"/>
      <c r="AK216" s="2548"/>
      <c r="AL216" s="2548"/>
      <c r="AM216" s="2548"/>
      <c r="AN216" s="2548"/>
      <c r="AO216" s="2548"/>
      <c r="AP216" s="2548"/>
      <c r="AQ216" s="2548"/>
      <c r="AR216" s="2548"/>
      <c r="AS216" s="2548"/>
      <c r="AT216" s="2548"/>
      <c r="AU216" s="2548"/>
      <c r="AV216" s="2548"/>
      <c r="AW216" s="2548"/>
      <c r="AX216" s="2548"/>
      <c r="AY216" s="2548"/>
      <c r="AZ216" s="2548"/>
      <c r="BA216" s="2548"/>
      <c r="BB216" s="2548"/>
      <c r="BC216" s="2548"/>
      <c r="BD216" s="2549"/>
      <c r="BE216" s="1215"/>
    </row>
    <row r="217" spans="1:57" ht="15.75" customHeight="1">
      <c r="A217" s="1208"/>
      <c r="B217" s="2550"/>
      <c r="C217" s="2551"/>
      <c r="D217" s="2551"/>
      <c r="E217" s="2551"/>
      <c r="F217" s="2551"/>
      <c r="G217" s="2551"/>
      <c r="H217" s="2551"/>
      <c r="I217" s="2551"/>
      <c r="J217" s="2551"/>
      <c r="K217" s="2551"/>
      <c r="L217" s="2551"/>
      <c r="M217" s="2551"/>
      <c r="N217" s="2551"/>
      <c r="O217" s="2551"/>
      <c r="P217" s="2551"/>
      <c r="Q217" s="2551"/>
      <c r="R217" s="2551"/>
      <c r="S217" s="2551"/>
      <c r="T217" s="2551"/>
      <c r="U217" s="2551"/>
      <c r="V217" s="2551"/>
      <c r="W217" s="2551"/>
      <c r="X217" s="2551"/>
      <c r="Y217" s="2551"/>
      <c r="Z217" s="2551"/>
      <c r="AA217" s="2551"/>
      <c r="AB217" s="2551"/>
      <c r="AC217" s="2551"/>
      <c r="AD217" s="2551"/>
      <c r="AE217" s="2551"/>
      <c r="AF217" s="2551"/>
      <c r="AG217" s="2551"/>
      <c r="AH217" s="2551"/>
      <c r="AI217" s="2551"/>
      <c r="AJ217" s="2551"/>
      <c r="AK217" s="2551"/>
      <c r="AL217" s="2551"/>
      <c r="AM217" s="2551"/>
      <c r="AN217" s="2551"/>
      <c r="AO217" s="2551"/>
      <c r="AP217" s="2551"/>
      <c r="AQ217" s="2551"/>
      <c r="AR217" s="2551"/>
      <c r="AS217" s="2551"/>
      <c r="AT217" s="2551"/>
      <c r="AU217" s="2551"/>
      <c r="AV217" s="2551"/>
      <c r="AW217" s="2551"/>
      <c r="AX217" s="2551"/>
      <c r="AY217" s="2551"/>
      <c r="AZ217" s="2551"/>
      <c r="BA217" s="2551"/>
      <c r="BB217" s="2551"/>
      <c r="BC217" s="2551"/>
      <c r="BD217" s="2552"/>
      <c r="BE217" s="1215"/>
    </row>
    <row r="218" spans="1:57" ht="15.75" customHeight="1">
      <c r="A218" s="1208"/>
      <c r="B218" s="2553" t="s">
        <v>2231</v>
      </c>
      <c r="C218" s="2554"/>
      <c r="D218" s="2554"/>
      <c r="E218" s="2554"/>
      <c r="F218" s="2554"/>
      <c r="G218" s="2554"/>
      <c r="H218" s="2554"/>
      <c r="I218" s="2554"/>
      <c r="J218" s="2554"/>
      <c r="K218" s="2554"/>
      <c r="L218" s="2554"/>
      <c r="M218" s="2554"/>
      <c r="N218" s="2554"/>
      <c r="O218" s="2554"/>
      <c r="P218" s="2554"/>
      <c r="Q218" s="2554"/>
      <c r="R218" s="2554"/>
      <c r="S218" s="2554"/>
      <c r="T218" s="2554"/>
      <c r="U218" s="2554"/>
      <c r="V218" s="2554"/>
      <c r="W218" s="2554"/>
      <c r="X218" s="2554"/>
      <c r="Y218" s="2554"/>
      <c r="Z218" s="2554"/>
      <c r="AA218" s="2554"/>
      <c r="AB218" s="2554"/>
      <c r="AC218" s="2554"/>
      <c r="AD218" s="2554"/>
      <c r="AE218" s="2554"/>
      <c r="AF218" s="2554"/>
      <c r="AG218" s="2554"/>
      <c r="AH218" s="2554"/>
      <c r="AI218" s="2554"/>
      <c r="AJ218" s="2554"/>
      <c r="AK218" s="2554"/>
      <c r="AL218" s="2554"/>
      <c r="AM218" s="2554"/>
      <c r="AN218" s="2554"/>
      <c r="AO218" s="2554"/>
      <c r="AP218" s="2554"/>
      <c r="AQ218" s="2554"/>
      <c r="AR218" s="2554"/>
      <c r="AS218" s="2554"/>
      <c r="AT218" s="2554"/>
      <c r="AU218" s="2554"/>
      <c r="AV218" s="2554"/>
      <c r="AW218" s="2554"/>
      <c r="AX218" s="2554"/>
      <c r="AY218" s="2554"/>
      <c r="AZ218" s="2554"/>
      <c r="BA218" s="2554"/>
      <c r="BB218" s="2554"/>
      <c r="BC218" s="2554"/>
      <c r="BD218" s="2555"/>
      <c r="BE218" s="1215"/>
    </row>
    <row r="219" spans="1:57" ht="15.75" customHeight="1">
      <c r="A219" s="1208"/>
      <c r="B219" s="2553" t="s">
        <v>2230</v>
      </c>
      <c r="C219" s="2554"/>
      <c r="D219" s="2554"/>
      <c r="E219" s="2554"/>
      <c r="F219" s="2554"/>
      <c r="G219" s="2554"/>
      <c r="H219" s="2554"/>
      <c r="I219" s="2554"/>
      <c r="J219" s="2554"/>
      <c r="K219" s="2554"/>
      <c r="L219" s="2554"/>
      <c r="M219" s="2554"/>
      <c r="N219" s="2554"/>
      <c r="O219" s="2554"/>
      <c r="P219" s="2554"/>
      <c r="Q219" s="2554"/>
      <c r="R219" s="2554"/>
      <c r="S219" s="2554"/>
      <c r="T219" s="2554"/>
      <c r="U219" s="2554"/>
      <c r="V219" s="2554"/>
      <c r="W219" s="2554"/>
      <c r="X219" s="2554"/>
      <c r="Y219" s="2554"/>
      <c r="Z219" s="2554"/>
      <c r="AA219" s="2554"/>
      <c r="AB219" s="2554"/>
      <c r="AC219" s="2554"/>
      <c r="AD219" s="2554"/>
      <c r="AE219" s="2554"/>
      <c r="AF219" s="2554"/>
      <c r="AG219" s="2554"/>
      <c r="AH219" s="2554"/>
      <c r="AI219" s="2554"/>
      <c r="AJ219" s="2554"/>
      <c r="AK219" s="2554"/>
      <c r="AL219" s="2554"/>
      <c r="AM219" s="2554"/>
      <c r="AN219" s="2554"/>
      <c r="AO219" s="2554"/>
      <c r="AP219" s="2554"/>
      <c r="AQ219" s="2554"/>
      <c r="AR219" s="2554"/>
      <c r="AS219" s="2554"/>
      <c r="AT219" s="2554"/>
      <c r="AU219" s="2554"/>
      <c r="AV219" s="2554"/>
      <c r="AW219" s="2554"/>
      <c r="AX219" s="2554"/>
      <c r="AY219" s="2554"/>
      <c r="AZ219" s="2554"/>
      <c r="BA219" s="2554"/>
      <c r="BB219" s="2554"/>
      <c r="BC219" s="2554"/>
      <c r="BD219" s="2555"/>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556" t="s">
        <v>2229</v>
      </c>
      <c r="C221" s="2446"/>
      <c r="D221" s="2446"/>
      <c r="E221" s="2446"/>
      <c r="F221" s="2446"/>
      <c r="G221" s="2446"/>
      <c r="H221" s="2446"/>
      <c r="I221" s="2446"/>
      <c r="J221" s="2446"/>
      <c r="K221" s="2446"/>
      <c r="L221" s="2446"/>
      <c r="M221" s="2446"/>
      <c r="N221" s="2446"/>
      <c r="O221" s="2446"/>
      <c r="P221" s="2446"/>
      <c r="Q221" s="2446"/>
      <c r="R221" s="2446"/>
      <c r="S221" s="2446"/>
      <c r="T221" s="2446"/>
      <c r="U221" s="2446"/>
      <c r="V221" s="2446"/>
      <c r="W221" s="2446"/>
      <c r="X221" s="2446"/>
      <c r="Y221" s="2446"/>
      <c r="Z221" s="2446"/>
      <c r="AA221" s="2446"/>
      <c r="AB221" s="2446"/>
      <c r="AC221" s="2446"/>
      <c r="AD221" s="2446"/>
      <c r="AE221" s="2446"/>
      <c r="AF221" s="2446"/>
      <c r="AG221" s="2446"/>
      <c r="AH221" s="2446"/>
      <c r="AI221" s="2446"/>
      <c r="AJ221" s="2446"/>
      <c r="AK221" s="2446"/>
      <c r="AL221" s="2446"/>
      <c r="AM221" s="2446"/>
      <c r="AN221" s="2446"/>
      <c r="AO221" s="2446"/>
      <c r="AP221" s="2446"/>
      <c r="AQ221" s="2446"/>
      <c r="AR221" s="2446"/>
      <c r="AS221" s="2446"/>
      <c r="AT221" s="2446"/>
      <c r="AU221" s="2446"/>
      <c r="AV221" s="2446"/>
      <c r="AW221" s="2446"/>
      <c r="AX221" s="2446"/>
      <c r="AY221" s="2446"/>
      <c r="AZ221" s="2446"/>
      <c r="BA221" s="2446"/>
      <c r="BB221" s="2446"/>
      <c r="BC221" s="2446"/>
      <c r="BD221" s="2557"/>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2228</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558" t="s">
        <v>2227</v>
      </c>
      <c r="I225" s="2558"/>
      <c r="J225" s="2558"/>
      <c r="K225" s="2558"/>
      <c r="L225" s="2558"/>
      <c r="M225" s="2558"/>
      <c r="N225" s="2558"/>
      <c r="O225" s="2558"/>
      <c r="P225" s="2558"/>
      <c r="Q225" s="2558"/>
      <c r="R225" s="2558"/>
      <c r="S225" s="2558"/>
      <c r="T225" s="2558"/>
      <c r="U225" s="2558"/>
      <c r="V225" s="2558"/>
      <c r="W225" s="2558"/>
      <c r="X225" s="2558"/>
      <c r="Y225" s="2558"/>
      <c r="Z225" s="2558"/>
      <c r="AA225" s="2558"/>
      <c r="AB225" s="2558"/>
      <c r="AC225" s="2558"/>
      <c r="AD225" s="2558"/>
      <c r="AE225" s="2558"/>
      <c r="AF225" s="2558"/>
      <c r="AG225" s="2558"/>
      <c r="AH225" s="2558"/>
      <c r="AI225" s="2558"/>
      <c r="AJ225" s="2558"/>
      <c r="AK225" s="2558"/>
      <c r="AL225" s="2558"/>
      <c r="AM225" s="2558"/>
      <c r="AN225" s="2558"/>
      <c r="AO225" s="2558"/>
      <c r="AP225" s="2558"/>
      <c r="AQ225" s="2558"/>
      <c r="AR225" s="2558"/>
      <c r="AS225" s="2558"/>
      <c r="AT225" s="2558"/>
      <c r="AU225" s="2558"/>
      <c r="AV225" s="2558"/>
      <c r="AW225" s="2558"/>
      <c r="AX225" s="2558"/>
      <c r="AY225" s="2558"/>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576" t="s">
        <v>2226</v>
      </c>
      <c r="I227" s="2576"/>
      <c r="J227" s="2576"/>
      <c r="K227" s="2576"/>
      <c r="L227" s="2576"/>
      <c r="M227" s="2576"/>
      <c r="N227" s="2576"/>
      <c r="O227" s="2576"/>
      <c r="P227" s="2576"/>
      <c r="Q227" s="2576"/>
      <c r="R227" s="2576"/>
      <c r="S227" s="2576"/>
      <c r="T227" s="2576"/>
      <c r="U227" s="2576"/>
      <c r="V227" s="2576"/>
      <c r="W227" s="2576"/>
      <c r="X227" s="2576"/>
      <c r="Y227" s="2576"/>
      <c r="Z227" s="2576"/>
      <c r="AA227" s="2576"/>
      <c r="AB227" s="2576"/>
      <c r="AC227" s="2576"/>
      <c r="AD227" s="2576"/>
      <c r="AE227" s="2576"/>
      <c r="AF227" s="2576"/>
      <c r="AG227" s="2576"/>
      <c r="AH227" s="2576"/>
      <c r="AI227" s="2576"/>
      <c r="AJ227" s="2576"/>
      <c r="AK227" s="2576"/>
      <c r="AL227" s="2576"/>
      <c r="AM227" s="2576"/>
      <c r="AN227" s="2576"/>
      <c r="AO227" s="2576"/>
      <c r="AP227" s="2576"/>
      <c r="AQ227" s="2576"/>
      <c r="AR227" s="2576"/>
      <c r="AS227" s="2576"/>
      <c r="AT227" s="2576"/>
      <c r="AU227" s="2576"/>
      <c r="AV227" s="2576"/>
      <c r="AW227" s="2576"/>
      <c r="AX227" s="2576"/>
      <c r="AY227" s="2576"/>
      <c r="AZ227" s="2576"/>
      <c r="BA227" s="1208"/>
      <c r="BB227" s="1208"/>
      <c r="BC227" s="1208"/>
      <c r="BD227" s="1215"/>
      <c r="BE227" s="1215"/>
    </row>
    <row r="228" spans="1:57" ht="15.75" customHeight="1">
      <c r="A228" s="1208"/>
      <c r="B228" s="1207"/>
      <c r="C228" s="1208"/>
      <c r="D228" s="1208"/>
      <c r="E228" s="1208"/>
      <c r="F228" s="1208"/>
      <c r="G228" s="1208"/>
      <c r="H228" s="2576"/>
      <c r="I228" s="2576"/>
      <c r="J228" s="2576"/>
      <c r="K228" s="2576"/>
      <c r="L228" s="2576"/>
      <c r="M228" s="2576"/>
      <c r="N228" s="2576"/>
      <c r="O228" s="2576"/>
      <c r="P228" s="2576"/>
      <c r="Q228" s="2576"/>
      <c r="R228" s="2576"/>
      <c r="S228" s="2576"/>
      <c r="T228" s="2576"/>
      <c r="U228" s="2576"/>
      <c r="V228" s="2576"/>
      <c r="W228" s="2576"/>
      <c r="X228" s="2576"/>
      <c r="Y228" s="2576"/>
      <c r="Z228" s="2576"/>
      <c r="AA228" s="2576"/>
      <c r="AB228" s="2576"/>
      <c r="AC228" s="2576"/>
      <c r="AD228" s="2576"/>
      <c r="AE228" s="2576"/>
      <c r="AF228" s="2576"/>
      <c r="AG228" s="2576"/>
      <c r="AH228" s="2576"/>
      <c r="AI228" s="2576"/>
      <c r="AJ228" s="2576"/>
      <c r="AK228" s="2576"/>
      <c r="AL228" s="2576"/>
      <c r="AM228" s="2576"/>
      <c r="AN228" s="2576"/>
      <c r="AO228" s="2576"/>
      <c r="AP228" s="2576"/>
      <c r="AQ228" s="2576"/>
      <c r="AR228" s="2576"/>
      <c r="AS228" s="2576"/>
      <c r="AT228" s="2576"/>
      <c r="AU228" s="2576"/>
      <c r="AV228" s="2576"/>
      <c r="AW228" s="2576"/>
      <c r="AX228" s="2576"/>
      <c r="AY228" s="2576"/>
      <c r="AZ228" s="2576"/>
      <c r="BA228" s="1208"/>
      <c r="BB228" s="1208"/>
      <c r="BC228" s="1208"/>
      <c r="BD228" s="1215"/>
      <c r="BE228" s="1215"/>
    </row>
    <row r="229" spans="1:57" ht="15.75" customHeight="1">
      <c r="A229" s="1208"/>
      <c r="B229" s="1207"/>
      <c r="C229" s="1208"/>
      <c r="D229" s="1208"/>
      <c r="E229" s="1208"/>
      <c r="F229" s="1208"/>
      <c r="G229" s="1208"/>
      <c r="H229" s="2576"/>
      <c r="I229" s="2576"/>
      <c r="J229" s="2576"/>
      <c r="K229" s="2576"/>
      <c r="L229" s="2576"/>
      <c r="M229" s="2576"/>
      <c r="N229" s="2576"/>
      <c r="O229" s="2576"/>
      <c r="P229" s="2576"/>
      <c r="Q229" s="2576"/>
      <c r="R229" s="2576"/>
      <c r="S229" s="2576"/>
      <c r="T229" s="2576"/>
      <c r="U229" s="2576"/>
      <c r="V229" s="2576"/>
      <c r="W229" s="2576"/>
      <c r="X229" s="2576"/>
      <c r="Y229" s="2576"/>
      <c r="Z229" s="2576"/>
      <c r="AA229" s="2576"/>
      <c r="AB229" s="2576"/>
      <c r="AC229" s="2576"/>
      <c r="AD229" s="2576"/>
      <c r="AE229" s="2576"/>
      <c r="AF229" s="2576"/>
      <c r="AG229" s="2576"/>
      <c r="AH229" s="2576"/>
      <c r="AI229" s="2576"/>
      <c r="AJ229" s="2576"/>
      <c r="AK229" s="2576"/>
      <c r="AL229" s="2576"/>
      <c r="AM229" s="2576"/>
      <c r="AN229" s="2576"/>
      <c r="AO229" s="2576"/>
      <c r="AP229" s="2576"/>
      <c r="AQ229" s="2576"/>
      <c r="AR229" s="2576"/>
      <c r="AS229" s="2576"/>
      <c r="AT229" s="2576"/>
      <c r="AU229" s="2576"/>
      <c r="AV229" s="2576"/>
      <c r="AW229" s="2576"/>
      <c r="AX229" s="2576"/>
      <c r="AY229" s="2576"/>
      <c r="AZ229" s="2576"/>
      <c r="BA229" s="1208"/>
      <c r="BB229" s="1208"/>
      <c r="BC229" s="1208"/>
      <c r="BD229" s="1215"/>
      <c r="BE229" s="1215"/>
    </row>
    <row r="230" spans="1:57" ht="15.75" customHeight="1">
      <c r="A230" s="1208"/>
      <c r="B230" s="1207"/>
      <c r="C230" s="1208"/>
      <c r="D230" s="1208"/>
      <c r="E230" s="1208"/>
      <c r="F230" s="1208"/>
      <c r="G230" s="1208"/>
      <c r="H230" s="2576"/>
      <c r="I230" s="2576"/>
      <c r="J230" s="2576"/>
      <c r="K230" s="2576"/>
      <c r="L230" s="2576"/>
      <c r="M230" s="2576"/>
      <c r="N230" s="2576"/>
      <c r="O230" s="2576"/>
      <c r="P230" s="2576"/>
      <c r="Q230" s="2576"/>
      <c r="R230" s="2576"/>
      <c r="S230" s="2576"/>
      <c r="T230" s="2576"/>
      <c r="U230" s="2576"/>
      <c r="V230" s="2576"/>
      <c r="W230" s="2576"/>
      <c r="X230" s="2576"/>
      <c r="Y230" s="2576"/>
      <c r="Z230" s="2576"/>
      <c r="AA230" s="2576"/>
      <c r="AB230" s="2576"/>
      <c r="AC230" s="2576"/>
      <c r="AD230" s="2576"/>
      <c r="AE230" s="2576"/>
      <c r="AF230" s="2576"/>
      <c r="AG230" s="2576"/>
      <c r="AH230" s="2576"/>
      <c r="AI230" s="2576"/>
      <c r="AJ230" s="2576"/>
      <c r="AK230" s="2576"/>
      <c r="AL230" s="2576"/>
      <c r="AM230" s="2576"/>
      <c r="AN230" s="2576"/>
      <c r="AO230" s="2576"/>
      <c r="AP230" s="2576"/>
      <c r="AQ230" s="2576"/>
      <c r="AR230" s="2576"/>
      <c r="AS230" s="2576"/>
      <c r="AT230" s="2576"/>
      <c r="AU230" s="2576"/>
      <c r="AV230" s="2576"/>
      <c r="AW230" s="2576"/>
      <c r="AX230" s="2576"/>
      <c r="AY230" s="2576"/>
      <c r="AZ230" s="2576"/>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577" t="s">
        <v>2225</v>
      </c>
      <c r="I232" s="2577"/>
      <c r="J232" s="2577"/>
      <c r="K232" s="2577"/>
      <c r="L232" s="2577"/>
      <c r="M232" s="2577"/>
      <c r="N232" s="2577"/>
      <c r="O232" s="2577"/>
      <c r="P232" s="2577"/>
      <c r="Q232" s="2577"/>
      <c r="R232" s="2577"/>
      <c r="S232" s="2577"/>
      <c r="T232" s="2577"/>
      <c r="U232" s="2577"/>
      <c r="V232" s="2577"/>
      <c r="W232" s="2577"/>
      <c r="X232" s="2577"/>
      <c r="Y232" s="2577"/>
      <c r="Z232" s="2577"/>
      <c r="AA232" s="2577"/>
      <c r="AB232" s="2577"/>
      <c r="AC232" s="2577"/>
      <c r="AD232" s="2577"/>
      <c r="AE232" s="2577"/>
      <c r="AF232" s="2577"/>
      <c r="AG232" s="2577"/>
      <c r="AH232" s="2577"/>
      <c r="AI232" s="2577"/>
      <c r="AJ232" s="2577"/>
      <c r="AK232" s="2577"/>
      <c r="AL232" s="2577"/>
      <c r="AM232" s="2577"/>
      <c r="AN232" s="2577"/>
      <c r="AO232" s="2577"/>
      <c r="AP232" s="2577"/>
      <c r="AQ232" s="2577"/>
      <c r="AR232" s="2577"/>
      <c r="AS232" s="2577"/>
      <c r="AT232" s="2577"/>
      <c r="AU232" s="2577"/>
      <c r="AV232" s="2577"/>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567" t="s">
        <v>2224</v>
      </c>
      <c r="I234" s="2567"/>
      <c r="J234" s="2567"/>
      <c r="K234" s="2567"/>
      <c r="L234" s="1259"/>
      <c r="M234" s="1259"/>
      <c r="N234" s="1259"/>
      <c r="O234" s="1259"/>
      <c r="P234" s="1259"/>
      <c r="Q234" s="1259"/>
      <c r="R234" s="1259"/>
      <c r="S234" s="2578"/>
      <c r="T234" s="2579"/>
      <c r="U234" s="2579"/>
      <c r="V234" s="2579"/>
      <c r="W234" s="2579"/>
      <c r="X234" s="2579"/>
      <c r="Y234" s="2579"/>
      <c r="Z234" s="2579"/>
      <c r="AA234" s="2579"/>
      <c r="AB234" s="2579"/>
      <c r="AC234" s="2579"/>
      <c r="AD234" s="2579"/>
      <c r="AE234" s="2579"/>
      <c r="AF234" s="2579"/>
      <c r="AG234" s="2579"/>
      <c r="AH234" s="2579"/>
      <c r="AI234" s="2579"/>
      <c r="AJ234" s="2580"/>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567" t="s">
        <v>2223</v>
      </c>
      <c r="I236" s="2567"/>
      <c r="J236" s="2567"/>
      <c r="K236" s="1261"/>
      <c r="L236" s="1259"/>
      <c r="M236" s="1259"/>
      <c r="N236" s="1259"/>
      <c r="O236" s="1259"/>
      <c r="P236" s="1259"/>
      <c r="Q236" s="1259"/>
      <c r="R236" s="1259"/>
      <c r="S236" s="2568" t="s">
        <v>2651</v>
      </c>
      <c r="T236" s="2569"/>
      <c r="U236" s="2569"/>
      <c r="V236" s="2569"/>
      <c r="W236" s="2569"/>
      <c r="X236" s="2569"/>
      <c r="Y236" s="2569"/>
      <c r="Z236" s="2569"/>
      <c r="AA236" s="2569"/>
      <c r="AB236" s="2569"/>
      <c r="AC236" s="2569"/>
      <c r="AD236" s="2569"/>
      <c r="AE236" s="2569"/>
      <c r="AF236" s="2569"/>
      <c r="AG236" s="2569"/>
      <c r="AH236" s="2569"/>
      <c r="AI236" s="2569"/>
      <c r="AJ236" s="2570"/>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567" t="s">
        <v>441</v>
      </c>
      <c r="I238" s="2567"/>
      <c r="J238" s="1261"/>
      <c r="K238" s="1261"/>
      <c r="L238" s="1259"/>
      <c r="M238" s="1259"/>
      <c r="N238" s="1259"/>
      <c r="O238" s="1259"/>
      <c r="P238" s="1259"/>
      <c r="Q238" s="1259"/>
      <c r="R238" s="1259"/>
      <c r="S238" s="2568" t="s">
        <v>2717</v>
      </c>
      <c r="T238" s="2569"/>
      <c r="U238" s="2569"/>
      <c r="V238" s="2569"/>
      <c r="W238" s="2569"/>
      <c r="X238" s="2569"/>
      <c r="Y238" s="2569"/>
      <c r="Z238" s="2569"/>
      <c r="AA238" s="2569"/>
      <c r="AB238" s="2569"/>
      <c r="AC238" s="2569"/>
      <c r="AD238" s="2569"/>
      <c r="AE238" s="2569"/>
      <c r="AF238" s="2569"/>
      <c r="AG238" s="2569"/>
      <c r="AH238" s="2569"/>
      <c r="AI238" s="2569"/>
      <c r="AJ238" s="2570"/>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571" t="s">
        <v>2222</v>
      </c>
      <c r="I240" s="2571"/>
      <c r="J240" s="2571"/>
      <c r="K240" s="2571"/>
      <c r="L240" s="2571"/>
      <c r="M240" s="2571"/>
      <c r="N240" s="2571"/>
      <c r="O240" s="2571"/>
      <c r="P240" s="1259"/>
      <c r="Q240" s="1259"/>
      <c r="R240" s="1259"/>
      <c r="S240" s="2568" t="s">
        <v>2639</v>
      </c>
      <c r="T240" s="2569"/>
      <c r="U240" s="2569"/>
      <c r="V240" s="2569"/>
      <c r="W240" s="2569"/>
      <c r="X240" s="2569"/>
      <c r="Y240" s="2569"/>
      <c r="Z240" s="2569"/>
      <c r="AA240" s="2569"/>
      <c r="AB240" s="2569"/>
      <c r="AC240" s="2569"/>
      <c r="AD240" s="2569"/>
      <c r="AE240" s="2569"/>
      <c r="AF240" s="2569"/>
      <c r="AG240" s="2569"/>
      <c r="AH240" s="2569"/>
      <c r="AI240" s="2569"/>
      <c r="AJ240" s="2570"/>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572" t="s">
        <v>2221</v>
      </c>
      <c r="I242" s="2572"/>
      <c r="J242" s="1259"/>
      <c r="K242" s="1259"/>
      <c r="L242" s="1259"/>
      <c r="M242" s="1259"/>
      <c r="N242" s="1259"/>
      <c r="O242" s="1259"/>
      <c r="P242" s="1259"/>
      <c r="Q242" s="1259"/>
      <c r="R242" s="1259"/>
      <c r="S242" s="2573">
        <v>46080</v>
      </c>
      <c r="T242" s="2574"/>
      <c r="U242" s="2574"/>
      <c r="V242" s="2574"/>
      <c r="W242" s="2574"/>
      <c r="X242" s="2574"/>
      <c r="Y242" s="2574"/>
      <c r="Z242" s="2574"/>
      <c r="AA242" s="2574"/>
      <c r="AB242" s="2574"/>
      <c r="AC242" s="2574"/>
      <c r="AD242" s="2574"/>
      <c r="AE242" s="2574"/>
      <c r="AF242" s="2574"/>
      <c r="AG242" s="2574"/>
      <c r="AH242" s="2574"/>
      <c r="AI242" s="2574"/>
      <c r="AJ242" s="2575"/>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1"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7" zoomScale="78" zoomScaleNormal="78" workbookViewId="0">
      <selection activeCell="T28" sqref="T28:X28"/>
    </sheetView>
  </sheetViews>
  <sheetFormatPr defaultColWidth="0" defaultRowHeight="13.05" customHeight="1" zeroHeight="1"/>
  <cols>
    <col min="1" max="1" width="1.44140625" style="402" customWidth="1"/>
    <col min="2" max="2" width="0.77734375" style="402" customWidth="1"/>
    <col min="3" max="18" width="2.44140625" style="402" customWidth="1"/>
    <col min="19" max="19" width="6.33203125" style="402" customWidth="1"/>
    <col min="20" max="39" width="2.6640625" style="402" customWidth="1"/>
    <col min="40" max="40" width="1.44140625" style="402" customWidth="1"/>
    <col min="41" max="256" width="2.44140625" style="402" hidden="1"/>
    <col min="257" max="257" width="1.44140625" style="402" hidden="1" customWidth="1"/>
    <col min="258" max="258" width="0.77734375" style="402" hidden="1" customWidth="1"/>
    <col min="259" max="274" width="2.44140625" style="402" hidden="1" customWidth="1"/>
    <col min="275" max="275" width="4" style="402" hidden="1" customWidth="1"/>
    <col min="276" max="295" width="2.44140625" style="402" hidden="1" customWidth="1"/>
    <col min="296" max="296" width="1.44140625" style="402" hidden="1" customWidth="1"/>
    <col min="297" max="512" width="2.44140625" style="402" hidden="1"/>
    <col min="513" max="513" width="1.44140625" style="402" hidden="1" customWidth="1"/>
    <col min="514" max="514" width="0.77734375" style="402" hidden="1" customWidth="1"/>
    <col min="515" max="530" width="2.44140625" style="402" hidden="1" customWidth="1"/>
    <col min="531" max="531" width="4" style="402" hidden="1" customWidth="1"/>
    <col min="532" max="551" width="2.44140625" style="402" hidden="1" customWidth="1"/>
    <col min="552" max="552" width="1.44140625" style="402" hidden="1" customWidth="1"/>
    <col min="553" max="768" width="2.44140625" style="402" hidden="1"/>
    <col min="769" max="769" width="1.44140625" style="402" hidden="1" customWidth="1"/>
    <col min="770" max="770" width="0.77734375" style="402" hidden="1" customWidth="1"/>
    <col min="771" max="786" width="2.44140625" style="402" hidden="1" customWidth="1"/>
    <col min="787" max="787" width="4" style="402" hidden="1" customWidth="1"/>
    <col min="788" max="807" width="2.44140625" style="402" hidden="1" customWidth="1"/>
    <col min="808" max="808" width="1.44140625" style="402" hidden="1" customWidth="1"/>
    <col min="809" max="1024" width="2.44140625" style="402" hidden="1"/>
    <col min="1025" max="1025" width="1.44140625" style="402" hidden="1" customWidth="1"/>
    <col min="1026" max="1026" width="0.77734375" style="402" hidden="1" customWidth="1"/>
    <col min="1027" max="1042" width="2.44140625" style="402" hidden="1" customWidth="1"/>
    <col min="1043" max="1043" width="4" style="402" hidden="1" customWidth="1"/>
    <col min="1044" max="1063" width="2.44140625" style="402" hidden="1" customWidth="1"/>
    <col min="1064" max="1064" width="1.44140625" style="402" hidden="1" customWidth="1"/>
    <col min="1065" max="1280" width="2.44140625" style="402" hidden="1"/>
    <col min="1281" max="1281" width="1.44140625" style="402" hidden="1" customWidth="1"/>
    <col min="1282" max="1282" width="0.77734375" style="402" hidden="1" customWidth="1"/>
    <col min="1283" max="1298" width="2.44140625" style="402" hidden="1" customWidth="1"/>
    <col min="1299" max="1299" width="4" style="402" hidden="1" customWidth="1"/>
    <col min="1300" max="1319" width="2.44140625" style="402" hidden="1" customWidth="1"/>
    <col min="1320" max="1320" width="1.44140625" style="402" hidden="1" customWidth="1"/>
    <col min="1321" max="1536" width="2.44140625" style="402" hidden="1"/>
    <col min="1537" max="1537" width="1.44140625" style="402" hidden="1" customWidth="1"/>
    <col min="1538" max="1538" width="0.77734375" style="402" hidden="1" customWidth="1"/>
    <col min="1539" max="1554" width="2.44140625" style="402" hidden="1" customWidth="1"/>
    <col min="1555" max="1555" width="4" style="402" hidden="1" customWidth="1"/>
    <col min="1556" max="1575" width="2.44140625" style="402" hidden="1" customWidth="1"/>
    <col min="1576" max="1576" width="1.44140625" style="402" hidden="1" customWidth="1"/>
    <col min="1577" max="1792" width="2.44140625" style="402" hidden="1"/>
    <col min="1793" max="1793" width="1.44140625" style="402" hidden="1" customWidth="1"/>
    <col min="1794" max="1794" width="0.77734375" style="402" hidden="1" customWidth="1"/>
    <col min="1795" max="1810" width="2.44140625" style="402" hidden="1" customWidth="1"/>
    <col min="1811" max="1811" width="4" style="402" hidden="1" customWidth="1"/>
    <col min="1812" max="1831" width="2.44140625" style="402" hidden="1" customWidth="1"/>
    <col min="1832" max="1832" width="1.44140625" style="402" hidden="1" customWidth="1"/>
    <col min="1833" max="2048" width="2.44140625" style="402" hidden="1"/>
    <col min="2049" max="2049" width="1.44140625" style="402" hidden="1" customWidth="1"/>
    <col min="2050" max="2050" width="0.77734375" style="402" hidden="1" customWidth="1"/>
    <col min="2051" max="2066" width="2.44140625" style="402" hidden="1" customWidth="1"/>
    <col min="2067" max="2067" width="4" style="402" hidden="1" customWidth="1"/>
    <col min="2068" max="2087" width="2.44140625" style="402" hidden="1" customWidth="1"/>
    <col min="2088" max="2088" width="1.44140625" style="402" hidden="1" customWidth="1"/>
    <col min="2089" max="2304" width="2.44140625" style="402" hidden="1"/>
    <col min="2305" max="2305" width="1.44140625" style="402" hidden="1" customWidth="1"/>
    <col min="2306" max="2306" width="0.77734375" style="402" hidden="1" customWidth="1"/>
    <col min="2307" max="2322" width="2.44140625" style="402" hidden="1" customWidth="1"/>
    <col min="2323" max="2323" width="4" style="402" hidden="1" customWidth="1"/>
    <col min="2324" max="2343" width="2.44140625" style="402" hidden="1" customWidth="1"/>
    <col min="2344" max="2344" width="1.44140625" style="402" hidden="1" customWidth="1"/>
    <col min="2345" max="2560" width="2.44140625" style="402" hidden="1"/>
    <col min="2561" max="2561" width="1.44140625" style="402" hidden="1" customWidth="1"/>
    <col min="2562" max="2562" width="0.77734375" style="402" hidden="1" customWidth="1"/>
    <col min="2563" max="2578" width="2.44140625" style="402" hidden="1" customWidth="1"/>
    <col min="2579" max="2579" width="4" style="402" hidden="1" customWidth="1"/>
    <col min="2580" max="2599" width="2.44140625" style="402" hidden="1" customWidth="1"/>
    <col min="2600" max="2600" width="1.44140625" style="402" hidden="1" customWidth="1"/>
    <col min="2601" max="2816" width="2.44140625" style="402" hidden="1"/>
    <col min="2817" max="2817" width="1.44140625" style="402" hidden="1" customWidth="1"/>
    <col min="2818" max="2818" width="0.77734375" style="402" hidden="1" customWidth="1"/>
    <col min="2819" max="2834" width="2.44140625" style="402" hidden="1" customWidth="1"/>
    <col min="2835" max="2835" width="4" style="402" hidden="1" customWidth="1"/>
    <col min="2836" max="2855" width="2.44140625" style="402" hidden="1" customWidth="1"/>
    <col min="2856" max="2856" width="1.44140625" style="402" hidden="1" customWidth="1"/>
    <col min="2857" max="3072" width="2.44140625" style="402" hidden="1"/>
    <col min="3073" max="3073" width="1.44140625" style="402" hidden="1" customWidth="1"/>
    <col min="3074" max="3074" width="0.77734375" style="402" hidden="1" customWidth="1"/>
    <col min="3075" max="3090" width="2.44140625" style="402" hidden="1" customWidth="1"/>
    <col min="3091" max="3091" width="4" style="402" hidden="1" customWidth="1"/>
    <col min="3092" max="3111" width="2.44140625" style="402" hidden="1" customWidth="1"/>
    <col min="3112" max="3112" width="1.44140625" style="402" hidden="1" customWidth="1"/>
    <col min="3113" max="3328" width="2.44140625" style="402" hidden="1"/>
    <col min="3329" max="3329" width="1.44140625" style="402" hidden="1" customWidth="1"/>
    <col min="3330" max="3330" width="0.77734375" style="402" hidden="1" customWidth="1"/>
    <col min="3331" max="3346" width="2.44140625" style="402" hidden="1" customWidth="1"/>
    <col min="3347" max="3347" width="4" style="402" hidden="1" customWidth="1"/>
    <col min="3348" max="3367" width="2.44140625" style="402" hidden="1" customWidth="1"/>
    <col min="3368" max="3368" width="1.44140625" style="402" hidden="1" customWidth="1"/>
    <col min="3369" max="3584" width="2.44140625" style="402" hidden="1"/>
    <col min="3585" max="3585" width="1.44140625" style="402" hidden="1" customWidth="1"/>
    <col min="3586" max="3586" width="0.77734375" style="402" hidden="1" customWidth="1"/>
    <col min="3587" max="3602" width="2.44140625" style="402" hidden="1" customWidth="1"/>
    <col min="3603" max="3603" width="4" style="402" hidden="1" customWidth="1"/>
    <col min="3604" max="3623" width="2.44140625" style="402" hidden="1" customWidth="1"/>
    <col min="3624" max="3624" width="1.44140625" style="402" hidden="1" customWidth="1"/>
    <col min="3625" max="3840" width="2.44140625" style="402" hidden="1"/>
    <col min="3841" max="3841" width="1.44140625" style="402" hidden="1" customWidth="1"/>
    <col min="3842" max="3842" width="0.77734375" style="402" hidden="1" customWidth="1"/>
    <col min="3843" max="3858" width="2.44140625" style="402" hidden="1" customWidth="1"/>
    <col min="3859" max="3859" width="4" style="402" hidden="1" customWidth="1"/>
    <col min="3860" max="3879" width="2.44140625" style="402" hidden="1" customWidth="1"/>
    <col min="3880" max="3880" width="1.44140625" style="402" hidden="1" customWidth="1"/>
    <col min="3881" max="4096" width="2.44140625" style="402" hidden="1"/>
    <col min="4097" max="4097" width="1.44140625" style="402" hidden="1" customWidth="1"/>
    <col min="4098" max="4098" width="0.77734375" style="402" hidden="1" customWidth="1"/>
    <col min="4099" max="4114" width="2.44140625" style="402" hidden="1" customWidth="1"/>
    <col min="4115" max="4115" width="4" style="402" hidden="1" customWidth="1"/>
    <col min="4116" max="4135" width="2.44140625" style="402" hidden="1" customWidth="1"/>
    <col min="4136" max="4136" width="1.44140625" style="402" hidden="1" customWidth="1"/>
    <col min="4137" max="4352" width="2.44140625" style="402" hidden="1"/>
    <col min="4353" max="4353" width="1.44140625" style="402" hidden="1" customWidth="1"/>
    <col min="4354" max="4354" width="0.77734375" style="402" hidden="1" customWidth="1"/>
    <col min="4355" max="4370" width="2.44140625" style="402" hidden="1" customWidth="1"/>
    <col min="4371" max="4371" width="4" style="402" hidden="1" customWidth="1"/>
    <col min="4372" max="4391" width="2.44140625" style="402" hidden="1" customWidth="1"/>
    <col min="4392" max="4392" width="1.44140625" style="402" hidden="1" customWidth="1"/>
    <col min="4393" max="4608" width="2.44140625" style="402" hidden="1"/>
    <col min="4609" max="4609" width="1.44140625" style="402" hidden="1" customWidth="1"/>
    <col min="4610" max="4610" width="0.77734375" style="402" hidden="1" customWidth="1"/>
    <col min="4611" max="4626" width="2.44140625" style="402" hidden="1" customWidth="1"/>
    <col min="4627" max="4627" width="4" style="402" hidden="1" customWidth="1"/>
    <col min="4628" max="4647" width="2.44140625" style="402" hidden="1" customWidth="1"/>
    <col min="4648" max="4648" width="1.44140625" style="402" hidden="1" customWidth="1"/>
    <col min="4649" max="4864" width="2.44140625" style="402" hidden="1"/>
    <col min="4865" max="4865" width="1.44140625" style="402" hidden="1" customWidth="1"/>
    <col min="4866" max="4866" width="0.77734375" style="402" hidden="1" customWidth="1"/>
    <col min="4867" max="4882" width="2.44140625" style="402" hidden="1" customWidth="1"/>
    <col min="4883" max="4883" width="4" style="402" hidden="1" customWidth="1"/>
    <col min="4884" max="4903" width="2.44140625" style="402" hidden="1" customWidth="1"/>
    <col min="4904" max="4904" width="1.44140625" style="402" hidden="1" customWidth="1"/>
    <col min="4905" max="5120" width="2.44140625" style="402" hidden="1"/>
    <col min="5121" max="5121" width="1.44140625" style="402" hidden="1" customWidth="1"/>
    <col min="5122" max="5122" width="0.77734375" style="402" hidden="1" customWidth="1"/>
    <col min="5123" max="5138" width="2.44140625" style="402" hidden="1" customWidth="1"/>
    <col min="5139" max="5139" width="4" style="402" hidden="1" customWidth="1"/>
    <col min="5140" max="5159" width="2.44140625" style="402" hidden="1" customWidth="1"/>
    <col min="5160" max="5160" width="1.44140625" style="402" hidden="1" customWidth="1"/>
    <col min="5161" max="5376" width="2.44140625" style="402" hidden="1"/>
    <col min="5377" max="5377" width="1.44140625" style="402" hidden="1" customWidth="1"/>
    <col min="5378" max="5378" width="0.77734375" style="402" hidden="1" customWidth="1"/>
    <col min="5379" max="5394" width="2.44140625" style="402" hidden="1" customWidth="1"/>
    <col min="5395" max="5395" width="4" style="402" hidden="1" customWidth="1"/>
    <col min="5396" max="5415" width="2.44140625" style="402" hidden="1" customWidth="1"/>
    <col min="5416" max="5416" width="1.44140625" style="402" hidden="1" customWidth="1"/>
    <col min="5417" max="5632" width="2.44140625" style="402" hidden="1"/>
    <col min="5633" max="5633" width="1.44140625" style="402" hidden="1" customWidth="1"/>
    <col min="5634" max="5634" width="0.77734375" style="402" hidden="1" customWidth="1"/>
    <col min="5635" max="5650" width="2.44140625" style="402" hidden="1" customWidth="1"/>
    <col min="5651" max="5651" width="4" style="402" hidden="1" customWidth="1"/>
    <col min="5652" max="5671" width="2.44140625" style="402" hidden="1" customWidth="1"/>
    <col min="5672" max="5672" width="1.44140625" style="402" hidden="1" customWidth="1"/>
    <col min="5673" max="5888" width="2.44140625" style="402" hidden="1"/>
    <col min="5889" max="5889" width="1.44140625" style="402" hidden="1" customWidth="1"/>
    <col min="5890" max="5890" width="0.77734375" style="402" hidden="1" customWidth="1"/>
    <col min="5891" max="5906" width="2.44140625" style="402" hidden="1" customWidth="1"/>
    <col min="5907" max="5907" width="4" style="402" hidden="1" customWidth="1"/>
    <col min="5908" max="5927" width="2.44140625" style="402" hidden="1" customWidth="1"/>
    <col min="5928" max="5928" width="1.44140625" style="402" hidden="1" customWidth="1"/>
    <col min="5929" max="6144" width="2.44140625" style="402" hidden="1"/>
    <col min="6145" max="6145" width="1.44140625" style="402" hidden="1" customWidth="1"/>
    <col min="6146" max="6146" width="0.77734375" style="402" hidden="1" customWidth="1"/>
    <col min="6147" max="6162" width="2.44140625" style="402" hidden="1" customWidth="1"/>
    <col min="6163" max="6163" width="4" style="402" hidden="1" customWidth="1"/>
    <col min="6164" max="6183" width="2.44140625" style="402" hidden="1" customWidth="1"/>
    <col min="6184" max="6184" width="1.44140625" style="402" hidden="1" customWidth="1"/>
    <col min="6185" max="6400" width="2.44140625" style="402" hidden="1"/>
    <col min="6401" max="6401" width="1.44140625" style="402" hidden="1" customWidth="1"/>
    <col min="6402" max="6402" width="0.77734375" style="402" hidden="1" customWidth="1"/>
    <col min="6403" max="6418" width="2.44140625" style="402" hidden="1" customWidth="1"/>
    <col min="6419" max="6419" width="4" style="402" hidden="1" customWidth="1"/>
    <col min="6420" max="6439" width="2.44140625" style="402" hidden="1" customWidth="1"/>
    <col min="6440" max="6440" width="1.44140625" style="402" hidden="1" customWidth="1"/>
    <col min="6441" max="6656" width="2.44140625" style="402" hidden="1"/>
    <col min="6657" max="6657" width="1.44140625" style="402" hidden="1" customWidth="1"/>
    <col min="6658" max="6658" width="0.77734375" style="402" hidden="1" customWidth="1"/>
    <col min="6659" max="6674" width="2.44140625" style="402" hidden="1" customWidth="1"/>
    <col min="6675" max="6675" width="4" style="402" hidden="1" customWidth="1"/>
    <col min="6676" max="6695" width="2.44140625" style="402" hidden="1" customWidth="1"/>
    <col min="6696" max="6696" width="1.44140625" style="402" hidden="1" customWidth="1"/>
    <col min="6697" max="6912" width="2.44140625" style="402" hidden="1"/>
    <col min="6913" max="6913" width="1.44140625" style="402" hidden="1" customWidth="1"/>
    <col min="6914" max="6914" width="0.77734375" style="402" hidden="1" customWidth="1"/>
    <col min="6915" max="6930" width="2.44140625" style="402" hidden="1" customWidth="1"/>
    <col min="6931" max="6931" width="4" style="402" hidden="1" customWidth="1"/>
    <col min="6932" max="6951" width="2.44140625" style="402" hidden="1" customWidth="1"/>
    <col min="6952" max="6952" width="1.44140625" style="402" hidden="1" customWidth="1"/>
    <col min="6953" max="7168" width="2.44140625" style="402" hidden="1"/>
    <col min="7169" max="7169" width="1.44140625" style="402" hidden="1" customWidth="1"/>
    <col min="7170" max="7170" width="0.77734375" style="402" hidden="1" customWidth="1"/>
    <col min="7171" max="7186" width="2.44140625" style="402" hidden="1" customWidth="1"/>
    <col min="7187" max="7187" width="4" style="402" hidden="1" customWidth="1"/>
    <col min="7188" max="7207" width="2.44140625" style="402" hidden="1" customWidth="1"/>
    <col min="7208" max="7208" width="1.44140625" style="402" hidden="1" customWidth="1"/>
    <col min="7209" max="7424" width="2.44140625" style="402" hidden="1"/>
    <col min="7425" max="7425" width="1.44140625" style="402" hidden="1" customWidth="1"/>
    <col min="7426" max="7426" width="0.77734375" style="402" hidden="1" customWidth="1"/>
    <col min="7427" max="7442" width="2.44140625" style="402" hidden="1" customWidth="1"/>
    <col min="7443" max="7443" width="4" style="402" hidden="1" customWidth="1"/>
    <col min="7444" max="7463" width="2.44140625" style="402" hidden="1" customWidth="1"/>
    <col min="7464" max="7464" width="1.44140625" style="402" hidden="1" customWidth="1"/>
    <col min="7465" max="7680" width="2.44140625" style="402" hidden="1"/>
    <col min="7681" max="7681" width="1.44140625" style="402" hidden="1" customWidth="1"/>
    <col min="7682" max="7682" width="0.77734375" style="402" hidden="1" customWidth="1"/>
    <col min="7683" max="7698" width="2.44140625" style="402" hidden="1" customWidth="1"/>
    <col min="7699" max="7699" width="4" style="402" hidden="1" customWidth="1"/>
    <col min="7700" max="7719" width="2.44140625" style="402" hidden="1" customWidth="1"/>
    <col min="7720" max="7720" width="1.44140625" style="402" hidden="1" customWidth="1"/>
    <col min="7721" max="7936" width="2.44140625" style="402" hidden="1"/>
    <col min="7937" max="7937" width="1.44140625" style="402" hidden="1" customWidth="1"/>
    <col min="7938" max="7938" width="0.77734375" style="402" hidden="1" customWidth="1"/>
    <col min="7939" max="7954" width="2.44140625" style="402" hidden="1" customWidth="1"/>
    <col min="7955" max="7955" width="4" style="402" hidden="1" customWidth="1"/>
    <col min="7956" max="7975" width="2.44140625" style="402" hidden="1" customWidth="1"/>
    <col min="7976" max="7976" width="1.44140625" style="402" hidden="1" customWidth="1"/>
    <col min="7977" max="8192" width="2.44140625" style="402" hidden="1"/>
    <col min="8193" max="8193" width="1.44140625" style="402" hidden="1" customWidth="1"/>
    <col min="8194" max="8194" width="0.77734375" style="402" hidden="1" customWidth="1"/>
    <col min="8195" max="8210" width="2.44140625" style="402" hidden="1" customWidth="1"/>
    <col min="8211" max="8211" width="4" style="402" hidden="1" customWidth="1"/>
    <col min="8212" max="8231" width="2.44140625" style="402" hidden="1" customWidth="1"/>
    <col min="8232" max="8232" width="1.44140625" style="402" hidden="1" customWidth="1"/>
    <col min="8233" max="8448" width="2.44140625" style="402" hidden="1"/>
    <col min="8449" max="8449" width="1.44140625" style="402" hidden="1" customWidth="1"/>
    <col min="8450" max="8450" width="0.77734375" style="402" hidden="1" customWidth="1"/>
    <col min="8451" max="8466" width="2.44140625" style="402" hidden="1" customWidth="1"/>
    <col min="8467" max="8467" width="4" style="402" hidden="1" customWidth="1"/>
    <col min="8468" max="8487" width="2.44140625" style="402" hidden="1" customWidth="1"/>
    <col min="8488" max="8488" width="1.44140625" style="402" hidden="1" customWidth="1"/>
    <col min="8489" max="8704" width="2.44140625" style="402" hidden="1"/>
    <col min="8705" max="8705" width="1.44140625" style="402" hidden="1" customWidth="1"/>
    <col min="8706" max="8706" width="0.77734375" style="402" hidden="1" customWidth="1"/>
    <col min="8707" max="8722" width="2.44140625" style="402" hidden="1" customWidth="1"/>
    <col min="8723" max="8723" width="4" style="402" hidden="1" customWidth="1"/>
    <col min="8724" max="8743" width="2.44140625" style="402" hidden="1" customWidth="1"/>
    <col min="8744" max="8744" width="1.44140625" style="402" hidden="1" customWidth="1"/>
    <col min="8745" max="8960" width="2.44140625" style="402" hidden="1"/>
    <col min="8961" max="8961" width="1.44140625" style="402" hidden="1" customWidth="1"/>
    <col min="8962" max="8962" width="0.77734375" style="402" hidden="1" customWidth="1"/>
    <col min="8963" max="8978" width="2.44140625" style="402" hidden="1" customWidth="1"/>
    <col min="8979" max="8979" width="4" style="402" hidden="1" customWidth="1"/>
    <col min="8980" max="8999" width="2.44140625" style="402" hidden="1" customWidth="1"/>
    <col min="9000" max="9000" width="1.44140625" style="402" hidden="1" customWidth="1"/>
    <col min="9001" max="9216" width="2.44140625" style="402" hidden="1"/>
    <col min="9217" max="9217" width="1.44140625" style="402" hidden="1" customWidth="1"/>
    <col min="9218" max="9218" width="0.77734375" style="402" hidden="1" customWidth="1"/>
    <col min="9219" max="9234" width="2.44140625" style="402" hidden="1" customWidth="1"/>
    <col min="9235" max="9235" width="4" style="402" hidden="1" customWidth="1"/>
    <col min="9236" max="9255" width="2.44140625" style="402" hidden="1" customWidth="1"/>
    <col min="9256" max="9256" width="1.44140625" style="402" hidden="1" customWidth="1"/>
    <col min="9257" max="9472" width="2.44140625" style="402" hidden="1"/>
    <col min="9473" max="9473" width="1.44140625" style="402" hidden="1" customWidth="1"/>
    <col min="9474" max="9474" width="0.77734375" style="402" hidden="1" customWidth="1"/>
    <col min="9475" max="9490" width="2.44140625" style="402" hidden="1" customWidth="1"/>
    <col min="9491" max="9491" width="4" style="402" hidden="1" customWidth="1"/>
    <col min="9492" max="9511" width="2.44140625" style="402" hidden="1" customWidth="1"/>
    <col min="9512" max="9512" width="1.44140625" style="402" hidden="1" customWidth="1"/>
    <col min="9513" max="9728" width="2.44140625" style="402" hidden="1"/>
    <col min="9729" max="9729" width="1.44140625" style="402" hidden="1" customWidth="1"/>
    <col min="9730" max="9730" width="0.77734375" style="402" hidden="1" customWidth="1"/>
    <col min="9731" max="9746" width="2.44140625" style="402" hidden="1" customWidth="1"/>
    <col min="9747" max="9747" width="4" style="402" hidden="1" customWidth="1"/>
    <col min="9748" max="9767" width="2.44140625" style="402" hidden="1" customWidth="1"/>
    <col min="9768" max="9768" width="1.44140625" style="402" hidden="1" customWidth="1"/>
    <col min="9769" max="9984" width="2.44140625" style="402" hidden="1"/>
    <col min="9985" max="9985" width="1.44140625" style="402" hidden="1" customWidth="1"/>
    <col min="9986" max="9986" width="0.77734375" style="402" hidden="1" customWidth="1"/>
    <col min="9987" max="10002" width="2.44140625" style="402" hidden="1" customWidth="1"/>
    <col min="10003" max="10003" width="4" style="402" hidden="1" customWidth="1"/>
    <col min="10004" max="10023" width="2.44140625" style="402" hidden="1" customWidth="1"/>
    <col min="10024" max="10024" width="1.44140625" style="402" hidden="1" customWidth="1"/>
    <col min="10025" max="10240" width="2.44140625" style="402" hidden="1"/>
    <col min="10241" max="10241" width="1.44140625" style="402" hidden="1" customWidth="1"/>
    <col min="10242" max="10242" width="0.77734375" style="402" hidden="1" customWidth="1"/>
    <col min="10243" max="10258" width="2.44140625" style="402" hidden="1" customWidth="1"/>
    <col min="10259" max="10259" width="4" style="402" hidden="1" customWidth="1"/>
    <col min="10260" max="10279" width="2.44140625" style="402" hidden="1" customWidth="1"/>
    <col min="10280" max="10280" width="1.44140625" style="402" hidden="1" customWidth="1"/>
    <col min="10281" max="10496" width="2.44140625" style="402" hidden="1"/>
    <col min="10497" max="10497" width="1.44140625" style="402" hidden="1" customWidth="1"/>
    <col min="10498" max="10498" width="0.77734375" style="402" hidden="1" customWidth="1"/>
    <col min="10499" max="10514" width="2.44140625" style="402" hidden="1" customWidth="1"/>
    <col min="10515" max="10515" width="4" style="402" hidden="1" customWidth="1"/>
    <col min="10516" max="10535" width="2.44140625" style="402" hidden="1" customWidth="1"/>
    <col min="10536" max="10536" width="1.44140625" style="402" hidden="1" customWidth="1"/>
    <col min="10537" max="10752" width="2.44140625" style="402" hidden="1"/>
    <col min="10753" max="10753" width="1.44140625" style="402" hidden="1" customWidth="1"/>
    <col min="10754" max="10754" width="0.77734375" style="402" hidden="1" customWidth="1"/>
    <col min="10755" max="10770" width="2.44140625" style="402" hidden="1" customWidth="1"/>
    <col min="10771" max="10771" width="4" style="402" hidden="1" customWidth="1"/>
    <col min="10772" max="10791" width="2.44140625" style="402" hidden="1" customWidth="1"/>
    <col min="10792" max="10792" width="1.44140625" style="402" hidden="1" customWidth="1"/>
    <col min="10793" max="11008" width="2.44140625" style="402" hidden="1"/>
    <col min="11009" max="11009" width="1.44140625" style="402" hidden="1" customWidth="1"/>
    <col min="11010" max="11010" width="0.77734375" style="402" hidden="1" customWidth="1"/>
    <col min="11011" max="11026" width="2.44140625" style="402" hidden="1" customWidth="1"/>
    <col min="11027" max="11027" width="4" style="402" hidden="1" customWidth="1"/>
    <col min="11028" max="11047" width="2.44140625" style="402" hidden="1" customWidth="1"/>
    <col min="11048" max="11048" width="1.44140625" style="402" hidden="1" customWidth="1"/>
    <col min="11049" max="11264" width="2.44140625" style="402" hidden="1"/>
    <col min="11265" max="11265" width="1.44140625" style="402" hidden="1" customWidth="1"/>
    <col min="11266" max="11266" width="0.77734375" style="402" hidden="1" customWidth="1"/>
    <col min="11267" max="11282" width="2.44140625" style="402" hidden="1" customWidth="1"/>
    <col min="11283" max="11283" width="4" style="402" hidden="1" customWidth="1"/>
    <col min="11284" max="11303" width="2.44140625" style="402" hidden="1" customWidth="1"/>
    <col min="11304" max="11304" width="1.44140625" style="402" hidden="1" customWidth="1"/>
    <col min="11305" max="11520" width="2.44140625" style="402" hidden="1"/>
    <col min="11521" max="11521" width="1.44140625" style="402" hidden="1" customWidth="1"/>
    <col min="11522" max="11522" width="0.77734375" style="402" hidden="1" customWidth="1"/>
    <col min="11523" max="11538" width="2.44140625" style="402" hidden="1" customWidth="1"/>
    <col min="11539" max="11539" width="4" style="402" hidden="1" customWidth="1"/>
    <col min="11540" max="11559" width="2.44140625" style="402" hidden="1" customWidth="1"/>
    <col min="11560" max="11560" width="1.44140625" style="402" hidden="1" customWidth="1"/>
    <col min="11561" max="11776" width="2.44140625" style="402" hidden="1"/>
    <col min="11777" max="11777" width="1.44140625" style="402" hidden="1" customWidth="1"/>
    <col min="11778" max="11778" width="0.77734375" style="402" hidden="1" customWidth="1"/>
    <col min="11779" max="11794" width="2.44140625" style="402" hidden="1" customWidth="1"/>
    <col min="11795" max="11795" width="4" style="402" hidden="1" customWidth="1"/>
    <col min="11796" max="11815" width="2.44140625" style="402" hidden="1" customWidth="1"/>
    <col min="11816" max="11816" width="1.44140625" style="402" hidden="1" customWidth="1"/>
    <col min="11817" max="12032" width="2.44140625" style="402" hidden="1"/>
    <col min="12033" max="12033" width="1.44140625" style="402" hidden="1" customWidth="1"/>
    <col min="12034" max="12034" width="0.77734375" style="402" hidden="1" customWidth="1"/>
    <col min="12035" max="12050" width="2.44140625" style="402" hidden="1" customWidth="1"/>
    <col min="12051" max="12051" width="4" style="402" hidden="1" customWidth="1"/>
    <col min="12052" max="12071" width="2.44140625" style="402" hidden="1" customWidth="1"/>
    <col min="12072" max="12072" width="1.44140625" style="402" hidden="1" customWidth="1"/>
    <col min="12073" max="12288" width="2.44140625" style="402" hidden="1"/>
    <col min="12289" max="12289" width="1.44140625" style="402" hidden="1" customWidth="1"/>
    <col min="12290" max="12290" width="0.77734375" style="402" hidden="1" customWidth="1"/>
    <col min="12291" max="12306" width="2.44140625" style="402" hidden="1" customWidth="1"/>
    <col min="12307" max="12307" width="4" style="402" hidden="1" customWidth="1"/>
    <col min="12308" max="12327" width="2.44140625" style="402" hidden="1" customWidth="1"/>
    <col min="12328" max="12328" width="1.44140625" style="402" hidden="1" customWidth="1"/>
    <col min="12329" max="12544" width="2.44140625" style="402" hidden="1"/>
    <col min="12545" max="12545" width="1.44140625" style="402" hidden="1" customWidth="1"/>
    <col min="12546" max="12546" width="0.77734375" style="402" hidden="1" customWidth="1"/>
    <col min="12547" max="12562" width="2.44140625" style="402" hidden="1" customWidth="1"/>
    <col min="12563" max="12563" width="4" style="402" hidden="1" customWidth="1"/>
    <col min="12564" max="12583" width="2.44140625" style="402" hidden="1" customWidth="1"/>
    <col min="12584" max="12584" width="1.44140625" style="402" hidden="1" customWidth="1"/>
    <col min="12585" max="12800" width="2.44140625" style="402" hidden="1"/>
    <col min="12801" max="12801" width="1.44140625" style="402" hidden="1" customWidth="1"/>
    <col min="12802" max="12802" width="0.77734375" style="402" hidden="1" customWidth="1"/>
    <col min="12803" max="12818" width="2.44140625" style="402" hidden="1" customWidth="1"/>
    <col min="12819" max="12819" width="4" style="402" hidden="1" customWidth="1"/>
    <col min="12820" max="12839" width="2.44140625" style="402" hidden="1" customWidth="1"/>
    <col min="12840" max="12840" width="1.44140625" style="402" hidden="1" customWidth="1"/>
    <col min="12841" max="13056" width="2.44140625" style="402" hidden="1"/>
    <col min="13057" max="13057" width="1.44140625" style="402" hidden="1" customWidth="1"/>
    <col min="13058" max="13058" width="0.77734375" style="402" hidden="1" customWidth="1"/>
    <col min="13059" max="13074" width="2.44140625" style="402" hidden="1" customWidth="1"/>
    <col min="13075" max="13075" width="4" style="402" hidden="1" customWidth="1"/>
    <col min="13076" max="13095" width="2.44140625" style="402" hidden="1" customWidth="1"/>
    <col min="13096" max="13096" width="1.44140625" style="402" hidden="1" customWidth="1"/>
    <col min="13097" max="13312" width="2.44140625" style="402" hidden="1"/>
    <col min="13313" max="13313" width="1.44140625" style="402" hidden="1" customWidth="1"/>
    <col min="13314" max="13314" width="0.77734375" style="402" hidden="1" customWidth="1"/>
    <col min="13315" max="13330" width="2.44140625" style="402" hidden="1" customWidth="1"/>
    <col min="13331" max="13331" width="4" style="402" hidden="1" customWidth="1"/>
    <col min="13332" max="13351" width="2.44140625" style="402" hidden="1" customWidth="1"/>
    <col min="13352" max="13352" width="1.44140625" style="402" hidden="1" customWidth="1"/>
    <col min="13353" max="13568" width="2.44140625" style="402" hidden="1"/>
    <col min="13569" max="13569" width="1.44140625" style="402" hidden="1" customWidth="1"/>
    <col min="13570" max="13570" width="0.77734375" style="402" hidden="1" customWidth="1"/>
    <col min="13571" max="13586" width="2.44140625" style="402" hidden="1" customWidth="1"/>
    <col min="13587" max="13587" width="4" style="402" hidden="1" customWidth="1"/>
    <col min="13588" max="13607" width="2.44140625" style="402" hidden="1" customWidth="1"/>
    <col min="13608" max="13608" width="1.44140625" style="402" hidden="1" customWidth="1"/>
    <col min="13609" max="13824" width="2.44140625" style="402" hidden="1"/>
    <col min="13825" max="13825" width="1.44140625" style="402" hidden="1" customWidth="1"/>
    <col min="13826" max="13826" width="0.77734375" style="402" hidden="1" customWidth="1"/>
    <col min="13827" max="13842" width="2.44140625" style="402" hidden="1" customWidth="1"/>
    <col min="13843" max="13843" width="4" style="402" hidden="1" customWidth="1"/>
    <col min="13844" max="13863" width="2.44140625" style="402" hidden="1" customWidth="1"/>
    <col min="13864" max="13864" width="1.44140625" style="402" hidden="1" customWidth="1"/>
    <col min="13865" max="14080" width="2.44140625" style="402" hidden="1"/>
    <col min="14081" max="14081" width="1.44140625" style="402" hidden="1" customWidth="1"/>
    <col min="14082" max="14082" width="0.77734375" style="402" hidden="1" customWidth="1"/>
    <col min="14083" max="14098" width="2.44140625" style="402" hidden="1" customWidth="1"/>
    <col min="14099" max="14099" width="4" style="402" hidden="1" customWidth="1"/>
    <col min="14100" max="14119" width="2.44140625" style="402" hidden="1" customWidth="1"/>
    <col min="14120" max="14120" width="1.44140625" style="402" hidden="1" customWidth="1"/>
    <col min="14121" max="14336" width="2.44140625" style="402" hidden="1"/>
    <col min="14337" max="14337" width="1.44140625" style="402" hidden="1" customWidth="1"/>
    <col min="14338" max="14338" width="0.77734375" style="402" hidden="1" customWidth="1"/>
    <col min="14339" max="14354" width="2.44140625" style="402" hidden="1" customWidth="1"/>
    <col min="14355" max="14355" width="4" style="402" hidden="1" customWidth="1"/>
    <col min="14356" max="14375" width="2.44140625" style="402" hidden="1" customWidth="1"/>
    <col min="14376" max="14376" width="1.44140625" style="402" hidden="1" customWidth="1"/>
    <col min="14377" max="14592" width="2.44140625" style="402" hidden="1"/>
    <col min="14593" max="14593" width="1.44140625" style="402" hidden="1" customWidth="1"/>
    <col min="14594" max="14594" width="0.77734375" style="402" hidden="1" customWidth="1"/>
    <col min="14595" max="14610" width="2.44140625" style="402" hidden="1" customWidth="1"/>
    <col min="14611" max="14611" width="4" style="402" hidden="1" customWidth="1"/>
    <col min="14612" max="14631" width="2.44140625" style="402" hidden="1" customWidth="1"/>
    <col min="14632" max="14632" width="1.44140625" style="402" hidden="1" customWidth="1"/>
    <col min="14633" max="14848" width="2.44140625" style="402" hidden="1"/>
    <col min="14849" max="14849" width="1.44140625" style="402" hidden="1" customWidth="1"/>
    <col min="14850" max="14850" width="0.77734375" style="402" hidden="1" customWidth="1"/>
    <col min="14851" max="14866" width="2.44140625" style="402" hidden="1" customWidth="1"/>
    <col min="14867" max="14867" width="4" style="402" hidden="1" customWidth="1"/>
    <col min="14868" max="14887" width="2.44140625" style="402" hidden="1" customWidth="1"/>
    <col min="14888" max="14888" width="1.44140625" style="402" hidden="1" customWidth="1"/>
    <col min="14889" max="15104" width="2.44140625" style="402" hidden="1"/>
    <col min="15105" max="15105" width="1.44140625" style="402" hidden="1" customWidth="1"/>
    <col min="15106" max="15106" width="0.77734375" style="402" hidden="1" customWidth="1"/>
    <col min="15107" max="15122" width="2.44140625" style="402" hidden="1" customWidth="1"/>
    <col min="15123" max="15123" width="4" style="402" hidden="1" customWidth="1"/>
    <col min="15124" max="15143" width="2.44140625" style="402" hidden="1" customWidth="1"/>
    <col min="15144" max="15144" width="1.44140625" style="402" hidden="1" customWidth="1"/>
    <col min="15145" max="15360" width="2.44140625" style="402" hidden="1"/>
    <col min="15361" max="15361" width="1.44140625" style="402" hidden="1" customWidth="1"/>
    <col min="15362" max="15362" width="0.77734375" style="402" hidden="1" customWidth="1"/>
    <col min="15363" max="15378" width="2.44140625" style="402" hidden="1" customWidth="1"/>
    <col min="15379" max="15379" width="4" style="402" hidden="1" customWidth="1"/>
    <col min="15380" max="15399" width="2.44140625" style="402" hidden="1" customWidth="1"/>
    <col min="15400" max="15400" width="1.44140625" style="402" hidden="1" customWidth="1"/>
    <col min="15401" max="15616" width="2.44140625" style="402" hidden="1"/>
    <col min="15617" max="15617" width="1.44140625" style="402" hidden="1" customWidth="1"/>
    <col min="15618" max="15618" width="0.77734375" style="402" hidden="1" customWidth="1"/>
    <col min="15619" max="15634" width="2.44140625" style="402" hidden="1" customWidth="1"/>
    <col min="15635" max="15635" width="4" style="402" hidden="1" customWidth="1"/>
    <col min="15636" max="15655" width="2.44140625" style="402" hidden="1" customWidth="1"/>
    <col min="15656" max="15656" width="1.44140625" style="402" hidden="1" customWidth="1"/>
    <col min="15657" max="15872" width="2.44140625" style="402" hidden="1"/>
    <col min="15873" max="15873" width="1.44140625" style="402" hidden="1" customWidth="1"/>
    <col min="15874" max="15874" width="0.77734375" style="402" hidden="1" customWidth="1"/>
    <col min="15875" max="15890" width="2.44140625" style="402" hidden="1" customWidth="1"/>
    <col min="15891" max="15891" width="4" style="402" hidden="1" customWidth="1"/>
    <col min="15892" max="15911" width="2.44140625" style="402" hidden="1" customWidth="1"/>
    <col min="15912" max="15912" width="1.44140625" style="402" hidden="1" customWidth="1"/>
    <col min="15913" max="16128" width="2.44140625" style="402" hidden="1"/>
    <col min="16129" max="16129" width="1.44140625" style="402" hidden="1" customWidth="1"/>
    <col min="16130" max="16130" width="0.77734375" style="402" hidden="1" customWidth="1"/>
    <col min="16131" max="16146" width="2.44140625" style="402" hidden="1" customWidth="1"/>
    <col min="16147" max="16147" width="4" style="402" hidden="1" customWidth="1"/>
    <col min="16148" max="16167" width="2.44140625" style="402" hidden="1" customWidth="1"/>
    <col min="16168" max="16168" width="1.44140625" style="402" hidden="1" customWidth="1"/>
    <col min="16169" max="16384" width="2.44140625" style="402" hidden="1"/>
  </cols>
  <sheetData>
    <row r="1" spans="1:40" ht="13.05" customHeight="1">
      <c r="A1" s="2628" t="s">
        <v>1279</v>
      </c>
      <c r="B1" s="2628"/>
      <c r="C1" s="2628"/>
      <c r="D1" s="2628"/>
      <c r="E1" s="2628"/>
      <c r="F1" s="2628"/>
      <c r="G1" s="2628"/>
      <c r="H1" s="2628"/>
      <c r="I1" s="2628"/>
      <c r="J1" s="2628"/>
      <c r="K1" s="2628"/>
      <c r="L1" s="2628"/>
      <c r="M1" s="2628"/>
      <c r="N1" s="2628"/>
      <c r="O1" s="2628"/>
      <c r="P1" s="2628"/>
      <c r="Q1" s="2628"/>
      <c r="R1" s="2628"/>
      <c r="S1" s="2628"/>
      <c r="T1" s="2628"/>
      <c r="U1" s="2628"/>
      <c r="V1" s="2628"/>
      <c r="W1" s="2628"/>
      <c r="X1" s="2628"/>
      <c r="Y1" s="2628"/>
      <c r="Z1" s="2628"/>
      <c r="AA1" s="2628"/>
      <c r="AB1" s="2628"/>
      <c r="AC1" s="2628"/>
      <c r="AD1" s="2628"/>
      <c r="AE1" s="2628"/>
      <c r="AF1" s="2628"/>
      <c r="AG1" s="2628"/>
      <c r="AH1" s="2628"/>
      <c r="AI1" s="2628"/>
      <c r="AJ1" s="2628"/>
      <c r="AK1" s="2628"/>
      <c r="AL1" s="2628"/>
      <c r="AM1" s="2628"/>
      <c r="AN1" s="2628"/>
    </row>
    <row r="2" spans="1:40" ht="13.05" customHeight="1" thickBot="1">
      <c r="A2" s="2629"/>
      <c r="B2" s="2629"/>
      <c r="C2" s="2629"/>
      <c r="D2" s="2629"/>
      <c r="E2" s="2629"/>
      <c r="F2" s="2629"/>
      <c r="G2" s="2629"/>
      <c r="H2" s="2629"/>
      <c r="I2" s="2629"/>
      <c r="J2" s="2629"/>
      <c r="K2" s="2629"/>
      <c r="L2" s="2629"/>
      <c r="M2" s="2629"/>
      <c r="N2" s="2629"/>
      <c r="O2" s="2629"/>
      <c r="P2" s="2629"/>
      <c r="Q2" s="2629"/>
      <c r="R2" s="2629"/>
      <c r="S2" s="2629"/>
      <c r="T2" s="2629"/>
      <c r="U2" s="2629"/>
      <c r="V2" s="2629"/>
      <c r="W2" s="2629"/>
      <c r="X2" s="2629"/>
      <c r="Y2" s="2629"/>
      <c r="Z2" s="2629"/>
      <c r="AA2" s="2629"/>
      <c r="AB2" s="2629"/>
      <c r="AC2" s="2629"/>
      <c r="AD2" s="2629"/>
      <c r="AE2" s="2629"/>
      <c r="AF2" s="2629"/>
      <c r="AG2" s="2629"/>
      <c r="AH2" s="2629"/>
      <c r="AI2" s="2629"/>
      <c r="AJ2" s="2629"/>
      <c r="AK2" s="2629"/>
      <c r="AL2" s="2629"/>
      <c r="AM2" s="2629"/>
      <c r="AN2" s="2629"/>
    </row>
    <row r="3" spans="1:40" ht="13.0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05" customHeight="1">
      <c r="A4" s="404"/>
    </row>
    <row r="5" spans="1:40" ht="13.05" customHeight="1">
      <c r="A5" s="404" t="s">
        <v>319</v>
      </c>
      <c r="C5" s="404" t="s">
        <v>122</v>
      </c>
      <c r="F5" s="404"/>
    </row>
    <row r="6" spans="1:40" ht="13.05" customHeight="1">
      <c r="A6" s="404"/>
      <c r="C6" s="402" t="s">
        <v>1237</v>
      </c>
    </row>
    <row r="7" spans="1:40" ht="13.05" customHeight="1">
      <c r="B7" s="405"/>
      <c r="C7" s="406"/>
      <c r="D7" s="406"/>
      <c r="E7" s="406"/>
      <c r="F7" s="406"/>
      <c r="G7" s="406"/>
      <c r="H7" s="406"/>
      <c r="I7" s="406"/>
      <c r="J7" s="406"/>
      <c r="K7" s="406"/>
      <c r="L7" s="406"/>
      <c r="M7" s="406"/>
      <c r="N7" s="406"/>
      <c r="O7" s="406"/>
      <c r="P7" s="406"/>
      <c r="Q7" s="406"/>
      <c r="R7" s="406"/>
      <c r="S7" s="406"/>
      <c r="T7" s="2608" t="str">
        <f xml:space="preserve"> IF(T25=100%,'Sources and Basis Breakdown'!G2,'Sources and Basis Breakdown'!F2)</f>
        <v>30% PVC for New Const/
Rehabilitation
DDA/QCT
Building(s)</v>
      </c>
      <c r="U7" s="2608"/>
      <c r="V7" s="2608"/>
      <c r="W7" s="2608"/>
      <c r="X7" s="2608"/>
      <c r="Y7" s="2608" t="str">
        <f>IF(T25=100%,"",'Sources and Basis Breakdown'!G2)</f>
        <v>30% PVC for New Const/
Rehabilitation
NON-DDA/
NON-QCT Building(s)</v>
      </c>
      <c r="Z7" s="2608"/>
      <c r="AA7" s="2608"/>
      <c r="AB7" s="2608"/>
      <c r="AC7" s="2608"/>
      <c r="AD7" s="2608" t="str">
        <f xml:space="preserve"> IF(T25=100%, 'Sources and Basis Breakdown'!J2,'Sources and Basis Breakdown'!I2)</f>
        <v>30% PVC for Acquisition
DDA/QCT Building(s)</v>
      </c>
      <c r="AE7" s="2608"/>
      <c r="AF7" s="2608"/>
      <c r="AG7" s="2608"/>
      <c r="AH7" s="2608"/>
      <c r="AI7" s="2608" t="str">
        <f>IF(T25=100%,"",'Sources and Basis Breakdown'!J2)</f>
        <v>30% PVC for Acquisition
NON-DDA/
NON-QCT Building(s)</v>
      </c>
      <c r="AJ7" s="2608"/>
      <c r="AK7" s="2608"/>
      <c r="AL7" s="2608"/>
      <c r="AM7" s="2608"/>
    </row>
    <row r="8" spans="1:40" ht="13.05" customHeight="1">
      <c r="B8" s="407"/>
      <c r="T8" s="2608"/>
      <c r="U8" s="2608"/>
      <c r="V8" s="2608"/>
      <c r="W8" s="2608"/>
      <c r="X8" s="2608"/>
      <c r="Y8" s="2608"/>
      <c r="Z8" s="2608"/>
      <c r="AA8" s="2608"/>
      <c r="AB8" s="2608"/>
      <c r="AC8" s="2608"/>
      <c r="AD8" s="2608"/>
      <c r="AE8" s="2608"/>
      <c r="AF8" s="2608"/>
      <c r="AG8" s="2608"/>
      <c r="AH8" s="2608"/>
      <c r="AI8" s="2608"/>
      <c r="AJ8" s="2608"/>
      <c r="AK8" s="2608"/>
      <c r="AL8" s="2608"/>
      <c r="AM8" s="2608"/>
    </row>
    <row r="9" spans="1:40" ht="13.05" customHeight="1">
      <c r="B9" s="407"/>
      <c r="T9" s="2608"/>
      <c r="U9" s="2608"/>
      <c r="V9" s="2608"/>
      <c r="W9" s="2608"/>
      <c r="X9" s="2608"/>
      <c r="Y9" s="2608"/>
      <c r="Z9" s="2608"/>
      <c r="AA9" s="2608"/>
      <c r="AB9" s="2608"/>
      <c r="AC9" s="2608"/>
      <c r="AD9" s="2608"/>
      <c r="AE9" s="2608"/>
      <c r="AF9" s="2608"/>
      <c r="AG9" s="2608"/>
      <c r="AH9" s="2608"/>
      <c r="AI9" s="2608"/>
      <c r="AJ9" s="2608"/>
      <c r="AK9" s="2608"/>
      <c r="AL9" s="2608"/>
      <c r="AM9" s="2608"/>
    </row>
    <row r="10" spans="1:40" ht="13.05" customHeight="1">
      <c r="B10" s="408"/>
      <c r="C10" s="409"/>
      <c r="D10" s="409"/>
      <c r="E10" s="409"/>
      <c r="F10" s="409"/>
      <c r="G10" s="409"/>
      <c r="H10" s="409"/>
      <c r="I10" s="409"/>
      <c r="J10" s="409"/>
      <c r="K10" s="409"/>
      <c r="L10" s="409"/>
      <c r="M10" s="409"/>
      <c r="N10" s="409"/>
      <c r="O10" s="409"/>
      <c r="P10" s="409"/>
      <c r="Q10" s="409"/>
      <c r="R10" s="409"/>
      <c r="S10" s="409"/>
      <c r="T10" s="2608"/>
      <c r="U10" s="2608"/>
      <c r="V10" s="2608"/>
      <c r="W10" s="2608"/>
      <c r="X10" s="2608"/>
      <c r="Y10" s="2608"/>
      <c r="Z10" s="2608"/>
      <c r="AA10" s="2608"/>
      <c r="AB10" s="2608"/>
      <c r="AC10" s="2608"/>
      <c r="AD10" s="2608"/>
      <c r="AE10" s="2608"/>
      <c r="AF10" s="2608"/>
      <c r="AG10" s="2608"/>
      <c r="AH10" s="2608"/>
      <c r="AI10" s="2608"/>
      <c r="AJ10" s="2608"/>
      <c r="AK10" s="2608"/>
      <c r="AL10" s="2608"/>
      <c r="AM10" s="2608"/>
    </row>
    <row r="11" spans="1:40" ht="13.05" customHeight="1">
      <c r="B11" s="2594" t="s">
        <v>375</v>
      </c>
      <c r="C11" s="2595"/>
      <c r="D11" s="2595"/>
      <c r="E11" s="2595"/>
      <c r="F11" s="2595"/>
      <c r="G11" s="2595"/>
      <c r="H11" s="2595"/>
      <c r="I11" s="2595"/>
      <c r="J11" s="2595"/>
      <c r="K11" s="2595"/>
      <c r="L11" s="2595"/>
      <c r="M11" s="2595"/>
      <c r="N11" s="2595"/>
      <c r="O11" s="2595"/>
      <c r="P11" s="2595"/>
      <c r="Q11" s="2595"/>
      <c r="R11" s="2595"/>
      <c r="S11" s="2596"/>
      <c r="T11" s="2630">
        <f>IF('Sources and Basis Breakdown'!F107=0,'Sources and Basis Breakdown'!E107,'Sources and Basis Breakdown'!F107)</f>
        <v>70378430</v>
      </c>
      <c r="U11" s="2631"/>
      <c r="V11" s="2631"/>
      <c r="W11" s="2631"/>
      <c r="X11" s="2631"/>
      <c r="Y11" s="2630">
        <f>IF(Y7="",0,IF('Sources and Basis Breakdown'!G107+'Sources and Basis Breakdown'!F107='Sources and Basis Breakdown'!E107,'Sources and Basis Breakdown'!G107,0))</f>
        <v>0</v>
      </c>
      <c r="Z11" s="2631"/>
      <c r="AA11" s="2631"/>
      <c r="AB11" s="2631"/>
      <c r="AC11" s="2631"/>
      <c r="AD11" s="2631">
        <f>IF('Sources and Basis Breakdown'!I107=0,'Sources and Basis Breakdown'!H107,'Sources and Basis Breakdown'!I107)</f>
        <v>0</v>
      </c>
      <c r="AE11" s="2631"/>
      <c r="AF11" s="2631"/>
      <c r="AG11" s="2631"/>
      <c r="AH11" s="2631"/>
      <c r="AI11" s="2631">
        <f>IF(Y7="",0,IF('Sources and Basis Breakdown'!I107+'Sources and Basis Breakdown'!J107='Sources and Basis Breakdown'!H107,'Sources and Basis Breakdown'!J107,0))</f>
        <v>0</v>
      </c>
      <c r="AJ11" s="2631"/>
      <c r="AK11" s="2631"/>
      <c r="AL11" s="2631"/>
      <c r="AM11" s="2631"/>
    </row>
    <row r="12" spans="1:40" ht="13.05" customHeight="1">
      <c r="B12" s="2632" t="s">
        <v>497</v>
      </c>
      <c r="C12" s="1563"/>
      <c r="D12" s="1563"/>
      <c r="E12" s="1563"/>
      <c r="F12" s="1563"/>
      <c r="G12" s="1563"/>
      <c r="H12" s="1563"/>
      <c r="I12" s="1563"/>
      <c r="J12" s="1563"/>
      <c r="K12" s="1563"/>
      <c r="L12" s="1563"/>
      <c r="M12" s="1563"/>
      <c r="N12" s="1563"/>
      <c r="O12" s="1563"/>
      <c r="P12" s="1563"/>
      <c r="Q12" s="1563"/>
      <c r="R12" s="1563"/>
      <c r="S12" s="2633"/>
      <c r="T12" s="2623"/>
      <c r="U12" s="2624"/>
      <c r="V12" s="2624"/>
      <c r="W12" s="2624"/>
      <c r="X12" s="2625"/>
      <c r="Y12" s="2623"/>
      <c r="Z12" s="2624"/>
      <c r="AA12" s="2624"/>
      <c r="AB12" s="2624"/>
      <c r="AC12" s="2625"/>
      <c r="AD12" s="2623"/>
      <c r="AE12" s="2624"/>
      <c r="AF12" s="2624"/>
      <c r="AG12" s="2624"/>
      <c r="AH12" s="2625"/>
      <c r="AI12" s="2623"/>
      <c r="AJ12" s="2624"/>
      <c r="AK12" s="2624"/>
      <c r="AL12" s="2624"/>
      <c r="AM12" s="2625"/>
    </row>
    <row r="13" spans="1:40" ht="13.05" customHeight="1">
      <c r="B13" s="435"/>
      <c r="C13" s="2634" t="s">
        <v>498</v>
      </c>
      <c r="D13" s="2634"/>
      <c r="E13" s="2634"/>
      <c r="F13" s="2634"/>
      <c r="G13" s="2634"/>
      <c r="H13" s="2634"/>
      <c r="I13" s="2634"/>
      <c r="J13" s="2634"/>
      <c r="K13" s="2634"/>
      <c r="L13" s="2634"/>
      <c r="M13" s="2634"/>
      <c r="N13" s="2634"/>
      <c r="O13" s="2634"/>
      <c r="P13" s="2634"/>
      <c r="Q13" s="2634"/>
      <c r="R13" s="2634"/>
      <c r="S13" s="2635"/>
      <c r="T13" s="2626"/>
      <c r="U13" s="2627"/>
      <c r="V13" s="2627"/>
      <c r="W13" s="2627"/>
      <c r="X13" s="2627"/>
      <c r="Y13" s="2626"/>
      <c r="Z13" s="2627"/>
      <c r="AA13" s="2627"/>
      <c r="AB13" s="2627"/>
      <c r="AC13" s="2627"/>
      <c r="AD13" s="2627"/>
      <c r="AE13" s="2627"/>
      <c r="AF13" s="2627"/>
      <c r="AG13" s="2627"/>
      <c r="AH13" s="2627"/>
      <c r="AI13" s="2627"/>
      <c r="AJ13" s="2627"/>
      <c r="AK13" s="2627"/>
      <c r="AL13" s="2627"/>
      <c r="AM13" s="2627"/>
    </row>
    <row r="14" spans="1:40" ht="13.05" customHeight="1">
      <c r="B14" s="435"/>
      <c r="C14" s="2634" t="s">
        <v>499</v>
      </c>
      <c r="D14" s="2634"/>
      <c r="E14" s="2634"/>
      <c r="F14" s="2634"/>
      <c r="G14" s="2634"/>
      <c r="H14" s="2634"/>
      <c r="I14" s="2634"/>
      <c r="J14" s="2634"/>
      <c r="K14" s="2634"/>
      <c r="L14" s="2634"/>
      <c r="M14" s="2634"/>
      <c r="N14" s="2634"/>
      <c r="O14" s="2634"/>
      <c r="P14" s="2634"/>
      <c r="Q14" s="2634"/>
      <c r="R14" s="2634"/>
      <c r="S14" s="2635"/>
      <c r="T14" s="2616"/>
      <c r="U14" s="2617"/>
      <c r="V14" s="2617"/>
      <c r="W14" s="2617"/>
      <c r="X14" s="2617"/>
      <c r="Y14" s="2616"/>
      <c r="Z14" s="2617"/>
      <c r="AA14" s="2617"/>
      <c r="AB14" s="2617"/>
      <c r="AC14" s="2617"/>
      <c r="AD14" s="2617"/>
      <c r="AE14" s="2617"/>
      <c r="AF14" s="2617"/>
      <c r="AG14" s="2617"/>
      <c r="AH14" s="2617"/>
      <c r="AI14" s="2617"/>
      <c r="AJ14" s="2617"/>
      <c r="AK14" s="2617"/>
      <c r="AL14" s="2617"/>
      <c r="AM14" s="2617"/>
    </row>
    <row r="15" spans="1:40" ht="13.05" customHeight="1">
      <c r="B15" s="435"/>
      <c r="C15" s="2634" t="s">
        <v>500</v>
      </c>
      <c r="D15" s="2634"/>
      <c r="E15" s="2634"/>
      <c r="F15" s="2634"/>
      <c r="G15" s="2634"/>
      <c r="H15" s="2634"/>
      <c r="I15" s="2634"/>
      <c r="J15" s="2634"/>
      <c r="K15" s="2634"/>
      <c r="L15" s="2634"/>
      <c r="M15" s="2634"/>
      <c r="N15" s="2634"/>
      <c r="O15" s="2634"/>
      <c r="P15" s="2634"/>
      <c r="Q15" s="2634"/>
      <c r="R15" s="2634"/>
      <c r="S15" s="2635"/>
      <c r="T15" s="2616"/>
      <c r="U15" s="2617"/>
      <c r="V15" s="2617"/>
      <c r="W15" s="2617"/>
      <c r="X15" s="2617"/>
      <c r="Y15" s="2616"/>
      <c r="Z15" s="2617"/>
      <c r="AA15" s="2617"/>
      <c r="AB15" s="2617"/>
      <c r="AC15" s="2617"/>
      <c r="AD15" s="2617"/>
      <c r="AE15" s="2617"/>
      <c r="AF15" s="2617"/>
      <c r="AG15" s="2617"/>
      <c r="AH15" s="2617"/>
      <c r="AI15" s="2617"/>
      <c r="AJ15" s="2617"/>
      <c r="AK15" s="2617"/>
      <c r="AL15" s="2617"/>
      <c r="AM15" s="2617"/>
    </row>
    <row r="16" spans="1:40" ht="13.05" customHeight="1">
      <c r="B16" s="435"/>
      <c r="C16" s="2634" t="s">
        <v>805</v>
      </c>
      <c r="D16" s="2634"/>
      <c r="E16" s="2634"/>
      <c r="F16" s="2634"/>
      <c r="G16" s="2634"/>
      <c r="H16" s="2634"/>
      <c r="I16" s="2634"/>
      <c r="J16" s="2634"/>
      <c r="K16" s="2634"/>
      <c r="L16" s="2634"/>
      <c r="M16" s="2634"/>
      <c r="N16" s="2634"/>
      <c r="O16" s="2634"/>
      <c r="P16" s="2634"/>
      <c r="Q16" s="2634"/>
      <c r="R16" s="2634"/>
      <c r="S16" s="2635"/>
      <c r="T16" s="2616"/>
      <c r="U16" s="2617"/>
      <c r="V16" s="2617"/>
      <c r="W16" s="2617"/>
      <c r="X16" s="2617"/>
      <c r="Y16" s="2616"/>
      <c r="Z16" s="2617"/>
      <c r="AA16" s="2617"/>
      <c r="AB16" s="2617"/>
      <c r="AC16" s="2617"/>
      <c r="AD16" s="2617"/>
      <c r="AE16" s="2617"/>
      <c r="AF16" s="2617"/>
      <c r="AG16" s="2617"/>
      <c r="AH16" s="2617"/>
      <c r="AI16" s="2617"/>
      <c r="AJ16" s="2617"/>
      <c r="AK16" s="2617"/>
      <c r="AL16" s="2617"/>
      <c r="AM16" s="2617"/>
    </row>
    <row r="17" spans="1:40" ht="13.05" customHeight="1">
      <c r="B17" s="435"/>
      <c r="C17" s="2634" t="s">
        <v>501</v>
      </c>
      <c r="D17" s="2634"/>
      <c r="E17" s="2634"/>
      <c r="F17" s="2634"/>
      <c r="G17" s="2634"/>
      <c r="H17" s="2634"/>
      <c r="I17" s="2634"/>
      <c r="J17" s="2634"/>
      <c r="K17" s="2634"/>
      <c r="L17" s="2634"/>
      <c r="M17" s="2634"/>
      <c r="N17" s="2634"/>
      <c r="O17" s="2634"/>
      <c r="P17" s="2634"/>
      <c r="Q17" s="2634"/>
      <c r="R17" s="2634"/>
      <c r="S17" s="2635"/>
      <c r="T17" s="2616"/>
      <c r="U17" s="2617"/>
      <c r="V17" s="2617"/>
      <c r="W17" s="2617"/>
      <c r="X17" s="2617"/>
      <c r="Y17" s="2616"/>
      <c r="Z17" s="2617"/>
      <c r="AA17" s="2617"/>
      <c r="AB17" s="2617"/>
      <c r="AC17" s="2617"/>
      <c r="AD17" s="2617"/>
      <c r="AE17" s="2617"/>
      <c r="AF17" s="2617"/>
      <c r="AG17" s="2617"/>
      <c r="AH17" s="2617"/>
      <c r="AI17" s="2617"/>
      <c r="AJ17" s="2617"/>
      <c r="AK17" s="2617"/>
      <c r="AL17" s="2617"/>
      <c r="AM17" s="2617"/>
    </row>
    <row r="18" spans="1:40" ht="13.05" customHeight="1">
      <c r="A18"/>
      <c r="B18" s="1144"/>
      <c r="C18" s="1829" t="s">
        <v>960</v>
      </c>
      <c r="D18" s="1829"/>
      <c r="E18" s="1829"/>
      <c r="F18" s="1829"/>
      <c r="G18" s="1829"/>
      <c r="H18" s="1829"/>
      <c r="I18" s="1829"/>
      <c r="J18" s="1829"/>
      <c r="K18" s="1829"/>
      <c r="L18" s="1829"/>
      <c r="M18" s="1829"/>
      <c r="N18" s="1829"/>
      <c r="O18" s="1829"/>
      <c r="P18" s="1829"/>
      <c r="Q18" s="1829"/>
      <c r="R18" s="1829"/>
      <c r="S18" s="1830"/>
      <c r="T18" s="2616"/>
      <c r="U18" s="2617"/>
      <c r="V18" s="2617"/>
      <c r="W18" s="2617"/>
      <c r="X18" s="2617"/>
      <c r="Y18" s="2616"/>
      <c r="Z18" s="2617"/>
      <c r="AA18" s="2617"/>
      <c r="AB18" s="2617"/>
      <c r="AC18" s="2617"/>
      <c r="AD18" s="2617"/>
      <c r="AE18" s="2617"/>
      <c r="AF18" s="2617"/>
      <c r="AG18" s="2617"/>
      <c r="AH18" s="2617"/>
      <c r="AI18" s="2617"/>
      <c r="AJ18" s="2617"/>
      <c r="AK18" s="2617"/>
      <c r="AL18" s="2617"/>
      <c r="AM18" s="2617"/>
    </row>
    <row r="19" spans="1:40" ht="13.05" customHeight="1">
      <c r="B19" s="1144"/>
      <c r="C19" s="1829" t="s">
        <v>960</v>
      </c>
      <c r="D19" s="1829"/>
      <c r="E19" s="1829"/>
      <c r="F19" s="1829"/>
      <c r="G19" s="1829"/>
      <c r="H19" s="1829"/>
      <c r="I19" s="1829"/>
      <c r="J19" s="1829"/>
      <c r="K19" s="1829"/>
      <c r="L19" s="1829"/>
      <c r="M19" s="1829"/>
      <c r="N19" s="1829"/>
      <c r="O19" s="1829"/>
      <c r="P19" s="1829"/>
      <c r="Q19" s="1829"/>
      <c r="R19" s="1829"/>
      <c r="S19" s="1830"/>
      <c r="T19" s="2616"/>
      <c r="U19" s="2617"/>
      <c r="V19" s="2617"/>
      <c r="W19" s="2617"/>
      <c r="X19" s="2617"/>
      <c r="Y19" s="2616"/>
      <c r="Z19" s="2617"/>
      <c r="AA19" s="2617"/>
      <c r="AB19" s="2617"/>
      <c r="AC19" s="2617"/>
      <c r="AD19" s="2617"/>
      <c r="AE19" s="2617"/>
      <c r="AF19" s="2617"/>
      <c r="AG19" s="2617"/>
      <c r="AH19" s="2617"/>
      <c r="AI19" s="2617"/>
      <c r="AJ19" s="2617"/>
      <c r="AK19" s="2617"/>
      <c r="AL19" s="2617"/>
      <c r="AM19" s="2617"/>
    </row>
    <row r="20" spans="1:40" ht="13.05" customHeight="1">
      <c r="B20" s="2594" t="s">
        <v>502</v>
      </c>
      <c r="C20" s="2595"/>
      <c r="D20" s="2595"/>
      <c r="E20" s="2595"/>
      <c r="F20" s="2595"/>
      <c r="G20" s="2595"/>
      <c r="H20" s="2595"/>
      <c r="I20" s="2595"/>
      <c r="J20" s="2595"/>
      <c r="K20" s="2595"/>
      <c r="L20" s="2595"/>
      <c r="M20" s="2595"/>
      <c r="N20" s="2595"/>
      <c r="O20" s="2595"/>
      <c r="P20" s="2595"/>
      <c r="Q20" s="2595"/>
      <c r="R20" s="2595"/>
      <c r="S20" s="2596"/>
      <c r="T20" s="2607">
        <f>SUM(T13:X19)</f>
        <v>0</v>
      </c>
      <c r="U20" s="2588"/>
      <c r="V20" s="2588"/>
      <c r="W20" s="2588"/>
      <c r="X20" s="2588"/>
      <c r="Y20" s="2607">
        <f>SUM(Y13:AC19)</f>
        <v>0</v>
      </c>
      <c r="Z20" s="2588"/>
      <c r="AA20" s="2588"/>
      <c r="AB20" s="2588"/>
      <c r="AC20" s="2588"/>
      <c r="AD20" s="2598">
        <f>SUM(AD13:AH19)</f>
        <v>0</v>
      </c>
      <c r="AE20" s="2606"/>
      <c r="AF20" s="2606"/>
      <c r="AG20" s="2606"/>
      <c r="AH20" s="2607"/>
      <c r="AI20" s="2598">
        <f>SUM(AI13:AM19)</f>
        <v>0</v>
      </c>
      <c r="AJ20" s="2606"/>
      <c r="AK20" s="2606"/>
      <c r="AL20" s="2606"/>
      <c r="AM20" s="2607"/>
    </row>
    <row r="21" spans="1:40" ht="13.05" customHeight="1">
      <c r="B21" s="2594" t="s">
        <v>1262</v>
      </c>
      <c r="C21" s="2595"/>
      <c r="D21" s="2595"/>
      <c r="E21" s="2595"/>
      <c r="F21" s="2595"/>
      <c r="G21" s="2595"/>
      <c r="H21" s="2595"/>
      <c r="I21" s="2595"/>
      <c r="J21" s="2595"/>
      <c r="K21" s="2595"/>
      <c r="L21" s="2595"/>
      <c r="M21" s="2595"/>
      <c r="N21" s="2595"/>
      <c r="O21" s="2595"/>
      <c r="P21" s="2595"/>
      <c r="Q21" s="2595"/>
      <c r="R21" s="2595"/>
      <c r="S21" s="2596"/>
      <c r="T21" s="2616"/>
      <c r="U21" s="2617"/>
      <c r="V21" s="2617"/>
      <c r="W21" s="2617"/>
      <c r="X21" s="2617"/>
      <c r="Y21" s="2616"/>
      <c r="Z21" s="2617"/>
      <c r="AA21" s="2617"/>
      <c r="AB21" s="2617"/>
      <c r="AC21" s="2617"/>
      <c r="AD21" s="2623"/>
      <c r="AE21" s="2624"/>
      <c r="AF21" s="2624"/>
      <c r="AG21" s="2624"/>
      <c r="AH21" s="2625"/>
      <c r="AI21" s="2623"/>
      <c r="AJ21" s="2624"/>
      <c r="AK21" s="2624"/>
      <c r="AL21" s="2624"/>
      <c r="AM21" s="2625"/>
    </row>
    <row r="22" spans="1:40" ht="13.05" customHeight="1">
      <c r="B22" s="2594" t="s">
        <v>503</v>
      </c>
      <c r="C22" s="2595"/>
      <c r="D22" s="2595"/>
      <c r="E22" s="2595"/>
      <c r="F22" s="2595"/>
      <c r="G22" s="2595"/>
      <c r="H22" s="2595"/>
      <c r="I22" s="2595"/>
      <c r="J22" s="2595"/>
      <c r="K22" s="2595"/>
      <c r="L22" s="2595"/>
      <c r="M22" s="2595"/>
      <c r="N22" s="2595"/>
      <c r="O22" s="2595"/>
      <c r="P22" s="2595"/>
      <c r="Q22" s="2595"/>
      <c r="R22" s="2595"/>
      <c r="S22" s="2596"/>
      <c r="T22" s="2612">
        <f>(ABS(T20)+ABS(T21))*-1</f>
        <v>0</v>
      </c>
      <c r="U22" s="2613"/>
      <c r="V22" s="2613"/>
      <c r="W22" s="2613"/>
      <c r="X22" s="2613"/>
      <c r="Y22" s="2612">
        <f>(Y20+Y21)*-1</f>
        <v>0</v>
      </c>
      <c r="Z22" s="2613"/>
      <c r="AA22" s="2613"/>
      <c r="AB22" s="2613"/>
      <c r="AC22" s="2613"/>
      <c r="AD22" s="2614">
        <f>(AD20)*-1</f>
        <v>0</v>
      </c>
      <c r="AE22" s="2615"/>
      <c r="AF22" s="2615"/>
      <c r="AG22" s="2615"/>
      <c r="AH22" s="2612"/>
      <c r="AI22" s="2614">
        <f>(AI20)*-1</f>
        <v>0</v>
      </c>
      <c r="AJ22" s="2615"/>
      <c r="AK22" s="2615"/>
      <c r="AL22" s="2615"/>
      <c r="AM22" s="2612"/>
    </row>
    <row r="23" spans="1:40" ht="13.05" customHeight="1">
      <c r="B23" s="2594" t="s">
        <v>504</v>
      </c>
      <c r="C23" s="2595"/>
      <c r="D23" s="2595"/>
      <c r="E23" s="2595"/>
      <c r="F23" s="2595"/>
      <c r="G23" s="2595"/>
      <c r="H23" s="2595"/>
      <c r="I23" s="2595"/>
      <c r="J23" s="2595"/>
      <c r="K23" s="2595"/>
      <c r="L23" s="2595"/>
      <c r="M23" s="2595"/>
      <c r="N23" s="2595"/>
      <c r="O23" s="2595"/>
      <c r="P23" s="2595"/>
      <c r="Q23" s="2595"/>
      <c r="R23" s="2595"/>
      <c r="S23" s="2596"/>
      <c r="T23" s="2607">
        <f>T11+T22</f>
        <v>70378430</v>
      </c>
      <c r="U23" s="2588"/>
      <c r="V23" s="2588"/>
      <c r="W23" s="2588"/>
      <c r="X23" s="2588"/>
      <c r="Y23" s="2607">
        <f>Y11+Y22</f>
        <v>0</v>
      </c>
      <c r="Z23" s="2588"/>
      <c r="AA23" s="2588"/>
      <c r="AB23" s="2588"/>
      <c r="AC23" s="2588"/>
      <c r="AD23" s="2607">
        <f>AD11+AD22</f>
        <v>0</v>
      </c>
      <c r="AE23" s="2588"/>
      <c r="AF23" s="2588"/>
      <c r="AG23" s="2588"/>
      <c r="AH23" s="2588"/>
      <c r="AI23" s="2607">
        <f>AI11+AI22</f>
        <v>0</v>
      </c>
      <c r="AJ23" s="2588"/>
      <c r="AK23" s="2588"/>
      <c r="AL23" s="2588"/>
      <c r="AM23" s="2588"/>
    </row>
    <row r="24" spans="1:40" ht="13.05" customHeight="1">
      <c r="B24" s="2594" t="s">
        <v>961</v>
      </c>
      <c r="C24" s="2595"/>
      <c r="D24" s="2595"/>
      <c r="E24" s="2595"/>
      <c r="F24" s="2595"/>
      <c r="G24" s="2595"/>
      <c r="H24" s="2595"/>
      <c r="I24" s="2595"/>
      <c r="J24" s="2595"/>
      <c r="K24" s="2595"/>
      <c r="L24" s="2595"/>
      <c r="M24" s="2595"/>
      <c r="N24" s="2595"/>
      <c r="O24" s="2595"/>
      <c r="P24" s="2595"/>
      <c r="Q24" s="2595"/>
      <c r="R24" s="2595"/>
      <c r="S24" s="2596"/>
      <c r="T24" s="2598">
        <f>Application!AJ1062</f>
        <v>138524758.40000001</v>
      </c>
      <c r="U24" s="2606"/>
      <c r="V24" s="2606"/>
      <c r="W24" s="2606"/>
      <c r="X24" s="2606"/>
      <c r="Y24" s="2606"/>
      <c r="Z24" s="2606"/>
      <c r="AA24" s="2606"/>
      <c r="AB24" s="2606"/>
      <c r="AC24" s="2606"/>
      <c r="AD24" s="2606"/>
      <c r="AE24" s="2606"/>
      <c r="AF24" s="2606"/>
      <c r="AG24" s="2606"/>
      <c r="AH24" s="2606"/>
      <c r="AI24" s="2606"/>
      <c r="AJ24" s="2606"/>
      <c r="AK24" s="2606"/>
      <c r="AL24" s="2606"/>
      <c r="AM24" s="2607"/>
    </row>
    <row r="25" spans="1:40" ht="13.05" customHeight="1">
      <c r="B25" s="2638" t="s">
        <v>1263</v>
      </c>
      <c r="C25" s="2639"/>
      <c r="D25" s="2639"/>
      <c r="E25" s="2639"/>
      <c r="F25" s="2639"/>
      <c r="G25" s="2639"/>
      <c r="H25" s="2639"/>
      <c r="I25" s="2639"/>
      <c r="J25" s="2639"/>
      <c r="K25" s="2639"/>
      <c r="L25" s="2639"/>
      <c r="M25" s="2639"/>
      <c r="N25" s="2639"/>
      <c r="O25" s="2639"/>
      <c r="P25" s="2639"/>
      <c r="Q25" s="2639"/>
      <c r="R25" s="2639"/>
      <c r="S25" s="2640"/>
      <c r="T25" s="2620">
        <f>IF(OR(Application!T196="yes",Application!T195="yes"),1.3,1)</f>
        <v>1.3</v>
      </c>
      <c r="U25" s="2621"/>
      <c r="V25" s="2621"/>
      <c r="W25" s="2621"/>
      <c r="X25" s="2621"/>
      <c r="Y25" s="2620">
        <v>1</v>
      </c>
      <c r="Z25" s="2621"/>
      <c r="AA25" s="2621"/>
      <c r="AB25" s="2621"/>
      <c r="AC25" s="2621"/>
      <c r="AD25" s="2620">
        <v>1</v>
      </c>
      <c r="AE25" s="2621"/>
      <c r="AF25" s="2621"/>
      <c r="AG25" s="2621"/>
      <c r="AH25" s="2622"/>
      <c r="AI25" s="2620">
        <v>1</v>
      </c>
      <c r="AJ25" s="2621"/>
      <c r="AK25" s="2621"/>
      <c r="AL25" s="2621"/>
      <c r="AM25" s="2622"/>
    </row>
    <row r="26" spans="1:40" ht="13.05" customHeight="1">
      <c r="B26" s="2594" t="s">
        <v>505</v>
      </c>
      <c r="C26" s="2595"/>
      <c r="D26" s="2595"/>
      <c r="E26" s="2595"/>
      <c r="F26" s="2595"/>
      <c r="G26" s="2595"/>
      <c r="H26" s="2595"/>
      <c r="I26" s="2595"/>
      <c r="J26" s="2595"/>
      <c r="K26" s="2595"/>
      <c r="L26" s="2595"/>
      <c r="M26" s="2595"/>
      <c r="N26" s="2595"/>
      <c r="O26" s="2595"/>
      <c r="P26" s="2595"/>
      <c r="Q26" s="2595"/>
      <c r="R26" s="2595"/>
      <c r="S26" s="2596"/>
      <c r="T26" s="2607">
        <f>T23*T25</f>
        <v>91491959</v>
      </c>
      <c r="U26" s="2588"/>
      <c r="V26" s="2588"/>
      <c r="W26" s="2588"/>
      <c r="X26" s="2588"/>
      <c r="Y26" s="2607">
        <f>Y23*Y25</f>
        <v>0</v>
      </c>
      <c r="Z26" s="2588"/>
      <c r="AA26" s="2588"/>
      <c r="AB26" s="2588"/>
      <c r="AC26" s="2588"/>
      <c r="AD26" s="2607">
        <f>AD23*AD25</f>
        <v>0</v>
      </c>
      <c r="AE26" s="2588"/>
      <c r="AF26" s="2588"/>
      <c r="AG26" s="2588"/>
      <c r="AH26" s="2588"/>
      <c r="AI26" s="2607">
        <f>AI23*AI25</f>
        <v>0</v>
      </c>
      <c r="AJ26" s="2588"/>
      <c r="AK26" s="2588"/>
      <c r="AL26" s="2588"/>
      <c r="AM26" s="2588"/>
    </row>
    <row r="27" spans="1:40" ht="13.05" customHeight="1">
      <c r="A27" s="410"/>
      <c r="B27" s="2641" t="s">
        <v>426</v>
      </c>
      <c r="C27" s="2642"/>
      <c r="D27" s="2642"/>
      <c r="E27" s="2642"/>
      <c r="F27" s="2642"/>
      <c r="G27" s="2642"/>
      <c r="H27" s="2642"/>
      <c r="I27" s="2642"/>
      <c r="J27" s="2642"/>
      <c r="K27" s="2642"/>
      <c r="L27" s="2642"/>
      <c r="M27" s="2642"/>
      <c r="N27" s="2642"/>
      <c r="O27" s="2642"/>
      <c r="P27" s="2642"/>
      <c r="Q27" s="2642"/>
      <c r="R27" s="2642"/>
      <c r="S27" s="2643"/>
      <c r="T27" s="2618">
        <f>Application!$AG$454</f>
        <v>1</v>
      </c>
      <c r="U27" s="2619"/>
      <c r="V27" s="2619"/>
      <c r="W27" s="2619"/>
      <c r="X27" s="2619"/>
      <c r="Y27" s="2618">
        <f>Application!$AG$454</f>
        <v>1</v>
      </c>
      <c r="Z27" s="2619"/>
      <c r="AA27" s="2619"/>
      <c r="AB27" s="2619"/>
      <c r="AC27" s="2619"/>
      <c r="AD27" s="2618">
        <f>Application!$AG$454</f>
        <v>1</v>
      </c>
      <c r="AE27" s="2619"/>
      <c r="AF27" s="2619"/>
      <c r="AG27" s="2619"/>
      <c r="AH27" s="2619"/>
      <c r="AI27" s="2618">
        <f>Application!$AG$454</f>
        <v>1</v>
      </c>
      <c r="AJ27" s="2619"/>
      <c r="AK27" s="2619"/>
      <c r="AL27" s="2619"/>
      <c r="AM27" s="2619"/>
    </row>
    <row r="28" spans="1:40" ht="13.05" customHeight="1">
      <c r="A28" s="404"/>
      <c r="B28" s="2594" t="s">
        <v>506</v>
      </c>
      <c r="C28" s="2595"/>
      <c r="D28" s="2595"/>
      <c r="E28" s="2595"/>
      <c r="F28" s="2595"/>
      <c r="G28" s="2595"/>
      <c r="H28" s="2595"/>
      <c r="I28" s="2595"/>
      <c r="J28" s="2595"/>
      <c r="K28" s="2595"/>
      <c r="L28" s="2595"/>
      <c r="M28" s="2595"/>
      <c r="N28" s="2595"/>
      <c r="O28" s="2595"/>
      <c r="P28" s="2595"/>
      <c r="Q28" s="2595"/>
      <c r="R28" s="2595"/>
      <c r="S28" s="2596"/>
      <c r="T28" s="2607">
        <f>IF(ISERROR((T26*T27)),0,(T26*T27))</f>
        <v>91491959</v>
      </c>
      <c r="U28" s="2588"/>
      <c r="V28" s="2588"/>
      <c r="W28" s="2588"/>
      <c r="X28" s="2588"/>
      <c r="Y28" s="2607">
        <f>IF(ISERROR((Y26*Y27)),0,(Y26*Y27))</f>
        <v>0</v>
      </c>
      <c r="Z28" s="2588"/>
      <c r="AA28" s="2588"/>
      <c r="AB28" s="2588"/>
      <c r="AC28" s="2588"/>
      <c r="AD28" s="2607">
        <f>IF(ISERROR((AD26*AD27)),0,(AD26*AD27))</f>
        <v>0</v>
      </c>
      <c r="AE28" s="2588"/>
      <c r="AF28" s="2588"/>
      <c r="AG28" s="2588"/>
      <c r="AH28" s="2588"/>
      <c r="AI28" s="2607">
        <f>IF(ISERROR((AI26*AI27)),0,(AI26*AI27))</f>
        <v>0</v>
      </c>
      <c r="AJ28" s="2588"/>
      <c r="AK28" s="2588"/>
      <c r="AL28" s="2588"/>
      <c r="AM28" s="2588"/>
    </row>
    <row r="29" spans="1:40" ht="13.05" customHeight="1">
      <c r="B29" s="2594" t="s">
        <v>523</v>
      </c>
      <c r="C29" s="2595"/>
      <c r="D29" s="2595"/>
      <c r="E29" s="2595"/>
      <c r="F29" s="2595"/>
      <c r="G29" s="2595"/>
      <c r="H29" s="2595"/>
      <c r="I29" s="2595"/>
      <c r="J29" s="2595"/>
      <c r="K29" s="2595"/>
      <c r="L29" s="2595"/>
      <c r="M29" s="2595"/>
      <c r="N29" s="2595"/>
      <c r="O29" s="2595"/>
      <c r="P29" s="2595"/>
      <c r="Q29" s="2595"/>
      <c r="R29" s="2595"/>
      <c r="S29" s="2596"/>
      <c r="T29" s="2598">
        <f>T28+Y28+AD28+AI28</f>
        <v>91491959</v>
      </c>
      <c r="U29" s="2606"/>
      <c r="V29" s="2606"/>
      <c r="W29" s="2606"/>
      <c r="X29" s="2606"/>
      <c r="Y29" s="2606"/>
      <c r="Z29" s="2606"/>
      <c r="AA29" s="2606"/>
      <c r="AB29" s="2606"/>
      <c r="AC29" s="2606"/>
      <c r="AD29" s="2606"/>
      <c r="AE29" s="2606"/>
      <c r="AF29" s="2606"/>
      <c r="AG29" s="2606"/>
      <c r="AH29" s="2606"/>
      <c r="AI29" s="2606"/>
      <c r="AJ29" s="2606"/>
      <c r="AK29" s="2606"/>
      <c r="AL29" s="2606"/>
      <c r="AM29" s="2607"/>
    </row>
    <row r="30" spans="1:40" ht="13.05" customHeight="1">
      <c r="B30" s="2611" t="s">
        <v>1265</v>
      </c>
      <c r="C30" s="2611"/>
      <c r="D30" s="2611"/>
      <c r="E30" s="2611"/>
      <c r="F30" s="2611"/>
      <c r="G30" s="2611"/>
      <c r="H30" s="2611"/>
      <c r="I30" s="2611"/>
      <c r="J30" s="2611"/>
      <c r="K30" s="2611"/>
      <c r="L30" s="2611"/>
      <c r="M30" s="2611"/>
      <c r="N30" s="2611"/>
      <c r="O30" s="2611"/>
      <c r="P30" s="2611"/>
      <c r="Q30" s="2611"/>
      <c r="R30" s="2611"/>
      <c r="S30" s="2611"/>
      <c r="T30" s="2611"/>
      <c r="U30" s="2611"/>
      <c r="V30" s="2611"/>
      <c r="W30" s="2611"/>
      <c r="X30" s="2611"/>
      <c r="Y30" s="2611"/>
      <c r="Z30" s="2611"/>
      <c r="AA30" s="2611"/>
      <c r="AB30" s="2611"/>
      <c r="AC30" s="2611"/>
      <c r="AD30" s="2611"/>
      <c r="AE30" s="2611"/>
      <c r="AF30" s="2611"/>
      <c r="AG30" s="2611"/>
      <c r="AH30" s="2611"/>
      <c r="AI30" s="2611"/>
      <c r="AJ30" s="2611"/>
      <c r="AK30" s="2611"/>
      <c r="AL30" s="2611"/>
      <c r="AM30" s="2611"/>
    </row>
    <row r="31" spans="1:40" ht="13.05" customHeight="1">
      <c r="B31" s="2611" t="s">
        <v>1264</v>
      </c>
      <c r="C31" s="2611"/>
      <c r="D31" s="2611"/>
      <c r="E31" s="2611"/>
      <c r="F31" s="2611"/>
      <c r="G31" s="2611"/>
      <c r="H31" s="2611"/>
      <c r="I31" s="2611"/>
      <c r="J31" s="2611"/>
      <c r="K31" s="2611"/>
      <c r="L31" s="2611"/>
      <c r="M31" s="2611"/>
      <c r="N31" s="2611"/>
      <c r="O31" s="2611"/>
      <c r="P31" s="2611"/>
      <c r="Q31" s="2611"/>
      <c r="R31" s="2611"/>
      <c r="S31" s="2611"/>
      <c r="T31" s="2611"/>
      <c r="U31" s="2611"/>
      <c r="V31" s="2611"/>
      <c r="W31" s="2611"/>
      <c r="X31" s="2611"/>
      <c r="Y31" s="2611"/>
      <c r="Z31" s="2611"/>
      <c r="AA31" s="2611"/>
      <c r="AB31" s="2611"/>
      <c r="AC31" s="2611"/>
      <c r="AD31" s="2611"/>
      <c r="AE31" s="2611"/>
      <c r="AF31" s="2611"/>
      <c r="AG31" s="2611"/>
      <c r="AH31" s="2611"/>
      <c r="AI31" s="2611"/>
      <c r="AJ31" s="2611"/>
      <c r="AK31" s="2611"/>
      <c r="AL31" s="2611"/>
      <c r="AM31" s="2611"/>
      <c r="AN31" s="518"/>
    </row>
    <row r="32" spans="1:40" ht="13.0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3.05" customHeight="1"/>
    <row r="34" spans="1:76" ht="13.05" customHeight="1">
      <c r="A34" s="404" t="s">
        <v>576</v>
      </c>
      <c r="C34" s="404" t="s">
        <v>568</v>
      </c>
    </row>
    <row r="35" spans="1:76" ht="13.0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608" t="s">
        <v>1153</v>
      </c>
      <c r="Z35" s="2608"/>
      <c r="AA35" s="2608"/>
      <c r="AB35" s="2608"/>
      <c r="AC35" s="2608"/>
      <c r="AD35" s="2609" t="s">
        <v>369</v>
      </c>
      <c r="AE35" s="2609"/>
      <c r="AF35" s="2609"/>
      <c r="AG35" s="2609"/>
      <c r="AH35" s="2609"/>
    </row>
    <row r="36" spans="1:76" ht="13.05" customHeight="1">
      <c r="B36" s="407"/>
      <c r="X36" s="412"/>
      <c r="Y36" s="2608"/>
      <c r="Z36" s="2608"/>
      <c r="AA36" s="2608"/>
      <c r="AB36" s="2608"/>
      <c r="AC36" s="2608"/>
      <c r="AD36" s="2609"/>
      <c r="AE36" s="2609"/>
      <c r="AF36" s="2609"/>
      <c r="AG36" s="2609"/>
      <c r="AH36" s="2609"/>
    </row>
    <row r="37" spans="1:76" ht="13.0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608"/>
      <c r="Z37" s="2608"/>
      <c r="AA37" s="2608"/>
      <c r="AB37" s="2608"/>
      <c r="AC37" s="2608"/>
      <c r="AD37" s="2609"/>
      <c r="AE37" s="2609"/>
      <c r="AF37" s="2609"/>
      <c r="AG37" s="2609"/>
      <c r="AH37" s="2609"/>
    </row>
    <row r="38" spans="1:76" ht="13.05" customHeight="1">
      <c r="A38" s="404"/>
      <c r="B38" s="2594" t="s">
        <v>506</v>
      </c>
      <c r="C38" s="2595"/>
      <c r="D38" s="2595"/>
      <c r="E38" s="2595"/>
      <c r="F38" s="2595"/>
      <c r="G38" s="2595"/>
      <c r="H38" s="2595"/>
      <c r="I38" s="2595"/>
      <c r="J38" s="2595"/>
      <c r="K38" s="2595"/>
      <c r="L38" s="2595"/>
      <c r="M38" s="2595"/>
      <c r="N38" s="2595"/>
      <c r="O38" s="2595"/>
      <c r="P38" s="2595"/>
      <c r="Q38" s="2595"/>
      <c r="R38" s="2595"/>
      <c r="S38" s="2595"/>
      <c r="T38" s="2595"/>
      <c r="U38" s="2595"/>
      <c r="V38" s="2595"/>
      <c r="W38" s="2595"/>
      <c r="X38" s="2596"/>
      <c r="Y38" s="2588">
        <f>IF(T24&gt;=(T23+Y23+AD23+AI23),T28+Y28,0)</f>
        <v>91491959</v>
      </c>
      <c r="Z38" s="2588"/>
      <c r="AA38" s="2588"/>
      <c r="AB38" s="2588"/>
      <c r="AC38" s="2588"/>
      <c r="AD38" s="2588">
        <f>IF(T24&gt;=(T23+Y23+AD23+AI23),AD28+AI28,0)</f>
        <v>0</v>
      </c>
      <c r="AE38" s="2588"/>
      <c r="AF38" s="2588"/>
      <c r="AG38" s="2588"/>
      <c r="AH38" s="2588"/>
    </row>
    <row r="39" spans="1:76" ht="13.05" customHeight="1">
      <c r="B39" s="2594" t="s">
        <v>1679</v>
      </c>
      <c r="C39" s="2595"/>
      <c r="D39" s="2595"/>
      <c r="E39" s="2595"/>
      <c r="F39" s="2595"/>
      <c r="G39" s="2595"/>
      <c r="H39" s="2595"/>
      <c r="I39" s="2595"/>
      <c r="J39" s="2595"/>
      <c r="K39" s="2595"/>
      <c r="L39" s="2595"/>
      <c r="M39" s="2595"/>
      <c r="N39" s="2595"/>
      <c r="O39" s="2595"/>
      <c r="P39" s="2595"/>
      <c r="Q39" s="2595"/>
      <c r="R39" s="2595"/>
      <c r="S39" s="2595"/>
      <c r="T39" s="2595"/>
      <c r="U39" s="2595"/>
      <c r="V39" s="2595"/>
      <c r="W39" s="2595"/>
      <c r="X39" s="2596"/>
      <c r="Y39" s="2610">
        <v>0.04</v>
      </c>
      <c r="Z39" s="2610"/>
      <c r="AA39" s="2610"/>
      <c r="AB39" s="2610"/>
      <c r="AC39" s="2610"/>
      <c r="AD39" s="2610">
        <v>0.04</v>
      </c>
      <c r="AE39" s="2610"/>
      <c r="AF39" s="2610"/>
      <c r="AG39" s="2610"/>
      <c r="AH39" s="2610"/>
    </row>
    <row r="40" spans="1:76" ht="13.05" customHeight="1">
      <c r="A40" s="404"/>
      <c r="B40" s="2594" t="s">
        <v>642</v>
      </c>
      <c r="C40" s="2595"/>
      <c r="D40" s="2595"/>
      <c r="E40" s="2595"/>
      <c r="F40" s="2595"/>
      <c r="G40" s="2595"/>
      <c r="H40" s="2595"/>
      <c r="I40" s="2595"/>
      <c r="J40" s="2595"/>
      <c r="K40" s="2595"/>
      <c r="L40" s="2595"/>
      <c r="M40" s="2595"/>
      <c r="N40" s="2595"/>
      <c r="O40" s="2595"/>
      <c r="P40" s="2595"/>
      <c r="Q40" s="2595"/>
      <c r="R40" s="2595"/>
      <c r="S40" s="2595"/>
      <c r="T40" s="2595"/>
      <c r="U40" s="2595"/>
      <c r="V40" s="2595"/>
      <c r="W40" s="2595"/>
      <c r="X40" s="2596"/>
      <c r="Y40" s="2588">
        <f>ROUND(Y38*Y39,0)</f>
        <v>3659678</v>
      </c>
      <c r="Z40" s="2588"/>
      <c r="AA40" s="2588"/>
      <c r="AB40" s="2588"/>
      <c r="AC40" s="2588"/>
      <c r="AD40" s="2607">
        <f>ROUND(AD38*AD39,0)</f>
        <v>0</v>
      </c>
      <c r="AE40" s="2588"/>
      <c r="AF40" s="2588"/>
      <c r="AG40" s="2588"/>
      <c r="AH40" s="2588"/>
    </row>
    <row r="41" spans="1:76" ht="13.05" customHeight="1">
      <c r="B41" s="2594" t="s">
        <v>643</v>
      </c>
      <c r="C41" s="2595"/>
      <c r="D41" s="2595"/>
      <c r="E41" s="2595"/>
      <c r="F41" s="2595"/>
      <c r="G41" s="2595"/>
      <c r="H41" s="2595"/>
      <c r="I41" s="2595"/>
      <c r="J41" s="2595"/>
      <c r="K41" s="2595"/>
      <c r="L41" s="2595"/>
      <c r="M41" s="2595"/>
      <c r="N41" s="2595"/>
      <c r="O41" s="2595"/>
      <c r="P41" s="2595"/>
      <c r="Q41" s="2595"/>
      <c r="R41" s="2595"/>
      <c r="S41" s="2595"/>
      <c r="T41" s="2595"/>
      <c r="U41" s="2595"/>
      <c r="V41" s="2595"/>
      <c r="W41" s="2595"/>
      <c r="X41" s="2596"/>
      <c r="Y41" s="2598">
        <f>Y40+AD40</f>
        <v>3659678</v>
      </c>
      <c r="Z41" s="2606"/>
      <c r="AA41" s="2606"/>
      <c r="AB41" s="2606"/>
      <c r="AC41" s="2606"/>
      <c r="AD41" s="2606"/>
      <c r="AE41" s="2606"/>
      <c r="AF41" s="2606"/>
      <c r="AG41" s="2606"/>
      <c r="AH41" s="2607"/>
    </row>
    <row r="42" spans="1:76" ht="13.0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3.0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05" customHeight="1" thickBot="1">
      <c r="A44" s="2605" t="s">
        <v>1275</v>
      </c>
      <c r="B44" s="2605"/>
      <c r="C44" s="2605"/>
      <c r="D44" s="2605"/>
      <c r="E44" s="2605"/>
      <c r="F44" s="2605"/>
      <c r="G44" s="2605"/>
      <c r="H44" s="2605"/>
      <c r="I44" s="2605"/>
      <c r="J44" s="2605"/>
      <c r="K44" s="2605"/>
      <c r="L44" s="2605"/>
      <c r="M44" s="2605"/>
      <c r="N44" s="2605"/>
      <c r="O44" s="2605"/>
      <c r="P44" s="2605"/>
      <c r="Q44" s="2605"/>
      <c r="R44" s="2605"/>
      <c r="S44" s="2605"/>
      <c r="T44" s="2605"/>
      <c r="U44" s="2605"/>
      <c r="V44" s="2605"/>
      <c r="W44" s="2605"/>
      <c r="X44" s="2605"/>
      <c r="Y44" s="2605"/>
      <c r="Z44" s="2605"/>
      <c r="AA44" s="2605"/>
      <c r="AB44" s="2605"/>
      <c r="AC44" s="2605"/>
      <c r="AD44" s="2605"/>
      <c r="AE44" s="2605"/>
      <c r="AF44" s="2605"/>
      <c r="AG44" s="2605"/>
      <c r="AH44" s="2605"/>
      <c r="AI44" s="2605"/>
      <c r="AJ44" s="2605"/>
      <c r="AK44" s="2605"/>
      <c r="AL44" s="2605"/>
      <c r="AM44" s="2605"/>
      <c r="AN44" s="2605"/>
      <c r="AO44" s="2605"/>
      <c r="AP44" s="2605"/>
      <c r="AQ44" s="2605"/>
      <c r="AR44" s="2605"/>
      <c r="AS44" s="2605"/>
      <c r="AT44" s="2605"/>
      <c r="AU44" s="2605"/>
      <c r="AV44" s="2605"/>
      <c r="AW44" s="2605"/>
      <c r="AX44" s="2605"/>
      <c r="AY44" s="2605"/>
      <c r="AZ44" s="2605"/>
      <c r="BA44" s="2605"/>
      <c r="BB44" s="2605"/>
      <c r="BC44" s="2605"/>
      <c r="BD44" s="2605"/>
      <c r="BE44" s="2605"/>
      <c r="BF44" s="2605"/>
      <c r="BG44" s="2605"/>
      <c r="BH44" s="2605"/>
      <c r="BI44" s="2605"/>
      <c r="BJ44" s="2605"/>
      <c r="BK44" s="2605"/>
      <c r="BL44" s="2605"/>
      <c r="BM44" s="2605"/>
      <c r="BN44" s="2605"/>
      <c r="BO44" s="2605"/>
      <c r="BP44" s="2605"/>
      <c r="BQ44" s="2605"/>
      <c r="BR44" s="2605"/>
      <c r="BS44" s="2605"/>
      <c r="BT44" s="2605"/>
      <c r="BU44" s="2605"/>
      <c r="BV44" s="2605"/>
      <c r="BW44" s="2605"/>
      <c r="BX44" s="2605"/>
    </row>
    <row r="45" spans="1:76" s="204" customFormat="1" ht="13.05" customHeight="1" thickTop="1"/>
    <row r="46" spans="1:76" ht="13.05" customHeight="1">
      <c r="A46" s="404" t="s">
        <v>586</v>
      </c>
      <c r="C46" s="404" t="s">
        <v>282</v>
      </c>
    </row>
    <row r="47" spans="1:76" ht="13.05" customHeight="1">
      <c r="D47" s="404" t="s">
        <v>283</v>
      </c>
      <c r="AB47" s="2602">
        <f>'Sources and Uses Budget'!B105-MAX(IF('Sources and Uses Budget'!B15="",0,'Sources and Uses Budget'!B15),IF(Application!AG403="",0,Application!AG403))</f>
        <v>79606911</v>
      </c>
      <c r="AC47" s="2603"/>
      <c r="AD47" s="2603"/>
      <c r="AE47" s="2603"/>
      <c r="AF47" s="2604"/>
    </row>
    <row r="48" spans="1:76" ht="13.05" customHeight="1">
      <c r="D48" s="404" t="s">
        <v>21</v>
      </c>
      <c r="AB48" s="2602">
        <f>Application!AO647-MAX(IF('Sources and Uses Budget'!B15="",0,'Sources and Uses Budget'!B15),IF(Application!AG403="",0,Application!AG403))</f>
        <v>44784618</v>
      </c>
      <c r="AC48" s="2603"/>
      <c r="AD48" s="2603"/>
      <c r="AE48" s="2603"/>
      <c r="AF48" s="2604"/>
    </row>
    <row r="49" spans="1:76" ht="13.05" customHeight="1">
      <c r="D49" s="404" t="s">
        <v>91</v>
      </c>
      <c r="AB49" s="2602">
        <f>AB47-AB48</f>
        <v>34822293</v>
      </c>
      <c r="AC49" s="2603"/>
      <c r="AD49" s="2603"/>
      <c r="AE49" s="2603"/>
      <c r="AF49" s="2604"/>
    </row>
    <row r="50" spans="1:76" ht="13.05" customHeight="1">
      <c r="D50" s="404" t="s">
        <v>681</v>
      </c>
      <c r="AA50" s="415"/>
      <c r="AB50" s="2590">
        <v>0.82991709499999999</v>
      </c>
      <c r="AC50" s="2591"/>
      <c r="AD50" s="2591"/>
      <c r="AE50" s="2591"/>
      <c r="AF50" s="2592"/>
    </row>
    <row r="51" spans="1:76" s="417" customFormat="1" ht="13.05" customHeight="1">
      <c r="A51" s="402"/>
      <c r="B51" s="402"/>
      <c r="C51" s="402"/>
      <c r="D51" s="402"/>
      <c r="E51" s="2601" t="s">
        <v>2526</v>
      </c>
      <c r="F51" s="2601"/>
      <c r="G51" s="2601"/>
      <c r="H51" s="2601"/>
      <c r="I51" s="2601"/>
      <c r="J51" s="2601"/>
      <c r="K51" s="2601"/>
      <c r="L51" s="2601"/>
      <c r="M51" s="2601"/>
      <c r="N51" s="2601"/>
      <c r="O51" s="2601"/>
      <c r="P51" s="2601"/>
      <c r="Q51" s="2601"/>
      <c r="R51" s="2601"/>
      <c r="S51" s="2601"/>
      <c r="T51" s="2601"/>
      <c r="U51" s="2601"/>
      <c r="V51" s="2601"/>
      <c r="W51" s="2601"/>
      <c r="X51" s="2601"/>
      <c r="Y51" s="2601"/>
      <c r="Z51" s="2601"/>
      <c r="AA51" s="416"/>
      <c r="AB51" s="416"/>
      <c r="AC51" s="416"/>
      <c r="AD51" s="416"/>
      <c r="AE51" s="416"/>
      <c r="AF51" s="416"/>
      <c r="AG51" s="402"/>
      <c r="AH51" s="402"/>
      <c r="AI51" s="402"/>
      <c r="AJ51" s="402"/>
      <c r="AK51" s="402"/>
      <c r="AL51" s="402"/>
      <c r="AM51" s="402"/>
      <c r="AN51" s="402"/>
    </row>
    <row r="52" spans="1:76" s="417" customFormat="1" ht="13.05" customHeight="1">
      <c r="A52" s="402"/>
      <c r="B52" s="402"/>
      <c r="C52" s="402"/>
      <c r="D52" s="402"/>
      <c r="E52" s="2601"/>
      <c r="F52" s="2601"/>
      <c r="G52" s="2601"/>
      <c r="H52" s="2601"/>
      <c r="I52" s="2601"/>
      <c r="J52" s="2601"/>
      <c r="K52" s="2601"/>
      <c r="L52" s="2601"/>
      <c r="M52" s="2601"/>
      <c r="N52" s="2601"/>
      <c r="O52" s="2601"/>
      <c r="P52" s="2601"/>
      <c r="Q52" s="2601"/>
      <c r="R52" s="2601"/>
      <c r="S52" s="2601"/>
      <c r="T52" s="2601"/>
      <c r="U52" s="2601"/>
      <c r="V52" s="2601"/>
      <c r="W52" s="2601"/>
      <c r="X52" s="2601"/>
      <c r="Y52" s="2601"/>
      <c r="Z52" s="2601"/>
      <c r="AA52" s="418"/>
      <c r="AB52" s="418"/>
      <c r="AC52" s="418"/>
      <c r="AD52" s="418"/>
      <c r="AE52" s="418"/>
      <c r="AF52" s="418"/>
      <c r="AG52" s="419"/>
      <c r="AH52" s="402"/>
      <c r="AI52" s="402"/>
      <c r="AJ52" s="402"/>
      <c r="AK52" s="402"/>
      <c r="AL52" s="402"/>
      <c r="AM52" s="402"/>
      <c r="AN52" s="402"/>
    </row>
    <row r="53" spans="1:76" ht="13.0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05" customHeight="1">
      <c r="D54" s="404" t="s">
        <v>332</v>
      </c>
      <c r="AB54" s="2602">
        <f>ROUND(IF(ISERROR((AB49/AB50)),0,(AB49/AB50)),0)</f>
        <v>41958761</v>
      </c>
      <c r="AC54" s="2603"/>
      <c r="AD54" s="2603"/>
      <c r="AE54" s="2603"/>
      <c r="AF54" s="2604"/>
    </row>
    <row r="55" spans="1:76" ht="13.05" customHeight="1">
      <c r="D55" s="404" t="s">
        <v>333</v>
      </c>
      <c r="AB55" s="2602">
        <f>(AB54/10)</f>
        <v>4195876.0999999996</v>
      </c>
      <c r="AC55" s="2603"/>
      <c r="AD55" s="2603"/>
      <c r="AE55" s="2603"/>
      <c r="AF55" s="2604"/>
    </row>
    <row r="56" spans="1:76" ht="13.05" customHeight="1">
      <c r="D56" s="404" t="s">
        <v>756</v>
      </c>
      <c r="AB56" s="2602">
        <f>ROUND((IF((Y41&lt;AB55),Y41,AB55)),0)</f>
        <v>3659678</v>
      </c>
      <c r="AC56" s="2603"/>
      <c r="AD56" s="2603"/>
      <c r="AE56" s="2603"/>
      <c r="AF56" s="2604"/>
    </row>
    <row r="57" spans="1:76" ht="13.05" customHeight="1">
      <c r="D57" s="404" t="s">
        <v>755</v>
      </c>
      <c r="AB57" s="2602">
        <f>ROUND((10*AB56*AB50),0)</f>
        <v>30372293</v>
      </c>
      <c r="AC57" s="2603"/>
      <c r="AD57" s="2603"/>
      <c r="AE57" s="2603"/>
      <c r="AF57" s="2604"/>
    </row>
    <row r="58" spans="1:76" ht="13.05" customHeight="1">
      <c r="D58" s="404"/>
      <c r="AB58" s="423"/>
      <c r="AC58" s="423"/>
      <c r="AD58" s="423"/>
      <c r="AE58" s="423"/>
      <c r="AF58" s="423"/>
    </row>
    <row r="59" spans="1:76" ht="13.05" customHeight="1">
      <c r="D59" s="404" t="s">
        <v>754</v>
      </c>
      <c r="AB59" s="2586">
        <f>AB49-AB57</f>
        <v>4450000</v>
      </c>
      <c r="AC59" s="2586"/>
      <c r="AD59" s="2586"/>
      <c r="AE59" s="2586"/>
      <c r="AF59" s="2586"/>
    </row>
    <row r="60" spans="1:76" ht="13.05" customHeight="1">
      <c r="D60" s="404"/>
      <c r="AB60" s="423"/>
      <c r="AC60" s="423"/>
      <c r="AD60" s="423"/>
      <c r="AE60" s="423"/>
      <c r="AF60" s="423"/>
    </row>
    <row r="61" spans="1:76" s="204" customFormat="1" ht="13.05" customHeight="1" thickBot="1">
      <c r="A61" s="2605" t="str">
        <f>IF(Application!AP205="yes","Farmworker State Credit", "State Credit" )</f>
        <v>State Credit</v>
      </c>
      <c r="B61" s="2605"/>
      <c r="C61" s="2605"/>
      <c r="D61" s="2605"/>
      <c r="E61" s="2605"/>
      <c r="F61" s="2605"/>
      <c r="G61" s="2605"/>
      <c r="H61" s="2605"/>
      <c r="I61" s="2605"/>
      <c r="J61" s="2605"/>
      <c r="K61" s="2605"/>
      <c r="L61" s="2605"/>
      <c r="M61" s="2605"/>
      <c r="N61" s="2605"/>
      <c r="O61" s="2605"/>
      <c r="P61" s="2605"/>
      <c r="Q61" s="2605"/>
      <c r="R61" s="2605"/>
      <c r="S61" s="2605"/>
      <c r="T61" s="2605"/>
      <c r="U61" s="2605"/>
      <c r="V61" s="2605"/>
      <c r="W61" s="2605"/>
      <c r="X61" s="2605"/>
      <c r="Y61" s="2605"/>
      <c r="Z61" s="2605"/>
      <c r="AA61" s="2605"/>
      <c r="AB61" s="2605"/>
      <c r="AC61" s="2605"/>
      <c r="AD61" s="2605"/>
      <c r="AE61" s="2605"/>
      <c r="AF61" s="2605"/>
      <c r="AG61" s="2605"/>
      <c r="AH61" s="2605"/>
      <c r="AI61" s="2605"/>
      <c r="AJ61" s="2605"/>
      <c r="AK61" s="2605"/>
      <c r="AL61" s="2605"/>
      <c r="AM61" s="2605"/>
      <c r="AN61" s="2605"/>
      <c r="AO61" s="2605"/>
      <c r="AP61" s="2605"/>
      <c r="AQ61" s="2605"/>
      <c r="AR61" s="2605"/>
      <c r="AS61" s="2605"/>
      <c r="AT61" s="2605"/>
      <c r="AU61" s="2605"/>
      <c r="AV61" s="2605"/>
      <c r="AW61" s="2605"/>
      <c r="AX61" s="2605"/>
      <c r="AY61" s="2605"/>
      <c r="AZ61" s="2605"/>
      <c r="BA61" s="2605"/>
      <c r="BB61" s="2605"/>
      <c r="BC61" s="2605"/>
      <c r="BD61" s="2605"/>
      <c r="BE61" s="2605"/>
      <c r="BF61" s="2605"/>
      <c r="BG61" s="2605"/>
      <c r="BH61" s="2605"/>
      <c r="BI61" s="2605"/>
      <c r="BJ61" s="2605"/>
      <c r="BK61" s="2605"/>
      <c r="BL61" s="2605"/>
      <c r="BM61" s="2605"/>
      <c r="BN61" s="2605"/>
      <c r="BO61" s="2605"/>
      <c r="BP61" s="2605"/>
      <c r="BQ61" s="2605"/>
      <c r="BR61" s="2605"/>
      <c r="BS61" s="2605"/>
      <c r="BT61" s="2605"/>
      <c r="BU61" s="2605"/>
      <c r="BV61" s="2605"/>
      <c r="BW61" s="2605"/>
      <c r="BX61" s="2605"/>
    </row>
    <row r="62" spans="1:76" s="204" customFormat="1" ht="13.05" customHeight="1" thickTop="1"/>
    <row r="63" spans="1:76" ht="13.05" customHeight="1">
      <c r="A63" s="404" t="s">
        <v>589</v>
      </c>
      <c r="C63" s="205" t="s">
        <v>1247</v>
      </c>
      <c r="Y63" s="2597" t="s">
        <v>983</v>
      </c>
      <c r="Z63" s="2597"/>
      <c r="AA63" s="2597"/>
      <c r="AB63" s="2597"/>
      <c r="AC63" s="2597"/>
      <c r="AD63" s="2597" t="s">
        <v>369</v>
      </c>
      <c r="AE63" s="2597"/>
      <c r="AF63" s="2597"/>
      <c r="AG63" s="2597"/>
      <c r="AH63" s="2597"/>
    </row>
    <row r="64" spans="1:76" ht="13.05"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598">
        <f>IF(Application!$Z$205="(select)",0,((T23*T27)+Y28))</f>
        <v>70378430</v>
      </c>
      <c r="Z64" s="2599"/>
      <c r="AA64" s="2599"/>
      <c r="AB64" s="2599"/>
      <c r="AC64" s="2600"/>
      <c r="AD64" s="2598">
        <f>IF(AND(OR(Application!D211="At-Risk",Application!D211="At-Risk and Special Needs"),Application!M367="yes"),AD28+AI28,0)</f>
        <v>0</v>
      </c>
      <c r="AE64" s="2599"/>
      <c r="AF64" s="2599"/>
      <c r="AG64" s="2599"/>
      <c r="AH64" s="2600"/>
    </row>
    <row r="65" spans="1:37" ht="13.05" customHeight="1">
      <c r="C65" s="404"/>
      <c r="E65" s="1012" t="s">
        <v>1823</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1824</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3.0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587">
        <f>IF(OR(Application!Z205="State Farmworker Credit",Application!Z205="$500M (Farmworker Housing)"),0.75,IF(Application!Z205="15% set-aside",0.13,IF(Application!Z205="15% set-aside with qualifying low value rehab",0.95,IF(Application!Z205="$500M",0.3,0))))</f>
        <v>0.3</v>
      </c>
      <c r="Z67" s="2587"/>
      <c r="AA67" s="2587"/>
      <c r="AB67" s="2587"/>
      <c r="AC67" s="2587"/>
      <c r="AD67" s="2587">
        <f>IF(Application!Z205="15% set-aside with qualifying low value rehab", 0.95,IF(OR(Application!D211="At-Risk",'Points System'!B26="Yes"),0.13,0))</f>
        <v>0</v>
      </c>
      <c r="AE67" s="2587"/>
      <c r="AF67" s="2587"/>
      <c r="AG67" s="2587"/>
      <c r="AH67" s="2587"/>
    </row>
    <row r="68" spans="1:37" ht="13.05" customHeight="1">
      <c r="C68" s="404"/>
      <c r="D68" s="205" t="s">
        <v>2177</v>
      </c>
      <c r="Y68" s="2588">
        <f>IF(AND(T25=1.3,OR(Y67=0.13,Y67=0.95),NOT(Application!T212&gt;=50%)),0,ROUND(Y64*Y67,0))</f>
        <v>21113529</v>
      </c>
      <c r="Z68" s="2589"/>
      <c r="AA68" s="2589"/>
      <c r="AB68" s="2589"/>
      <c r="AC68" s="2589"/>
      <c r="AD68" s="2588">
        <f>IF(AND(T25=1.3,AD67&gt;0,NOT(Application!T212&gt;=50%)),0,ROUND(AD64*AD67,0))</f>
        <v>0</v>
      </c>
      <c r="AE68" s="2589"/>
      <c r="AF68" s="2589"/>
      <c r="AG68" s="2589"/>
      <c r="AH68" s="2589"/>
      <c r="AK68" s="1192"/>
    </row>
    <row r="69" spans="1:37" ht="13.05" customHeight="1">
      <c r="C69" s="404"/>
      <c r="D69" s="205" t="s">
        <v>2178</v>
      </c>
      <c r="Y69" s="2588">
        <f>IF(OR(Application!Z205="State Farmworker Credit",Application!Z205="$500M (Farmworker Housing)"),Y68+AD68,MIN(Y68+AD68,200000*(Application!G761+Application!O785)))</f>
        <v>20400000</v>
      </c>
      <c r="Z69" s="2588"/>
      <c r="AA69" s="2588"/>
      <c r="AB69" s="2588"/>
      <c r="AC69" s="2588"/>
      <c r="AD69" s="2588"/>
      <c r="AE69" s="2588"/>
      <c r="AF69" s="2588"/>
      <c r="AG69" s="2588"/>
      <c r="AH69" s="2588"/>
    </row>
    <row r="70" spans="1:37" ht="13.05" customHeight="1">
      <c r="C70" s="404"/>
      <c r="E70" s="404"/>
      <c r="AB70" s="422"/>
      <c r="AC70" s="422"/>
      <c r="AD70" s="422"/>
      <c r="AE70" s="422"/>
      <c r="AF70" s="422"/>
    </row>
    <row r="71" spans="1:37" ht="13.05" customHeight="1">
      <c r="A71" s="404" t="s">
        <v>590</v>
      </c>
      <c r="C71" s="205" t="s">
        <v>284</v>
      </c>
    </row>
    <row r="72" spans="1:37" ht="13.05" customHeight="1">
      <c r="A72" s="404"/>
      <c r="C72" s="404"/>
      <c r="D72" s="205" t="s">
        <v>1249</v>
      </c>
      <c r="AB72" s="2590">
        <v>0.89</v>
      </c>
      <c r="AC72" s="2591"/>
      <c r="AD72" s="2591"/>
      <c r="AE72" s="2591"/>
      <c r="AF72" s="2592"/>
    </row>
    <row r="73" spans="1:37" ht="13.05" customHeight="1">
      <c r="A73" s="404"/>
      <c r="C73" s="404"/>
      <c r="D73" s="404"/>
      <c r="E73" s="2593" t="s">
        <v>1250</v>
      </c>
      <c r="F73" s="2593"/>
      <c r="G73" s="2593"/>
      <c r="H73" s="2593"/>
      <c r="I73" s="2593"/>
      <c r="J73" s="2593"/>
      <c r="K73" s="2593"/>
      <c r="L73" s="2593"/>
      <c r="M73" s="2593"/>
      <c r="N73" s="2593"/>
      <c r="O73" s="2593"/>
      <c r="P73" s="2593"/>
      <c r="Q73" s="2593"/>
      <c r="R73" s="2593"/>
      <c r="S73" s="2593"/>
      <c r="T73" s="2593"/>
      <c r="U73" s="2593"/>
      <c r="V73" s="2593"/>
      <c r="W73" s="2593"/>
      <c r="X73" s="2593"/>
      <c r="Y73" s="2593"/>
      <c r="Z73" s="2593"/>
      <c r="AA73" s="2593"/>
      <c r="AB73" s="438"/>
      <c r="AC73" s="438"/>
    </row>
    <row r="74" spans="1:37" ht="13.05" customHeight="1">
      <c r="A74" s="404"/>
      <c r="C74" s="404"/>
      <c r="D74" s="404"/>
      <c r="E74" s="2593"/>
      <c r="F74" s="2593"/>
      <c r="G74" s="2593"/>
      <c r="H74" s="2593"/>
      <c r="I74" s="2593"/>
      <c r="J74" s="2593"/>
      <c r="K74" s="2593"/>
      <c r="L74" s="2593"/>
      <c r="M74" s="2593"/>
      <c r="N74" s="2593"/>
      <c r="O74" s="2593"/>
      <c r="P74" s="2593"/>
      <c r="Q74" s="2593"/>
      <c r="R74" s="2593"/>
      <c r="S74" s="2593"/>
      <c r="T74" s="2593"/>
      <c r="U74" s="2593"/>
      <c r="V74" s="2593"/>
      <c r="W74" s="2593"/>
      <c r="X74" s="2593"/>
      <c r="Y74" s="2593"/>
      <c r="Z74" s="2593"/>
      <c r="AA74" s="2593"/>
      <c r="AB74" s="438"/>
      <c r="AC74" s="438"/>
    </row>
    <row r="75" spans="1:37" ht="13.05" customHeight="1">
      <c r="A75" s="404"/>
      <c r="C75" s="404"/>
      <c r="D75" s="404"/>
      <c r="E75" s="2593"/>
      <c r="F75" s="2593"/>
      <c r="G75" s="2593"/>
      <c r="H75" s="2593"/>
      <c r="I75" s="2593"/>
      <c r="J75" s="2593"/>
      <c r="K75" s="2593"/>
      <c r="L75" s="2593"/>
      <c r="M75" s="2593"/>
      <c r="N75" s="2593"/>
      <c r="O75" s="2593"/>
      <c r="P75" s="2593"/>
      <c r="Q75" s="2593"/>
      <c r="R75" s="2593"/>
      <c r="S75" s="2593"/>
      <c r="T75" s="2593"/>
      <c r="U75" s="2593"/>
      <c r="V75" s="2593"/>
      <c r="W75" s="2593"/>
      <c r="X75" s="2593"/>
      <c r="Y75" s="2593"/>
      <c r="Z75" s="2593"/>
      <c r="AA75" s="2593"/>
      <c r="AB75" s="438"/>
      <c r="AC75" s="438"/>
    </row>
    <row r="76" spans="1:37" ht="13.0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3.05" customHeight="1">
      <c r="C77" s="404"/>
      <c r="D77" s="205" t="s">
        <v>1251</v>
      </c>
      <c r="AB77" s="2581">
        <f>ROUND(IF(ISERROR((AB59/AB72)),0,(AB59/AB72)),0)</f>
        <v>5000000</v>
      </c>
      <c r="AC77" s="2581"/>
      <c r="AD77" s="2581"/>
      <c r="AE77" s="2581"/>
      <c r="AF77" s="2581"/>
    </row>
    <row r="78" spans="1:37" ht="13.05" customHeight="1">
      <c r="C78" s="404"/>
      <c r="D78" s="205" t="s">
        <v>1252</v>
      </c>
      <c r="AB78" s="2582">
        <f>ROUNDUP(MIN(Y69,AB77),0)</f>
        <v>5000000</v>
      </c>
      <c r="AC78" s="2583"/>
      <c r="AD78" s="2583"/>
      <c r="AE78" s="2583"/>
      <c r="AF78" s="2584"/>
    </row>
    <row r="79" spans="1:37" ht="13.05" customHeight="1">
      <c r="C79" s="404"/>
      <c r="D79" s="205" t="s">
        <v>1253</v>
      </c>
      <c r="AB79" s="2585">
        <f>AB78*AB72</f>
        <v>4450000</v>
      </c>
      <c r="AC79" s="2585"/>
      <c r="AD79" s="2585"/>
      <c r="AE79" s="2585"/>
      <c r="AF79" s="2585"/>
    </row>
    <row r="80" spans="1:37" ht="13.05" customHeight="1">
      <c r="C80" s="404"/>
      <c r="D80" s="404"/>
      <c r="AB80" s="425"/>
      <c r="AC80" s="425"/>
      <c r="AD80" s="425"/>
      <c r="AE80" s="425"/>
      <c r="AF80" s="425"/>
    </row>
    <row r="81" spans="1:78" ht="13.05" customHeight="1">
      <c r="D81" s="404" t="s">
        <v>754</v>
      </c>
      <c r="AB81" s="2586">
        <f>AB49-(AB57+AB79)</f>
        <v>0</v>
      </c>
      <c r="AC81" s="2586"/>
      <c r="AD81" s="2586"/>
      <c r="AE81" s="2586"/>
      <c r="AF81" s="2586"/>
    </row>
    <row r="82" spans="1:78" ht="13.05" customHeight="1">
      <c r="F82" s="522"/>
      <c r="J82" s="522" t="str">
        <f>IF(AB81&gt;0,"FUNDING GAP MUST NOT EXCEED ZERO","")</f>
        <v/>
      </c>
    </row>
    <row r="83" spans="1:78" ht="13.05" customHeight="1">
      <c r="D83" s="523"/>
    </row>
    <row r="84" spans="1:78" ht="13.05" customHeight="1" thickBot="1">
      <c r="A84" s="2605"/>
      <c r="B84" s="2605"/>
      <c r="C84" s="2605"/>
      <c r="D84" s="2605"/>
      <c r="E84" s="2605"/>
      <c r="F84" s="2605"/>
      <c r="G84" s="2605"/>
      <c r="H84" s="2605"/>
      <c r="I84" s="2605"/>
      <c r="J84" s="2605"/>
      <c r="K84" s="2605"/>
      <c r="L84" s="2605"/>
      <c r="M84" s="2605"/>
      <c r="N84" s="2605"/>
      <c r="O84" s="2605"/>
      <c r="P84" s="2605"/>
      <c r="Q84" s="2605"/>
      <c r="R84" s="2605"/>
      <c r="S84" s="2605"/>
      <c r="T84" s="2605"/>
      <c r="U84" s="2605"/>
      <c r="V84" s="2605"/>
      <c r="W84" s="2605"/>
      <c r="X84" s="2605"/>
      <c r="Y84" s="2605"/>
      <c r="Z84" s="2605"/>
      <c r="AA84" s="2605"/>
      <c r="AB84" s="2605"/>
      <c r="AC84" s="2605"/>
      <c r="AD84" s="2605"/>
      <c r="AE84" s="2605"/>
      <c r="AF84" s="2605"/>
      <c r="AG84" s="2605"/>
      <c r="AH84" s="2605"/>
      <c r="AI84" s="2605"/>
      <c r="AJ84" s="2605"/>
      <c r="AK84" s="2605"/>
      <c r="AL84" s="2605"/>
      <c r="AM84" s="2605"/>
      <c r="AN84" s="2605"/>
      <c r="AO84" s="2605"/>
      <c r="AP84" s="2605"/>
      <c r="AQ84" s="2605"/>
      <c r="AR84" s="2605"/>
      <c r="AS84" s="2605"/>
      <c r="AT84" s="2605"/>
      <c r="AU84" s="2605"/>
      <c r="AV84" s="2605"/>
      <c r="AW84" s="2605"/>
      <c r="AX84" s="2605"/>
      <c r="AY84" s="2605"/>
      <c r="AZ84" s="2605"/>
      <c r="BA84" s="2605"/>
      <c r="BB84" s="2605"/>
      <c r="BC84" s="2605"/>
      <c r="BD84" s="2605"/>
      <c r="BE84" s="2605"/>
      <c r="BF84" s="2605"/>
      <c r="BG84" s="2605"/>
      <c r="BH84" s="2605"/>
      <c r="BI84" s="2605"/>
      <c r="BJ84" s="2605"/>
      <c r="BK84" s="2605"/>
      <c r="BL84" s="2605"/>
      <c r="BM84" s="2605"/>
      <c r="BN84" s="2605"/>
      <c r="BO84" s="2605"/>
      <c r="BP84" s="2605"/>
      <c r="BQ84" s="2605"/>
      <c r="BR84" s="2605"/>
      <c r="BS84" s="2605"/>
      <c r="BT84" s="2605"/>
      <c r="BU84" s="2605"/>
      <c r="BV84" s="2605"/>
      <c r="BW84" s="2605"/>
      <c r="BX84" s="2605"/>
    </row>
    <row r="85" spans="1:78" ht="13.05" customHeight="1" thickTop="1"/>
    <row r="86" spans="1:78" ht="13.05" hidden="1" customHeight="1">
      <c r="A86" s="404"/>
      <c r="C86" s="205"/>
    </row>
    <row r="87" spans="1:78" ht="13.05" hidden="1" customHeight="1">
      <c r="D87" s="205"/>
      <c r="AB87" s="2637"/>
      <c r="AC87" s="2637"/>
      <c r="AD87" s="2637"/>
      <c r="AE87" s="2637"/>
      <c r="AF87" s="2637"/>
    </row>
    <row r="88" spans="1:78" ht="13.05" hidden="1" customHeight="1" thickBot="1">
      <c r="D88" s="205"/>
      <c r="AB88" s="2636"/>
      <c r="AC88" s="2636"/>
      <c r="AD88" s="2636"/>
      <c r="AE88" s="2636"/>
      <c r="AF88" s="2636"/>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05"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117" zoomScale="110" zoomScaleNormal="110" workbookViewId="0">
      <selection activeCell="AL124" sqref="AL124"/>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77734375" style="14" customWidth="1"/>
    <col min="7" max="14" width="2.44140625" style="14" customWidth="1"/>
    <col min="15" max="15" width="2.77734375" style="14" customWidth="1"/>
    <col min="16" max="16" width="2.44140625" style="14" customWidth="1"/>
    <col min="17" max="17" width="3.77734375" style="14" customWidth="1"/>
    <col min="18" max="18" width="4.44140625" style="14" customWidth="1"/>
    <col min="19" max="19" width="3.33203125" style="14" customWidth="1"/>
    <col min="20" max="32" width="2.44140625" style="14" customWidth="1"/>
    <col min="33" max="33" width="3.44140625" style="14" customWidth="1"/>
    <col min="34" max="36" width="2.44140625" style="14" customWidth="1"/>
    <col min="37" max="37" width="5.44140625" style="14" customWidth="1"/>
    <col min="38" max="38" width="2.44140625" style="14" customWidth="1"/>
    <col min="39" max="39" width="3.44140625" style="14" customWidth="1"/>
    <col min="40" max="40" width="5.44140625" style="534" customWidth="1"/>
    <col min="41" max="41" width="5.44140625" style="30" hidden="1" customWidth="1"/>
    <col min="42" max="45" width="5.44140625" style="14" hidden="1" customWidth="1"/>
    <col min="46" max="46" width="10.77734375" style="14" hidden="1" customWidth="1"/>
    <col min="47" max="48" width="5.44140625" style="14" hidden="1" customWidth="1"/>
    <col min="49" max="49" width="8.6640625" style="14" hidden="1" customWidth="1"/>
    <col min="50" max="50" width="7.44140625" style="14" hidden="1" customWidth="1"/>
    <col min="51" max="55" width="5.44140625" style="14" hidden="1" customWidth="1"/>
    <col min="56" max="60" width="5.44140625" style="32" hidden="1" customWidth="1"/>
    <col min="61" max="81" width="5.44140625" style="14" hidden="1" customWidth="1"/>
    <col min="82" max="16384" width="9.109375" style="14" hidden="1"/>
  </cols>
  <sheetData>
    <row r="1" spans="1:41" ht="15.75" customHeight="1">
      <c r="A1" s="1305" t="s">
        <v>1298</v>
      </c>
      <c r="B1" s="1305"/>
      <c r="C1" s="1305"/>
      <c r="D1" s="1305"/>
      <c r="E1" s="1305"/>
      <c r="F1" s="1305"/>
      <c r="G1" s="1305"/>
      <c r="H1" s="1305"/>
      <c r="I1" s="1305"/>
      <c r="J1" s="1305"/>
      <c r="K1" s="1305"/>
      <c r="L1" s="1305"/>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row>
    <row r="2" spans="1:41" s="536" customFormat="1" ht="12.75" customHeight="1" thickBot="1">
      <c r="A2" s="1306"/>
      <c r="B2" s="1306"/>
      <c r="C2" s="1306"/>
      <c r="D2" s="1306"/>
      <c r="E2" s="1306"/>
      <c r="F2" s="1306"/>
      <c r="G2" s="1306"/>
      <c r="H2" s="1306"/>
      <c r="I2" s="1306"/>
      <c r="J2" s="1306"/>
      <c r="K2" s="1306"/>
      <c r="L2" s="1306"/>
      <c r="M2" s="1306"/>
      <c r="N2" s="1306"/>
      <c r="O2" s="1306"/>
      <c r="P2" s="1306"/>
      <c r="Q2" s="1306"/>
      <c r="R2" s="1306"/>
      <c r="S2" s="1306"/>
      <c r="T2" s="1306"/>
      <c r="U2" s="1306"/>
      <c r="V2" s="1306"/>
      <c r="W2" s="1306"/>
      <c r="X2" s="1306"/>
      <c r="Y2" s="1306"/>
      <c r="Z2" s="1306"/>
      <c r="AA2" s="1306"/>
      <c r="AB2" s="1306"/>
      <c r="AC2" s="1306"/>
      <c r="AD2" s="1306"/>
      <c r="AE2" s="1306"/>
      <c r="AF2" s="1306"/>
      <c r="AG2" s="1306"/>
      <c r="AH2" s="1306"/>
      <c r="AI2" s="1306"/>
      <c r="AJ2" s="1306"/>
      <c r="AK2" s="1306"/>
      <c r="AL2" s="1306"/>
      <c r="AM2" s="1306"/>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1301</v>
      </c>
      <c r="B7" s="539" t="s">
        <v>2539</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1298" t="s">
        <v>1302</v>
      </c>
      <c r="AF7" s="1298"/>
      <c r="AG7" s="1298"/>
      <c r="AH7" s="1298"/>
      <c r="AI7" s="1298"/>
      <c r="AJ7" s="1298"/>
      <c r="AK7" s="1298"/>
      <c r="AL7" s="540"/>
      <c r="AM7" s="540"/>
      <c r="AN7" s="535"/>
    </row>
    <row r="8" spans="1:41" s="536" customFormat="1" ht="12.75" customHeight="1">
      <c r="A8" s="538"/>
      <c r="B8" s="539" t="s">
        <v>2628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2542</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1270" t="s">
        <v>591</v>
      </c>
      <c r="C12" s="1270"/>
      <c r="D12" s="540"/>
      <c r="E12" s="1286" t="s">
        <v>2540</v>
      </c>
      <c r="F12" s="1287"/>
      <c r="G12" s="1287"/>
      <c r="H12" s="1287"/>
      <c r="I12" s="1287"/>
      <c r="J12" s="1287"/>
      <c r="K12" s="1287"/>
      <c r="L12" s="1287"/>
      <c r="M12" s="1287"/>
      <c r="N12" s="1287"/>
      <c r="O12" s="1287"/>
      <c r="P12" s="1287"/>
      <c r="Q12" s="1287"/>
      <c r="R12" s="1287"/>
      <c r="S12" s="1287"/>
      <c r="T12" s="1287"/>
      <c r="U12" s="1287"/>
      <c r="V12" s="1287"/>
      <c r="W12" s="1287"/>
      <c r="X12" s="1287"/>
      <c r="Y12" s="1287"/>
      <c r="Z12" s="1287"/>
      <c r="AA12" s="1287"/>
      <c r="AB12" s="1287"/>
      <c r="AC12" s="1287"/>
      <c r="AD12" s="1287"/>
      <c r="AE12" s="1287"/>
      <c r="AF12" s="1287"/>
      <c r="AG12" s="1287"/>
      <c r="AH12" s="1287"/>
      <c r="AI12" s="1287"/>
      <c r="AJ12" s="1288"/>
      <c r="AK12" s="540"/>
      <c r="AL12" s="540"/>
      <c r="AM12" s="540"/>
      <c r="AN12" s="535"/>
      <c r="AO12" s="557"/>
    </row>
    <row r="13" spans="1:41" s="536" customFormat="1" ht="12.75" customHeight="1">
      <c r="A13" s="540"/>
      <c r="D13" s="546"/>
      <c r="E13" s="1315"/>
      <c r="F13" s="1316"/>
      <c r="G13" s="1316"/>
      <c r="H13" s="1316"/>
      <c r="I13" s="1316"/>
      <c r="J13" s="1316"/>
      <c r="K13" s="1316"/>
      <c r="L13" s="1316"/>
      <c r="M13" s="1316"/>
      <c r="N13" s="1316"/>
      <c r="O13" s="1316"/>
      <c r="P13" s="1316"/>
      <c r="Q13" s="1316"/>
      <c r="R13" s="1316"/>
      <c r="S13" s="1316"/>
      <c r="T13" s="1316"/>
      <c r="U13" s="1316"/>
      <c r="V13" s="1316"/>
      <c r="W13" s="1316"/>
      <c r="X13" s="1316"/>
      <c r="Y13" s="1316"/>
      <c r="Z13" s="1316"/>
      <c r="AA13" s="1316"/>
      <c r="AB13" s="1316"/>
      <c r="AC13" s="1316"/>
      <c r="AD13" s="1316"/>
      <c r="AE13" s="1316"/>
      <c r="AF13" s="1316"/>
      <c r="AG13" s="1316"/>
      <c r="AH13" s="1316"/>
      <c r="AI13" s="1316"/>
      <c r="AJ13" s="1317"/>
      <c r="AK13" s="540"/>
      <c r="AL13" s="540"/>
      <c r="AM13" s="540"/>
      <c r="AN13" s="535"/>
      <c r="AO13" s="557"/>
    </row>
    <row r="14" spans="1:41" s="536" customFormat="1" ht="12.75" customHeight="1">
      <c r="A14" s="540"/>
      <c r="D14" s="540"/>
      <c r="E14" s="1289"/>
      <c r="F14" s="1290"/>
      <c r="G14" s="1290"/>
      <c r="H14" s="1290"/>
      <c r="I14" s="1290"/>
      <c r="J14" s="1290"/>
      <c r="K14" s="1290"/>
      <c r="L14" s="1290"/>
      <c r="M14" s="1290"/>
      <c r="N14" s="1290"/>
      <c r="O14" s="1290"/>
      <c r="P14" s="1290"/>
      <c r="Q14" s="1290"/>
      <c r="R14" s="1290"/>
      <c r="S14" s="1290"/>
      <c r="T14" s="1290"/>
      <c r="U14" s="1290"/>
      <c r="V14" s="1290"/>
      <c r="W14" s="1290"/>
      <c r="X14" s="1290"/>
      <c r="Y14" s="1290"/>
      <c r="Z14" s="1290"/>
      <c r="AA14" s="1290"/>
      <c r="AB14" s="1290"/>
      <c r="AC14" s="1290"/>
      <c r="AD14" s="1290"/>
      <c r="AE14" s="1290"/>
      <c r="AF14" s="1290"/>
      <c r="AG14" s="1290"/>
      <c r="AH14" s="1290"/>
      <c r="AI14" s="1290"/>
      <c r="AJ14" s="1291"/>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1270" t="s">
        <v>591</v>
      </c>
      <c r="C16" s="1270"/>
      <c r="D16" s="540"/>
      <c r="E16" s="1286" t="s">
        <v>2541</v>
      </c>
      <c r="F16" s="1287"/>
      <c r="G16" s="1287"/>
      <c r="H16" s="1287"/>
      <c r="I16" s="1287"/>
      <c r="J16" s="1287"/>
      <c r="K16" s="1287"/>
      <c r="L16" s="1287"/>
      <c r="M16" s="1287"/>
      <c r="N16" s="1287"/>
      <c r="O16" s="1287"/>
      <c r="P16" s="1287"/>
      <c r="Q16" s="1287"/>
      <c r="R16" s="1287"/>
      <c r="S16" s="1287"/>
      <c r="T16" s="1287"/>
      <c r="U16" s="1287"/>
      <c r="V16" s="1287"/>
      <c r="W16" s="1287"/>
      <c r="X16" s="1287"/>
      <c r="Y16" s="1287"/>
      <c r="Z16" s="1287"/>
      <c r="AA16" s="1287"/>
      <c r="AB16" s="1287"/>
      <c r="AC16" s="1287"/>
      <c r="AD16" s="1287"/>
      <c r="AE16" s="1287"/>
      <c r="AF16" s="1287"/>
      <c r="AG16" s="1287"/>
      <c r="AH16" s="1287"/>
      <c r="AI16" s="1287"/>
      <c r="AJ16" s="1288"/>
      <c r="AK16" s="540"/>
      <c r="AL16" s="540"/>
      <c r="AM16" s="540"/>
      <c r="AN16" s="535"/>
    </row>
    <row r="17" spans="1:50" s="536" customFormat="1" ht="12.75" customHeight="1">
      <c r="A17" s="540"/>
      <c r="B17" s="540"/>
      <c r="C17" s="540"/>
      <c r="D17" s="540"/>
      <c r="E17" s="1315"/>
      <c r="F17" s="1316"/>
      <c r="G17" s="1316"/>
      <c r="H17" s="1316"/>
      <c r="I17" s="1316"/>
      <c r="J17" s="1316"/>
      <c r="K17" s="1316"/>
      <c r="L17" s="1316"/>
      <c r="M17" s="1316"/>
      <c r="N17" s="1316"/>
      <c r="O17" s="1316"/>
      <c r="P17" s="1316"/>
      <c r="Q17" s="1316"/>
      <c r="R17" s="1316"/>
      <c r="S17" s="1316"/>
      <c r="T17" s="1316"/>
      <c r="U17" s="1316"/>
      <c r="V17" s="1316"/>
      <c r="W17" s="1316"/>
      <c r="X17" s="1316"/>
      <c r="Y17" s="1316"/>
      <c r="Z17" s="1316"/>
      <c r="AA17" s="1316"/>
      <c r="AB17" s="1316"/>
      <c r="AC17" s="1316"/>
      <c r="AD17" s="1316"/>
      <c r="AE17" s="1316"/>
      <c r="AF17" s="1316"/>
      <c r="AG17" s="1316"/>
      <c r="AH17" s="1316"/>
      <c r="AI17" s="1316"/>
      <c r="AJ17" s="1317"/>
      <c r="AK17" s="540"/>
      <c r="AL17" s="540"/>
      <c r="AM17" s="540"/>
      <c r="AN17" s="535"/>
    </row>
    <row r="18" spans="1:50" s="536" customFormat="1" ht="12.75" customHeight="1">
      <c r="A18" s="540"/>
      <c r="B18" s="540"/>
      <c r="C18" s="1135"/>
      <c r="D18" s="540"/>
      <c r="E18" s="1289"/>
      <c r="F18" s="1290"/>
      <c r="G18" s="1290"/>
      <c r="H18" s="1290"/>
      <c r="I18" s="1290"/>
      <c r="J18" s="1290"/>
      <c r="K18" s="1290"/>
      <c r="L18" s="1290"/>
      <c r="M18" s="1290"/>
      <c r="N18" s="1290"/>
      <c r="O18" s="1290"/>
      <c r="P18" s="1290"/>
      <c r="Q18" s="1290"/>
      <c r="R18" s="1290"/>
      <c r="S18" s="1290"/>
      <c r="T18" s="1290"/>
      <c r="U18" s="1290"/>
      <c r="V18" s="1290"/>
      <c r="W18" s="1290"/>
      <c r="X18" s="1290"/>
      <c r="Y18" s="1290"/>
      <c r="Z18" s="1290"/>
      <c r="AA18" s="1290"/>
      <c r="AB18" s="1290"/>
      <c r="AC18" s="1290"/>
      <c r="AD18" s="1290"/>
      <c r="AE18" s="1290"/>
      <c r="AF18" s="1290"/>
      <c r="AG18" s="1290"/>
      <c r="AH18" s="1290"/>
      <c r="AI18" s="1290"/>
      <c r="AJ18" s="1291"/>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1270" t="s">
        <v>591</v>
      </c>
      <c r="C20" s="1270"/>
      <c r="D20" s="540"/>
      <c r="E20" s="1286" t="s">
        <v>1978</v>
      </c>
      <c r="F20" s="1287"/>
      <c r="G20" s="1287"/>
      <c r="H20" s="1287"/>
      <c r="I20" s="1287"/>
      <c r="J20" s="1287"/>
      <c r="K20" s="1287"/>
      <c r="L20" s="1287"/>
      <c r="M20" s="1287"/>
      <c r="N20" s="1287"/>
      <c r="O20" s="1287"/>
      <c r="P20" s="1287"/>
      <c r="Q20" s="1287"/>
      <c r="R20" s="1287"/>
      <c r="S20" s="1287"/>
      <c r="T20" s="1287"/>
      <c r="U20" s="1287"/>
      <c r="V20" s="1287"/>
      <c r="W20" s="1287"/>
      <c r="X20" s="1287"/>
      <c r="Y20" s="1287"/>
      <c r="Z20" s="1287"/>
      <c r="AA20" s="1287"/>
      <c r="AB20" s="1287"/>
      <c r="AC20" s="1287"/>
      <c r="AD20" s="1287"/>
      <c r="AE20" s="1287"/>
      <c r="AF20" s="1287"/>
      <c r="AG20" s="1287"/>
      <c r="AH20" s="1287"/>
      <c r="AI20" s="1287"/>
      <c r="AJ20" s="1288"/>
      <c r="AK20" s="540"/>
      <c r="AL20" s="540"/>
      <c r="AM20" s="540"/>
      <c r="AN20" s="535"/>
    </row>
    <row r="21" spans="1:50" s="536" customFormat="1" ht="12.75" customHeight="1">
      <c r="A21" s="540"/>
      <c r="B21" s="546"/>
      <c r="C21" s="546"/>
      <c r="D21" s="546"/>
      <c r="E21" s="1289"/>
      <c r="F21" s="1290"/>
      <c r="G21" s="1290"/>
      <c r="H21" s="1290"/>
      <c r="I21" s="1290"/>
      <c r="J21" s="1290"/>
      <c r="K21" s="1290"/>
      <c r="L21" s="1290"/>
      <c r="M21" s="1290"/>
      <c r="N21" s="1290"/>
      <c r="O21" s="1290"/>
      <c r="P21" s="1290"/>
      <c r="Q21" s="1290"/>
      <c r="R21" s="1290"/>
      <c r="S21" s="1290"/>
      <c r="T21" s="1290"/>
      <c r="U21" s="1290"/>
      <c r="V21" s="1290"/>
      <c r="W21" s="1290"/>
      <c r="X21" s="1290"/>
      <c r="Y21" s="1290"/>
      <c r="Z21" s="1290"/>
      <c r="AA21" s="1290"/>
      <c r="AB21" s="1290"/>
      <c r="AC21" s="1290"/>
      <c r="AD21" s="1290"/>
      <c r="AE21" s="1290"/>
      <c r="AF21" s="1290"/>
      <c r="AG21" s="1290"/>
      <c r="AH21" s="1290"/>
      <c r="AI21" s="1290"/>
      <c r="AJ21" s="1291"/>
      <c r="AK21" s="540"/>
      <c r="AL21" s="540"/>
      <c r="AM21" s="540"/>
      <c r="AN21" s="535"/>
      <c r="AO21" s="536">
        <f>IF(AND(B12="Yes",B16="Yes",B20="Yes"),10,0)</f>
        <v>0</v>
      </c>
      <c r="AP21" s="536" t="s">
        <v>1304</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2629</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2543</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1270" t="s">
        <v>591</v>
      </c>
      <c r="C26" s="1270"/>
      <c r="D26" s="546"/>
      <c r="E26" s="547" t="s">
        <v>1303</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1307"/>
      <c r="AH26" s="1307"/>
      <c r="AI26" s="1307"/>
      <c r="AJ26" s="1308"/>
      <c r="AK26" s="540"/>
      <c r="AL26" s="540"/>
      <c r="AM26" s="540"/>
      <c r="AN26" s="535"/>
      <c r="AO26" s="536">
        <f>IF($B26="yes",20,0)</f>
        <v>0</v>
      </c>
      <c r="AP26" s="14" t="s">
        <v>1304</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2544</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1270" t="s">
        <v>591</v>
      </c>
      <c r="C30" s="1270"/>
      <c r="D30" s="546"/>
      <c r="E30" s="1271" t="s">
        <v>2630</v>
      </c>
      <c r="F30" s="1272"/>
      <c r="G30" s="1272"/>
      <c r="H30" s="1272"/>
      <c r="I30" s="1272"/>
      <c r="J30" s="1272"/>
      <c r="K30" s="1272"/>
      <c r="L30" s="1272"/>
      <c r="M30" s="1272"/>
      <c r="N30" s="1272"/>
      <c r="O30" s="1272"/>
      <c r="P30" s="1272"/>
      <c r="Q30" s="1272"/>
      <c r="R30" s="1272"/>
      <c r="S30" s="1272"/>
      <c r="T30" s="1272"/>
      <c r="U30" s="1272"/>
      <c r="V30" s="1272"/>
      <c r="W30" s="1272"/>
      <c r="X30" s="1272"/>
      <c r="Y30" s="1272"/>
      <c r="Z30" s="1272"/>
      <c r="AA30" s="1272"/>
      <c r="AB30" s="1272"/>
      <c r="AC30" s="1272"/>
      <c r="AD30" s="1272"/>
      <c r="AE30" s="1272"/>
      <c r="AF30" s="1272"/>
      <c r="AG30" s="1272"/>
      <c r="AH30" s="1272"/>
      <c r="AI30" s="1272"/>
      <c r="AJ30" s="1273"/>
      <c r="AK30" s="540"/>
      <c r="AL30" s="540"/>
      <c r="AM30" s="540"/>
      <c r="AN30" s="535"/>
      <c r="AO30" s="549">
        <f>IF($B30="yes",9,0)</f>
        <v>0</v>
      </c>
    </row>
    <row r="31" spans="1:50" s="536" customFormat="1" ht="12.75" customHeight="1">
      <c r="A31" s="540"/>
      <c r="B31" s="540"/>
      <c r="C31" s="540"/>
      <c r="E31" s="1274"/>
      <c r="F31" s="1275"/>
      <c r="G31" s="1275"/>
      <c r="H31" s="1275"/>
      <c r="I31" s="1275"/>
      <c r="J31" s="1275"/>
      <c r="K31" s="1275"/>
      <c r="L31" s="1275"/>
      <c r="M31" s="1275"/>
      <c r="N31" s="1275"/>
      <c r="O31" s="1275"/>
      <c r="P31" s="1275"/>
      <c r="Q31" s="1275"/>
      <c r="R31" s="1275"/>
      <c r="S31" s="1275"/>
      <c r="T31" s="1275"/>
      <c r="U31" s="1275"/>
      <c r="V31" s="1275"/>
      <c r="W31" s="1275"/>
      <c r="X31" s="1275"/>
      <c r="Y31" s="1275"/>
      <c r="Z31" s="1275"/>
      <c r="AA31" s="1275"/>
      <c r="AB31" s="1275"/>
      <c r="AC31" s="1275"/>
      <c r="AD31" s="1275"/>
      <c r="AE31" s="1275"/>
      <c r="AF31" s="1275"/>
      <c r="AG31" s="1275"/>
      <c r="AH31" s="1275"/>
      <c r="AI31" s="1275"/>
      <c r="AJ31" s="1276"/>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1270" t="s">
        <v>591</v>
      </c>
      <c r="C33" s="1270"/>
      <c r="D33" s="546"/>
      <c r="E33" s="1271" t="s">
        <v>2547</v>
      </c>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3"/>
      <c r="AK33" s="540"/>
      <c r="AL33" s="540"/>
      <c r="AM33" s="540"/>
      <c r="AN33" s="535"/>
      <c r="AO33" s="549">
        <f>IF($B39="yes",9,0)</f>
        <v>0</v>
      </c>
    </row>
    <row r="34" spans="1:43" s="536" customFormat="1" ht="12.75" customHeight="1">
      <c r="A34" s="540"/>
      <c r="B34" s="540"/>
      <c r="C34" s="540"/>
      <c r="D34" s="546"/>
      <c r="E34" s="1312"/>
      <c r="F34" s="1313"/>
      <c r="G34" s="1313"/>
      <c r="H34" s="1313"/>
      <c r="I34" s="1313"/>
      <c r="J34" s="1313"/>
      <c r="K34" s="1313"/>
      <c r="L34" s="1313"/>
      <c r="M34" s="1313"/>
      <c r="N34" s="1313"/>
      <c r="O34" s="1313"/>
      <c r="P34" s="1313"/>
      <c r="Q34" s="1313"/>
      <c r="R34" s="1313"/>
      <c r="S34" s="1313"/>
      <c r="T34" s="1313"/>
      <c r="U34" s="1313"/>
      <c r="V34" s="1313"/>
      <c r="W34" s="1313"/>
      <c r="X34" s="1313"/>
      <c r="Y34" s="1313"/>
      <c r="Z34" s="1313"/>
      <c r="AA34" s="1313"/>
      <c r="AB34" s="1313"/>
      <c r="AC34" s="1313"/>
      <c r="AD34" s="1313"/>
      <c r="AE34" s="1313"/>
      <c r="AF34" s="1313"/>
      <c r="AG34" s="1313"/>
      <c r="AH34" s="1313"/>
      <c r="AI34" s="1313"/>
      <c r="AJ34" s="1314"/>
      <c r="AK34" s="540"/>
      <c r="AL34" s="540"/>
      <c r="AM34" s="540"/>
      <c r="AN34" s="535"/>
      <c r="AO34" s="536">
        <f>MAX(AO30,AO31,AO32,AO33)</f>
        <v>0</v>
      </c>
      <c r="AP34" s="536" t="s">
        <v>1304</v>
      </c>
    </row>
    <row r="35" spans="1:43" s="536" customFormat="1" ht="12.75" customHeight="1">
      <c r="A35" s="540"/>
      <c r="B35" s="540"/>
      <c r="C35" s="540"/>
      <c r="E35" s="1274"/>
      <c r="F35" s="1275"/>
      <c r="G35" s="1275"/>
      <c r="H35" s="1275"/>
      <c r="I35" s="1275"/>
      <c r="J35" s="1275"/>
      <c r="K35" s="1275"/>
      <c r="L35" s="1275"/>
      <c r="M35" s="1275"/>
      <c r="N35" s="1275"/>
      <c r="O35" s="1275"/>
      <c r="P35" s="1275"/>
      <c r="Q35" s="1275"/>
      <c r="R35" s="1275"/>
      <c r="S35" s="1275"/>
      <c r="T35" s="1275"/>
      <c r="U35" s="1275"/>
      <c r="V35" s="1275"/>
      <c r="W35" s="1275"/>
      <c r="X35" s="1275"/>
      <c r="Y35" s="1275"/>
      <c r="Z35" s="1275"/>
      <c r="AA35" s="1275"/>
      <c r="AB35" s="1275"/>
      <c r="AC35" s="1275"/>
      <c r="AD35" s="1275"/>
      <c r="AE35" s="1275"/>
      <c r="AF35" s="1275"/>
      <c r="AG35" s="1275"/>
      <c r="AH35" s="1275"/>
      <c r="AI35" s="1275"/>
      <c r="AJ35" s="1276"/>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1270" t="s">
        <v>591</v>
      </c>
      <c r="C37" s="1270"/>
      <c r="D37" s="1136"/>
      <c r="E37" s="1277" t="s">
        <v>2549</v>
      </c>
      <c r="F37" s="1278"/>
      <c r="G37" s="1278"/>
      <c r="H37" s="1278"/>
      <c r="I37" s="1278"/>
      <c r="J37" s="1278"/>
      <c r="K37" s="1278"/>
      <c r="L37" s="1278"/>
      <c r="M37" s="1278"/>
      <c r="N37" s="1278"/>
      <c r="O37" s="1278"/>
      <c r="P37" s="1278"/>
      <c r="Q37" s="1278"/>
      <c r="R37" s="1278"/>
      <c r="S37" s="1278"/>
      <c r="T37" s="1278"/>
      <c r="U37" s="1278"/>
      <c r="V37" s="1278"/>
      <c r="W37" s="1278"/>
      <c r="X37" s="1278"/>
      <c r="Y37" s="1278"/>
      <c r="Z37" s="1278"/>
      <c r="AA37" s="1278"/>
      <c r="AB37" s="1278"/>
      <c r="AC37" s="1278"/>
      <c r="AD37" s="1278"/>
      <c r="AE37" s="1278"/>
      <c r="AF37" s="1278"/>
      <c r="AG37" s="1278"/>
      <c r="AH37" s="1278"/>
      <c r="AI37" s="1278"/>
      <c r="AJ37" s="1279"/>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1270" t="s">
        <v>591</v>
      </c>
      <c r="C39" s="1270"/>
      <c r="D39" s="1136"/>
      <c r="E39" s="1277" t="s">
        <v>2548</v>
      </c>
      <c r="F39" s="1278"/>
      <c r="G39" s="1278"/>
      <c r="H39" s="1278"/>
      <c r="I39" s="1278"/>
      <c r="J39" s="1278"/>
      <c r="K39" s="1278"/>
      <c r="L39" s="1278"/>
      <c r="M39" s="1278"/>
      <c r="N39" s="1278"/>
      <c r="O39" s="1278"/>
      <c r="P39" s="1278"/>
      <c r="Q39" s="1278"/>
      <c r="R39" s="1278"/>
      <c r="S39" s="1278"/>
      <c r="T39" s="1278"/>
      <c r="U39" s="1278"/>
      <c r="V39" s="1278"/>
      <c r="W39" s="1278"/>
      <c r="X39" s="1278"/>
      <c r="Y39" s="1278"/>
      <c r="Z39" s="1278"/>
      <c r="AA39" s="1278"/>
      <c r="AB39" s="1278"/>
      <c r="AC39" s="1278"/>
      <c r="AD39" s="1278"/>
      <c r="AE39" s="1278"/>
      <c r="AF39" s="1278"/>
      <c r="AG39" s="1278"/>
      <c r="AH39" s="1278"/>
      <c r="AI39" s="1278"/>
      <c r="AJ39" s="1279"/>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2545</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1270" t="s">
        <v>591</v>
      </c>
      <c r="C43" s="1270"/>
      <c r="D43" s="546"/>
      <c r="E43" s="1280" t="s">
        <v>2631</v>
      </c>
      <c r="F43" s="1281"/>
      <c r="G43" s="1281"/>
      <c r="H43" s="1281"/>
      <c r="I43" s="1281"/>
      <c r="J43" s="1281"/>
      <c r="K43" s="1281"/>
      <c r="L43" s="1281"/>
      <c r="M43" s="1281"/>
      <c r="N43" s="1281"/>
      <c r="O43" s="1281"/>
      <c r="P43" s="1281"/>
      <c r="Q43" s="1281"/>
      <c r="R43" s="1281"/>
      <c r="S43" s="1281"/>
      <c r="T43" s="1281"/>
      <c r="U43" s="1281"/>
      <c r="V43" s="1281"/>
      <c r="W43" s="1281"/>
      <c r="X43" s="1281"/>
      <c r="Y43" s="1281"/>
      <c r="Z43" s="1281"/>
      <c r="AA43" s="1281"/>
      <c r="AB43" s="1281"/>
      <c r="AC43" s="1281"/>
      <c r="AD43" s="1281"/>
      <c r="AE43" s="1281"/>
      <c r="AF43" s="1281"/>
      <c r="AG43" s="1281"/>
      <c r="AH43" s="1281"/>
      <c r="AI43" s="1281"/>
      <c r="AJ43" s="1282"/>
      <c r="AK43" s="540"/>
      <c r="AL43" s="540"/>
      <c r="AM43" s="540"/>
      <c r="AN43" s="535"/>
      <c r="AO43" s="549">
        <f>IF($B43="yes",8,0)</f>
        <v>0</v>
      </c>
      <c r="AP43" s="14"/>
    </row>
    <row r="44" spans="1:43" s="536" customFormat="1" ht="12.75" customHeight="1">
      <c r="A44" s="540"/>
      <c r="B44" s="540"/>
      <c r="C44" s="540"/>
      <c r="D44" s="550"/>
      <c r="E44" s="1283"/>
      <c r="F44" s="1284"/>
      <c r="G44" s="1284"/>
      <c r="H44" s="1284"/>
      <c r="I44" s="1284"/>
      <c r="J44" s="1284"/>
      <c r="K44" s="1284"/>
      <c r="L44" s="1284"/>
      <c r="M44" s="1284"/>
      <c r="N44" s="1284"/>
      <c r="O44" s="1284"/>
      <c r="P44" s="1284"/>
      <c r="Q44" s="1284"/>
      <c r="R44" s="1284"/>
      <c r="S44" s="1284"/>
      <c r="T44" s="1284"/>
      <c r="U44" s="1284"/>
      <c r="V44" s="1284"/>
      <c r="W44" s="1284"/>
      <c r="X44" s="1284"/>
      <c r="Y44" s="1284"/>
      <c r="Z44" s="1284"/>
      <c r="AA44" s="1284"/>
      <c r="AB44" s="1284"/>
      <c r="AC44" s="1284"/>
      <c r="AD44" s="1284"/>
      <c r="AE44" s="1284"/>
      <c r="AF44" s="1284"/>
      <c r="AG44" s="1284"/>
      <c r="AH44" s="1284"/>
      <c r="AI44" s="1284"/>
      <c r="AJ44" s="1285"/>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1270" t="s">
        <v>591</v>
      </c>
      <c r="C46" s="1270"/>
      <c r="D46" s="546"/>
      <c r="E46" s="1271" t="s">
        <v>2632</v>
      </c>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3"/>
      <c r="AK46" s="540"/>
      <c r="AL46" s="540"/>
      <c r="AM46" s="540"/>
      <c r="AN46" s="535"/>
      <c r="AO46" s="549">
        <f>IF($B52="yes",8,0)</f>
        <v>0</v>
      </c>
    </row>
    <row r="47" spans="1:43" s="536" customFormat="1" ht="12.75" customHeight="1">
      <c r="A47" s="540"/>
      <c r="B47" s="540"/>
      <c r="C47" s="540"/>
      <c r="D47" s="549"/>
      <c r="E47" s="1274"/>
      <c r="F47" s="1275"/>
      <c r="G47" s="1275"/>
      <c r="H47" s="1275"/>
      <c r="I47" s="1275"/>
      <c r="J47" s="1275"/>
      <c r="K47" s="1275"/>
      <c r="L47" s="1275"/>
      <c r="M47" s="1275"/>
      <c r="N47" s="1275"/>
      <c r="O47" s="1275"/>
      <c r="P47" s="1275"/>
      <c r="Q47" s="1275"/>
      <c r="R47" s="1275"/>
      <c r="S47" s="1275"/>
      <c r="T47" s="1275"/>
      <c r="U47" s="1275"/>
      <c r="V47" s="1275"/>
      <c r="W47" s="1275"/>
      <c r="X47" s="1275"/>
      <c r="Y47" s="1275"/>
      <c r="Z47" s="1275"/>
      <c r="AA47" s="1275"/>
      <c r="AB47" s="1275"/>
      <c r="AC47" s="1275"/>
      <c r="AD47" s="1275"/>
      <c r="AE47" s="1275"/>
      <c r="AF47" s="1275"/>
      <c r="AG47" s="1275"/>
      <c r="AH47" s="1275"/>
      <c r="AI47" s="1275"/>
      <c r="AJ47" s="1276"/>
      <c r="AK47" s="540"/>
      <c r="AL47" s="540"/>
      <c r="AM47" s="540"/>
      <c r="AN47" s="535"/>
      <c r="AO47" s="536">
        <f>MAX(AO43,AO44,AO45,AO46)</f>
        <v>0</v>
      </c>
      <c r="AP47" s="536" t="s">
        <v>1304</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1270" t="s">
        <v>591</v>
      </c>
      <c r="C49" s="1270"/>
      <c r="D49" s="546"/>
      <c r="E49" s="1286" t="s">
        <v>2633</v>
      </c>
      <c r="F49" s="1287"/>
      <c r="G49" s="1287"/>
      <c r="H49" s="1287"/>
      <c r="I49" s="1287"/>
      <c r="J49" s="1287"/>
      <c r="K49" s="1287"/>
      <c r="L49" s="1287"/>
      <c r="M49" s="1287"/>
      <c r="N49" s="1287"/>
      <c r="O49" s="1287"/>
      <c r="P49" s="1287"/>
      <c r="Q49" s="1287"/>
      <c r="R49" s="1287"/>
      <c r="S49" s="1287"/>
      <c r="T49" s="1287"/>
      <c r="U49" s="1287"/>
      <c r="V49" s="1287"/>
      <c r="W49" s="1287"/>
      <c r="X49" s="1287"/>
      <c r="Y49" s="1287"/>
      <c r="Z49" s="1287"/>
      <c r="AA49" s="1287"/>
      <c r="AB49" s="1287"/>
      <c r="AC49" s="1287"/>
      <c r="AD49" s="1287"/>
      <c r="AE49" s="1287"/>
      <c r="AF49" s="1287"/>
      <c r="AG49" s="1287"/>
      <c r="AH49" s="1287"/>
      <c r="AI49" s="1287"/>
      <c r="AJ49" s="1288"/>
      <c r="AK49" s="540"/>
      <c r="AL49" s="540"/>
      <c r="AM49" s="540"/>
      <c r="AN49" s="535"/>
      <c r="AO49" s="549"/>
    </row>
    <row r="50" spans="1:42" s="536" customFormat="1" ht="12.75" customHeight="1">
      <c r="A50" s="540"/>
      <c r="B50" s="540"/>
      <c r="C50" s="540"/>
      <c r="D50" s="549"/>
      <c r="E50" s="1289"/>
      <c r="F50" s="1290"/>
      <c r="G50" s="1290"/>
      <c r="H50" s="1290"/>
      <c r="I50" s="1290"/>
      <c r="J50" s="1290"/>
      <c r="K50" s="1290"/>
      <c r="L50" s="1290"/>
      <c r="M50" s="1290"/>
      <c r="N50" s="1290"/>
      <c r="O50" s="1290"/>
      <c r="P50" s="1290"/>
      <c r="Q50" s="1290"/>
      <c r="R50" s="1290"/>
      <c r="S50" s="1290"/>
      <c r="T50" s="1290"/>
      <c r="U50" s="1290"/>
      <c r="V50" s="1290"/>
      <c r="W50" s="1290"/>
      <c r="X50" s="1290"/>
      <c r="Y50" s="1290"/>
      <c r="Z50" s="1290"/>
      <c r="AA50" s="1290"/>
      <c r="AB50" s="1290"/>
      <c r="AC50" s="1290"/>
      <c r="AD50" s="1290"/>
      <c r="AE50" s="1290"/>
      <c r="AF50" s="1290"/>
      <c r="AG50" s="1290"/>
      <c r="AH50" s="1290"/>
      <c r="AI50" s="1290"/>
      <c r="AJ50" s="1291"/>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1270" t="s">
        <v>591</v>
      </c>
      <c r="C52" s="1270"/>
      <c r="D52" s="546"/>
      <c r="E52" s="1277" t="s">
        <v>2634</v>
      </c>
      <c r="F52" s="1278"/>
      <c r="G52" s="1278"/>
      <c r="H52" s="1278"/>
      <c r="I52" s="1278"/>
      <c r="J52" s="1278"/>
      <c r="K52" s="1278"/>
      <c r="L52" s="1278"/>
      <c r="M52" s="1278"/>
      <c r="N52" s="1278"/>
      <c r="O52" s="1278"/>
      <c r="P52" s="1278"/>
      <c r="Q52" s="1278"/>
      <c r="R52" s="1278"/>
      <c r="S52" s="1278"/>
      <c r="T52" s="1278"/>
      <c r="U52" s="1278"/>
      <c r="V52" s="1278"/>
      <c r="W52" s="1278"/>
      <c r="X52" s="1278"/>
      <c r="Y52" s="1278"/>
      <c r="Z52" s="1278"/>
      <c r="AA52" s="1278"/>
      <c r="AB52" s="1278"/>
      <c r="AC52" s="1278"/>
      <c r="AD52" s="1278"/>
      <c r="AE52" s="1278"/>
      <c r="AF52" s="1278"/>
      <c r="AG52" s="1278"/>
      <c r="AH52" s="1278"/>
      <c r="AI52" s="1278"/>
      <c r="AJ52" s="1279"/>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2546</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1270" t="s">
        <v>591</v>
      </c>
      <c r="C56" s="1270"/>
      <c r="D56" s="546"/>
      <c r="E56" s="1286" t="s">
        <v>2550</v>
      </c>
      <c r="F56" s="1287"/>
      <c r="G56" s="1287"/>
      <c r="H56" s="1287"/>
      <c r="I56" s="1287"/>
      <c r="J56" s="1287"/>
      <c r="K56" s="1287"/>
      <c r="L56" s="1287"/>
      <c r="M56" s="1287"/>
      <c r="N56" s="1287"/>
      <c r="O56" s="1287"/>
      <c r="P56" s="1287"/>
      <c r="Q56" s="1287"/>
      <c r="R56" s="1287"/>
      <c r="S56" s="1287"/>
      <c r="T56" s="1287"/>
      <c r="U56" s="1287"/>
      <c r="V56" s="1287"/>
      <c r="W56" s="1287"/>
      <c r="X56" s="1287"/>
      <c r="Y56" s="1287"/>
      <c r="Z56" s="1287"/>
      <c r="AA56" s="1287"/>
      <c r="AB56" s="1287"/>
      <c r="AC56" s="1287"/>
      <c r="AD56" s="1287"/>
      <c r="AE56" s="1287"/>
      <c r="AF56" s="1287"/>
      <c r="AG56" s="1287"/>
      <c r="AH56" s="1287"/>
      <c r="AI56" s="1287"/>
      <c r="AJ56" s="1288"/>
      <c r="AK56" s="540"/>
      <c r="AL56" s="540"/>
      <c r="AM56" s="540"/>
      <c r="AN56" s="535"/>
      <c r="AO56" s="549">
        <f>IF($B59="yes",7,0)</f>
        <v>0</v>
      </c>
    </row>
    <row r="57" spans="1:42" s="536" customFormat="1" ht="12.75" customHeight="1">
      <c r="A57" s="540"/>
      <c r="B57" s="540"/>
      <c r="C57" s="540"/>
      <c r="D57" s="549"/>
      <c r="E57" s="1289"/>
      <c r="F57" s="1290"/>
      <c r="G57" s="1290"/>
      <c r="H57" s="1290"/>
      <c r="I57" s="1290"/>
      <c r="J57" s="1290"/>
      <c r="K57" s="1290"/>
      <c r="L57" s="1290"/>
      <c r="M57" s="1290"/>
      <c r="N57" s="1290"/>
      <c r="O57" s="1290"/>
      <c r="P57" s="1290"/>
      <c r="Q57" s="1290"/>
      <c r="R57" s="1290"/>
      <c r="S57" s="1290"/>
      <c r="T57" s="1290"/>
      <c r="U57" s="1290"/>
      <c r="V57" s="1290"/>
      <c r="W57" s="1290"/>
      <c r="X57" s="1290"/>
      <c r="Y57" s="1290"/>
      <c r="Z57" s="1290"/>
      <c r="AA57" s="1290"/>
      <c r="AB57" s="1290"/>
      <c r="AC57" s="1290"/>
      <c r="AD57" s="1290"/>
      <c r="AE57" s="1290"/>
      <c r="AF57" s="1290"/>
      <c r="AG57" s="1290"/>
      <c r="AH57" s="1290"/>
      <c r="AI57" s="1290"/>
      <c r="AJ57" s="1291"/>
      <c r="AK57" s="540"/>
      <c r="AL57" s="540"/>
      <c r="AM57" s="540"/>
      <c r="AN57" s="535"/>
      <c r="AO57" s="536">
        <f>MAX(AO55:AO56)</f>
        <v>0</v>
      </c>
      <c r="AP57" s="536" t="s">
        <v>1304</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1270" t="s">
        <v>591</v>
      </c>
      <c r="C59" s="1270"/>
      <c r="D59" s="546"/>
      <c r="E59" s="1277" t="s">
        <v>2551</v>
      </c>
      <c r="F59" s="1278"/>
      <c r="G59" s="1278"/>
      <c r="H59" s="1278"/>
      <c r="I59" s="1278"/>
      <c r="J59" s="1278"/>
      <c r="K59" s="1278"/>
      <c r="L59" s="1278"/>
      <c r="M59" s="1278"/>
      <c r="N59" s="1278"/>
      <c r="O59" s="1278"/>
      <c r="P59" s="1278"/>
      <c r="Q59" s="1278"/>
      <c r="R59" s="1278"/>
      <c r="S59" s="1278"/>
      <c r="T59" s="1278"/>
      <c r="U59" s="1278"/>
      <c r="V59" s="1278"/>
      <c r="W59" s="1278"/>
      <c r="X59" s="1278"/>
      <c r="Y59" s="1278"/>
      <c r="Z59" s="1278"/>
      <c r="AA59" s="1278"/>
      <c r="AB59" s="1278"/>
      <c r="AC59" s="1278"/>
      <c r="AD59" s="1278"/>
      <c r="AE59" s="1278"/>
      <c r="AF59" s="1278"/>
      <c r="AG59" s="1278"/>
      <c r="AH59" s="1278"/>
      <c r="AI59" s="1278"/>
      <c r="AJ59" s="1279"/>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0</v>
      </c>
      <c r="AP60" s="536" t="s">
        <v>1304</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2552</v>
      </c>
      <c r="AK61" s="1309">
        <f>AO60</f>
        <v>0</v>
      </c>
      <c r="AL61" s="1310"/>
      <c r="AM61" s="1311"/>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1305</v>
      </c>
      <c r="B64" s="539" t="s">
        <v>1306</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1298" t="s">
        <v>1307</v>
      </c>
      <c r="AF64" s="1298"/>
      <c r="AG64" s="1298"/>
      <c r="AH64" s="1298"/>
      <c r="AI64" s="1298"/>
      <c r="AJ64" s="1298"/>
      <c r="AK64" s="1298"/>
      <c r="AL64" s="540"/>
      <c r="AM64" s="540"/>
      <c r="AN64" s="535"/>
    </row>
    <row r="65" spans="1:42" s="536" customFormat="1" ht="12.75" customHeight="1">
      <c r="A65" s="538"/>
      <c r="B65" s="539" t="s">
        <v>1716</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1270" t="s">
        <v>591</v>
      </c>
      <c r="C67" s="1270"/>
      <c r="D67" s="546" t="s">
        <v>1308</v>
      </c>
      <c r="E67" s="1280" t="s">
        <v>1979</v>
      </c>
      <c r="F67" s="1281"/>
      <c r="G67" s="1281"/>
      <c r="H67" s="1281"/>
      <c r="I67" s="1281"/>
      <c r="J67" s="1281"/>
      <c r="K67" s="1281"/>
      <c r="L67" s="1281"/>
      <c r="M67" s="1281"/>
      <c r="N67" s="1281"/>
      <c r="O67" s="1281"/>
      <c r="P67" s="1281"/>
      <c r="Q67" s="1281"/>
      <c r="R67" s="1281"/>
      <c r="S67" s="1281"/>
      <c r="T67" s="1281"/>
      <c r="U67" s="1281"/>
      <c r="V67" s="1281"/>
      <c r="W67" s="1281"/>
      <c r="X67" s="1281"/>
      <c r="Y67" s="1281"/>
      <c r="Z67" s="1281"/>
      <c r="AA67" s="1281"/>
      <c r="AB67" s="1281"/>
      <c r="AC67" s="1281"/>
      <c r="AD67" s="1281"/>
      <c r="AE67" s="1281"/>
      <c r="AF67" s="1281"/>
      <c r="AG67" s="1281"/>
      <c r="AH67" s="1281"/>
      <c r="AI67" s="1281"/>
      <c r="AJ67" s="1282"/>
      <c r="AK67" s="543"/>
      <c r="AL67" s="540"/>
      <c r="AM67" s="540"/>
      <c r="AN67" s="535"/>
      <c r="AO67" s="549">
        <f>IF($B67="yes",10,0)</f>
        <v>0</v>
      </c>
    </row>
    <row r="68" spans="1:42" s="536" customFormat="1" ht="12.75" customHeight="1">
      <c r="A68" s="538"/>
      <c r="B68" s="540"/>
      <c r="C68" s="540"/>
      <c r="D68" s="550"/>
      <c r="E68" s="1299"/>
      <c r="F68" s="1300"/>
      <c r="G68" s="1300"/>
      <c r="H68" s="1300"/>
      <c r="I68" s="1300"/>
      <c r="J68" s="1300"/>
      <c r="K68" s="1300"/>
      <c r="L68" s="1300"/>
      <c r="M68" s="1300"/>
      <c r="N68" s="1300"/>
      <c r="O68" s="1300"/>
      <c r="P68" s="1300"/>
      <c r="Q68" s="1300"/>
      <c r="R68" s="1300"/>
      <c r="S68" s="1300"/>
      <c r="T68" s="1300"/>
      <c r="U68" s="1300"/>
      <c r="V68" s="1300"/>
      <c r="W68" s="1300"/>
      <c r="X68" s="1300"/>
      <c r="Y68" s="1300"/>
      <c r="Z68" s="1300"/>
      <c r="AA68" s="1300"/>
      <c r="AB68" s="1300"/>
      <c r="AC68" s="1300"/>
      <c r="AD68" s="1300"/>
      <c r="AE68" s="1300"/>
      <c r="AF68" s="1300"/>
      <c r="AG68" s="1300"/>
      <c r="AH68" s="1300"/>
      <c r="AI68" s="1300"/>
      <c r="AJ68" s="1301"/>
      <c r="AK68" s="543"/>
      <c r="AL68" s="540"/>
      <c r="AM68" s="540"/>
      <c r="AN68" s="535"/>
      <c r="AO68" s="549">
        <f>IF(AND($B73="yes",OR(E74="Yes",E75="Yes",E76="Yes")),10,0)</f>
        <v>0</v>
      </c>
    </row>
    <row r="69" spans="1:42" s="536" customFormat="1" ht="12.75" customHeight="1">
      <c r="A69" s="538"/>
      <c r="B69" s="540"/>
      <c r="C69" s="540"/>
      <c r="D69" s="550"/>
      <c r="E69" s="1299"/>
      <c r="F69" s="1300"/>
      <c r="G69" s="1300"/>
      <c r="H69" s="1300"/>
      <c r="I69" s="1300"/>
      <c r="J69" s="1300"/>
      <c r="K69" s="1300"/>
      <c r="L69" s="1300"/>
      <c r="M69" s="1300"/>
      <c r="N69" s="1300"/>
      <c r="O69" s="1300"/>
      <c r="P69" s="1300"/>
      <c r="Q69" s="1300"/>
      <c r="R69" s="1300"/>
      <c r="S69" s="1300"/>
      <c r="T69" s="1300"/>
      <c r="U69" s="1300"/>
      <c r="V69" s="1300"/>
      <c r="W69" s="1300"/>
      <c r="X69" s="1300"/>
      <c r="Y69" s="1300"/>
      <c r="Z69" s="1300"/>
      <c r="AA69" s="1300"/>
      <c r="AB69" s="1300"/>
      <c r="AC69" s="1300"/>
      <c r="AD69" s="1300"/>
      <c r="AE69" s="1300"/>
      <c r="AF69" s="1300"/>
      <c r="AG69" s="1300"/>
      <c r="AH69" s="1300"/>
      <c r="AI69" s="1300"/>
      <c r="AJ69" s="1301"/>
      <c r="AK69" s="543"/>
      <c r="AL69" s="540"/>
      <c r="AM69" s="540"/>
      <c r="AN69" s="535"/>
      <c r="AO69" s="549">
        <f>IF($B78="yes",10,0)</f>
        <v>10</v>
      </c>
    </row>
    <row r="70" spans="1:42" s="536" customFormat="1" ht="12.75" customHeight="1">
      <c r="A70" s="538"/>
      <c r="B70" s="540"/>
      <c r="C70" s="540"/>
      <c r="D70" s="550"/>
      <c r="E70" s="1299"/>
      <c r="F70" s="1300"/>
      <c r="G70" s="1300"/>
      <c r="H70" s="1300"/>
      <c r="I70" s="1300"/>
      <c r="J70" s="1300"/>
      <c r="K70" s="1300"/>
      <c r="L70" s="1300"/>
      <c r="M70" s="1300"/>
      <c r="N70" s="1300"/>
      <c r="O70" s="1300"/>
      <c r="P70" s="1300"/>
      <c r="Q70" s="1300"/>
      <c r="R70" s="1300"/>
      <c r="S70" s="1300"/>
      <c r="T70" s="1300"/>
      <c r="U70" s="1300"/>
      <c r="V70" s="1300"/>
      <c r="W70" s="1300"/>
      <c r="X70" s="1300"/>
      <c r="Y70" s="1300"/>
      <c r="Z70" s="1300"/>
      <c r="AA70" s="1300"/>
      <c r="AB70" s="1300"/>
      <c r="AC70" s="1300"/>
      <c r="AD70" s="1300"/>
      <c r="AE70" s="1300"/>
      <c r="AF70" s="1300"/>
      <c r="AG70" s="1300"/>
      <c r="AH70" s="1300"/>
      <c r="AI70" s="1300"/>
      <c r="AJ70" s="1301"/>
      <c r="AK70" s="543"/>
      <c r="AL70" s="540"/>
      <c r="AM70" s="540"/>
      <c r="AN70" s="535"/>
      <c r="AO70" s="549">
        <f>IF($B81="yes",10,0)</f>
        <v>0</v>
      </c>
    </row>
    <row r="71" spans="1:42" s="536" customFormat="1" ht="12.75" customHeight="1">
      <c r="A71" s="538"/>
      <c r="B71" s="540"/>
      <c r="C71" s="540"/>
      <c r="D71" s="550"/>
      <c r="E71" s="1283"/>
      <c r="F71" s="1284"/>
      <c r="G71" s="1284"/>
      <c r="H71" s="1284"/>
      <c r="I71" s="1284"/>
      <c r="J71" s="1284"/>
      <c r="K71" s="1284"/>
      <c r="L71" s="1284"/>
      <c r="M71" s="1284"/>
      <c r="N71" s="1284"/>
      <c r="O71" s="1284"/>
      <c r="P71" s="1284"/>
      <c r="Q71" s="1284"/>
      <c r="R71" s="1284"/>
      <c r="S71" s="1284"/>
      <c r="T71" s="1284"/>
      <c r="U71" s="1284"/>
      <c r="V71" s="1284"/>
      <c r="W71" s="1284"/>
      <c r="X71" s="1284"/>
      <c r="Y71" s="1284"/>
      <c r="Z71" s="1284"/>
      <c r="AA71" s="1284"/>
      <c r="AB71" s="1284"/>
      <c r="AC71" s="1284"/>
      <c r="AD71" s="1284"/>
      <c r="AE71" s="1284"/>
      <c r="AF71" s="1284"/>
      <c r="AG71" s="1284"/>
      <c r="AH71" s="1284"/>
      <c r="AI71" s="1284"/>
      <c r="AJ71" s="1285"/>
      <c r="AK71" s="543"/>
      <c r="AL71" s="540"/>
      <c r="AM71" s="540"/>
      <c r="AN71" s="535"/>
      <c r="AO71" s="536">
        <f>IF(SUM(AO67:AO70)&gt;10,10,(SUM(AO67:AO70)))</f>
        <v>10</v>
      </c>
      <c r="AP71" s="572" t="s">
        <v>1309</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1270" t="s">
        <v>591</v>
      </c>
      <c r="C73" s="1270"/>
      <c r="D73" s="546" t="s">
        <v>1310</v>
      </c>
      <c r="E73" s="967" t="s">
        <v>1712</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1302" t="s">
        <v>591</v>
      </c>
      <c r="F74" s="1270"/>
      <c r="G74" s="573"/>
      <c r="H74" s="556" t="s">
        <v>1311</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1296" t="s">
        <v>591</v>
      </c>
      <c r="F75" s="1297"/>
      <c r="G75" s="573"/>
      <c r="H75" s="556" t="s">
        <v>1312</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1296" t="s">
        <v>591</v>
      </c>
      <c r="F76" s="1297"/>
      <c r="G76" s="902"/>
      <c r="H76" s="1199" t="s">
        <v>1726</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1270" t="s">
        <v>545</v>
      </c>
      <c r="C78" s="1270"/>
      <c r="D78" s="546" t="s">
        <v>1313</v>
      </c>
      <c r="E78" s="1286" t="s">
        <v>1727</v>
      </c>
      <c r="F78" s="1287"/>
      <c r="G78" s="1287"/>
      <c r="H78" s="1287"/>
      <c r="I78" s="1287"/>
      <c r="J78" s="1287"/>
      <c r="K78" s="1287"/>
      <c r="L78" s="1287"/>
      <c r="M78" s="1287"/>
      <c r="N78" s="1287"/>
      <c r="O78" s="1287"/>
      <c r="P78" s="1287"/>
      <c r="Q78" s="1287"/>
      <c r="R78" s="1287"/>
      <c r="S78" s="1287"/>
      <c r="T78" s="1287"/>
      <c r="U78" s="1287"/>
      <c r="V78" s="1287"/>
      <c r="W78" s="1287"/>
      <c r="X78" s="1287"/>
      <c r="Y78" s="1287"/>
      <c r="Z78" s="1287"/>
      <c r="AA78" s="1287"/>
      <c r="AB78" s="1287"/>
      <c r="AC78" s="1287"/>
      <c r="AD78" s="1287"/>
      <c r="AE78" s="1287"/>
      <c r="AF78" s="1287"/>
      <c r="AG78" s="1287"/>
      <c r="AH78" s="1287"/>
      <c r="AI78" s="1287"/>
      <c r="AJ78" s="1288"/>
      <c r="AK78" s="543"/>
      <c r="AL78" s="540"/>
      <c r="AM78" s="540"/>
      <c r="AN78" s="535"/>
    </row>
    <row r="79" spans="1:42" s="536" customFormat="1" ht="12.75" customHeight="1">
      <c r="A79" s="538"/>
      <c r="B79" s="540"/>
      <c r="C79" s="540"/>
      <c r="E79" s="1289"/>
      <c r="F79" s="1290"/>
      <c r="G79" s="1290"/>
      <c r="H79" s="1290"/>
      <c r="I79" s="1290"/>
      <c r="J79" s="1290"/>
      <c r="K79" s="1290"/>
      <c r="L79" s="1290"/>
      <c r="M79" s="1290"/>
      <c r="N79" s="1290"/>
      <c r="O79" s="1290"/>
      <c r="P79" s="1290"/>
      <c r="Q79" s="1290"/>
      <c r="R79" s="1290"/>
      <c r="S79" s="1290"/>
      <c r="T79" s="1290"/>
      <c r="U79" s="1290"/>
      <c r="V79" s="1290"/>
      <c r="W79" s="1290"/>
      <c r="X79" s="1290"/>
      <c r="Y79" s="1290"/>
      <c r="Z79" s="1290"/>
      <c r="AA79" s="1290"/>
      <c r="AB79" s="1290"/>
      <c r="AC79" s="1290"/>
      <c r="AD79" s="1290"/>
      <c r="AE79" s="1290"/>
      <c r="AF79" s="1290"/>
      <c r="AG79" s="1290"/>
      <c r="AH79" s="1290"/>
      <c r="AI79" s="1290"/>
      <c r="AJ79" s="1291"/>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1270" t="s">
        <v>591</v>
      </c>
      <c r="C81" s="1270"/>
      <c r="D81" s="546" t="s">
        <v>1460</v>
      </c>
      <c r="E81" s="1277" t="s">
        <v>1725</v>
      </c>
      <c r="F81" s="1278"/>
      <c r="G81" s="1278"/>
      <c r="H81" s="1278"/>
      <c r="I81" s="1278"/>
      <c r="J81" s="1278"/>
      <c r="K81" s="1278"/>
      <c r="L81" s="1278"/>
      <c r="M81" s="1278"/>
      <c r="N81" s="1278"/>
      <c r="O81" s="1278"/>
      <c r="P81" s="1278"/>
      <c r="Q81" s="1278"/>
      <c r="R81" s="1278"/>
      <c r="S81" s="1278"/>
      <c r="T81" s="1278"/>
      <c r="U81" s="1278"/>
      <c r="V81" s="1278"/>
      <c r="W81" s="1278"/>
      <c r="X81" s="1278"/>
      <c r="Y81" s="1278"/>
      <c r="Z81" s="1278"/>
      <c r="AA81" s="1278"/>
      <c r="AB81" s="1278"/>
      <c r="AC81" s="1278"/>
      <c r="AD81" s="1278"/>
      <c r="AE81" s="1278"/>
      <c r="AF81" s="1278"/>
      <c r="AG81" s="1278"/>
      <c r="AH81" s="1278"/>
      <c r="AI81" s="1278"/>
      <c r="AJ81" s="1279"/>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1314</v>
      </c>
      <c r="AK83" s="1309">
        <f>IF(AK61&gt;0,0,AO71)</f>
        <v>10</v>
      </c>
      <c r="AL83" s="1310"/>
      <c r="AM83" s="1311"/>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1315</v>
      </c>
      <c r="B86" s="539" t="s">
        <v>1316</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1298" t="s">
        <v>1302</v>
      </c>
      <c r="AF86" s="1298"/>
      <c r="AG86" s="1298"/>
      <c r="AH86" s="1298"/>
      <c r="AI86" s="1298"/>
      <c r="AJ86" s="1298"/>
      <c r="AK86" s="1298"/>
      <c r="AL86" s="540"/>
      <c r="AM86" s="540"/>
      <c r="AN86" s="535"/>
    </row>
    <row r="87" spans="1:43" s="536" customFormat="1" ht="12.75" customHeight="1">
      <c r="A87" s="538"/>
      <c r="B87" s="539" t="s">
        <v>1317</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1270" t="s">
        <v>591</v>
      </c>
      <c r="C89" s="1270"/>
      <c r="D89" s="546" t="s">
        <v>1308</v>
      </c>
      <c r="E89" s="1280" t="s">
        <v>1318</v>
      </c>
      <c r="F89" s="1281"/>
      <c r="G89" s="1281"/>
      <c r="H89" s="1281"/>
      <c r="I89" s="1281"/>
      <c r="J89" s="1281"/>
      <c r="K89" s="1281"/>
      <c r="L89" s="1281"/>
      <c r="M89" s="1281"/>
      <c r="N89" s="1281"/>
      <c r="O89" s="1281"/>
      <c r="P89" s="1281"/>
      <c r="Q89" s="1281"/>
      <c r="R89" s="1281"/>
      <c r="S89" s="1281"/>
      <c r="T89" s="1281"/>
      <c r="U89" s="1281"/>
      <c r="V89" s="1281"/>
      <c r="W89" s="1281"/>
      <c r="X89" s="1281"/>
      <c r="Y89" s="1281"/>
      <c r="Z89" s="1281"/>
      <c r="AA89" s="1281"/>
      <c r="AB89" s="1281"/>
      <c r="AC89" s="1281"/>
      <c r="AD89" s="1281"/>
      <c r="AE89" s="1281"/>
      <c r="AF89" s="1281"/>
      <c r="AG89" s="1281"/>
      <c r="AH89" s="1281"/>
      <c r="AI89" s="1281"/>
      <c r="AJ89" s="1282"/>
      <c r="AK89" s="543"/>
      <c r="AL89" s="540"/>
      <c r="AM89" s="540"/>
      <c r="AN89" s="535"/>
    </row>
    <row r="90" spans="1:43" s="536" customFormat="1" ht="12.75" customHeight="1">
      <c r="A90" s="538"/>
      <c r="B90" s="539"/>
      <c r="C90" s="539"/>
      <c r="D90" s="539"/>
      <c r="E90" s="1299"/>
      <c r="F90" s="1300"/>
      <c r="G90" s="1300"/>
      <c r="H90" s="1300"/>
      <c r="I90" s="1300"/>
      <c r="J90" s="1300"/>
      <c r="K90" s="1300"/>
      <c r="L90" s="1300"/>
      <c r="M90" s="1300"/>
      <c r="N90" s="1300"/>
      <c r="O90" s="1300"/>
      <c r="P90" s="1300"/>
      <c r="Q90" s="1300"/>
      <c r="R90" s="1300"/>
      <c r="S90" s="1300"/>
      <c r="T90" s="1300"/>
      <c r="U90" s="1300"/>
      <c r="V90" s="1300"/>
      <c r="W90" s="1300"/>
      <c r="X90" s="1300"/>
      <c r="Y90" s="1300"/>
      <c r="Z90" s="1300"/>
      <c r="AA90" s="1300"/>
      <c r="AB90" s="1300"/>
      <c r="AC90" s="1300"/>
      <c r="AD90" s="1300"/>
      <c r="AE90" s="1300"/>
      <c r="AF90" s="1300"/>
      <c r="AG90" s="1300"/>
      <c r="AH90" s="1300"/>
      <c r="AI90" s="1300"/>
      <c r="AJ90" s="1301"/>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1292">
        <f>Application!AC761</f>
        <v>0.60000000000000009</v>
      </c>
      <c r="F92" s="1293"/>
      <c r="G92" s="1293"/>
      <c r="H92" s="1293"/>
      <c r="I92" s="575"/>
      <c r="J92" s="578" t="s">
        <v>1319</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1294">
        <f>0.6-ROUNDUP(E92,2)</f>
        <v>0</v>
      </c>
      <c r="F93" s="1295"/>
      <c r="G93" s="1295"/>
      <c r="H93" s="1295"/>
      <c r="I93" s="575"/>
      <c r="J93" s="578" t="s">
        <v>1320</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1321">
        <f>IF(E93*200&gt;20,20,E93*200)</f>
        <v>0</v>
      </c>
      <c r="F94" s="1322"/>
      <c r="G94" s="1322"/>
      <c r="H94" s="1322"/>
      <c r="I94" s="575"/>
      <c r="J94" s="578" t="s">
        <v>1321</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1304</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1270" t="s">
        <v>545</v>
      </c>
      <c r="C97" s="1270"/>
      <c r="D97" s="546" t="s">
        <v>1310</v>
      </c>
      <c r="E97" s="1280" t="s">
        <v>1713</v>
      </c>
      <c r="F97" s="1281"/>
      <c r="G97" s="1281"/>
      <c r="H97" s="1281"/>
      <c r="I97" s="1281"/>
      <c r="J97" s="1281"/>
      <c r="K97" s="1281"/>
      <c r="L97" s="1281"/>
      <c r="M97" s="1281"/>
      <c r="N97" s="1281"/>
      <c r="O97" s="1281"/>
      <c r="P97" s="1281"/>
      <c r="Q97" s="1281"/>
      <c r="R97" s="1281"/>
      <c r="S97" s="1281"/>
      <c r="T97" s="1281"/>
      <c r="U97" s="1281"/>
      <c r="V97" s="1281"/>
      <c r="W97" s="1281"/>
      <c r="X97" s="1281"/>
      <c r="Y97" s="1281"/>
      <c r="Z97" s="1281"/>
      <c r="AA97" s="1281"/>
      <c r="AB97" s="1281"/>
      <c r="AC97" s="1281"/>
      <c r="AD97" s="1281"/>
      <c r="AE97" s="1281"/>
      <c r="AF97" s="1281"/>
      <c r="AG97" s="1281"/>
      <c r="AH97" s="1281"/>
      <c r="AI97" s="1281"/>
      <c r="AJ97" s="1282"/>
      <c r="AK97" s="543"/>
      <c r="AL97" s="540"/>
      <c r="AM97" s="540"/>
      <c r="AN97" s="535"/>
    </row>
    <row r="98" spans="1:47" s="536" customFormat="1" ht="12.75" customHeight="1">
      <c r="A98" s="538"/>
      <c r="B98" s="539"/>
      <c r="C98" s="539"/>
      <c r="D98" s="539"/>
      <c r="E98" s="1299"/>
      <c r="F98" s="1300"/>
      <c r="G98" s="1300"/>
      <c r="H98" s="1300"/>
      <c r="I98" s="1300"/>
      <c r="J98" s="1300"/>
      <c r="K98" s="1300"/>
      <c r="L98" s="1300"/>
      <c r="M98" s="1300"/>
      <c r="N98" s="1300"/>
      <c r="O98" s="1300"/>
      <c r="P98" s="1300"/>
      <c r="Q98" s="1300"/>
      <c r="R98" s="1300"/>
      <c r="S98" s="1300"/>
      <c r="T98" s="1300"/>
      <c r="U98" s="1300"/>
      <c r="V98" s="1300"/>
      <c r="W98" s="1300"/>
      <c r="X98" s="1300"/>
      <c r="Y98" s="1300"/>
      <c r="Z98" s="1300"/>
      <c r="AA98" s="1300"/>
      <c r="AB98" s="1300"/>
      <c r="AC98" s="1300"/>
      <c r="AD98" s="1300"/>
      <c r="AE98" s="1300"/>
      <c r="AF98" s="1300"/>
      <c r="AG98" s="1300"/>
      <c r="AH98" s="1300"/>
      <c r="AI98" s="1300"/>
      <c r="AJ98" s="1301"/>
      <c r="AK98" s="543"/>
      <c r="AL98" s="540"/>
      <c r="AM98" s="540"/>
      <c r="AN98" s="535"/>
    </row>
    <row r="99" spans="1:47" s="536" customFormat="1" ht="12.75" customHeight="1">
      <c r="A99" s="538"/>
      <c r="B99" s="539"/>
      <c r="C99" s="539"/>
      <c r="D99" s="539"/>
      <c r="E99" s="1299"/>
      <c r="F99" s="1300"/>
      <c r="G99" s="1300"/>
      <c r="H99" s="1300"/>
      <c r="I99" s="1300"/>
      <c r="J99" s="1300"/>
      <c r="K99" s="1300"/>
      <c r="L99" s="1300"/>
      <c r="M99" s="1300"/>
      <c r="N99" s="1300"/>
      <c r="O99" s="1300"/>
      <c r="P99" s="1300"/>
      <c r="Q99" s="1300"/>
      <c r="R99" s="1300"/>
      <c r="S99" s="1300"/>
      <c r="T99" s="1300"/>
      <c r="U99" s="1300"/>
      <c r="V99" s="1300"/>
      <c r="W99" s="1300"/>
      <c r="X99" s="1300"/>
      <c r="Y99" s="1300"/>
      <c r="Z99" s="1300"/>
      <c r="AA99" s="1300"/>
      <c r="AB99" s="1300"/>
      <c r="AC99" s="1300"/>
      <c r="AD99" s="1300"/>
      <c r="AE99" s="1300"/>
      <c r="AF99" s="1300"/>
      <c r="AG99" s="1300"/>
      <c r="AH99" s="1300"/>
      <c r="AI99" s="1300"/>
      <c r="AJ99" s="1301"/>
      <c r="AK99" s="543"/>
      <c r="AL99" s="540"/>
      <c r="AM99" s="540"/>
      <c r="AN99" s="535"/>
    </row>
    <row r="100" spans="1:47" s="536" customFormat="1" ht="12.75" customHeight="1">
      <c r="A100" s="538"/>
      <c r="B100" s="539"/>
      <c r="C100" s="539"/>
      <c r="D100" s="539"/>
      <c r="E100" s="1299"/>
      <c r="F100" s="1300"/>
      <c r="G100" s="1300"/>
      <c r="H100" s="1300"/>
      <c r="I100" s="1300"/>
      <c r="J100" s="1300"/>
      <c r="K100" s="1300"/>
      <c r="L100" s="1300"/>
      <c r="M100" s="1300"/>
      <c r="N100" s="1300"/>
      <c r="O100" s="1300"/>
      <c r="P100" s="1300"/>
      <c r="Q100" s="1300"/>
      <c r="R100" s="1300"/>
      <c r="S100" s="1300"/>
      <c r="T100" s="1300"/>
      <c r="U100" s="1300"/>
      <c r="V100" s="1300"/>
      <c r="W100" s="1300"/>
      <c r="X100" s="1300"/>
      <c r="Y100" s="1300"/>
      <c r="Z100" s="1300"/>
      <c r="AA100" s="1300"/>
      <c r="AB100" s="1300"/>
      <c r="AC100" s="1300"/>
      <c r="AD100" s="1300"/>
      <c r="AE100" s="1300"/>
      <c r="AF100" s="1300"/>
      <c r="AG100" s="1300"/>
      <c r="AH100" s="1300"/>
      <c r="AI100" s="1300"/>
      <c r="AJ100" s="1301"/>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1292">
        <f>Application!AC761</f>
        <v>0.60000000000000009</v>
      </c>
      <c r="F102" s="1293"/>
      <c r="G102" s="1293"/>
      <c r="H102" s="1293"/>
      <c r="I102" s="575"/>
      <c r="J102" s="578" t="s">
        <v>1319</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1292">
        <f ca="1">SUMIF(Application!AC726:AG760,0.2,Application!G726:J760)/Application!G761+SUMIF(Application!AC726:AG760,0.25,Application!G726:J760)/Application!G761+SUMIF(Application!AC726:AG760,0.3,Application!G726:J760)/Application!G761</f>
        <v>0.10891089108910891</v>
      </c>
      <c r="F103" s="1293"/>
      <c r="G103" s="1293"/>
      <c r="H103" s="1293"/>
      <c r="I103" s="575"/>
      <c r="J103" s="578" t="s">
        <v>1322</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1292">
        <f ca="1">SUMIF(Application!AC726:AG760,0.35,Application!G726:J760)/Application!G761+SUMIF(Application!AC726:AG760,0.4,Application!G726:J760)/Application!G761+SUMIF(Application!AC726:AG760,0.45,Application!G726:J760)/Application!G761+SUMIF(Application!AC726:AG760,0.5,Application!G726:J760)/Application!G761</f>
        <v>0.21782178217821782</v>
      </c>
      <c r="F104" s="1293"/>
      <c r="G104" s="1293"/>
      <c r="H104" s="1293"/>
      <c r="I104" s="575"/>
      <c r="J104" s="578" t="s">
        <v>1323</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1327">
        <f ca="1">IF(AND(E102&lt;=0.6,OR(AND(E103&gt;=0.1,E104&gt;=0.1),AND(E103&gt;0.1,(E103+E104)&gt;=0.2))),20,0)</f>
        <v>20</v>
      </c>
      <c r="F105" s="1328"/>
      <c r="G105" s="1328"/>
      <c r="H105" s="1328"/>
      <c r="I105" s="551"/>
      <c r="J105" s="585" t="s">
        <v>1321</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1304</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1324</v>
      </c>
      <c r="AK108" s="1309">
        <f ca="1">MAX(AP94,AP105)</f>
        <v>20</v>
      </c>
      <c r="AL108" s="1310"/>
      <c r="AM108" s="1311"/>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1325</v>
      </c>
      <c r="B111" s="539" t="s">
        <v>1326</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1298" t="s">
        <v>1307</v>
      </c>
      <c r="AF111" s="1298"/>
      <c r="AG111" s="1298"/>
      <c r="AH111" s="1298"/>
      <c r="AI111" s="1298"/>
      <c r="AJ111" s="1298"/>
      <c r="AK111" s="1298"/>
      <c r="AL111" s="540"/>
      <c r="AM111" s="540"/>
      <c r="AN111" s="535"/>
      <c r="AO111" s="536" t="str">
        <f>Application!B726</f>
        <v>2 Bedrooms</v>
      </c>
      <c r="AQ111" s="536">
        <f>Application!O726</f>
        <v>2933</v>
      </c>
    </row>
    <row r="112" spans="1:47" s="536" customFormat="1" ht="12.75" customHeight="1">
      <c r="A112" s="540"/>
      <c r="B112" s="539" t="s">
        <v>1317</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2 Bedrooms</v>
      </c>
      <c r="AQ112" s="536">
        <f>Application!O727</f>
        <v>2488</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2 Bedrooms</v>
      </c>
      <c r="AQ113" s="536">
        <f>Application!O728</f>
        <v>2043</v>
      </c>
    </row>
    <row r="114" spans="1:52" s="536" customFormat="1" ht="12.75" customHeight="1">
      <c r="A114" s="540"/>
      <c r="B114" s="1270" t="s">
        <v>545</v>
      </c>
      <c r="C114" s="1270"/>
      <c r="D114" s="546" t="s">
        <v>1308</v>
      </c>
      <c r="E114" s="1280" t="s">
        <v>2553</v>
      </c>
      <c r="F114" s="1281"/>
      <c r="G114" s="1281"/>
      <c r="H114" s="1281"/>
      <c r="I114" s="1281"/>
      <c r="J114" s="1281"/>
      <c r="K114" s="1281"/>
      <c r="L114" s="1281"/>
      <c r="M114" s="1281"/>
      <c r="N114" s="1281"/>
      <c r="O114" s="1281"/>
      <c r="P114" s="1281"/>
      <c r="Q114" s="1281"/>
      <c r="R114" s="1281"/>
      <c r="S114" s="1281"/>
      <c r="T114" s="1281"/>
      <c r="U114" s="1281"/>
      <c r="V114" s="1281"/>
      <c r="W114" s="1281"/>
      <c r="X114" s="1281"/>
      <c r="Y114" s="1281"/>
      <c r="Z114" s="1281"/>
      <c r="AA114" s="1281"/>
      <c r="AB114" s="1281"/>
      <c r="AC114" s="1281"/>
      <c r="AD114" s="1281"/>
      <c r="AE114" s="1281"/>
      <c r="AF114" s="1281"/>
      <c r="AG114" s="1281"/>
      <c r="AH114" s="1281"/>
      <c r="AI114" s="1281"/>
      <c r="AJ114" s="1282"/>
      <c r="AK114" s="540"/>
      <c r="AL114" s="540"/>
      <c r="AM114" s="540"/>
      <c r="AN114" s="535"/>
      <c r="AO114" s="536" t="str">
        <f>Application!B729</f>
        <v>2 Bedrooms</v>
      </c>
      <c r="AQ114" s="536">
        <f>Application!O729</f>
        <v>1153</v>
      </c>
      <c r="AU114" s="536" t="s">
        <v>1815</v>
      </c>
      <c r="AV114" s="593" t="s">
        <v>1816</v>
      </c>
      <c r="AW114" s="536" t="s">
        <v>1817</v>
      </c>
    </row>
    <row r="115" spans="1:52" s="536" customFormat="1" ht="12.75" customHeight="1">
      <c r="A115" s="540"/>
      <c r="B115" s="539"/>
      <c r="C115" s="539"/>
      <c r="D115" s="539"/>
      <c r="E115" s="1299"/>
      <c r="F115" s="1300"/>
      <c r="G115" s="1300"/>
      <c r="H115" s="1300"/>
      <c r="I115" s="1300"/>
      <c r="J115" s="1300"/>
      <c r="K115" s="1300"/>
      <c r="L115" s="1300"/>
      <c r="M115" s="1300"/>
      <c r="N115" s="1300"/>
      <c r="O115" s="1300"/>
      <c r="P115" s="1300"/>
      <c r="Q115" s="1300"/>
      <c r="R115" s="1300"/>
      <c r="S115" s="1300"/>
      <c r="T115" s="1300"/>
      <c r="U115" s="1300"/>
      <c r="V115" s="1300"/>
      <c r="W115" s="1300"/>
      <c r="X115" s="1300"/>
      <c r="Y115" s="1300"/>
      <c r="Z115" s="1300"/>
      <c r="AA115" s="1300"/>
      <c r="AB115" s="1300"/>
      <c r="AC115" s="1300"/>
      <c r="AD115" s="1300"/>
      <c r="AE115" s="1300"/>
      <c r="AF115" s="1300"/>
      <c r="AG115" s="1300"/>
      <c r="AH115" s="1300"/>
      <c r="AI115" s="1300"/>
      <c r="AJ115" s="1301"/>
      <c r="AK115" s="540"/>
      <c r="AL115" s="540"/>
      <c r="AM115" s="540"/>
      <c r="AN115" s="535"/>
      <c r="AO115" s="536" t="str">
        <f>Application!B730</f>
        <v>3 Bedrooms</v>
      </c>
      <c r="AQ115" s="536">
        <f>Application!O730</f>
        <v>3363</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1299"/>
      <c r="F116" s="1300"/>
      <c r="G116" s="1300"/>
      <c r="H116" s="1300"/>
      <c r="I116" s="1300"/>
      <c r="J116" s="1300"/>
      <c r="K116" s="1300"/>
      <c r="L116" s="1300"/>
      <c r="M116" s="1300"/>
      <c r="N116" s="1300"/>
      <c r="O116" s="1300"/>
      <c r="P116" s="1300"/>
      <c r="Q116" s="1300"/>
      <c r="R116" s="1300"/>
      <c r="S116" s="1300"/>
      <c r="T116" s="1300"/>
      <c r="U116" s="1300"/>
      <c r="V116" s="1300"/>
      <c r="W116" s="1300"/>
      <c r="X116" s="1300"/>
      <c r="Y116" s="1300"/>
      <c r="Z116" s="1300"/>
      <c r="AA116" s="1300"/>
      <c r="AB116" s="1300"/>
      <c r="AC116" s="1300"/>
      <c r="AD116" s="1300"/>
      <c r="AE116" s="1300"/>
      <c r="AF116" s="1300"/>
      <c r="AG116" s="1300"/>
      <c r="AH116" s="1300"/>
      <c r="AI116" s="1300"/>
      <c r="AJ116" s="1301"/>
      <c r="AK116" s="540"/>
      <c r="AL116" s="540"/>
      <c r="AM116" s="540"/>
      <c r="AN116" s="535"/>
      <c r="AO116" s="536" t="str">
        <f>Application!B731</f>
        <v>3 Bedrooms</v>
      </c>
      <c r="AQ116" s="536">
        <f>Application!O731</f>
        <v>2849</v>
      </c>
      <c r="AU116" s="852" t="str">
        <f>J123</f>
        <v>1-bedroom</v>
      </c>
      <c r="AV116" s="536">
        <f t="array" ref="AV116">SUM(IF(Application!B726:F760="1 Bedroom",Application!G726:J760))</f>
        <v>0</v>
      </c>
      <c r="AW116" s="1006">
        <f>AV116/AV121</f>
        <v>0</v>
      </c>
    </row>
    <row r="117" spans="1:52" s="536" customFormat="1" ht="12.75" customHeight="1">
      <c r="A117" s="540"/>
      <c r="B117" s="539"/>
      <c r="C117" s="539"/>
      <c r="D117" s="539"/>
      <c r="E117" s="1299"/>
      <c r="F117" s="1300"/>
      <c r="G117" s="1300"/>
      <c r="H117" s="1300"/>
      <c r="I117" s="1300"/>
      <c r="J117" s="1300"/>
      <c r="K117" s="1300"/>
      <c r="L117" s="1300"/>
      <c r="M117" s="1300"/>
      <c r="N117" s="1300"/>
      <c r="O117" s="1300"/>
      <c r="P117" s="1300"/>
      <c r="Q117" s="1300"/>
      <c r="R117" s="1300"/>
      <c r="S117" s="1300"/>
      <c r="T117" s="1300"/>
      <c r="U117" s="1300"/>
      <c r="V117" s="1300"/>
      <c r="W117" s="1300"/>
      <c r="X117" s="1300"/>
      <c r="Y117" s="1300"/>
      <c r="Z117" s="1300"/>
      <c r="AA117" s="1300"/>
      <c r="AB117" s="1300"/>
      <c r="AC117" s="1300"/>
      <c r="AD117" s="1300"/>
      <c r="AE117" s="1300"/>
      <c r="AF117" s="1300"/>
      <c r="AG117" s="1300"/>
      <c r="AH117" s="1300"/>
      <c r="AI117" s="1300"/>
      <c r="AJ117" s="1301"/>
      <c r="AK117" s="540"/>
      <c r="AL117" s="540"/>
      <c r="AM117" s="540"/>
      <c r="AN117" s="535"/>
      <c r="AO117" s="536" t="str">
        <f>Application!B732</f>
        <v>3 Bedrooms</v>
      </c>
      <c r="AQ117" s="536">
        <f>Application!O732</f>
        <v>2335</v>
      </c>
      <c r="AU117" s="852" t="str">
        <f>O123</f>
        <v>2-bedroom</v>
      </c>
      <c r="AV117" s="536">
        <f t="array" ref="AV117">SUM(IF(Application!B726:F760="2 Bedrooms",Application!G726:J760))</f>
        <v>34</v>
      </c>
      <c r="AW117" s="1006">
        <f>AV117/AV121</f>
        <v>0.33663366336633666</v>
      </c>
    </row>
    <row r="118" spans="1:52" s="536" customFormat="1" ht="12.75" customHeight="1">
      <c r="A118" s="540"/>
      <c r="B118" s="539"/>
      <c r="C118" s="539"/>
      <c r="D118" s="539"/>
      <c r="E118" s="1299"/>
      <c r="F118" s="1300"/>
      <c r="G118" s="1300"/>
      <c r="H118" s="1300"/>
      <c r="I118" s="1300"/>
      <c r="J118" s="1300"/>
      <c r="K118" s="1300"/>
      <c r="L118" s="1300"/>
      <c r="M118" s="1300"/>
      <c r="N118" s="1300"/>
      <c r="O118" s="1300"/>
      <c r="P118" s="1300"/>
      <c r="Q118" s="1300"/>
      <c r="R118" s="1300"/>
      <c r="S118" s="1300"/>
      <c r="T118" s="1300"/>
      <c r="U118" s="1300"/>
      <c r="V118" s="1300"/>
      <c r="W118" s="1300"/>
      <c r="X118" s="1300"/>
      <c r="Y118" s="1300"/>
      <c r="Z118" s="1300"/>
      <c r="AA118" s="1300"/>
      <c r="AB118" s="1300"/>
      <c r="AC118" s="1300"/>
      <c r="AD118" s="1300"/>
      <c r="AE118" s="1300"/>
      <c r="AF118" s="1300"/>
      <c r="AG118" s="1300"/>
      <c r="AH118" s="1300"/>
      <c r="AI118" s="1300"/>
      <c r="AJ118" s="1301"/>
      <c r="AK118" s="540"/>
      <c r="AL118" s="540"/>
      <c r="AM118" s="540"/>
      <c r="AN118" s="535"/>
      <c r="AO118" s="536" t="str">
        <f>Application!B733</f>
        <v>3 Bedrooms</v>
      </c>
      <c r="AQ118" s="536">
        <f>Application!O733</f>
        <v>1306</v>
      </c>
      <c r="AU118" s="852" t="str">
        <f>T123</f>
        <v>3-bedroom</v>
      </c>
      <c r="AV118" s="536">
        <f t="array" ref="AV118">SUM(IF(Application!B726:F760="3 Bedrooms",Application!G726:J760))</f>
        <v>67</v>
      </c>
      <c r="AW118" s="1006">
        <f>AV118/AV121</f>
        <v>0.6633663366336634</v>
      </c>
    </row>
    <row r="119" spans="1:52" s="536" customFormat="1" ht="12.75" customHeight="1">
      <c r="A119" s="540"/>
      <c r="B119" s="539"/>
      <c r="C119" s="539"/>
      <c r="D119" s="539"/>
      <c r="E119" s="1299"/>
      <c r="F119" s="1300"/>
      <c r="G119" s="1300"/>
      <c r="H119" s="1300"/>
      <c r="I119" s="1300"/>
      <c r="J119" s="1300"/>
      <c r="K119" s="1300"/>
      <c r="L119" s="1300"/>
      <c r="M119" s="1300"/>
      <c r="N119" s="1300"/>
      <c r="O119" s="1300"/>
      <c r="P119" s="1300"/>
      <c r="Q119" s="1300"/>
      <c r="R119" s="1300"/>
      <c r="S119" s="1300"/>
      <c r="T119" s="1300"/>
      <c r="U119" s="1300"/>
      <c r="V119" s="1300"/>
      <c r="W119" s="1300"/>
      <c r="X119" s="1300"/>
      <c r="Y119" s="1300"/>
      <c r="Z119" s="1300"/>
      <c r="AA119" s="1300"/>
      <c r="AB119" s="1300"/>
      <c r="AC119" s="1300"/>
      <c r="AD119" s="1300"/>
      <c r="AE119" s="1300"/>
      <c r="AF119" s="1300"/>
      <c r="AG119" s="1300"/>
      <c r="AH119" s="1300"/>
      <c r="AI119" s="1300"/>
      <c r="AJ119" s="1301"/>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1299"/>
      <c r="F120" s="1300"/>
      <c r="G120" s="1300"/>
      <c r="H120" s="1300"/>
      <c r="I120" s="1300"/>
      <c r="J120" s="1300"/>
      <c r="K120" s="1300"/>
      <c r="L120" s="1300"/>
      <c r="M120" s="1300"/>
      <c r="N120" s="1300"/>
      <c r="O120" s="1300"/>
      <c r="P120" s="1300"/>
      <c r="Q120" s="1300"/>
      <c r="R120" s="1300"/>
      <c r="S120" s="1300"/>
      <c r="T120" s="1300"/>
      <c r="U120" s="1300"/>
      <c r="V120" s="1300"/>
      <c r="W120" s="1300"/>
      <c r="X120" s="1300"/>
      <c r="Y120" s="1300"/>
      <c r="Z120" s="1300"/>
      <c r="AA120" s="1300"/>
      <c r="AB120" s="1300"/>
      <c r="AC120" s="1300"/>
      <c r="AD120" s="1300"/>
      <c r="AE120" s="1300"/>
      <c r="AF120" s="1300"/>
      <c r="AG120" s="1300"/>
      <c r="AH120" s="1300"/>
      <c r="AI120" s="1300"/>
      <c r="AJ120" s="1301"/>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1299"/>
      <c r="F121" s="1300"/>
      <c r="G121" s="1300"/>
      <c r="H121" s="1300"/>
      <c r="I121" s="1300"/>
      <c r="J121" s="1300"/>
      <c r="K121" s="1300"/>
      <c r="L121" s="1300"/>
      <c r="M121" s="1300"/>
      <c r="N121" s="1300"/>
      <c r="O121" s="1300"/>
      <c r="P121" s="1300"/>
      <c r="Q121" s="1300"/>
      <c r="R121" s="1300"/>
      <c r="S121" s="1300"/>
      <c r="T121" s="1300"/>
      <c r="U121" s="1300"/>
      <c r="V121" s="1300"/>
      <c r="W121" s="1300"/>
      <c r="X121" s="1300"/>
      <c r="Y121" s="1300"/>
      <c r="Z121" s="1300"/>
      <c r="AA121" s="1300"/>
      <c r="AB121" s="1300"/>
      <c r="AC121" s="1300"/>
      <c r="AD121" s="1300"/>
      <c r="AE121" s="1300"/>
      <c r="AF121" s="1300"/>
      <c r="AG121" s="1300"/>
      <c r="AH121" s="1300"/>
      <c r="AI121" s="1300"/>
      <c r="AJ121" s="1301"/>
      <c r="AK121" s="540"/>
      <c r="AL121" s="540"/>
      <c r="AM121" s="540"/>
      <c r="AN121" s="535"/>
      <c r="AO121" s="536">
        <f>Application!B736</f>
        <v>0</v>
      </c>
      <c r="AQ121" s="536">
        <f>Application!O736</f>
        <v>0</v>
      </c>
      <c r="AV121" s="536">
        <f>SUM(AV115:AV120)</f>
        <v>101</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1292" t="s">
        <v>1576</v>
      </c>
      <c r="F123" s="1293"/>
      <c r="G123" s="1293"/>
      <c r="H123" s="1293"/>
      <c r="I123" s="575"/>
      <c r="J123" s="1293" t="s">
        <v>1619</v>
      </c>
      <c r="K123" s="1293"/>
      <c r="L123" s="1293"/>
      <c r="M123" s="1293"/>
      <c r="N123" s="575"/>
      <c r="O123" s="1293" t="s">
        <v>1620</v>
      </c>
      <c r="P123" s="1293"/>
      <c r="Q123" s="1293"/>
      <c r="R123" s="1293"/>
      <c r="S123" s="575"/>
      <c r="T123" s="1293" t="s">
        <v>1327</v>
      </c>
      <c r="U123" s="1293"/>
      <c r="V123" s="1293"/>
      <c r="W123" s="1293"/>
      <c r="X123" s="575"/>
      <c r="Y123" s="1293" t="s">
        <v>1621</v>
      </c>
      <c r="Z123" s="1293"/>
      <c r="AA123" s="1293"/>
      <c r="AB123" s="1293"/>
      <c r="AC123" s="575"/>
      <c r="AD123" s="1293" t="s">
        <v>1622</v>
      </c>
      <c r="AE123" s="1293"/>
      <c r="AF123" s="1293"/>
      <c r="AG123" s="1293"/>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1623</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1329"/>
      <c r="F126" s="1330"/>
      <c r="G126" s="1330"/>
      <c r="H126" s="1330"/>
      <c r="I126" s="860"/>
      <c r="J126" s="1330"/>
      <c r="K126" s="1330"/>
      <c r="L126" s="1330"/>
      <c r="M126" s="1330"/>
      <c r="N126" s="860"/>
      <c r="O126" s="1330">
        <v>4721</v>
      </c>
      <c r="P126" s="1330"/>
      <c r="Q126" s="1330"/>
      <c r="R126" s="1330"/>
      <c r="S126" s="860"/>
      <c r="T126" s="1330">
        <v>4923</v>
      </c>
      <c r="U126" s="1330"/>
      <c r="V126" s="1330"/>
      <c r="W126" s="1330"/>
      <c r="X126" s="860"/>
      <c r="Y126" s="1330"/>
      <c r="Z126" s="1330"/>
      <c r="AA126" s="1330"/>
      <c r="AB126" s="1330"/>
      <c r="AC126" s="860"/>
      <c r="AD126" s="1330"/>
      <c r="AE126" s="1330"/>
      <c r="AF126" s="1330"/>
      <c r="AG126" s="1330"/>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1819</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1303">
        <f>Application!DX678</f>
        <v>0</v>
      </c>
      <c r="F129" s="1304"/>
      <c r="G129" s="1304"/>
      <c r="H129" s="1304"/>
      <c r="I129" s="860"/>
      <c r="J129" s="1304">
        <f>Application!EC678</f>
        <v>0</v>
      </c>
      <c r="K129" s="1304"/>
      <c r="L129" s="1304"/>
      <c r="M129" s="1304"/>
      <c r="N129" s="860"/>
      <c r="O129" s="1304">
        <f>Application!EH678</f>
        <v>2487.9999999999995</v>
      </c>
      <c r="P129" s="1304"/>
      <c r="Q129" s="1304"/>
      <c r="R129" s="1304"/>
      <c r="S129" s="864"/>
      <c r="T129" s="1304">
        <f>Application!EM678</f>
        <v>2848.8955223880594</v>
      </c>
      <c r="U129" s="1304"/>
      <c r="V129" s="1304"/>
      <c r="W129" s="1304"/>
      <c r="X129" s="864"/>
      <c r="Y129" s="1304">
        <f>Application!ER678</f>
        <v>0</v>
      </c>
      <c r="Z129" s="1304"/>
      <c r="AA129" s="1304"/>
      <c r="AB129" s="1304"/>
      <c r="AC129" s="864"/>
      <c r="AD129" s="1304">
        <f>Application!EW678</f>
        <v>0</v>
      </c>
      <c r="AE129" s="1304"/>
      <c r="AF129" s="1304"/>
      <c r="AG129" s="1304"/>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1820</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1503" t="e">
        <f>(E126-E129)/E126</f>
        <v>#DIV/0!</v>
      </c>
      <c r="F132" s="1295"/>
      <c r="G132" s="1295"/>
      <c r="H132" s="1504"/>
      <c r="I132" s="575"/>
      <c r="J132" s="1503" t="e">
        <f>(J126-J129)/J126</f>
        <v>#DIV/0!</v>
      </c>
      <c r="K132" s="1295"/>
      <c r="L132" s="1295"/>
      <c r="M132" s="1504"/>
      <c r="N132" s="575"/>
      <c r="O132" s="1503">
        <f>(O126-O129)/O126</f>
        <v>0.47299300995551802</v>
      </c>
      <c r="P132" s="1295"/>
      <c r="Q132" s="1295"/>
      <c r="R132" s="1504"/>
      <c r="S132" s="575"/>
      <c r="T132" s="1503">
        <f>(T126-T129)/T126</f>
        <v>0.42130905496890936</v>
      </c>
      <c r="U132" s="1295"/>
      <c r="V132" s="1295"/>
      <c r="W132" s="1504"/>
      <c r="X132" s="575"/>
      <c r="Y132" s="1503" t="e">
        <f>(Y126-Y129)/Y126</f>
        <v>#DIV/0!</v>
      </c>
      <c r="Z132" s="1295"/>
      <c r="AA132" s="1295"/>
      <c r="AB132" s="1504"/>
      <c r="AC132" s="575"/>
      <c r="AD132" s="1503" t="e">
        <f>(AD126-AD129)/AD126</f>
        <v>#DIV/0!</v>
      </c>
      <c r="AE132" s="1295"/>
      <c r="AF132" s="1295"/>
      <c r="AG132" s="1504"/>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1821</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1318" t="e">
        <f>IF(((E132-0.1)*AW115)&gt;0,((E132-0.1)*AW115),0)</f>
        <v>#DIV/0!</v>
      </c>
      <c r="F135" s="1319"/>
      <c r="G135" s="1319"/>
      <c r="H135" s="1320"/>
      <c r="I135" s="575"/>
      <c r="J135" s="1318" t="e">
        <f>IF(((J132-0.1)*AW116)&gt;0,((J132-0.1)*AW116),0)</f>
        <v>#DIV/0!</v>
      </c>
      <c r="K135" s="1319"/>
      <c r="L135" s="1319"/>
      <c r="M135" s="1320"/>
      <c r="N135" s="575"/>
      <c r="O135" s="1318">
        <f>IF(((O132-0.1)*AW117)&gt;0,((O132-0.1)*AW117),0)</f>
        <v>0.1255620033513625</v>
      </c>
      <c r="P135" s="1319"/>
      <c r="Q135" s="1319"/>
      <c r="R135" s="1320"/>
      <c r="S135" s="575"/>
      <c r="T135" s="1318">
        <f>IF(((T132-0.1)*AW118)&gt;0,((T132-0.1)*AW118),0)</f>
        <v>0.21314561072194979</v>
      </c>
      <c r="U135" s="1319"/>
      <c r="V135" s="1319"/>
      <c r="W135" s="1320"/>
      <c r="X135" s="575"/>
      <c r="Y135" s="1318" t="e">
        <f>IF(((Y132-0.1)*AW119)&gt;0,((Y132-0.1)*AW119),0)</f>
        <v>#DIV/0!</v>
      </c>
      <c r="Z135" s="1319"/>
      <c r="AA135" s="1319"/>
      <c r="AB135" s="1320"/>
      <c r="AC135" s="575"/>
      <c r="AD135" s="1318" t="e">
        <f>IF(((AD132-0.1)*AW120)&gt;0,((AD132-0.1)*AW120),0)</f>
        <v>#DIV/0!</v>
      </c>
      <c r="AE135" s="1319"/>
      <c r="AF135" s="1319"/>
      <c r="AG135" s="1320"/>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1503">
        <f>ROUNDDOWN(SUMIF(E135:AG135,"&gt;0"),2)</f>
        <v>0.33</v>
      </c>
      <c r="F137" s="1295"/>
      <c r="G137" s="1295"/>
      <c r="H137" s="1504"/>
      <c r="I137" s="575"/>
      <c r="J137" s="578" t="s">
        <v>1822</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1309">
        <f>IF((E137*100)&gt;10,10,E137*100)</f>
        <v>10</v>
      </c>
      <c r="F138" s="1310"/>
      <c r="G138" s="1310"/>
      <c r="H138" s="1311"/>
      <c r="I138" s="575"/>
      <c r="J138" s="578" t="s">
        <v>1321</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1328</v>
      </c>
      <c r="AK142" s="1309">
        <f>E138</f>
        <v>10</v>
      </c>
      <c r="AL142" s="1310"/>
      <c r="AM142" s="1311"/>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1329</v>
      </c>
      <c r="AE145" s="1298" t="s">
        <v>1307</v>
      </c>
      <c r="AF145" s="1298"/>
      <c r="AG145" s="1298"/>
      <c r="AH145" s="1298"/>
      <c r="AI145" s="1298"/>
      <c r="AJ145" s="1298"/>
      <c r="AK145" s="1298"/>
      <c r="AL145" s="589"/>
      <c r="AN145" s="590"/>
      <c r="AO145" s="536"/>
    </row>
    <row r="146" spans="1:42" s="539" customFormat="1" ht="13.05" customHeight="1">
      <c r="A146" s="538"/>
      <c r="AE146" s="589"/>
      <c r="AF146" s="589"/>
      <c r="AG146" s="589"/>
      <c r="AH146" s="589"/>
      <c r="AI146" s="589"/>
      <c r="AJ146" s="589"/>
      <c r="AK146" s="589"/>
      <c r="AL146" s="589"/>
      <c r="AN146" s="590"/>
    </row>
    <row r="147" spans="1:42" s="536" customFormat="1" ht="12.75" customHeight="1">
      <c r="A147" s="538"/>
      <c r="B147" s="538" t="s">
        <v>1330</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1331" t="s">
        <v>1331</v>
      </c>
      <c r="AG147" s="1331"/>
      <c r="AH147" s="1331"/>
      <c r="AI147" s="1331"/>
      <c r="AJ147" s="1331"/>
      <c r="AK147" s="1331"/>
      <c r="AL147" s="1331"/>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1341" t="s">
        <v>2748</v>
      </c>
      <c r="C149" s="1341"/>
      <c r="D149" s="1341"/>
      <c r="E149" s="1341"/>
      <c r="F149" s="1341"/>
      <c r="G149" s="1341"/>
      <c r="H149" s="1341"/>
      <c r="I149" s="1341"/>
      <c r="J149" s="1341"/>
      <c r="K149" s="1341"/>
      <c r="L149" s="1341"/>
      <c r="M149" s="1341"/>
      <c r="N149" s="1341"/>
      <c r="O149" s="1341"/>
      <c r="P149" s="1341"/>
      <c r="Q149" s="1341"/>
      <c r="R149" s="1341"/>
      <c r="S149" s="1341"/>
      <c r="T149" s="1341"/>
      <c r="U149" s="1341"/>
      <c r="V149" s="1341"/>
      <c r="W149" s="1341"/>
      <c r="X149" s="1341"/>
      <c r="Y149" s="1341"/>
      <c r="Z149" s="1341"/>
      <c r="AA149" s="1341"/>
      <c r="AB149" s="1341"/>
      <c r="AC149" s="1341"/>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1332</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1333</v>
      </c>
      <c r="AP151" s="489">
        <v>5</v>
      </c>
    </row>
    <row r="152" spans="1:42" s="536" customFormat="1" ht="12.75" customHeight="1">
      <c r="A152" s="538"/>
      <c r="B152" s="1342" t="s">
        <v>1334</v>
      </c>
      <c r="C152" s="1342"/>
      <c r="D152" s="1342"/>
      <c r="E152" s="1342"/>
      <c r="F152" s="1342"/>
      <c r="G152" s="1342"/>
      <c r="H152" s="1342"/>
      <c r="I152" s="1342"/>
      <c r="J152" s="1342"/>
      <c r="K152" s="1342"/>
      <c r="L152" s="1342"/>
      <c r="M152" s="1342"/>
      <c r="N152" s="1342"/>
      <c r="O152" s="1342"/>
      <c r="P152" s="1342"/>
      <c r="Q152" s="1342"/>
      <c r="R152" s="1342"/>
      <c r="S152" s="1342"/>
      <c r="T152" s="1342"/>
      <c r="U152" s="1342"/>
      <c r="V152" s="1342"/>
      <c r="W152" s="1342"/>
      <c r="X152" s="1342"/>
      <c r="Y152" s="1342"/>
      <c r="Z152" s="1342"/>
      <c r="AA152" s="1342"/>
      <c r="AB152" s="1342"/>
      <c r="AC152" s="1342"/>
      <c r="AD152" s="1342"/>
      <c r="AE152" s="1342"/>
      <c r="AF152" s="1342"/>
      <c r="AG152" s="1342"/>
      <c r="AH152" s="1342"/>
      <c r="AI152" s="1342"/>
      <c r="AM152" s="539"/>
      <c r="AN152" s="535"/>
      <c r="AO152" s="476" t="s">
        <v>1334</v>
      </c>
      <c r="AP152" s="489">
        <v>7</v>
      </c>
    </row>
    <row r="153" spans="1:42" s="536" customFormat="1" ht="13.0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2612</v>
      </c>
      <c r="AP153" s="489">
        <v>7</v>
      </c>
    </row>
    <row r="154" spans="1:42" s="536" customFormat="1" ht="12.75" customHeight="1">
      <c r="A154" s="538"/>
      <c r="B154" s="539" t="s">
        <v>1335</v>
      </c>
      <c r="AB154" s="1343" t="s">
        <v>591</v>
      </c>
      <c r="AC154" s="1343"/>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1336</v>
      </c>
      <c r="AP155" s="489"/>
    </row>
    <row r="156" spans="1:42" s="536" customFormat="1" ht="12.75" customHeight="1">
      <c r="A156" s="538"/>
      <c r="B156" s="538" t="s">
        <v>1337</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1338</v>
      </c>
      <c r="AP156" s="489">
        <v>5</v>
      </c>
    </row>
    <row r="157" spans="1:42" s="536" customFormat="1" ht="12.75" customHeight="1">
      <c r="A157" s="538"/>
      <c r="B157" s="1342" t="s">
        <v>1336</v>
      </c>
      <c r="C157" s="1342"/>
      <c r="D157" s="1342"/>
      <c r="E157" s="1342"/>
      <c r="F157" s="1342"/>
      <c r="G157" s="1342"/>
      <c r="H157" s="1342"/>
      <c r="I157" s="1342"/>
      <c r="J157" s="1342"/>
      <c r="K157" s="1342"/>
      <c r="L157" s="1342"/>
      <c r="M157" s="1342"/>
      <c r="N157" s="1342"/>
      <c r="O157" s="1342"/>
      <c r="P157" s="1342"/>
      <c r="Q157" s="1342"/>
      <c r="R157" s="1342"/>
      <c r="S157" s="1342"/>
      <c r="T157" s="1342"/>
      <c r="U157" s="1342"/>
      <c r="V157" s="1342"/>
      <c r="W157" s="1342"/>
      <c r="X157" s="1342"/>
      <c r="Y157" s="1342"/>
      <c r="Z157" s="1342"/>
      <c r="AA157" s="1342"/>
      <c r="AB157" s="1342"/>
      <c r="AC157" s="1342"/>
      <c r="AD157" s="1342"/>
      <c r="AE157" s="1342"/>
      <c r="AF157" s="1342"/>
      <c r="AG157" s="1342"/>
      <c r="AH157" s="1342"/>
      <c r="AI157" s="1342"/>
      <c r="AJ157" s="1342"/>
      <c r="AN157" s="535"/>
      <c r="AO157" s="476" t="s">
        <v>1339</v>
      </c>
      <c r="AP157" s="489">
        <v>7</v>
      </c>
    </row>
    <row r="158" spans="1:42" s="536" customFormat="1" ht="12.75" customHeight="1">
      <c r="B158" s="539" t="s">
        <v>1340</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1508" t="s">
        <v>2396</v>
      </c>
      <c r="C160" s="1508"/>
      <c r="D160" s="1508"/>
      <c r="E160" s="1508"/>
      <c r="F160" s="1508"/>
      <c r="G160" s="1508"/>
      <c r="H160" s="1508"/>
      <c r="I160" s="1508"/>
      <c r="J160" s="1508"/>
      <c r="K160" s="1508"/>
      <c r="L160" s="1508"/>
      <c r="M160" s="1508"/>
      <c r="N160" s="1508"/>
      <c r="O160" s="1508"/>
      <c r="P160" s="1508"/>
      <c r="Q160" s="1508"/>
      <c r="R160" s="1508"/>
      <c r="S160" s="1508"/>
      <c r="T160" s="1508"/>
      <c r="U160" s="1508"/>
      <c r="V160" s="1508"/>
      <c r="W160" s="1508"/>
      <c r="X160" s="1508"/>
      <c r="Y160" s="1508"/>
      <c r="Z160" s="1508"/>
      <c r="AA160" s="1508"/>
      <c r="AB160" s="1508"/>
      <c r="AC160" s="1508"/>
      <c r="AD160" s="1508"/>
      <c r="AE160" s="1508"/>
      <c r="AF160" s="1508"/>
      <c r="AG160" s="1508"/>
      <c r="AH160" s="1508"/>
      <c r="AI160" s="1508"/>
      <c r="AJ160" s="1508"/>
      <c r="AK160" s="1173"/>
      <c r="AM160" s="539"/>
      <c r="AN160" s="535"/>
      <c r="AO160" s="476"/>
      <c r="AP160" s="489"/>
    </row>
    <row r="161" spans="1:42" s="536" customFormat="1" ht="12.75" customHeight="1">
      <c r="B161" s="1508"/>
      <c r="C161" s="1508"/>
      <c r="D161" s="1508"/>
      <c r="E161" s="1508"/>
      <c r="F161" s="1508"/>
      <c r="G161" s="1508"/>
      <c r="H161" s="1508"/>
      <c r="I161" s="1508"/>
      <c r="J161" s="1508"/>
      <c r="K161" s="1508"/>
      <c r="L161" s="1508"/>
      <c r="M161" s="1508"/>
      <c r="N161" s="1508"/>
      <c r="O161" s="1508"/>
      <c r="P161" s="1508"/>
      <c r="Q161" s="1508"/>
      <c r="R161" s="1508"/>
      <c r="S161" s="1508"/>
      <c r="T161" s="1508"/>
      <c r="U161" s="1508"/>
      <c r="V161" s="1508"/>
      <c r="W161" s="1508"/>
      <c r="X161" s="1508"/>
      <c r="Y161" s="1508"/>
      <c r="Z161" s="1508"/>
      <c r="AA161" s="1508"/>
      <c r="AB161" s="1508"/>
      <c r="AC161" s="1508"/>
      <c r="AD161" s="1508"/>
      <c r="AE161" s="1508"/>
      <c r="AF161" s="1508"/>
      <c r="AG161" s="1508"/>
      <c r="AH161" s="1508"/>
      <c r="AI161" s="1508"/>
      <c r="AJ161" s="1508"/>
      <c r="AK161" s="1173"/>
      <c r="AM161" s="539"/>
      <c r="AN161" s="535"/>
      <c r="AO161" s="476"/>
      <c r="AP161" s="489"/>
    </row>
    <row r="162" spans="1:42" s="536" customFormat="1" ht="12.75" customHeight="1">
      <c r="C162" s="1419" t="s">
        <v>2397</v>
      </c>
      <c r="D162" s="1419"/>
      <c r="E162" s="1419"/>
      <c r="F162" s="1419"/>
      <c r="G162" s="1419"/>
      <c r="H162" s="1419"/>
      <c r="I162" s="1419"/>
      <c r="J162" s="1419"/>
      <c r="K162" s="1419"/>
      <c r="L162" s="1419"/>
      <c r="M162" s="1419"/>
      <c r="N162" s="1419"/>
      <c r="O162" s="1419"/>
      <c r="P162" s="1419"/>
      <c r="Q162" s="1419"/>
      <c r="R162" s="1419"/>
      <c r="S162" s="1419"/>
      <c r="T162" s="1419"/>
      <c r="U162" s="1419"/>
      <c r="V162" s="1419"/>
      <c r="W162" s="1419"/>
      <c r="X162" s="1419"/>
      <c r="Y162" s="1419"/>
      <c r="Z162" s="1419"/>
      <c r="AA162" s="1419"/>
      <c r="AB162" s="1419"/>
      <c r="AC162" s="1419"/>
      <c r="AD162" s="1419"/>
      <c r="AE162" s="1419"/>
      <c r="AF162" s="1419"/>
      <c r="AG162" s="1419"/>
      <c r="AH162" s="1419"/>
      <c r="AI162" s="1419"/>
      <c r="AJ162" s="1419"/>
      <c r="AK162" s="1173"/>
      <c r="AM162" s="539"/>
      <c r="AN162" s="535"/>
      <c r="AO162" s="476"/>
      <c r="AP162" s="489"/>
    </row>
    <row r="163" spans="1:42" s="536" customFormat="1" ht="12.75" customHeight="1">
      <c r="B163" s="1173"/>
      <c r="C163" s="1340" t="s">
        <v>2395</v>
      </c>
      <c r="D163" s="1340"/>
      <c r="E163" s="1340"/>
      <c r="F163" s="1340"/>
      <c r="G163" s="1340"/>
      <c r="H163" s="1340"/>
      <c r="I163" s="1340"/>
      <c r="J163" s="1340"/>
      <c r="K163" s="1340"/>
      <c r="L163" s="1340"/>
      <c r="M163" s="1340"/>
      <c r="N163" s="1340"/>
      <c r="O163" s="1340"/>
      <c r="P163" s="1340"/>
      <c r="Q163" s="1340"/>
      <c r="R163" s="1340"/>
      <c r="S163" s="1340"/>
      <c r="T163" s="1340"/>
      <c r="U163" s="1340"/>
      <c r="V163" s="1340"/>
      <c r="W163" s="1340"/>
      <c r="X163" s="1340"/>
      <c r="Y163" s="1340"/>
      <c r="Z163" s="1340"/>
      <c r="AA163" s="1163"/>
      <c r="AB163" s="1163"/>
      <c r="AC163" s="1163"/>
      <c r="AD163" s="1163"/>
      <c r="AE163" s="1163"/>
      <c r="AF163" s="1163"/>
      <c r="AG163" s="1163"/>
      <c r="AH163" s="1163"/>
      <c r="AJ163" s="1343" t="s">
        <v>591</v>
      </c>
      <c r="AK163" s="1343"/>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1342</v>
      </c>
      <c r="AJ165" s="1346">
        <f>IF($AB$154="N/A",VLOOKUP($B$152,$AO$150:$AP$153,2,FALSE),VLOOKUP($B$157,$AO$155:$AP$157,2,FALSE))</f>
        <v>7</v>
      </c>
      <c r="AK165" s="1346"/>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1344</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1331" t="s">
        <v>1345</v>
      </c>
      <c r="AG167" s="1331"/>
      <c r="AH167" s="1331"/>
      <c r="AI167" s="1331"/>
      <c r="AJ167" s="1331"/>
      <c r="AK167" s="1331"/>
      <c r="AL167" s="1331"/>
      <c r="AM167" s="601"/>
      <c r="AN167" s="596"/>
    </row>
    <row r="168" spans="1:42" s="549" customFormat="1" ht="12.75" customHeight="1">
      <c r="A168" s="536"/>
      <c r="B168" s="539" t="s">
        <v>1346</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1342" t="s">
        <v>1343</v>
      </c>
      <c r="D169" s="1342"/>
      <c r="E169" s="1342"/>
      <c r="F169" s="1342"/>
      <c r="G169" s="1342"/>
      <c r="H169" s="1342"/>
      <c r="I169" s="1342"/>
      <c r="J169" s="1342"/>
      <c r="K169" s="1342"/>
      <c r="L169" s="1342"/>
      <c r="M169" s="1342"/>
      <c r="N169" s="1342"/>
      <c r="O169" s="1342"/>
      <c r="P169" s="1342"/>
      <c r="Q169" s="1342"/>
      <c r="R169" s="1342"/>
      <c r="S169" s="1342"/>
      <c r="T169" s="1342"/>
      <c r="U169" s="1342"/>
      <c r="V169" s="1342"/>
      <c r="W169" s="1342"/>
      <c r="X169" s="1342"/>
      <c r="Y169" s="1342"/>
      <c r="Z169" s="1342"/>
      <c r="AA169" s="1342"/>
      <c r="AB169" s="1342"/>
      <c r="AC169" s="1342"/>
      <c r="AD169" s="1342"/>
      <c r="AE169" s="1342"/>
      <c r="AF169" s="1342"/>
      <c r="AG169" s="1342"/>
      <c r="AH169" s="1342"/>
      <c r="AI169" s="1342"/>
      <c r="AJ169" s="536"/>
      <c r="AK169" s="536"/>
      <c r="AL169" s="536"/>
      <c r="AM169" s="601"/>
      <c r="AN169" s="595"/>
      <c r="AO169" s="476" t="s">
        <v>307</v>
      </c>
      <c r="AP169" s="476"/>
    </row>
    <row r="170" spans="1:42" s="549" customFormat="1" ht="13.0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1341</v>
      </c>
      <c r="AP170" s="597">
        <v>2</v>
      </c>
    </row>
    <row r="171" spans="1:42" s="549" customFormat="1" ht="12.75" customHeight="1">
      <c r="A171" s="536"/>
      <c r="B171" s="536"/>
      <c r="C171" s="539" t="s">
        <v>1348</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1343" t="s">
        <v>591</v>
      </c>
      <c r="AG171" s="1343"/>
      <c r="AH171" s="536"/>
      <c r="AI171" s="536"/>
      <c r="AJ171" s="536"/>
      <c r="AK171" s="536"/>
      <c r="AL171" s="536"/>
      <c r="AM171" s="601"/>
      <c r="AN171" s="595"/>
      <c r="AO171" s="476" t="s">
        <v>1343</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2121</v>
      </c>
      <c r="AP172" s="597">
        <v>3</v>
      </c>
    </row>
    <row r="173" spans="1:42" s="549" customFormat="1" ht="12.75" customHeight="1">
      <c r="A173" s="536"/>
      <c r="B173" s="536"/>
      <c r="C173" s="1342" t="s">
        <v>1336</v>
      </c>
      <c r="D173" s="1342"/>
      <c r="E173" s="1342"/>
      <c r="F173" s="1342"/>
      <c r="G173" s="1342"/>
      <c r="H173" s="1342"/>
      <c r="I173" s="1342"/>
      <c r="J173" s="1342"/>
      <c r="K173" s="1342"/>
      <c r="L173" s="1342"/>
      <c r="M173" s="1342"/>
      <c r="N173" s="1342"/>
      <c r="O173" s="1342"/>
      <c r="P173" s="1342"/>
      <c r="Q173" s="1342"/>
      <c r="R173" s="1342"/>
      <c r="S173" s="1342"/>
      <c r="T173" s="1342"/>
      <c r="U173" s="1342"/>
      <c r="V173" s="1342"/>
      <c r="W173" s="1342"/>
      <c r="X173" s="1342"/>
      <c r="Y173" s="1342"/>
      <c r="Z173" s="1342"/>
      <c r="AA173" s="1342"/>
      <c r="AB173" s="1342"/>
      <c r="AC173" s="1342"/>
      <c r="AD173" s="1342"/>
      <c r="AE173" s="536"/>
      <c r="AF173" s="536"/>
      <c r="AG173" s="536"/>
      <c r="AH173" s="536"/>
      <c r="AI173" s="536"/>
      <c r="AJ173" s="536"/>
      <c r="AK173" s="536"/>
      <c r="AL173" s="536"/>
      <c r="AM173" s="601"/>
      <c r="AN173" s="595"/>
      <c r="AO173" s="600"/>
      <c r="AP173" s="597"/>
    </row>
    <row r="174" spans="1:42" s="549" customFormat="1" ht="12.75" customHeight="1">
      <c r="A174" s="536"/>
      <c r="B174" s="536"/>
      <c r="C174" s="539" t="s">
        <v>1340</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1350</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1336</v>
      </c>
      <c r="AP176" s="476"/>
    </row>
    <row r="177" spans="1:73" s="549" customFormat="1" ht="12.75" customHeight="1">
      <c r="A177" s="536"/>
      <c r="B177" s="536"/>
      <c r="C177" s="1344" t="str">
        <f>Application!AA344</f>
        <v>FPI Management Corporation</v>
      </c>
      <c r="D177" s="1344"/>
      <c r="E177" s="1344"/>
      <c r="F177" s="1344"/>
      <c r="G177" s="1344"/>
      <c r="H177" s="1344"/>
      <c r="I177" s="1344"/>
      <c r="J177" s="1344"/>
      <c r="K177" s="1344"/>
      <c r="L177" s="1344"/>
      <c r="M177" s="1344"/>
      <c r="N177" s="1344"/>
      <c r="O177" s="1344"/>
      <c r="P177" s="1344"/>
      <c r="Q177" s="1344"/>
      <c r="R177" s="1344"/>
      <c r="S177" s="1344"/>
      <c r="T177" s="1344"/>
      <c r="U177" s="1344"/>
      <c r="V177" s="1344"/>
      <c r="W177" s="1344"/>
      <c r="X177" s="1344"/>
      <c r="Y177" s="1344"/>
      <c r="Z177" s="1344"/>
      <c r="AA177" s="1344"/>
      <c r="AB177" s="1344"/>
      <c r="AC177" s="1344"/>
      <c r="AD177" s="1344"/>
      <c r="AE177" s="536"/>
      <c r="AF177" s="536"/>
      <c r="AG177" s="536"/>
      <c r="AH177" s="536"/>
      <c r="AI177" s="536"/>
      <c r="AJ177" s="536"/>
      <c r="AK177" s="536"/>
      <c r="AL177" s="536"/>
      <c r="AM177" s="601"/>
      <c r="AN177" s="595"/>
      <c r="AO177" s="476" t="s">
        <v>1347</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1349</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1351</v>
      </c>
      <c r="AJ179" s="1345">
        <f>IF($AF$171="N/A",VLOOKUP($C$169,$AO$169:$AP$172,2,FALSE),VLOOKUP($C$173,$AO$176:$AP$178,2,FALSE))</f>
        <v>3</v>
      </c>
      <c r="AK179" s="1345"/>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1352</v>
      </c>
      <c r="AK182" s="1309">
        <f>$AJ$165+$AJ$179</f>
        <v>10</v>
      </c>
      <c r="AL182" s="1310"/>
      <c r="AM182" s="1311"/>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1353</v>
      </c>
      <c r="AQ184" s="610">
        <v>0</v>
      </c>
    </row>
    <row r="185" spans="1:73" s="549" customFormat="1" ht="12.75" customHeight="1">
      <c r="A185" s="538" t="s">
        <v>1354</v>
      </c>
      <c r="B185" s="538" t="s">
        <v>1715</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1298" t="s">
        <v>1307</v>
      </c>
      <c r="AF185" s="1298"/>
      <c r="AG185" s="1298"/>
      <c r="AH185" s="1298"/>
      <c r="AI185" s="1298"/>
      <c r="AJ185" s="1298"/>
      <c r="AK185" s="1298"/>
      <c r="AL185" s="589"/>
      <c r="AN185" s="595"/>
      <c r="AP185" s="549" t="s">
        <v>1040</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1355</v>
      </c>
      <c r="AQ186" s="549">
        <v>10</v>
      </c>
    </row>
    <row r="187" spans="1:73" s="549" customFormat="1" ht="12.75" customHeight="1">
      <c r="A187" s="536"/>
      <c r="B187" s="1339" t="s">
        <v>1040</v>
      </c>
      <c r="C187" s="1339"/>
      <c r="D187" s="1339"/>
      <c r="E187" s="1339"/>
      <c r="F187" s="1339"/>
      <c r="G187" s="1339"/>
      <c r="H187" s="1339"/>
      <c r="I187" s="1339"/>
      <c r="J187" s="1339"/>
      <c r="K187" s="1339"/>
      <c r="L187" s="1339"/>
      <c r="M187" s="1339"/>
      <c r="N187" s="1339"/>
      <c r="O187" s="1339"/>
      <c r="P187" s="1339"/>
      <c r="Q187" s="1339"/>
      <c r="R187" s="1339"/>
      <c r="S187" s="1339"/>
      <c r="T187" s="1339"/>
      <c r="U187" s="1339"/>
      <c r="V187" s="1339"/>
      <c r="W187" s="1339"/>
      <c r="X187" s="1339"/>
      <c r="Y187" s="1339"/>
      <c r="Z187" s="1339"/>
      <c r="AA187" s="1339"/>
      <c r="AB187" s="1339"/>
      <c r="AC187" s="1339"/>
      <c r="AD187" s="536"/>
      <c r="AE187" s="536"/>
      <c r="AF187" s="1331" t="s">
        <v>1356</v>
      </c>
      <c r="AG187" s="1331"/>
      <c r="AH187" s="1331"/>
      <c r="AI187" s="1331"/>
      <c r="AJ187" s="1331"/>
      <c r="AK187" s="1331"/>
      <c r="AL187" s="1331"/>
      <c r="AN187" s="595"/>
      <c r="AP187" s="549" t="s">
        <v>1042</v>
      </c>
      <c r="AQ187" s="549">
        <v>10</v>
      </c>
    </row>
    <row r="188" spans="1:73" s="549" customFormat="1" ht="12.75" customHeight="1">
      <c r="A188" s="536"/>
      <c r="B188" s="1340" t="s">
        <v>1714</v>
      </c>
      <c r="C188" s="1340"/>
      <c r="D188" s="1340"/>
      <c r="E188" s="1340"/>
      <c r="F188" s="1340"/>
      <c r="G188" s="1340"/>
      <c r="H188" s="1340"/>
      <c r="I188" s="1340"/>
      <c r="J188" s="1340"/>
      <c r="K188" s="1340"/>
      <c r="L188" s="1340"/>
      <c r="M188" s="1340"/>
      <c r="N188" s="1340"/>
      <c r="O188" s="1340"/>
      <c r="P188" s="1340"/>
      <c r="Q188" s="1340"/>
      <c r="R188" s="1340"/>
      <c r="S188" s="1340"/>
      <c r="T188" s="1341" t="s">
        <v>591</v>
      </c>
      <c r="U188" s="1341"/>
      <c r="V188" s="1341"/>
      <c r="W188" s="1341"/>
      <c r="X188" s="1341"/>
      <c r="Y188" s="1341"/>
      <c r="Z188" s="1341"/>
      <c r="AA188" s="1341"/>
      <c r="AB188" s="1341"/>
      <c r="AC188" s="1341"/>
      <c r="AD188" s="536"/>
      <c r="AE188" s="536"/>
      <c r="AF188" s="536"/>
      <c r="AG188" s="536"/>
      <c r="AH188" s="536"/>
      <c r="AI188" s="536"/>
      <c r="AJ188" s="543"/>
      <c r="AK188" s="593"/>
      <c r="AL188" s="593"/>
      <c r="AM188" s="593"/>
      <c r="AN188" s="595"/>
      <c r="AP188" s="549" t="s">
        <v>1357</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2613</v>
      </c>
      <c r="AQ189" s="549">
        <v>10</v>
      </c>
      <c r="AS189" s="549" t="s">
        <v>1358</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1359</v>
      </c>
      <c r="AK190" s="1356">
        <f>IF(AK83&gt;0,VLOOKUP($B$187,AP184:AQ190,2,FALSE),0)</f>
        <v>10</v>
      </c>
      <c r="AL190" s="1357"/>
      <c r="AM190" s="1358"/>
      <c r="AN190" s="535"/>
      <c r="AP190" s="549" t="s">
        <v>1361</v>
      </c>
      <c r="AQ190" s="549">
        <v>10</v>
      </c>
      <c r="AS190" s="549" t="s">
        <v>1360</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1362</v>
      </c>
      <c r="B193" s="538" t="s">
        <v>1363</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1298" t="s">
        <v>1364</v>
      </c>
      <c r="AF193" s="1298"/>
      <c r="AG193" s="1298"/>
      <c r="AH193" s="1298"/>
      <c r="AI193" s="1298"/>
      <c r="AJ193" s="1298"/>
      <c r="AK193" s="1298"/>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1577</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1613</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1333"/>
      <c r="C198" s="1333"/>
      <c r="D198" s="1333"/>
      <c r="E198" s="1333"/>
      <c r="F198" s="1333"/>
      <c r="G198" s="1333"/>
      <c r="H198" s="1333"/>
      <c r="I198" s="1333"/>
      <c r="J198" s="1333"/>
      <c r="K198" s="1333"/>
      <c r="L198" s="1333"/>
      <c r="M198" s="1333"/>
      <c r="N198" s="1333"/>
      <c r="O198" s="1333"/>
      <c r="P198" s="1333"/>
      <c r="Q198" s="1333"/>
      <c r="R198" s="1333"/>
      <c r="S198" s="1333"/>
      <c r="T198" s="1333"/>
      <c r="U198" s="1333"/>
      <c r="V198" s="1333"/>
      <c r="W198" s="1333"/>
      <c r="X198" s="1333"/>
      <c r="Y198" s="1333"/>
      <c r="Z198" s="1333"/>
      <c r="AA198" s="1333"/>
      <c r="AB198" s="1333"/>
      <c r="AC198" s="842"/>
      <c r="AD198" s="1334"/>
      <c r="AE198" s="1334"/>
      <c r="AF198" s="1334"/>
      <c r="AG198" s="1334"/>
      <c r="AH198" s="1334"/>
      <c r="AI198" s="1334"/>
      <c r="AJ198" s="1334"/>
      <c r="AK198" s="608"/>
    </row>
    <row r="199" spans="1:37" hidden="1">
      <c r="A199" s="603"/>
      <c r="B199" s="1333"/>
      <c r="C199" s="1333"/>
      <c r="D199" s="1333"/>
      <c r="E199" s="1333"/>
      <c r="F199" s="1333"/>
      <c r="G199" s="1333"/>
      <c r="H199" s="1333"/>
      <c r="I199" s="1333"/>
      <c r="J199" s="1333"/>
      <c r="K199" s="1333"/>
      <c r="L199" s="1333"/>
      <c r="M199" s="1333"/>
      <c r="N199" s="1333"/>
      <c r="O199" s="1333"/>
      <c r="P199" s="1333"/>
      <c r="Q199" s="1333"/>
      <c r="R199" s="1333"/>
      <c r="S199" s="1333"/>
      <c r="T199" s="1333"/>
      <c r="U199" s="1333"/>
      <c r="V199" s="1333"/>
      <c r="W199" s="1333"/>
      <c r="X199" s="1333"/>
      <c r="Y199" s="1333"/>
      <c r="Z199" s="1333"/>
      <c r="AA199" s="1333"/>
      <c r="AB199" s="1333"/>
      <c r="AC199" s="842"/>
      <c r="AD199" s="1334"/>
      <c r="AE199" s="1334"/>
      <c r="AF199" s="1334"/>
      <c r="AG199" s="1334"/>
      <c r="AH199" s="1334"/>
      <c r="AI199" s="1334"/>
      <c r="AJ199" s="1334"/>
      <c r="AK199" s="608"/>
    </row>
    <row r="200" spans="1:37" hidden="1">
      <c r="A200" s="603"/>
      <c r="B200" s="1333"/>
      <c r="C200" s="1333"/>
      <c r="D200" s="1333"/>
      <c r="E200" s="1333"/>
      <c r="F200" s="1333"/>
      <c r="G200" s="1333"/>
      <c r="H200" s="1333"/>
      <c r="I200" s="1333"/>
      <c r="J200" s="1333"/>
      <c r="K200" s="1333"/>
      <c r="L200" s="1333"/>
      <c r="M200" s="1333"/>
      <c r="N200" s="1333"/>
      <c r="O200" s="1333"/>
      <c r="P200" s="1333"/>
      <c r="Q200" s="1333"/>
      <c r="R200" s="1333"/>
      <c r="S200" s="1333"/>
      <c r="T200" s="1333"/>
      <c r="U200" s="1333"/>
      <c r="V200" s="1333"/>
      <c r="W200" s="1333"/>
      <c r="X200" s="1333"/>
      <c r="Y200" s="1333"/>
      <c r="Z200" s="1333"/>
      <c r="AA200" s="1333"/>
      <c r="AB200" s="1333"/>
      <c r="AC200" s="842"/>
      <c r="AD200" s="1334"/>
      <c r="AE200" s="1334"/>
      <c r="AF200" s="1334"/>
      <c r="AG200" s="1334"/>
      <c r="AH200" s="1334"/>
      <c r="AI200" s="1334"/>
      <c r="AJ200" s="1334"/>
      <c r="AK200" s="608"/>
    </row>
    <row r="201" spans="1:37" hidden="1">
      <c r="A201" s="603"/>
      <c r="B201" s="1333"/>
      <c r="C201" s="1333"/>
      <c r="D201" s="1333"/>
      <c r="E201" s="1333"/>
      <c r="F201" s="1333"/>
      <c r="G201" s="1333"/>
      <c r="H201" s="1333"/>
      <c r="I201" s="1333"/>
      <c r="J201" s="1333"/>
      <c r="K201" s="1333"/>
      <c r="L201" s="1333"/>
      <c r="M201" s="1333"/>
      <c r="N201" s="1333"/>
      <c r="O201" s="1333"/>
      <c r="P201" s="1333"/>
      <c r="Q201" s="1333"/>
      <c r="R201" s="1333"/>
      <c r="S201" s="1333"/>
      <c r="T201" s="1333"/>
      <c r="U201" s="1333"/>
      <c r="V201" s="1333"/>
      <c r="W201" s="1333"/>
      <c r="X201" s="1333"/>
      <c r="Y201" s="1333"/>
      <c r="Z201" s="1333"/>
      <c r="AA201" s="1333"/>
      <c r="AB201" s="1333"/>
      <c r="AC201" s="842"/>
      <c r="AD201" s="1334"/>
      <c r="AE201" s="1334"/>
      <c r="AF201" s="1334"/>
      <c r="AG201" s="1334"/>
      <c r="AH201" s="1334"/>
      <c r="AI201" s="1334"/>
      <c r="AJ201" s="1334"/>
      <c r="AK201" s="608"/>
    </row>
    <row r="202" spans="1:37" hidden="1">
      <c r="A202" s="603"/>
      <c r="B202" s="1333"/>
      <c r="C202" s="1333"/>
      <c r="D202" s="1333"/>
      <c r="E202" s="1333"/>
      <c r="F202" s="1333"/>
      <c r="G202" s="1333"/>
      <c r="H202" s="1333"/>
      <c r="I202" s="1333"/>
      <c r="J202" s="1333"/>
      <c r="K202" s="1333"/>
      <c r="L202" s="1333"/>
      <c r="M202" s="1333"/>
      <c r="N202" s="1333"/>
      <c r="O202" s="1333"/>
      <c r="P202" s="1333"/>
      <c r="Q202" s="1333"/>
      <c r="R202" s="1333"/>
      <c r="S202" s="1333"/>
      <c r="T202" s="1333"/>
      <c r="U202" s="1333"/>
      <c r="V202" s="1333"/>
      <c r="W202" s="1333"/>
      <c r="X202" s="1333"/>
      <c r="Y202" s="1333"/>
      <c r="Z202" s="1333"/>
      <c r="AA202" s="1333"/>
      <c r="AB202" s="1333"/>
      <c r="AC202" s="842"/>
      <c r="AD202" s="1334"/>
      <c r="AE202" s="1334"/>
      <c r="AF202" s="1334"/>
      <c r="AG202" s="1334"/>
      <c r="AH202" s="1334"/>
      <c r="AI202" s="1334"/>
      <c r="AJ202" s="1334"/>
      <c r="AK202" s="608"/>
    </row>
    <row r="203" spans="1:37" hidden="1">
      <c r="A203" s="603"/>
      <c r="B203" s="1333"/>
      <c r="C203" s="1333"/>
      <c r="D203" s="1333"/>
      <c r="E203" s="1333"/>
      <c r="F203" s="1333"/>
      <c r="G203" s="1333"/>
      <c r="H203" s="1333"/>
      <c r="I203" s="1333"/>
      <c r="J203" s="1333"/>
      <c r="K203" s="1333"/>
      <c r="L203" s="1333"/>
      <c r="M203" s="1333"/>
      <c r="N203" s="1333"/>
      <c r="O203" s="1333"/>
      <c r="P203" s="1333"/>
      <c r="Q203" s="1333"/>
      <c r="R203" s="1333"/>
      <c r="S203" s="1333"/>
      <c r="T203" s="1333"/>
      <c r="U203" s="1333"/>
      <c r="V203" s="1333"/>
      <c r="W203" s="1333"/>
      <c r="X203" s="1333"/>
      <c r="Y203" s="1333"/>
      <c r="Z203" s="1333"/>
      <c r="AA203" s="1333"/>
      <c r="AB203" s="1333"/>
      <c r="AC203" s="842"/>
      <c r="AD203" s="1334"/>
      <c r="AE203" s="1334"/>
      <c r="AF203" s="1334"/>
      <c r="AG203" s="1334"/>
      <c r="AH203" s="1334"/>
      <c r="AI203" s="1334"/>
      <c r="AJ203" s="1334"/>
      <c r="AK203" s="608"/>
    </row>
    <row r="204" spans="1:37" hidden="1">
      <c r="A204" s="603"/>
      <c r="B204" s="1333"/>
      <c r="C204" s="1333"/>
      <c r="D204" s="1333"/>
      <c r="E204" s="1333"/>
      <c r="F204" s="1333"/>
      <c r="G204" s="1333"/>
      <c r="H204" s="1333"/>
      <c r="I204" s="1333"/>
      <c r="J204" s="1333"/>
      <c r="K204" s="1333"/>
      <c r="L204" s="1333"/>
      <c r="M204" s="1333"/>
      <c r="N204" s="1333"/>
      <c r="O204" s="1333"/>
      <c r="P204" s="1333"/>
      <c r="Q204" s="1333"/>
      <c r="R204" s="1333"/>
      <c r="S204" s="1333"/>
      <c r="T204" s="1333"/>
      <c r="U204" s="1333"/>
      <c r="V204" s="1333"/>
      <c r="W204" s="1333"/>
      <c r="X204" s="1333"/>
      <c r="Y204" s="1333"/>
      <c r="Z204" s="1333"/>
      <c r="AA204" s="1333"/>
      <c r="AB204" s="1333"/>
      <c r="AC204" s="842"/>
      <c r="AD204" s="1334"/>
      <c r="AE204" s="1334"/>
      <c r="AF204" s="1334"/>
      <c r="AG204" s="1334"/>
      <c r="AH204" s="1334"/>
      <c r="AI204" s="1334"/>
      <c r="AJ204" s="1334"/>
      <c r="AK204" s="608"/>
    </row>
    <row r="205" spans="1:37" hidden="1">
      <c r="A205" s="603"/>
      <c r="B205" s="1333"/>
      <c r="C205" s="1333"/>
      <c r="D205" s="1333"/>
      <c r="E205" s="1333"/>
      <c r="F205" s="1333"/>
      <c r="G205" s="1333"/>
      <c r="H205" s="1333"/>
      <c r="I205" s="1333"/>
      <c r="J205" s="1333"/>
      <c r="K205" s="1333"/>
      <c r="L205" s="1333"/>
      <c r="M205" s="1333"/>
      <c r="N205" s="1333"/>
      <c r="O205" s="1333"/>
      <c r="P205" s="1333"/>
      <c r="Q205" s="1333"/>
      <c r="R205" s="1333"/>
      <c r="S205" s="1333"/>
      <c r="T205" s="1333"/>
      <c r="U205" s="1333"/>
      <c r="V205" s="1333"/>
      <c r="W205" s="1333"/>
      <c r="X205" s="1333"/>
      <c r="Y205" s="1333"/>
      <c r="Z205" s="1333"/>
      <c r="AA205" s="1333"/>
      <c r="AB205" s="1333"/>
      <c r="AC205" s="842"/>
      <c r="AD205" s="1334"/>
      <c r="AE205" s="1334"/>
      <c r="AF205" s="1334"/>
      <c r="AG205" s="1334"/>
      <c r="AH205" s="1334"/>
      <c r="AI205" s="1334"/>
      <c r="AJ205" s="1334"/>
      <c r="AK205" s="608"/>
    </row>
    <row r="206" spans="1:37" hidden="1">
      <c r="A206" s="603"/>
      <c r="B206" s="1333"/>
      <c r="C206" s="1333"/>
      <c r="D206" s="1333"/>
      <c r="E206" s="1333"/>
      <c r="F206" s="1333"/>
      <c r="G206" s="1333"/>
      <c r="H206" s="1333"/>
      <c r="I206" s="1333"/>
      <c r="J206" s="1333"/>
      <c r="K206" s="1333"/>
      <c r="L206" s="1333"/>
      <c r="M206" s="1333"/>
      <c r="N206" s="1333"/>
      <c r="O206" s="1333"/>
      <c r="P206" s="1333"/>
      <c r="Q206" s="1333"/>
      <c r="R206" s="1333"/>
      <c r="S206" s="1333"/>
      <c r="T206" s="1333"/>
      <c r="U206" s="1333"/>
      <c r="V206" s="1333"/>
      <c r="W206" s="1333"/>
      <c r="X206" s="1333"/>
      <c r="Y206" s="1333"/>
      <c r="Z206" s="1333"/>
      <c r="AA206" s="1333"/>
      <c r="AB206" s="1333"/>
      <c r="AC206" s="842"/>
      <c r="AD206" s="1334"/>
      <c r="AE206" s="1334"/>
      <c r="AF206" s="1334"/>
      <c r="AG206" s="1334"/>
      <c r="AH206" s="1334"/>
      <c r="AI206" s="1334"/>
      <c r="AJ206" s="1334"/>
      <c r="AK206" s="608"/>
    </row>
    <row r="207" spans="1:37" hidden="1">
      <c r="A207" s="603"/>
      <c r="B207" s="1333"/>
      <c r="C207" s="1333"/>
      <c r="D207" s="1333"/>
      <c r="E207" s="1333"/>
      <c r="F207" s="1333"/>
      <c r="G207" s="1333"/>
      <c r="H207" s="1333"/>
      <c r="I207" s="1333"/>
      <c r="J207" s="1333"/>
      <c r="K207" s="1333"/>
      <c r="L207" s="1333"/>
      <c r="M207" s="1333"/>
      <c r="N207" s="1333"/>
      <c r="O207" s="1333"/>
      <c r="P207" s="1333"/>
      <c r="Q207" s="1333"/>
      <c r="R207" s="1333"/>
      <c r="S207" s="1333"/>
      <c r="T207" s="1333"/>
      <c r="U207" s="1333"/>
      <c r="V207" s="1333"/>
      <c r="W207" s="1333"/>
      <c r="X207" s="1333"/>
      <c r="Y207" s="1333"/>
      <c r="Z207" s="1333"/>
      <c r="AA207" s="1333"/>
      <c r="AB207" s="1333"/>
      <c r="AC207" s="842"/>
      <c r="AD207" s="1334"/>
      <c r="AE207" s="1334"/>
      <c r="AF207" s="1334"/>
      <c r="AG207" s="1334"/>
      <c r="AH207" s="1334"/>
      <c r="AI207" s="1334"/>
      <c r="AJ207" s="1334"/>
      <c r="AK207" s="608"/>
    </row>
    <row r="208" spans="1:37" hidden="1">
      <c r="A208" s="603"/>
      <c r="B208" s="1381" t="s">
        <v>1615</v>
      </c>
      <c r="C208" s="1381"/>
      <c r="D208" s="1381"/>
      <c r="E208" s="1381"/>
      <c r="F208" s="1381"/>
      <c r="G208" s="1381"/>
      <c r="H208" s="1381"/>
      <c r="I208" s="1381"/>
      <c r="J208" s="1381"/>
      <c r="K208" s="1381"/>
      <c r="L208" s="1381"/>
      <c r="M208" s="1381"/>
      <c r="N208" s="1381"/>
      <c r="O208" s="1381"/>
      <c r="P208" s="1381"/>
      <c r="Q208" s="1381"/>
      <c r="R208" s="1381"/>
      <c r="S208" s="1381"/>
      <c r="T208" s="1381"/>
      <c r="U208" s="1381"/>
      <c r="V208" s="1381"/>
      <c r="W208" s="1381"/>
      <c r="X208" s="1381"/>
      <c r="Y208" s="1381"/>
      <c r="Z208" s="1381"/>
      <c r="AA208" s="1381"/>
      <c r="AB208" s="1381"/>
      <c r="AC208" s="536"/>
      <c r="AD208" s="1363">
        <f>AB259</f>
        <v>0</v>
      </c>
      <c r="AE208" s="1363"/>
      <c r="AF208" s="1363"/>
      <c r="AG208" s="1363"/>
      <c r="AH208" s="1363"/>
      <c r="AI208" s="1363"/>
      <c r="AJ208" s="1363"/>
      <c r="AK208" s="608"/>
    </row>
    <row r="209" spans="1:37" hidden="1">
      <c r="A209" s="603"/>
      <c r="B209" s="1519" t="s">
        <v>1578</v>
      </c>
      <c r="C209" s="1519"/>
      <c r="D209" s="1519"/>
      <c r="E209" s="1519"/>
      <c r="F209" s="1519"/>
      <c r="G209" s="1519"/>
      <c r="H209" s="1519"/>
      <c r="I209" s="1519"/>
      <c r="J209" s="1519"/>
      <c r="K209" s="1519"/>
      <c r="L209" s="1519"/>
      <c r="M209" s="1519"/>
      <c r="N209" s="1519"/>
      <c r="O209" s="1519"/>
      <c r="P209" s="1519"/>
      <c r="Q209" s="1519"/>
      <c r="R209" s="1519"/>
      <c r="S209" s="1519"/>
      <c r="T209" s="1519"/>
      <c r="U209" s="1519"/>
      <c r="V209" s="1519"/>
      <c r="W209" s="1519"/>
      <c r="X209" s="1519"/>
      <c r="Y209" s="1519"/>
      <c r="Z209" s="1519"/>
      <c r="AA209" s="1519"/>
      <c r="AB209" s="1519"/>
      <c r="AC209" s="842"/>
      <c r="AD209" s="1364">
        <f>'Sources and Uses Budget'!B15</f>
        <v>0</v>
      </c>
      <c r="AE209" s="1364"/>
      <c r="AF209" s="1364"/>
      <c r="AG209" s="1364"/>
      <c r="AH209" s="1364"/>
      <c r="AI209" s="1364"/>
      <c r="AJ209" s="1364"/>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1368">
        <f>SUM(AD198:AJ208)-AD209</f>
        <v>0</v>
      </c>
      <c r="AE210" s="1368"/>
      <c r="AF210" s="1368"/>
      <c r="AG210" s="1368"/>
      <c r="AH210" s="1368"/>
      <c r="AI210" s="1368"/>
      <c r="AJ210" s="1368"/>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1583</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1614</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1585</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1586</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1984</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1587</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1588</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1624</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1337" t="s">
        <v>1595</v>
      </c>
      <c r="J221" s="1337"/>
      <c r="K221" s="1337"/>
      <c r="L221" s="536"/>
      <c r="M221" s="536"/>
      <c r="N221" s="536"/>
      <c r="O221" s="536"/>
      <c r="P221" s="536"/>
      <c r="Q221" s="536"/>
      <c r="R221" s="536"/>
      <c r="S221" s="536"/>
      <c r="T221" s="1506" t="s">
        <v>1589</v>
      </c>
      <c r="U221" s="1506"/>
      <c r="V221" s="1506"/>
      <c r="W221" s="1506"/>
      <c r="X221" s="1506"/>
      <c r="Y221" s="1506"/>
      <c r="Z221" s="845"/>
      <c r="AA221" s="489"/>
      <c r="AB221" s="1332" t="s">
        <v>1590</v>
      </c>
      <c r="AC221" s="1332"/>
      <c r="AD221" s="1332"/>
      <c r="AE221" s="1332"/>
      <c r="AF221" s="1332"/>
      <c r="AG221" s="1332"/>
      <c r="AH221" s="823"/>
      <c r="AI221" s="823"/>
      <c r="AJ221" s="823"/>
      <c r="AK221" s="608"/>
    </row>
    <row r="222" spans="1:37" hidden="1">
      <c r="A222" s="603"/>
      <c r="B222" s="1335" t="s">
        <v>1575</v>
      </c>
      <c r="C222" s="1335"/>
      <c r="D222" s="1335"/>
      <c r="E222" s="1335"/>
      <c r="F222" s="1335"/>
      <c r="G222" s="1335"/>
      <c r="I222" s="1336" t="s">
        <v>1596</v>
      </c>
      <c r="J222" s="1336"/>
      <c r="K222" s="1336"/>
      <c r="L222" s="1003"/>
      <c r="N222" s="1326" t="s">
        <v>1591</v>
      </c>
      <c r="O222" s="1326"/>
      <c r="P222" s="1326"/>
      <c r="Q222" s="1326"/>
      <c r="R222" s="1326"/>
      <c r="T222" s="1326" t="s">
        <v>1592</v>
      </c>
      <c r="U222" s="1326"/>
      <c r="V222" s="1326"/>
      <c r="W222" s="1326"/>
      <c r="X222" s="1326"/>
      <c r="Y222" s="1326"/>
      <c r="Z222" s="846"/>
      <c r="AA222" s="489"/>
      <c r="AB222" s="1485" t="s">
        <v>1593</v>
      </c>
      <c r="AC222" s="1485"/>
      <c r="AD222" s="1485"/>
      <c r="AE222" s="1485"/>
      <c r="AF222" s="1485"/>
      <c r="AG222" s="1485"/>
      <c r="AH222" s="823"/>
      <c r="AI222" s="823"/>
      <c r="AJ222" s="823"/>
      <c r="AK222" s="608"/>
    </row>
    <row r="223" spans="1:37" hidden="1">
      <c r="A223" s="603"/>
      <c r="B223" s="1338" t="s">
        <v>1183</v>
      </c>
      <c r="C223" s="1338"/>
      <c r="D223" s="1338"/>
      <c r="E223" s="1338"/>
      <c r="F223" s="1338"/>
      <c r="G223" s="1338"/>
      <c r="H223" s="848"/>
      <c r="I223" s="1324"/>
      <c r="J223" s="1324"/>
      <c r="K223" s="1324"/>
      <c r="L223" s="1003"/>
      <c r="N223" s="1380"/>
      <c r="O223" s="1380"/>
      <c r="P223" s="1380"/>
      <c r="Q223" s="1380"/>
      <c r="R223" s="1380"/>
      <c r="T223" s="1484"/>
      <c r="U223" s="1484"/>
      <c r="V223" s="1484"/>
      <c r="W223" s="1484"/>
      <c r="X223" s="1484"/>
      <c r="Y223" s="1484"/>
      <c r="Z223" s="847"/>
      <c r="AA223" s="847"/>
      <c r="AB223" s="1323">
        <f t="shared" ref="AB223:AB232" si="0">MAX(($T223-$N223)*$I223*12,0)</f>
        <v>0</v>
      </c>
      <c r="AC223" s="1323"/>
      <c r="AD223" s="1323"/>
      <c r="AE223" s="1323"/>
      <c r="AF223" s="1323"/>
      <c r="AG223" s="1323"/>
      <c r="AH223" s="823"/>
      <c r="AI223" s="823"/>
      <c r="AJ223" s="823"/>
      <c r="AK223" s="608"/>
    </row>
    <row r="224" spans="1:37" hidden="1">
      <c r="A224" s="603"/>
      <c r="B224" s="1338" t="s">
        <v>1183</v>
      </c>
      <c r="C224" s="1338"/>
      <c r="D224" s="1338"/>
      <c r="E224" s="1338"/>
      <c r="F224" s="1338"/>
      <c r="G224" s="1338"/>
      <c r="I224" s="1324"/>
      <c r="J224" s="1324"/>
      <c r="K224" s="1324"/>
      <c r="L224" s="1003"/>
      <c r="N224" s="1380"/>
      <c r="O224" s="1380"/>
      <c r="P224" s="1380"/>
      <c r="Q224" s="1380"/>
      <c r="R224" s="1380"/>
      <c r="T224" s="1484"/>
      <c r="U224" s="1484"/>
      <c r="V224" s="1484"/>
      <c r="W224" s="1484"/>
      <c r="X224" s="1484"/>
      <c r="Y224" s="1484"/>
      <c r="Z224" s="847"/>
      <c r="AA224" s="847"/>
      <c r="AB224" s="1323">
        <f t="shared" si="0"/>
        <v>0</v>
      </c>
      <c r="AC224" s="1323"/>
      <c r="AD224" s="1323"/>
      <c r="AE224" s="1323"/>
      <c r="AF224" s="1323"/>
      <c r="AG224" s="1323"/>
      <c r="AH224" s="823"/>
      <c r="AI224" s="823"/>
      <c r="AJ224" s="823"/>
      <c r="AK224" s="608"/>
    </row>
    <row r="225" spans="1:37" hidden="1">
      <c r="A225" s="603"/>
      <c r="B225" s="1338" t="s">
        <v>1183</v>
      </c>
      <c r="C225" s="1338"/>
      <c r="D225" s="1338"/>
      <c r="E225" s="1338"/>
      <c r="F225" s="1338"/>
      <c r="G225" s="1338"/>
      <c r="I225" s="1324"/>
      <c r="J225" s="1324"/>
      <c r="K225" s="1324"/>
      <c r="L225" s="1003"/>
      <c r="N225" s="1380"/>
      <c r="O225" s="1380"/>
      <c r="P225" s="1380"/>
      <c r="Q225" s="1380"/>
      <c r="R225" s="1380"/>
      <c r="T225" s="1484"/>
      <c r="U225" s="1484"/>
      <c r="V225" s="1484"/>
      <c r="W225" s="1484"/>
      <c r="X225" s="1484"/>
      <c r="Y225" s="1484"/>
      <c r="Z225" s="847"/>
      <c r="AA225" s="847"/>
      <c r="AB225" s="1323">
        <f t="shared" si="0"/>
        <v>0</v>
      </c>
      <c r="AC225" s="1323"/>
      <c r="AD225" s="1323"/>
      <c r="AE225" s="1323"/>
      <c r="AF225" s="1323"/>
      <c r="AG225" s="1323"/>
      <c r="AH225" s="823"/>
      <c r="AI225" s="823"/>
      <c r="AJ225" s="823"/>
      <c r="AK225" s="608"/>
    </row>
    <row r="226" spans="1:37" hidden="1">
      <c r="A226" s="603"/>
      <c r="B226" s="1338" t="s">
        <v>1183</v>
      </c>
      <c r="C226" s="1338"/>
      <c r="D226" s="1338"/>
      <c r="E226" s="1338"/>
      <c r="F226" s="1338"/>
      <c r="G226" s="1338"/>
      <c r="I226" s="1324"/>
      <c r="J226" s="1324"/>
      <c r="K226" s="1324"/>
      <c r="L226" s="1003"/>
      <c r="N226" s="1380"/>
      <c r="O226" s="1380"/>
      <c r="P226" s="1380"/>
      <c r="Q226" s="1380"/>
      <c r="R226" s="1380"/>
      <c r="T226" s="1484"/>
      <c r="U226" s="1484"/>
      <c r="V226" s="1484"/>
      <c r="W226" s="1484"/>
      <c r="X226" s="1484"/>
      <c r="Y226" s="1484"/>
      <c r="Z226" s="847"/>
      <c r="AA226" s="847"/>
      <c r="AB226" s="1323">
        <f t="shared" si="0"/>
        <v>0</v>
      </c>
      <c r="AC226" s="1323"/>
      <c r="AD226" s="1323"/>
      <c r="AE226" s="1323"/>
      <c r="AF226" s="1323"/>
      <c r="AG226" s="1323"/>
      <c r="AH226" s="823"/>
      <c r="AI226" s="823"/>
      <c r="AJ226" s="823"/>
      <c r="AK226" s="608"/>
    </row>
    <row r="227" spans="1:37" hidden="1">
      <c r="A227" s="603"/>
      <c r="B227" s="1338" t="s">
        <v>1183</v>
      </c>
      <c r="C227" s="1338"/>
      <c r="D227" s="1338"/>
      <c r="E227" s="1338"/>
      <c r="F227" s="1338"/>
      <c r="G227" s="1338"/>
      <c r="I227" s="1324"/>
      <c r="J227" s="1324"/>
      <c r="K227" s="1324"/>
      <c r="L227" s="1010"/>
      <c r="N227" s="1380"/>
      <c r="O227" s="1380"/>
      <c r="P227" s="1380"/>
      <c r="Q227" s="1380"/>
      <c r="R227" s="1380"/>
      <c r="T227" s="1484"/>
      <c r="U227" s="1484"/>
      <c r="V227" s="1484"/>
      <c r="W227" s="1484"/>
      <c r="X227" s="1484"/>
      <c r="Y227" s="1484"/>
      <c r="Z227" s="847"/>
      <c r="AA227" s="847"/>
      <c r="AB227" s="1323">
        <f t="shared" si="0"/>
        <v>0</v>
      </c>
      <c r="AC227" s="1323"/>
      <c r="AD227" s="1323"/>
      <c r="AE227" s="1323"/>
      <c r="AF227" s="1323"/>
      <c r="AG227" s="1323"/>
      <c r="AH227" s="823"/>
      <c r="AI227" s="823"/>
      <c r="AJ227" s="823"/>
      <c r="AK227" s="608"/>
    </row>
    <row r="228" spans="1:37" hidden="1">
      <c r="A228" s="603"/>
      <c r="B228" s="1338" t="s">
        <v>1183</v>
      </c>
      <c r="C228" s="1338"/>
      <c r="D228" s="1338"/>
      <c r="E228" s="1338"/>
      <c r="F228" s="1338"/>
      <c r="G228" s="1338"/>
      <c r="I228" s="1324"/>
      <c r="J228" s="1324"/>
      <c r="K228" s="1324"/>
      <c r="L228" s="1010"/>
      <c r="N228" s="1380"/>
      <c r="O228" s="1380"/>
      <c r="P228" s="1380"/>
      <c r="Q228" s="1380"/>
      <c r="R228" s="1380"/>
      <c r="T228" s="1484"/>
      <c r="U228" s="1484"/>
      <c r="V228" s="1484"/>
      <c r="W228" s="1484"/>
      <c r="X228" s="1484"/>
      <c r="Y228" s="1484"/>
      <c r="Z228" s="847"/>
      <c r="AA228" s="847"/>
      <c r="AB228" s="1323">
        <f t="shared" si="0"/>
        <v>0</v>
      </c>
      <c r="AC228" s="1323"/>
      <c r="AD228" s="1323"/>
      <c r="AE228" s="1323"/>
      <c r="AF228" s="1323"/>
      <c r="AG228" s="1323"/>
      <c r="AH228" s="823"/>
      <c r="AI228" s="823"/>
      <c r="AJ228" s="823"/>
      <c r="AK228" s="608"/>
    </row>
    <row r="229" spans="1:37" hidden="1">
      <c r="A229" s="603"/>
      <c r="B229" s="1338" t="s">
        <v>1183</v>
      </c>
      <c r="C229" s="1338"/>
      <c r="D229" s="1338"/>
      <c r="E229" s="1338"/>
      <c r="F229" s="1338"/>
      <c r="G229" s="1338"/>
      <c r="I229" s="1324"/>
      <c r="J229" s="1324"/>
      <c r="K229" s="1324"/>
      <c r="L229" s="1010"/>
      <c r="N229" s="1380"/>
      <c r="O229" s="1380"/>
      <c r="P229" s="1380"/>
      <c r="Q229" s="1380"/>
      <c r="R229" s="1380"/>
      <c r="T229" s="1484"/>
      <c r="U229" s="1484"/>
      <c r="V229" s="1484"/>
      <c r="W229" s="1484"/>
      <c r="X229" s="1484"/>
      <c r="Y229" s="1484"/>
      <c r="Z229" s="847"/>
      <c r="AA229" s="847"/>
      <c r="AB229" s="1323">
        <f t="shared" si="0"/>
        <v>0</v>
      </c>
      <c r="AC229" s="1323"/>
      <c r="AD229" s="1323"/>
      <c r="AE229" s="1323"/>
      <c r="AF229" s="1323"/>
      <c r="AG229" s="1323"/>
      <c r="AH229" s="823"/>
      <c r="AI229" s="823"/>
      <c r="AJ229" s="823"/>
      <c r="AK229" s="608"/>
    </row>
    <row r="230" spans="1:37" hidden="1">
      <c r="A230" s="603"/>
      <c r="B230" s="1338" t="s">
        <v>1183</v>
      </c>
      <c r="C230" s="1338"/>
      <c r="D230" s="1338"/>
      <c r="E230" s="1338"/>
      <c r="F230" s="1338"/>
      <c r="G230" s="1338"/>
      <c r="I230" s="1324"/>
      <c r="J230" s="1324"/>
      <c r="K230" s="1324"/>
      <c r="L230" s="1010"/>
      <c r="N230" s="1380"/>
      <c r="O230" s="1380"/>
      <c r="P230" s="1380"/>
      <c r="Q230" s="1380"/>
      <c r="R230" s="1380"/>
      <c r="T230" s="1484"/>
      <c r="U230" s="1484"/>
      <c r="V230" s="1484"/>
      <c r="W230" s="1484"/>
      <c r="X230" s="1484"/>
      <c r="Y230" s="1484"/>
      <c r="Z230" s="847"/>
      <c r="AA230" s="847"/>
      <c r="AB230" s="1323">
        <f t="shared" si="0"/>
        <v>0</v>
      </c>
      <c r="AC230" s="1323"/>
      <c r="AD230" s="1323"/>
      <c r="AE230" s="1323"/>
      <c r="AF230" s="1323"/>
      <c r="AG230" s="1323"/>
      <c r="AH230" s="823"/>
      <c r="AI230" s="823"/>
      <c r="AJ230" s="823"/>
      <c r="AK230" s="608"/>
    </row>
    <row r="231" spans="1:37" hidden="1">
      <c r="A231" s="603"/>
      <c r="B231" s="1338" t="s">
        <v>1183</v>
      </c>
      <c r="C231" s="1338"/>
      <c r="D231" s="1338"/>
      <c r="E231" s="1338"/>
      <c r="F231" s="1338"/>
      <c r="G231" s="1338"/>
      <c r="I231" s="1324"/>
      <c r="J231" s="1324"/>
      <c r="K231" s="1324"/>
      <c r="L231" s="1010"/>
      <c r="N231" s="1380"/>
      <c r="O231" s="1380"/>
      <c r="P231" s="1380"/>
      <c r="Q231" s="1380"/>
      <c r="R231" s="1380"/>
      <c r="T231" s="1484"/>
      <c r="U231" s="1484"/>
      <c r="V231" s="1484"/>
      <c r="W231" s="1484"/>
      <c r="X231" s="1484"/>
      <c r="Y231" s="1484"/>
      <c r="Z231" s="847"/>
      <c r="AA231" s="847"/>
      <c r="AB231" s="1323">
        <f t="shared" si="0"/>
        <v>0</v>
      </c>
      <c r="AC231" s="1323"/>
      <c r="AD231" s="1323"/>
      <c r="AE231" s="1323"/>
      <c r="AF231" s="1323"/>
      <c r="AG231" s="1323"/>
      <c r="AH231" s="823"/>
      <c r="AI231" s="823"/>
      <c r="AJ231" s="823"/>
      <c r="AK231" s="608"/>
    </row>
    <row r="232" spans="1:37" hidden="1">
      <c r="A232" s="603"/>
      <c r="B232" s="1338" t="s">
        <v>1183</v>
      </c>
      <c r="C232" s="1338"/>
      <c r="D232" s="1338"/>
      <c r="E232" s="1338"/>
      <c r="F232" s="1338"/>
      <c r="G232" s="1338"/>
      <c r="I232" s="1325"/>
      <c r="J232" s="1325"/>
      <c r="K232" s="1325"/>
      <c r="L232" s="1010"/>
      <c r="N232" s="1380"/>
      <c r="O232" s="1380"/>
      <c r="P232" s="1380"/>
      <c r="Q232" s="1380"/>
      <c r="R232" s="1380"/>
      <c r="T232" s="1484"/>
      <c r="U232" s="1484"/>
      <c r="V232" s="1484"/>
      <c r="W232" s="1484"/>
      <c r="X232" s="1484"/>
      <c r="Y232" s="1484"/>
      <c r="Z232" s="847"/>
      <c r="AA232" s="847"/>
      <c r="AB232" s="1493">
        <f t="shared" si="0"/>
        <v>0</v>
      </c>
      <c r="AC232" s="1493"/>
      <c r="AD232" s="1493"/>
      <c r="AE232" s="1493"/>
      <c r="AF232" s="1493"/>
      <c r="AG232" s="1493"/>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1594</v>
      </c>
      <c r="AA233" s="849"/>
      <c r="AB233" s="1323">
        <f>SUM(AB223:AB232)</f>
        <v>0</v>
      </c>
      <c r="AC233" s="1323"/>
      <c r="AD233" s="1323"/>
      <c r="AE233" s="1323"/>
      <c r="AF233" s="1323"/>
      <c r="AG233" s="1323"/>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1584</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1612</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1610</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1604</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1494"/>
      <c r="AC239" s="1494"/>
      <c r="AD239" s="1494"/>
      <c r="AE239" s="1494"/>
      <c r="AF239" s="1494"/>
      <c r="AG239" s="1494"/>
      <c r="AH239" s="608"/>
      <c r="AI239" s="608"/>
      <c r="AJ239" s="608"/>
      <c r="AK239" s="608"/>
    </row>
    <row r="240" spans="1:37" hidden="1">
      <c r="A240" s="603"/>
      <c r="B240" s="833" t="s">
        <v>1609</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1611</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1605</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1494"/>
      <c r="AC242" s="1494"/>
      <c r="AD242" s="1494"/>
      <c r="AE242" s="1494"/>
      <c r="AF242" s="1494"/>
      <c r="AG242" s="1494"/>
      <c r="AH242" s="608"/>
      <c r="AI242" s="608"/>
      <c r="AJ242" s="608"/>
      <c r="AK242" s="608"/>
    </row>
    <row r="243" spans="1:37" hidden="1">
      <c r="A243" s="603"/>
      <c r="B243" s="834" t="s">
        <v>1606</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1505"/>
      <c r="AC243" s="1505"/>
      <c r="AD243" s="1505"/>
      <c r="AE243" s="1505"/>
      <c r="AF243" s="1505"/>
      <c r="AG243" s="1505"/>
      <c r="AH243" s="608"/>
      <c r="AI243" s="608"/>
      <c r="AJ243" s="608"/>
      <c r="AK243" s="608"/>
    </row>
    <row r="244" spans="1:37" hidden="1">
      <c r="A244" s="603"/>
      <c r="B244" s="834" t="s">
        <v>1607</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1518">
        <f>IFERROR(AB242/AB243,0)</f>
        <v>0</v>
      </c>
      <c r="AC244" s="1518"/>
      <c r="AD244" s="1518"/>
      <c r="AE244" s="1518"/>
      <c r="AF244" s="1518"/>
      <c r="AG244" s="1518"/>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1608</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1493">
        <f>MAX(AB239,AB244)</f>
        <v>0</v>
      </c>
      <c r="AC246" s="1493"/>
      <c r="AD246" s="1493"/>
      <c r="AE246" s="1493"/>
      <c r="AF246" s="1493"/>
      <c r="AG246" s="1493"/>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1597</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1323">
        <f>AB233+AB246</f>
        <v>0</v>
      </c>
      <c r="AC249" s="1323"/>
      <c r="AD249" s="1323"/>
      <c r="AE249" s="1323"/>
      <c r="AF249" s="1323"/>
      <c r="AG249" s="1323"/>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1372">
        <v>0.05</v>
      </c>
      <c r="AC250" s="1372"/>
      <c r="AD250" s="1372"/>
      <c r="AE250" s="1372"/>
      <c r="AF250" s="1372"/>
      <c r="AG250" s="1372"/>
      <c r="AH250" s="608"/>
      <c r="AI250" s="608"/>
      <c r="AJ250" s="608"/>
      <c r="AK250" s="608"/>
    </row>
    <row r="251" spans="1:37" hidden="1">
      <c r="A251" s="603"/>
      <c r="B251" s="476" t="s">
        <v>1598</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1373">
        <f>AB249-(AB249*AB250)</f>
        <v>0</v>
      </c>
      <c r="AC251" s="1373"/>
      <c r="AD251" s="1373"/>
      <c r="AE251" s="1373"/>
      <c r="AF251" s="1373"/>
      <c r="AG251" s="1373"/>
      <c r="AH251" s="608"/>
      <c r="AI251" s="608"/>
      <c r="AJ251" s="608"/>
      <c r="AK251" s="608"/>
    </row>
    <row r="252" spans="1:37" hidden="1">
      <c r="A252" s="603"/>
      <c r="B252" s="476" t="s">
        <v>1599</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1600</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1323">
        <f>AB251/AB257</f>
        <v>0</v>
      </c>
      <c r="AC253" s="1323"/>
      <c r="AD253" s="1323"/>
      <c r="AE253" s="1323"/>
      <c r="AF253" s="1323"/>
      <c r="AG253" s="1323"/>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1601</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1332">
        <v>15</v>
      </c>
      <c r="AC255" s="1332"/>
      <c r="AD255" s="1332"/>
      <c r="AE255" s="1332"/>
      <c r="AF255" s="1332"/>
      <c r="AG255" s="1332"/>
      <c r="AH255" s="608"/>
      <c r="AI255" s="608"/>
      <c r="AJ255" s="608"/>
      <c r="AK255" s="608"/>
    </row>
    <row r="256" spans="1:37" hidden="1">
      <c r="A256" s="603"/>
      <c r="B256" s="476" t="s">
        <v>1602</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1374">
        <v>0.04</v>
      </c>
      <c r="AC256" s="1374"/>
      <c r="AD256" s="1374"/>
      <c r="AE256" s="1374"/>
      <c r="AF256" s="1374"/>
      <c r="AG256" s="1374"/>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1382">
        <v>1.1499999999999999</v>
      </c>
      <c r="AC257" s="1382"/>
      <c r="AD257" s="1382"/>
      <c r="AE257" s="1382"/>
      <c r="AF257" s="1382"/>
      <c r="AG257" s="1382"/>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1603</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1365">
        <f>PV(AB256/12,AB255*12,-AB253/12, ,0)</f>
        <v>0</v>
      </c>
      <c r="AC259" s="1366"/>
      <c r="AD259" s="1366"/>
      <c r="AE259" s="1366"/>
      <c r="AF259" s="1366"/>
      <c r="AG259" s="1367"/>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1579</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1582</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1581</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1580</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1369">
        <f>IFERROR(('Sources and Uses Budget'!D105/'Sources and Uses Budget'!B105),0)</f>
        <v>0</v>
      </c>
      <c r="AC265" s="1370"/>
      <c r="AD265" s="1370"/>
      <c r="AE265" s="1370"/>
      <c r="AF265" s="1370"/>
      <c r="AG265" s="1371"/>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1365</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1359">
        <f>AD210*(1-AB265)</f>
        <v>0</v>
      </c>
      <c r="AH267" s="1359"/>
      <c r="AI267" s="1359"/>
      <c r="AJ267" s="1359"/>
      <c r="AK267" s="1359"/>
    </row>
    <row r="268" spans="1:39" hidden="1">
      <c r="A268" s="620"/>
      <c r="B268" s="623" t="s">
        <v>1366</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1359">
        <f>'Sources and Uses Budget'!C105</f>
        <v>79606911</v>
      </c>
      <c r="AH268" s="1359"/>
      <c r="AI268" s="1359"/>
      <c r="AJ268" s="1359"/>
      <c r="AK268" s="1359"/>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1360">
        <f>ROUNDDOWN(IF(AND(C305="Yes",AK83=10),((AG267*2)/AG268),AG267/AG268),2)</f>
        <v>0</v>
      </c>
      <c r="AH269" s="1360"/>
      <c r="AI269" s="1360"/>
      <c r="AJ269" s="1360"/>
      <c r="AK269" s="1360"/>
    </row>
    <row r="270" spans="1:39" hidden="1">
      <c r="A270" s="620"/>
      <c r="B270" s="973" t="s">
        <v>1728</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1367</v>
      </c>
      <c r="AK272" s="1361">
        <f>IFERROR(IF(AG269=0,0,IF((AG269*100)&gt;8,8,(AG269*100))),0)</f>
        <v>0</v>
      </c>
      <c r="AL272" s="1361"/>
      <c r="AM272" s="1362"/>
    </row>
    <row r="273" spans="1:52" ht="13.8"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1362</v>
      </c>
      <c r="B275" s="538" t="s">
        <v>1369</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1307</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2562</v>
      </c>
      <c r="AI277" s="550"/>
      <c r="AJ277" s="549"/>
      <c r="AK277" s="549"/>
      <c r="AL277" s="549"/>
      <c r="AM277" s="549"/>
      <c r="AO277" s="549"/>
    </row>
    <row r="278" spans="1:52" ht="14.25" customHeight="1">
      <c r="AI278" s="550"/>
      <c r="AJ278" s="549"/>
      <c r="AK278" s="549"/>
      <c r="AL278" s="549"/>
      <c r="AM278" s="549"/>
      <c r="AO278" s="549"/>
    </row>
    <row r="279" spans="1:52" ht="13.8" customHeight="1">
      <c r="A279" s="549"/>
      <c r="B279" s="594"/>
      <c r="C279" s="1353" t="s">
        <v>545</v>
      </c>
      <c r="D279" s="1353"/>
      <c r="E279" s="546"/>
      <c r="F279" s="1509" t="s">
        <v>2554</v>
      </c>
      <c r="G279" s="1510"/>
      <c r="H279" s="1510"/>
      <c r="I279" s="1510"/>
      <c r="J279" s="1510"/>
      <c r="K279" s="1510"/>
      <c r="L279" s="1510"/>
      <c r="M279" s="1510"/>
      <c r="N279" s="1510"/>
      <c r="O279" s="1510"/>
      <c r="P279" s="1510"/>
      <c r="Q279" s="1510"/>
      <c r="R279" s="1510"/>
      <c r="S279" s="1510"/>
      <c r="T279" s="1510"/>
      <c r="U279" s="1510"/>
      <c r="V279" s="1510"/>
      <c r="W279" s="1510"/>
      <c r="X279" s="1510"/>
      <c r="Y279" s="1510"/>
      <c r="Z279" s="1510"/>
      <c r="AA279" s="1510"/>
      <c r="AB279" s="1510"/>
      <c r="AC279" s="1510"/>
      <c r="AD279" s="1511"/>
      <c r="AE279" s="549"/>
      <c r="AF279" s="633"/>
      <c r="AG279" s="1354" t="s">
        <v>1356</v>
      </c>
      <c r="AH279" s="1354"/>
      <c r="AI279" s="1354"/>
      <c r="AJ279" s="1354"/>
      <c r="AK279" s="549"/>
      <c r="AL279" s="549"/>
      <c r="AM279" s="549"/>
      <c r="AO279" s="549"/>
    </row>
    <row r="280" spans="1:52" ht="13.8" customHeight="1">
      <c r="A280" s="549"/>
      <c r="B280" s="594"/>
      <c r="C280" s="634"/>
      <c r="D280" s="549"/>
      <c r="E280" s="546"/>
      <c r="F280" s="1512"/>
      <c r="G280" s="1513"/>
      <c r="H280" s="1513"/>
      <c r="I280" s="1513"/>
      <c r="J280" s="1513"/>
      <c r="K280" s="1513"/>
      <c r="L280" s="1513"/>
      <c r="M280" s="1513"/>
      <c r="N280" s="1513"/>
      <c r="O280" s="1513"/>
      <c r="P280" s="1513"/>
      <c r="Q280" s="1513"/>
      <c r="R280" s="1513"/>
      <c r="S280" s="1513"/>
      <c r="T280" s="1513"/>
      <c r="U280" s="1513"/>
      <c r="V280" s="1513"/>
      <c r="W280" s="1513"/>
      <c r="X280" s="1513"/>
      <c r="Y280" s="1513"/>
      <c r="Z280" s="1513"/>
      <c r="AA280" s="1513"/>
      <c r="AB280" s="1513"/>
      <c r="AC280" s="1513"/>
      <c r="AD280" s="1514"/>
      <c r="AE280" s="549"/>
      <c r="AF280" s="633"/>
      <c r="AG280" s="633"/>
      <c r="AH280" s="633"/>
      <c r="AI280" s="633"/>
      <c r="AJ280" s="549"/>
      <c r="AK280" s="549"/>
      <c r="AL280" s="549"/>
      <c r="AM280" s="549"/>
      <c r="AO280" s="549"/>
    </row>
    <row r="281" spans="1:52" ht="13.8" customHeight="1">
      <c r="A281" s="549"/>
      <c r="B281" s="594"/>
      <c r="C281" s="634"/>
      <c r="D281" s="549"/>
      <c r="E281" s="546"/>
      <c r="F281" s="1512"/>
      <c r="G281" s="1513"/>
      <c r="H281" s="1513"/>
      <c r="I281" s="1513"/>
      <c r="J281" s="1513"/>
      <c r="K281" s="1513"/>
      <c r="L281" s="1513"/>
      <c r="M281" s="1513"/>
      <c r="N281" s="1513"/>
      <c r="O281" s="1513"/>
      <c r="P281" s="1513"/>
      <c r="Q281" s="1513"/>
      <c r="R281" s="1513"/>
      <c r="S281" s="1513"/>
      <c r="T281" s="1513"/>
      <c r="U281" s="1513"/>
      <c r="V281" s="1513"/>
      <c r="W281" s="1513"/>
      <c r="X281" s="1513"/>
      <c r="Y281" s="1513"/>
      <c r="Z281" s="1513"/>
      <c r="AA281" s="1513"/>
      <c r="AB281" s="1513"/>
      <c r="AC281" s="1513"/>
      <c r="AD281" s="1514"/>
      <c r="AE281" s="549"/>
      <c r="AF281" s="633"/>
      <c r="AG281" s="633"/>
      <c r="AH281" s="633"/>
      <c r="AI281" s="633"/>
      <c r="AJ281" s="549"/>
      <c r="AK281" s="549"/>
      <c r="AL281" s="549"/>
      <c r="AM281" s="549"/>
      <c r="AO281" s="549"/>
    </row>
    <row r="282" spans="1:52" ht="13.8" customHeight="1">
      <c r="A282" s="549"/>
      <c r="B282" s="594"/>
      <c r="C282" s="634"/>
      <c r="D282" s="549"/>
      <c r="E282" s="546"/>
      <c r="F282" s="1512"/>
      <c r="G282" s="1513"/>
      <c r="H282" s="1513"/>
      <c r="I282" s="1513"/>
      <c r="J282" s="1513"/>
      <c r="K282" s="1513"/>
      <c r="L282" s="1513"/>
      <c r="M282" s="1513"/>
      <c r="N282" s="1513"/>
      <c r="O282" s="1513"/>
      <c r="P282" s="1513"/>
      <c r="Q282" s="1513"/>
      <c r="R282" s="1513"/>
      <c r="S282" s="1513"/>
      <c r="T282" s="1513"/>
      <c r="U282" s="1513"/>
      <c r="V282" s="1513"/>
      <c r="W282" s="1513"/>
      <c r="X282" s="1513"/>
      <c r="Y282" s="1513"/>
      <c r="Z282" s="1513"/>
      <c r="AA282" s="1513"/>
      <c r="AB282" s="1513"/>
      <c r="AC282" s="1513"/>
      <c r="AD282" s="1514"/>
      <c r="AE282" s="549"/>
      <c r="AF282" s="633"/>
      <c r="AG282" s="633"/>
      <c r="AH282" s="633"/>
      <c r="AI282" s="633"/>
      <c r="AJ282" s="549"/>
      <c r="AK282" s="549"/>
      <c r="AL282" s="549"/>
      <c r="AM282" s="549"/>
      <c r="AO282" s="549"/>
    </row>
    <row r="283" spans="1:52" ht="13.8" customHeight="1">
      <c r="A283" s="549"/>
      <c r="B283" s="594"/>
      <c r="C283" s="634"/>
      <c r="D283" s="549"/>
      <c r="E283" s="546"/>
      <c r="F283" s="1512"/>
      <c r="G283" s="1513"/>
      <c r="H283" s="1513"/>
      <c r="I283" s="1513"/>
      <c r="J283" s="1513"/>
      <c r="K283" s="1513"/>
      <c r="L283" s="1513"/>
      <c r="M283" s="1513"/>
      <c r="N283" s="1513"/>
      <c r="O283" s="1513"/>
      <c r="P283" s="1513"/>
      <c r="Q283" s="1513"/>
      <c r="R283" s="1513"/>
      <c r="S283" s="1513"/>
      <c r="T283" s="1513"/>
      <c r="U283" s="1513"/>
      <c r="V283" s="1513"/>
      <c r="W283" s="1513"/>
      <c r="X283" s="1513"/>
      <c r="Y283" s="1513"/>
      <c r="Z283" s="1513"/>
      <c r="AA283" s="1513"/>
      <c r="AB283" s="1513"/>
      <c r="AC283" s="1513"/>
      <c r="AD283" s="1514"/>
      <c r="AE283" s="549"/>
      <c r="AF283" s="633"/>
      <c r="AG283" s="633"/>
      <c r="AH283" s="633"/>
      <c r="AI283" s="633"/>
      <c r="AJ283" s="549"/>
      <c r="AK283" s="549"/>
      <c r="AL283" s="549"/>
      <c r="AM283" s="549"/>
      <c r="AO283" s="549"/>
    </row>
    <row r="284" spans="1:52">
      <c r="A284" s="549"/>
      <c r="B284" s="594"/>
      <c r="C284" s="634"/>
      <c r="D284" s="549"/>
      <c r="E284" s="546"/>
      <c r="F284" s="1512"/>
      <c r="G284" s="1513"/>
      <c r="H284" s="1513"/>
      <c r="I284" s="1513"/>
      <c r="J284" s="1513"/>
      <c r="K284" s="1513"/>
      <c r="L284" s="1513"/>
      <c r="M284" s="1513"/>
      <c r="N284" s="1513"/>
      <c r="O284" s="1513"/>
      <c r="P284" s="1513"/>
      <c r="Q284" s="1513"/>
      <c r="R284" s="1513"/>
      <c r="S284" s="1513"/>
      <c r="T284" s="1513"/>
      <c r="U284" s="1513"/>
      <c r="V284" s="1513"/>
      <c r="W284" s="1513"/>
      <c r="X284" s="1513"/>
      <c r="Y284" s="1513"/>
      <c r="Z284" s="1513"/>
      <c r="AA284" s="1513"/>
      <c r="AB284" s="1513"/>
      <c r="AC284" s="1513"/>
      <c r="AD284" s="1514"/>
      <c r="AE284" s="549"/>
      <c r="AF284" s="633"/>
      <c r="AG284" s="633"/>
      <c r="AH284" s="633"/>
      <c r="AI284" s="633"/>
      <c r="AJ284" s="549"/>
      <c r="AK284" s="549"/>
      <c r="AL284" s="549"/>
      <c r="AM284" s="549"/>
      <c r="AO284" s="549"/>
      <c r="AP284" s="635"/>
    </row>
    <row r="285" spans="1:52">
      <c r="A285" s="549"/>
      <c r="B285" s="594"/>
      <c r="C285" s="634"/>
      <c r="D285" s="549"/>
      <c r="E285" s="546"/>
      <c r="F285" s="1512"/>
      <c r="G285" s="1513"/>
      <c r="H285" s="1513"/>
      <c r="I285" s="1513"/>
      <c r="J285" s="1513"/>
      <c r="K285" s="1513"/>
      <c r="L285" s="1513"/>
      <c r="M285" s="1513"/>
      <c r="N285" s="1513"/>
      <c r="O285" s="1513"/>
      <c r="P285" s="1513"/>
      <c r="Q285" s="1513"/>
      <c r="R285" s="1513"/>
      <c r="S285" s="1513"/>
      <c r="T285" s="1513"/>
      <c r="U285" s="1513"/>
      <c r="V285" s="1513"/>
      <c r="W285" s="1513"/>
      <c r="X285" s="1513"/>
      <c r="Y285" s="1513"/>
      <c r="Z285" s="1513"/>
      <c r="AA285" s="1513"/>
      <c r="AB285" s="1513"/>
      <c r="AC285" s="1513"/>
      <c r="AD285" s="1514"/>
      <c r="AE285" s="549"/>
      <c r="AF285" s="633"/>
      <c r="AG285" s="633"/>
      <c r="AH285" s="633"/>
      <c r="AI285" s="633"/>
      <c r="AJ285" s="549"/>
      <c r="AK285" s="549"/>
      <c r="AL285" s="549"/>
      <c r="AM285" s="549"/>
      <c r="AO285" s="549"/>
      <c r="AP285" s="635"/>
    </row>
    <row r="286" spans="1:52" ht="13.8" customHeight="1">
      <c r="A286" s="549"/>
      <c r="B286" s="594"/>
      <c r="C286" s="1355"/>
      <c r="D286" s="1355"/>
      <c r="E286" s="546"/>
      <c r="F286" s="1515"/>
      <c r="G286" s="1516"/>
      <c r="H286" s="1516"/>
      <c r="I286" s="1516"/>
      <c r="J286" s="1516"/>
      <c r="K286" s="1516"/>
      <c r="L286" s="1516"/>
      <c r="M286" s="1516"/>
      <c r="N286" s="1516"/>
      <c r="O286" s="1516"/>
      <c r="P286" s="1516"/>
      <c r="Q286" s="1516"/>
      <c r="R286" s="1516"/>
      <c r="S286" s="1516"/>
      <c r="T286" s="1516"/>
      <c r="U286" s="1516"/>
      <c r="V286" s="1516"/>
      <c r="W286" s="1516"/>
      <c r="X286" s="1516"/>
      <c r="Y286" s="1516"/>
      <c r="Z286" s="1516"/>
      <c r="AA286" s="1516"/>
      <c r="AB286" s="1516"/>
      <c r="AC286" s="1516"/>
      <c r="AD286" s="1517"/>
      <c r="AE286" s="549"/>
      <c r="AF286" s="633"/>
      <c r="AG286" s="1354"/>
      <c r="AH286" s="1354"/>
      <c r="AI286" s="1354"/>
      <c r="AJ286" s="1354"/>
      <c r="AK286" s="549"/>
      <c r="AL286" s="549"/>
      <c r="AM286" s="549"/>
    </row>
    <row r="287" spans="1:52" ht="13.8"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1269" t="s">
        <v>2561</v>
      </c>
      <c r="C289" s="1269"/>
      <c r="D289" s="1269"/>
      <c r="E289" s="1269"/>
      <c r="F289" s="1269"/>
      <c r="G289" s="1269"/>
      <c r="H289" s="1269"/>
      <c r="I289" s="1269"/>
      <c r="J289" s="1269"/>
      <c r="K289" s="1269"/>
      <c r="L289" s="1269"/>
      <c r="M289" s="1269"/>
      <c r="N289" s="1269"/>
      <c r="O289" s="1269"/>
      <c r="P289" s="1269"/>
      <c r="Q289" s="1269"/>
      <c r="R289" s="1269"/>
      <c r="S289" s="1269"/>
      <c r="T289" s="1269"/>
      <c r="U289" s="1269"/>
      <c r="V289" s="1269"/>
      <c r="W289" s="1269"/>
      <c r="X289" s="1269"/>
      <c r="Y289" s="1269"/>
      <c r="Z289" s="1269"/>
      <c r="AA289" s="1269"/>
      <c r="AB289" s="1269"/>
      <c r="AC289" s="1269"/>
      <c r="AD289" s="1269"/>
      <c r="AE289" s="1269"/>
      <c r="AF289" s="1269"/>
      <c r="AG289" s="1269"/>
      <c r="AH289" s="1269"/>
      <c r="AI289" s="1269"/>
      <c r="AJ289" s="1269"/>
      <c r="AK289" s="1269"/>
      <c r="AL289" s="1269"/>
      <c r="AM289" s="549"/>
      <c r="AN289" s="73"/>
    </row>
    <row r="290" spans="1:49">
      <c r="A290" s="549"/>
      <c r="B290" s="1269"/>
      <c r="C290" s="1269"/>
      <c r="D290" s="1269"/>
      <c r="E290" s="1269"/>
      <c r="F290" s="1269"/>
      <c r="G290" s="1269"/>
      <c r="H290" s="1269"/>
      <c r="I290" s="1269"/>
      <c r="J290" s="1269"/>
      <c r="K290" s="1269"/>
      <c r="L290" s="1269"/>
      <c r="M290" s="1269"/>
      <c r="N290" s="1269"/>
      <c r="O290" s="1269"/>
      <c r="P290" s="1269"/>
      <c r="Q290" s="1269"/>
      <c r="R290" s="1269"/>
      <c r="S290" s="1269"/>
      <c r="T290" s="1269"/>
      <c r="U290" s="1269"/>
      <c r="V290" s="1269"/>
      <c r="W290" s="1269"/>
      <c r="X290" s="1269"/>
      <c r="Y290" s="1269"/>
      <c r="Z290" s="1269"/>
      <c r="AA290" s="1269"/>
      <c r="AB290" s="1269"/>
      <c r="AC290" s="1269"/>
      <c r="AD290" s="1269"/>
      <c r="AE290" s="1269"/>
      <c r="AF290" s="1269"/>
      <c r="AG290" s="1269"/>
      <c r="AH290" s="1269"/>
      <c r="AI290" s="1269"/>
      <c r="AJ290" s="1269"/>
      <c r="AK290" s="1269"/>
      <c r="AL290" s="1269"/>
      <c r="AM290" s="549"/>
      <c r="AN290" s="73"/>
    </row>
    <row r="291" spans="1:49">
      <c r="A291" s="549"/>
      <c r="B291" s="1269"/>
      <c r="C291" s="1269"/>
      <c r="D291" s="1269"/>
      <c r="E291" s="1269"/>
      <c r="F291" s="1269"/>
      <c r="G291" s="1269"/>
      <c r="H291" s="1269"/>
      <c r="I291" s="1269"/>
      <c r="J291" s="1269"/>
      <c r="K291" s="1269"/>
      <c r="L291" s="1269"/>
      <c r="M291" s="1269"/>
      <c r="N291" s="1269"/>
      <c r="O291" s="1269"/>
      <c r="P291" s="1269"/>
      <c r="Q291" s="1269"/>
      <c r="R291" s="1269"/>
      <c r="S291" s="1269"/>
      <c r="T291" s="1269"/>
      <c r="U291" s="1269"/>
      <c r="V291" s="1269"/>
      <c r="W291" s="1269"/>
      <c r="X291" s="1269"/>
      <c r="Y291" s="1269"/>
      <c r="Z291" s="1269"/>
      <c r="AA291" s="1269"/>
      <c r="AB291" s="1269"/>
      <c r="AC291" s="1269"/>
      <c r="AD291" s="1269"/>
      <c r="AE291" s="1269"/>
      <c r="AF291" s="1269"/>
      <c r="AG291" s="1269"/>
      <c r="AH291" s="1269"/>
      <c r="AI291" s="1269"/>
      <c r="AJ291" s="1269"/>
      <c r="AK291" s="1269"/>
      <c r="AL291" s="1269"/>
      <c r="AM291" s="549"/>
      <c r="AN291" s="73"/>
    </row>
    <row r="292" spans="1:49">
      <c r="A292" s="549"/>
      <c r="B292" s="1269"/>
      <c r="C292" s="1269"/>
      <c r="D292" s="1269"/>
      <c r="E292" s="1269"/>
      <c r="F292" s="1269"/>
      <c r="G292" s="1269"/>
      <c r="H292" s="1269"/>
      <c r="I292" s="1269"/>
      <c r="J292" s="1269"/>
      <c r="K292" s="1269"/>
      <c r="L292" s="1269"/>
      <c r="M292" s="1269"/>
      <c r="N292" s="1269"/>
      <c r="O292" s="1269"/>
      <c r="P292" s="1269"/>
      <c r="Q292" s="1269"/>
      <c r="R292" s="1269"/>
      <c r="S292" s="1269"/>
      <c r="T292" s="1269"/>
      <c r="U292" s="1269"/>
      <c r="V292" s="1269"/>
      <c r="W292" s="1269"/>
      <c r="X292" s="1269"/>
      <c r="Y292" s="1269"/>
      <c r="Z292" s="1269"/>
      <c r="AA292" s="1269"/>
      <c r="AB292" s="1269"/>
      <c r="AC292" s="1269"/>
      <c r="AD292" s="1269"/>
      <c r="AE292" s="1269"/>
      <c r="AF292" s="1269"/>
      <c r="AG292" s="1269"/>
      <c r="AH292" s="1269"/>
      <c r="AI292" s="1269"/>
      <c r="AJ292" s="1269"/>
      <c r="AK292" s="1269"/>
      <c r="AL292" s="1269"/>
      <c r="AM292" s="549"/>
      <c r="AN292" s="73"/>
    </row>
    <row r="293" spans="1:49">
      <c r="A293" s="549"/>
      <c r="B293" s="1269"/>
      <c r="C293" s="1269"/>
      <c r="D293" s="1269"/>
      <c r="E293" s="1269"/>
      <c r="F293" s="1269"/>
      <c r="G293" s="1269"/>
      <c r="H293" s="1269"/>
      <c r="I293" s="1269"/>
      <c r="J293" s="1269"/>
      <c r="K293" s="1269"/>
      <c r="L293" s="1269"/>
      <c r="M293" s="1269"/>
      <c r="N293" s="1269"/>
      <c r="O293" s="1269"/>
      <c r="P293" s="1269"/>
      <c r="Q293" s="1269"/>
      <c r="R293" s="1269"/>
      <c r="S293" s="1269"/>
      <c r="T293" s="1269"/>
      <c r="U293" s="1269"/>
      <c r="V293" s="1269"/>
      <c r="W293" s="1269"/>
      <c r="X293" s="1269"/>
      <c r="Y293" s="1269"/>
      <c r="Z293" s="1269"/>
      <c r="AA293" s="1269"/>
      <c r="AB293" s="1269"/>
      <c r="AC293" s="1269"/>
      <c r="AD293" s="1269"/>
      <c r="AE293" s="1269"/>
      <c r="AF293" s="1269"/>
      <c r="AG293" s="1269"/>
      <c r="AH293" s="1269"/>
      <c r="AI293" s="1269"/>
      <c r="AJ293" s="1269"/>
      <c r="AK293" s="1269"/>
      <c r="AL293" s="1269"/>
      <c r="AM293" s="549"/>
      <c r="AN293" s="73"/>
    </row>
    <row r="294" spans="1:49">
      <c r="A294" s="549"/>
      <c r="B294" s="1269"/>
      <c r="C294" s="1269"/>
      <c r="D294" s="1269"/>
      <c r="E294" s="1269"/>
      <c r="F294" s="1269"/>
      <c r="G294" s="1269"/>
      <c r="H294" s="1269"/>
      <c r="I294" s="1269"/>
      <c r="J294" s="1269"/>
      <c r="K294" s="1269"/>
      <c r="L294" s="1269"/>
      <c r="M294" s="1269"/>
      <c r="N294" s="1269"/>
      <c r="O294" s="1269"/>
      <c r="P294" s="1269"/>
      <c r="Q294" s="1269"/>
      <c r="R294" s="1269"/>
      <c r="S294" s="1269"/>
      <c r="T294" s="1269"/>
      <c r="U294" s="1269"/>
      <c r="V294" s="1269"/>
      <c r="W294" s="1269"/>
      <c r="X294" s="1269"/>
      <c r="Y294" s="1269"/>
      <c r="Z294" s="1269"/>
      <c r="AA294" s="1269"/>
      <c r="AB294" s="1269"/>
      <c r="AC294" s="1269"/>
      <c r="AD294" s="1269"/>
      <c r="AE294" s="1269"/>
      <c r="AF294" s="1269"/>
      <c r="AG294" s="1269"/>
      <c r="AH294" s="1269"/>
      <c r="AI294" s="1269"/>
      <c r="AJ294" s="1269"/>
      <c r="AK294" s="1269"/>
      <c r="AL294" s="1269"/>
      <c r="AM294" s="549"/>
      <c r="AN294" s="73"/>
    </row>
    <row r="295" spans="1:49">
      <c r="A295" s="549"/>
      <c r="B295" s="1269"/>
      <c r="C295" s="1269"/>
      <c r="D295" s="1269"/>
      <c r="E295" s="1269"/>
      <c r="F295" s="1269"/>
      <c r="G295" s="1269"/>
      <c r="H295" s="1269"/>
      <c r="I295" s="1269"/>
      <c r="J295" s="1269"/>
      <c r="K295" s="1269"/>
      <c r="L295" s="1269"/>
      <c r="M295" s="1269"/>
      <c r="N295" s="1269"/>
      <c r="O295" s="1269"/>
      <c r="P295" s="1269"/>
      <c r="Q295" s="1269"/>
      <c r="R295" s="1269"/>
      <c r="S295" s="1269"/>
      <c r="T295" s="1269"/>
      <c r="U295" s="1269"/>
      <c r="V295" s="1269"/>
      <c r="W295" s="1269"/>
      <c r="X295" s="1269"/>
      <c r="Y295" s="1269"/>
      <c r="Z295" s="1269"/>
      <c r="AA295" s="1269"/>
      <c r="AB295" s="1269"/>
      <c r="AC295" s="1269"/>
      <c r="AD295" s="1269"/>
      <c r="AE295" s="1269"/>
      <c r="AF295" s="1269"/>
      <c r="AG295" s="1269"/>
      <c r="AH295" s="1269"/>
      <c r="AI295" s="1269"/>
      <c r="AJ295" s="1269"/>
      <c r="AK295" s="1269"/>
      <c r="AL295" s="1269"/>
      <c r="AM295" s="549"/>
      <c r="AN295" s="73"/>
    </row>
    <row r="296" spans="1:49">
      <c r="A296" s="549"/>
      <c r="B296" s="1269"/>
      <c r="C296" s="1269"/>
      <c r="D296" s="1269"/>
      <c r="E296" s="1269"/>
      <c r="F296" s="1269"/>
      <c r="G296" s="1269"/>
      <c r="H296" s="1269"/>
      <c r="I296" s="1269"/>
      <c r="J296" s="1269"/>
      <c r="K296" s="1269"/>
      <c r="L296" s="1269"/>
      <c r="M296" s="1269"/>
      <c r="N296" s="1269"/>
      <c r="O296" s="1269"/>
      <c r="P296" s="1269"/>
      <c r="Q296" s="1269"/>
      <c r="R296" s="1269"/>
      <c r="S296" s="1269"/>
      <c r="T296" s="1269"/>
      <c r="U296" s="1269"/>
      <c r="V296" s="1269"/>
      <c r="W296" s="1269"/>
      <c r="X296" s="1269"/>
      <c r="Y296" s="1269"/>
      <c r="Z296" s="1269"/>
      <c r="AA296" s="1269"/>
      <c r="AB296" s="1269"/>
      <c r="AC296" s="1269"/>
      <c r="AD296" s="1269"/>
      <c r="AE296" s="1269"/>
      <c r="AF296" s="1269"/>
      <c r="AG296" s="1269"/>
      <c r="AH296" s="1269"/>
      <c r="AI296" s="1269"/>
      <c r="AJ296" s="1269"/>
      <c r="AK296" s="1269"/>
      <c r="AL296" s="1269"/>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1371</v>
      </c>
      <c r="AK298" s="1361">
        <f>IF($C$279="yes",10,0)</f>
        <v>10</v>
      </c>
      <c r="AL298" s="1361"/>
      <c r="AM298" s="1362"/>
      <c r="AN298" s="73"/>
    </row>
    <row r="299" spans="1:49" ht="13.8" thickBot="1"/>
    <row r="300" spans="1:49" ht="13.8"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1368</v>
      </c>
      <c r="B301" s="538" t="s">
        <v>2555</v>
      </c>
      <c r="AH301" s="589" t="s">
        <v>1307</v>
      </c>
    </row>
    <row r="302" spans="1:49" ht="15" customHeight="1">
      <c r="B302" s="539"/>
    </row>
    <row r="303" spans="1:49" ht="15" customHeight="1">
      <c r="B303" s="539" t="s">
        <v>1716</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375" t="s">
        <v>1373</v>
      </c>
      <c r="B305" s="1375"/>
      <c r="C305" s="1343" t="s">
        <v>545</v>
      </c>
      <c r="D305" s="1353"/>
      <c r="E305" s="546"/>
      <c r="F305" s="1376" t="s">
        <v>1374</v>
      </c>
      <c r="G305" s="1377"/>
      <c r="H305" s="1377"/>
      <c r="I305" s="1377"/>
      <c r="J305" s="1377"/>
      <c r="K305" s="1377"/>
      <c r="L305" s="1377"/>
      <c r="M305" s="1377"/>
      <c r="N305" s="1377"/>
      <c r="O305" s="1377"/>
      <c r="P305" s="1377"/>
      <c r="Q305" s="1377"/>
      <c r="R305" s="1377"/>
      <c r="S305" s="1377"/>
      <c r="T305" s="1377"/>
      <c r="U305" s="1377"/>
      <c r="V305" s="1377"/>
      <c r="W305" s="1377"/>
      <c r="X305" s="1377"/>
      <c r="Y305" s="1377"/>
      <c r="Z305" s="1377"/>
      <c r="AA305" s="1377"/>
      <c r="AB305" s="1377"/>
      <c r="AC305" s="1377"/>
      <c r="AD305" s="1378"/>
      <c r="AE305" s="640"/>
      <c r="AF305" s="549"/>
      <c r="AG305" s="1379" t="s">
        <v>1980</v>
      </c>
      <c r="AH305" s="1379"/>
      <c r="AI305" s="1379"/>
      <c r="AJ305" s="1379"/>
      <c r="AK305" s="1379"/>
      <c r="AL305" s="549"/>
      <c r="AM305" s="549"/>
      <c r="AN305" s="73"/>
      <c r="AO305" s="14"/>
      <c r="AP305" s="30"/>
      <c r="AS305" s="568"/>
      <c r="AT305" s="568"/>
      <c r="AU305" s="568"/>
      <c r="AV305" s="32"/>
      <c r="AW305" s="32"/>
    </row>
    <row r="306" spans="1:49">
      <c r="A306" s="638"/>
      <c r="B306" s="594"/>
      <c r="F306" s="1347"/>
      <c r="G306" s="1348"/>
      <c r="H306" s="1348"/>
      <c r="I306" s="1348"/>
      <c r="J306" s="1348"/>
      <c r="K306" s="1348"/>
      <c r="L306" s="1348"/>
      <c r="M306" s="1348"/>
      <c r="N306" s="1348"/>
      <c r="O306" s="1348"/>
      <c r="P306" s="1348"/>
      <c r="Q306" s="1348"/>
      <c r="R306" s="1348"/>
      <c r="S306" s="1348"/>
      <c r="T306" s="1348"/>
      <c r="U306" s="1348"/>
      <c r="V306" s="1348"/>
      <c r="W306" s="1348"/>
      <c r="X306" s="1348"/>
      <c r="Y306" s="1348"/>
      <c r="Z306" s="1348"/>
      <c r="AA306" s="1348"/>
      <c r="AB306" s="1348"/>
      <c r="AC306" s="1348"/>
      <c r="AD306" s="1349"/>
      <c r="AE306" s="640"/>
      <c r="AF306" s="550"/>
      <c r="AH306" s="550"/>
      <c r="AI306" s="550"/>
      <c r="AJ306" s="549"/>
      <c r="AK306" s="549"/>
      <c r="AL306" s="549"/>
      <c r="AM306" s="549"/>
      <c r="AN306" s="73"/>
      <c r="AO306" s="14"/>
      <c r="AP306" s="549">
        <f>IF($C$305="yes",10,IF(C305="50% Met",9,0))</f>
        <v>10</v>
      </c>
      <c r="AS306" s="568"/>
      <c r="AT306" s="568"/>
      <c r="AU306" s="568"/>
      <c r="AV306" s="32"/>
      <c r="AW306" s="32"/>
    </row>
    <row r="307" spans="1:49" ht="12.75" customHeight="1">
      <c r="A307" s="638"/>
      <c r="B307" s="594"/>
      <c r="F307" s="1347"/>
      <c r="G307" s="1348"/>
      <c r="H307" s="1348"/>
      <c r="I307" s="1348"/>
      <c r="J307" s="1348"/>
      <c r="K307" s="1348"/>
      <c r="L307" s="1348"/>
      <c r="M307" s="1348"/>
      <c r="N307" s="1348"/>
      <c r="O307" s="1348"/>
      <c r="P307" s="1348"/>
      <c r="Q307" s="1348"/>
      <c r="R307" s="1348"/>
      <c r="S307" s="1348"/>
      <c r="T307" s="1348"/>
      <c r="U307" s="1348"/>
      <c r="V307" s="1348"/>
      <c r="W307" s="1348"/>
      <c r="X307" s="1348"/>
      <c r="Y307" s="1348"/>
      <c r="Z307" s="1348"/>
      <c r="AA307" s="1348"/>
      <c r="AB307" s="1348"/>
      <c r="AC307" s="1348"/>
      <c r="AD307" s="1349"/>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1347" t="s">
        <v>1985</v>
      </c>
      <c r="G308" s="1348"/>
      <c r="H308" s="1348"/>
      <c r="I308" s="1348"/>
      <c r="J308" s="1348"/>
      <c r="K308" s="1348"/>
      <c r="L308" s="1348"/>
      <c r="M308" s="1348"/>
      <c r="N308" s="1348"/>
      <c r="O308" s="1348"/>
      <c r="P308" s="1348"/>
      <c r="Q308" s="1348"/>
      <c r="R308" s="1348"/>
      <c r="S308" s="1348"/>
      <c r="T308" s="1348"/>
      <c r="U308" s="1348"/>
      <c r="V308" s="1348"/>
      <c r="W308" s="1348"/>
      <c r="X308" s="1348"/>
      <c r="Y308" s="1348"/>
      <c r="Z308" s="1348"/>
      <c r="AA308" s="1348"/>
      <c r="AB308" s="1348"/>
      <c r="AC308" s="1348"/>
      <c r="AD308" s="1349"/>
      <c r="AE308" s="640"/>
      <c r="AF308" s="550"/>
      <c r="AH308" s="550"/>
      <c r="AI308" s="550"/>
      <c r="AJ308" s="549"/>
      <c r="AK308" s="549"/>
      <c r="AL308" s="549"/>
      <c r="AM308" s="549"/>
      <c r="AN308" s="73"/>
      <c r="AO308" s="14"/>
      <c r="AP308" s="609">
        <f>MAX(AP306,AP307)</f>
        <v>10</v>
      </c>
      <c r="AQ308" s="572" t="s">
        <v>1309</v>
      </c>
      <c r="AS308" s="568"/>
      <c r="AT308" s="568"/>
      <c r="AU308" s="568"/>
      <c r="AV308" s="32"/>
      <c r="AW308" s="32"/>
    </row>
    <row r="309" spans="1:49">
      <c r="A309" s="638"/>
      <c r="B309" s="594"/>
      <c r="F309" s="1347"/>
      <c r="G309" s="1348"/>
      <c r="H309" s="1348"/>
      <c r="I309" s="1348"/>
      <c r="J309" s="1348"/>
      <c r="K309" s="1348"/>
      <c r="L309" s="1348"/>
      <c r="M309" s="1348"/>
      <c r="N309" s="1348"/>
      <c r="O309" s="1348"/>
      <c r="P309" s="1348"/>
      <c r="Q309" s="1348"/>
      <c r="R309" s="1348"/>
      <c r="S309" s="1348"/>
      <c r="T309" s="1348"/>
      <c r="U309" s="1348"/>
      <c r="V309" s="1348"/>
      <c r="W309" s="1348"/>
      <c r="X309" s="1348"/>
      <c r="Y309" s="1348"/>
      <c r="Z309" s="1348"/>
      <c r="AA309" s="1348"/>
      <c r="AB309" s="1348"/>
      <c r="AC309" s="1348"/>
      <c r="AD309" s="1349"/>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1347" t="s">
        <v>1375</v>
      </c>
      <c r="G310" s="1348"/>
      <c r="H310" s="1348"/>
      <c r="I310" s="1348"/>
      <c r="J310" s="1348"/>
      <c r="K310" s="1348"/>
      <c r="L310" s="1348"/>
      <c r="M310" s="1348"/>
      <c r="N310" s="1348"/>
      <c r="O310" s="1348"/>
      <c r="P310" s="1348"/>
      <c r="Q310" s="1348"/>
      <c r="R310" s="1348"/>
      <c r="S310" s="1348"/>
      <c r="T310" s="1348"/>
      <c r="U310" s="1348"/>
      <c r="V310" s="1348"/>
      <c r="W310" s="1348"/>
      <c r="X310" s="1348"/>
      <c r="Y310" s="1348"/>
      <c r="Z310" s="1348"/>
      <c r="AA310" s="1348"/>
      <c r="AB310" s="1348"/>
      <c r="AC310" s="1348"/>
      <c r="AD310" s="1349"/>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1347"/>
      <c r="G311" s="1348"/>
      <c r="H311" s="1348"/>
      <c r="I311" s="1348"/>
      <c r="J311" s="1348"/>
      <c r="K311" s="1348"/>
      <c r="L311" s="1348"/>
      <c r="M311" s="1348"/>
      <c r="N311" s="1348"/>
      <c r="O311" s="1348"/>
      <c r="P311" s="1348"/>
      <c r="Q311" s="1348"/>
      <c r="R311" s="1348"/>
      <c r="S311" s="1348"/>
      <c r="T311" s="1348"/>
      <c r="U311" s="1348"/>
      <c r="V311" s="1348"/>
      <c r="W311" s="1348"/>
      <c r="X311" s="1348"/>
      <c r="Y311" s="1348"/>
      <c r="Z311" s="1348"/>
      <c r="AA311" s="1348"/>
      <c r="AB311" s="1348"/>
      <c r="AC311" s="1348"/>
      <c r="AD311" s="1349"/>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1347" t="s">
        <v>1376</v>
      </c>
      <c r="G312" s="1348"/>
      <c r="H312" s="1348"/>
      <c r="I312" s="1348"/>
      <c r="J312" s="1348"/>
      <c r="K312" s="1348"/>
      <c r="L312" s="1348"/>
      <c r="M312" s="1348"/>
      <c r="N312" s="1348"/>
      <c r="O312" s="1348"/>
      <c r="P312" s="1348"/>
      <c r="Q312" s="1348"/>
      <c r="R312" s="1348"/>
      <c r="S312" s="1348"/>
      <c r="T312" s="1348"/>
      <c r="U312" s="1348"/>
      <c r="V312" s="1348"/>
      <c r="W312" s="1348"/>
      <c r="X312" s="1348"/>
      <c r="Y312" s="1348"/>
      <c r="Z312" s="1348"/>
      <c r="AA312" s="1348"/>
      <c r="AB312" s="1348"/>
      <c r="AC312" s="1348"/>
      <c r="AD312" s="1349"/>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1350"/>
      <c r="G313" s="1351"/>
      <c r="H313" s="1351"/>
      <c r="I313" s="1351"/>
      <c r="J313" s="1351"/>
      <c r="K313" s="1351"/>
      <c r="L313" s="1351"/>
      <c r="M313" s="1351"/>
      <c r="N313" s="1351"/>
      <c r="O313" s="1351"/>
      <c r="P313" s="1351"/>
      <c r="Q313" s="1351"/>
      <c r="R313" s="1351"/>
      <c r="S313" s="1351"/>
      <c r="T313" s="1351"/>
      <c r="U313" s="1351"/>
      <c r="V313" s="1351"/>
      <c r="W313" s="1351"/>
      <c r="X313" s="1351"/>
      <c r="Y313" s="1351"/>
      <c r="Z313" s="1351"/>
      <c r="AA313" s="1351"/>
      <c r="AB313" s="1351"/>
      <c r="AC313" s="1351"/>
      <c r="AD313" s="1352"/>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375" t="s">
        <v>1377</v>
      </c>
      <c r="B315" s="1375"/>
      <c r="C315" s="1353" t="s">
        <v>591</v>
      </c>
      <c r="D315" s="1353"/>
      <c r="E315" s="546"/>
      <c r="F315" s="967" t="s">
        <v>2556</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1379</v>
      </c>
      <c r="AH315" s="550"/>
      <c r="AI315" s="550"/>
      <c r="AJ315" s="549"/>
      <c r="AK315" s="549"/>
      <c r="AL315" s="549"/>
      <c r="AM315" s="549"/>
      <c r="AN315" s="643"/>
      <c r="AO315" s="14"/>
    </row>
    <row r="316" spans="1:49">
      <c r="A316" s="549"/>
      <c r="B316" s="550"/>
      <c r="C316" s="549"/>
      <c r="D316" s="550"/>
      <c r="E316" s="549"/>
      <c r="F316" s="1347" t="s">
        <v>1981</v>
      </c>
      <c r="G316" s="1348"/>
      <c r="H316" s="1348"/>
      <c r="I316" s="1348"/>
      <c r="J316" s="1348"/>
      <c r="K316" s="1348"/>
      <c r="L316" s="1348"/>
      <c r="M316" s="1348"/>
      <c r="N316" s="1348"/>
      <c r="O316" s="1348"/>
      <c r="P316" s="1348"/>
      <c r="Q316" s="1348"/>
      <c r="R316" s="1348"/>
      <c r="S316" s="1348"/>
      <c r="T316" s="1348"/>
      <c r="U316" s="1348"/>
      <c r="V316" s="1348"/>
      <c r="W316" s="1348"/>
      <c r="X316" s="1348"/>
      <c r="Y316" s="1348"/>
      <c r="Z316" s="1348"/>
      <c r="AA316" s="1348"/>
      <c r="AB316" s="1348"/>
      <c r="AC316" s="1348"/>
      <c r="AD316" s="1349"/>
      <c r="AE316" s="550"/>
      <c r="AF316" s="550"/>
      <c r="AG316" s="550"/>
      <c r="AH316" s="550"/>
      <c r="AI316" s="550"/>
      <c r="AJ316" s="549"/>
      <c r="AK316" s="549"/>
      <c r="AL316" s="549"/>
      <c r="AM316" s="549"/>
      <c r="AR316" s="644"/>
    </row>
    <row r="317" spans="1:49" ht="15" customHeight="1">
      <c r="A317" s="549"/>
      <c r="B317" s="550"/>
      <c r="C317" s="549"/>
      <c r="D317" s="550"/>
      <c r="E317" s="549"/>
      <c r="F317" s="1347"/>
      <c r="G317" s="1348"/>
      <c r="H317" s="1348"/>
      <c r="I317" s="1348"/>
      <c r="J317" s="1348"/>
      <c r="K317" s="1348"/>
      <c r="L317" s="1348"/>
      <c r="M317" s="1348"/>
      <c r="N317" s="1348"/>
      <c r="O317" s="1348"/>
      <c r="P317" s="1348"/>
      <c r="Q317" s="1348"/>
      <c r="R317" s="1348"/>
      <c r="S317" s="1348"/>
      <c r="T317" s="1348"/>
      <c r="U317" s="1348"/>
      <c r="V317" s="1348"/>
      <c r="W317" s="1348"/>
      <c r="X317" s="1348"/>
      <c r="Y317" s="1348"/>
      <c r="Z317" s="1348"/>
      <c r="AA317" s="1348"/>
      <c r="AB317" s="1348"/>
      <c r="AC317" s="1348"/>
      <c r="AD317" s="1349"/>
      <c r="AE317" s="550"/>
      <c r="AF317" s="550"/>
      <c r="AG317" s="550"/>
      <c r="AH317" s="550"/>
      <c r="AI317" s="550"/>
      <c r="AJ317" s="549"/>
      <c r="AK317" s="549"/>
      <c r="AL317" s="549"/>
      <c r="AM317" s="549"/>
      <c r="AR317" s="644"/>
    </row>
    <row r="318" spans="1:49">
      <c r="A318" s="549"/>
      <c r="B318" s="550"/>
      <c r="C318" s="549"/>
      <c r="D318" s="550"/>
      <c r="E318" s="549"/>
      <c r="F318" s="1347"/>
      <c r="G318" s="1348"/>
      <c r="H318" s="1348"/>
      <c r="I318" s="1348"/>
      <c r="J318" s="1348"/>
      <c r="K318" s="1348"/>
      <c r="L318" s="1348"/>
      <c r="M318" s="1348"/>
      <c r="N318" s="1348"/>
      <c r="O318" s="1348"/>
      <c r="P318" s="1348"/>
      <c r="Q318" s="1348"/>
      <c r="R318" s="1348"/>
      <c r="S318" s="1348"/>
      <c r="T318" s="1348"/>
      <c r="U318" s="1348"/>
      <c r="V318" s="1348"/>
      <c r="W318" s="1348"/>
      <c r="X318" s="1348"/>
      <c r="Y318" s="1348"/>
      <c r="Z318" s="1348"/>
      <c r="AA318" s="1348"/>
      <c r="AB318" s="1348"/>
      <c r="AC318" s="1348"/>
      <c r="AD318" s="1349"/>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1350"/>
      <c r="G319" s="1351"/>
      <c r="H319" s="1351"/>
      <c r="I319" s="1351"/>
      <c r="J319" s="1351"/>
      <c r="K319" s="1351"/>
      <c r="L319" s="1351"/>
      <c r="M319" s="1351"/>
      <c r="N319" s="1351"/>
      <c r="O319" s="1351"/>
      <c r="P319" s="1351"/>
      <c r="Q319" s="1351"/>
      <c r="R319" s="1351"/>
      <c r="S319" s="1351"/>
      <c r="T319" s="1351"/>
      <c r="U319" s="1351"/>
      <c r="V319" s="1351"/>
      <c r="W319" s="1351"/>
      <c r="X319" s="1351"/>
      <c r="Y319" s="1351"/>
      <c r="Z319" s="1351"/>
      <c r="AA319" s="1351"/>
      <c r="AB319" s="1351"/>
      <c r="AC319" s="1351"/>
      <c r="AD319" s="1352"/>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375" t="s">
        <v>1380</v>
      </c>
      <c r="B323" s="1375"/>
      <c r="C323" s="1353" t="s">
        <v>591</v>
      </c>
      <c r="D323" s="1353"/>
      <c r="E323" s="546"/>
      <c r="F323" s="642" t="s">
        <v>1378</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1379</v>
      </c>
      <c r="AH323" s="550"/>
      <c r="AI323" s="550"/>
      <c r="AJ323" s="549"/>
      <c r="AK323" s="549"/>
      <c r="AL323" s="549"/>
      <c r="AM323" s="549"/>
      <c r="AN323" s="73"/>
      <c r="AO323" s="14"/>
    </row>
    <row r="324" spans="1:44" hidden="1">
      <c r="A324" s="89"/>
      <c r="B324" s="89"/>
      <c r="C324" s="726"/>
      <c r="D324" s="726"/>
      <c r="E324" s="546"/>
      <c r="F324" s="1347" t="s">
        <v>1986</v>
      </c>
      <c r="G324" s="1348"/>
      <c r="H324" s="1348"/>
      <c r="I324" s="1348"/>
      <c r="J324" s="1348"/>
      <c r="K324" s="1348"/>
      <c r="L324" s="1348"/>
      <c r="M324" s="1348"/>
      <c r="N324" s="1348"/>
      <c r="O324" s="1348"/>
      <c r="P324" s="1348"/>
      <c r="Q324" s="1348"/>
      <c r="R324" s="1348"/>
      <c r="S324" s="1348"/>
      <c r="T324" s="1348"/>
      <c r="U324" s="1348"/>
      <c r="V324" s="1348"/>
      <c r="W324" s="1348"/>
      <c r="X324" s="1348"/>
      <c r="Y324" s="1348"/>
      <c r="Z324" s="1348"/>
      <c r="AA324" s="1348"/>
      <c r="AB324" s="1348"/>
      <c r="AC324" s="1348"/>
      <c r="AD324" s="1349"/>
      <c r="AE324" s="550"/>
      <c r="AF324" s="550"/>
      <c r="AG324" s="539"/>
      <c r="AH324" s="550"/>
      <c r="AI324" s="550"/>
      <c r="AJ324" s="549"/>
      <c r="AK324" s="549"/>
      <c r="AL324" s="549"/>
      <c r="AM324" s="549"/>
      <c r="AN324" s="73"/>
      <c r="AO324" s="14"/>
      <c r="AP324" s="555" t="s">
        <v>1183</v>
      </c>
    </row>
    <row r="325" spans="1:44" hidden="1">
      <c r="F325" s="1347"/>
      <c r="G325" s="1348"/>
      <c r="H325" s="1348"/>
      <c r="I325" s="1348"/>
      <c r="J325" s="1348"/>
      <c r="K325" s="1348"/>
      <c r="L325" s="1348"/>
      <c r="M325" s="1348"/>
      <c r="N325" s="1348"/>
      <c r="O325" s="1348"/>
      <c r="P325" s="1348"/>
      <c r="Q325" s="1348"/>
      <c r="R325" s="1348"/>
      <c r="S325" s="1348"/>
      <c r="T325" s="1348"/>
      <c r="U325" s="1348"/>
      <c r="V325" s="1348"/>
      <c r="W325" s="1348"/>
      <c r="X325" s="1348"/>
      <c r="Y325" s="1348"/>
      <c r="Z325" s="1348"/>
      <c r="AA325" s="1348"/>
      <c r="AB325" s="1348"/>
      <c r="AC325" s="1348"/>
      <c r="AD325" s="1349"/>
      <c r="AE325" s="550"/>
      <c r="AF325" s="550"/>
      <c r="AH325" s="550"/>
      <c r="AI325" s="550"/>
      <c r="AJ325" s="549"/>
      <c r="AK325" s="549"/>
      <c r="AL325" s="549"/>
      <c r="AM325" s="549"/>
      <c r="AN325" s="73"/>
      <c r="AO325" s="14"/>
      <c r="AP325" s="555" t="s">
        <v>1717</v>
      </c>
    </row>
    <row r="326" spans="1:44" hidden="1">
      <c r="A326" s="549"/>
      <c r="B326" s="550"/>
      <c r="C326" s="726"/>
      <c r="D326" s="726"/>
      <c r="E326" s="546"/>
      <c r="F326" s="648" t="s">
        <v>1381</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1719</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1829</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1383" t="s">
        <v>1183</v>
      </c>
      <c r="G329" s="1384"/>
      <c r="H329" s="1384"/>
      <c r="I329" s="1384"/>
      <c r="J329" s="1384"/>
      <c r="K329" s="1384"/>
      <c r="L329" s="1384"/>
      <c r="M329" s="1384"/>
      <c r="N329" s="1384"/>
      <c r="O329" s="1384"/>
      <c r="P329" s="1384"/>
      <c r="Q329" s="1384"/>
      <c r="R329" s="1384"/>
      <c r="S329" s="1384"/>
      <c r="T329" s="1384"/>
      <c r="U329" s="1384"/>
      <c r="V329" s="1384"/>
      <c r="W329" s="1384"/>
      <c r="X329" s="1384"/>
      <c r="Y329" s="1384"/>
      <c r="Z329" s="1384"/>
      <c r="AA329" s="1384"/>
      <c r="AB329" s="1384"/>
      <c r="AC329" s="1384"/>
      <c r="AD329" s="1385"/>
      <c r="AE329" s="640"/>
      <c r="AF329" s="640"/>
      <c r="AG329" s="640"/>
      <c r="AH329" s="640"/>
      <c r="AI329" s="640"/>
      <c r="AJ329" s="640"/>
      <c r="AK329" s="640"/>
      <c r="AL329" s="549"/>
      <c r="AM329" s="549"/>
      <c r="AN329" s="73"/>
      <c r="AO329" s="14"/>
      <c r="AP329" s="30"/>
    </row>
    <row r="330" spans="1:44" hidden="1">
      <c r="A330" s="549"/>
      <c r="B330" s="550"/>
      <c r="C330" s="726"/>
      <c r="D330" s="726"/>
      <c r="E330" s="546"/>
      <c r="F330" s="1383"/>
      <c r="G330" s="1384"/>
      <c r="H330" s="1384"/>
      <c r="I330" s="1384"/>
      <c r="J330" s="1384"/>
      <c r="K330" s="1384"/>
      <c r="L330" s="1384"/>
      <c r="M330" s="1384"/>
      <c r="N330" s="1384"/>
      <c r="O330" s="1384"/>
      <c r="P330" s="1384"/>
      <c r="Q330" s="1384"/>
      <c r="R330" s="1384"/>
      <c r="S330" s="1384"/>
      <c r="T330" s="1384"/>
      <c r="U330" s="1384"/>
      <c r="V330" s="1384"/>
      <c r="W330" s="1384"/>
      <c r="X330" s="1384"/>
      <c r="Y330" s="1384"/>
      <c r="Z330" s="1384"/>
      <c r="AA330" s="1384"/>
      <c r="AB330" s="1384"/>
      <c r="AC330" s="1384"/>
      <c r="AD330" s="1385"/>
      <c r="AE330" s="550"/>
      <c r="AF330" s="550"/>
      <c r="AG330" s="539"/>
      <c r="AH330" s="550"/>
      <c r="AI330" s="550"/>
      <c r="AJ330" s="549"/>
      <c r="AK330" s="549"/>
      <c r="AL330" s="549"/>
      <c r="AM330" s="549"/>
      <c r="AN330" s="73"/>
      <c r="AO330" s="14"/>
      <c r="AP330" s="30"/>
    </row>
    <row r="331" spans="1:44" hidden="1">
      <c r="A331" s="549"/>
      <c r="B331" s="550"/>
      <c r="C331" s="726"/>
      <c r="D331" s="726"/>
      <c r="E331" s="546"/>
      <c r="F331" s="1383"/>
      <c r="G331" s="1384"/>
      <c r="H331" s="1384"/>
      <c r="I331" s="1384"/>
      <c r="J331" s="1384"/>
      <c r="K331" s="1384"/>
      <c r="L331" s="1384"/>
      <c r="M331" s="1384"/>
      <c r="N331" s="1384"/>
      <c r="O331" s="1384"/>
      <c r="P331" s="1384"/>
      <c r="Q331" s="1384"/>
      <c r="R331" s="1384"/>
      <c r="S331" s="1384"/>
      <c r="T331" s="1384"/>
      <c r="U331" s="1384"/>
      <c r="V331" s="1384"/>
      <c r="W331" s="1384"/>
      <c r="X331" s="1384"/>
      <c r="Y331" s="1384"/>
      <c r="Z331" s="1384"/>
      <c r="AA331" s="1384"/>
      <c r="AB331" s="1384"/>
      <c r="AC331" s="1384"/>
      <c r="AD331" s="1385"/>
      <c r="AE331" s="550"/>
      <c r="AF331" s="550"/>
      <c r="AG331" s="539"/>
      <c r="AH331" s="550"/>
      <c r="AI331" s="550"/>
      <c r="AJ331" s="549"/>
      <c r="AK331" s="549"/>
      <c r="AL331" s="549"/>
      <c r="AM331" s="549"/>
      <c r="AN331" s="73"/>
      <c r="AO331" s="14"/>
      <c r="AP331" s="30"/>
    </row>
    <row r="332" spans="1:44" hidden="1">
      <c r="A332" s="549"/>
      <c r="B332" s="550"/>
      <c r="C332" s="726"/>
      <c r="D332" s="726"/>
      <c r="E332" s="546"/>
      <c r="F332" s="1383"/>
      <c r="G332" s="1384"/>
      <c r="H332" s="1384"/>
      <c r="I332" s="1384"/>
      <c r="J332" s="1384"/>
      <c r="K332" s="1384"/>
      <c r="L332" s="1384"/>
      <c r="M332" s="1384"/>
      <c r="N332" s="1384"/>
      <c r="O332" s="1384"/>
      <c r="P332" s="1384"/>
      <c r="Q332" s="1384"/>
      <c r="R332" s="1384"/>
      <c r="S332" s="1384"/>
      <c r="T332" s="1384"/>
      <c r="U332" s="1384"/>
      <c r="V332" s="1384"/>
      <c r="W332" s="1384"/>
      <c r="X332" s="1384"/>
      <c r="Y332" s="1384"/>
      <c r="Z332" s="1384"/>
      <c r="AA332" s="1384"/>
      <c r="AB332" s="1384"/>
      <c r="AC332" s="1384"/>
      <c r="AD332" s="1385"/>
      <c r="AE332" s="550"/>
      <c r="AF332" s="550"/>
      <c r="AG332" s="539"/>
      <c r="AH332" s="550"/>
      <c r="AI332" s="550"/>
      <c r="AJ332" s="549"/>
      <c r="AK332" s="549"/>
      <c r="AL332" s="549"/>
      <c r="AM332" s="549"/>
      <c r="AN332" s="73"/>
      <c r="AO332" s="14"/>
      <c r="AP332" s="30"/>
    </row>
    <row r="333" spans="1:44" hidden="1">
      <c r="A333" s="549"/>
      <c r="B333" s="550"/>
      <c r="C333" s="726"/>
      <c r="D333" s="726"/>
      <c r="E333" s="546"/>
      <c r="F333" s="1386"/>
      <c r="G333" s="1387"/>
      <c r="H333" s="1387"/>
      <c r="I333" s="1387"/>
      <c r="J333" s="1387"/>
      <c r="K333" s="1387"/>
      <c r="L333" s="1387"/>
      <c r="M333" s="1387"/>
      <c r="N333" s="1387"/>
      <c r="O333" s="1387"/>
      <c r="P333" s="1387"/>
      <c r="Q333" s="1387"/>
      <c r="R333" s="1387"/>
      <c r="S333" s="1387"/>
      <c r="T333" s="1387"/>
      <c r="U333" s="1387"/>
      <c r="V333" s="1387"/>
      <c r="W333" s="1387"/>
      <c r="X333" s="1387"/>
      <c r="Y333" s="1387"/>
      <c r="Z333" s="1387"/>
      <c r="AA333" s="1387"/>
      <c r="AB333" s="1387"/>
      <c r="AC333" s="1387"/>
      <c r="AD333" s="1388"/>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1718</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1183</v>
      </c>
    </row>
    <row r="337" spans="1:42" ht="12.75" hidden="1" customHeight="1">
      <c r="A337" s="549"/>
      <c r="B337" s="550"/>
      <c r="C337" s="726"/>
      <c r="D337" s="726"/>
      <c r="E337" s="546"/>
      <c r="F337" s="652"/>
      <c r="G337" s="573" t="s">
        <v>687</v>
      </c>
      <c r="H337" s="573"/>
      <c r="I337" s="1389" t="s">
        <v>1183</v>
      </c>
      <c r="J337" s="1389"/>
      <c r="K337" s="1389"/>
      <c r="L337" s="1389"/>
      <c r="M337" s="1389"/>
      <c r="N337" s="1389"/>
      <c r="O337" s="1389"/>
      <c r="P337" s="1389"/>
      <c r="Q337" s="1389"/>
      <c r="R337" s="1389"/>
      <c r="S337" s="1389"/>
      <c r="T337" s="1389"/>
      <c r="U337" s="1389"/>
      <c r="V337" s="1389"/>
      <c r="W337" s="1389"/>
      <c r="X337" s="1389"/>
      <c r="Y337" s="1389"/>
      <c r="Z337" s="1389"/>
      <c r="AA337" s="1389"/>
      <c r="AB337" s="1389"/>
      <c r="AC337" s="1389"/>
      <c r="AD337" s="1390"/>
      <c r="AE337" s="550"/>
      <c r="AF337" s="550"/>
      <c r="AG337" s="539"/>
      <c r="AH337" s="550"/>
      <c r="AI337" s="550"/>
      <c r="AJ337" s="549"/>
      <c r="AK337" s="549"/>
      <c r="AL337" s="549"/>
      <c r="AM337" s="549"/>
      <c r="AN337" s="73"/>
      <c r="AO337" s="14"/>
      <c r="AP337" s="555" t="s">
        <v>1625</v>
      </c>
    </row>
    <row r="338" spans="1:42" hidden="1">
      <c r="A338" s="549"/>
      <c r="B338" s="550"/>
      <c r="C338" s="726"/>
      <c r="D338" s="726"/>
      <c r="E338" s="546"/>
      <c r="F338" s="652"/>
      <c r="G338" s="573"/>
      <c r="H338" s="573"/>
      <c r="I338" s="1389"/>
      <c r="J338" s="1389"/>
      <c r="K338" s="1389"/>
      <c r="L338" s="1389"/>
      <c r="M338" s="1389"/>
      <c r="N338" s="1389"/>
      <c r="O338" s="1389"/>
      <c r="P338" s="1389"/>
      <c r="Q338" s="1389"/>
      <c r="R338" s="1389"/>
      <c r="S338" s="1389"/>
      <c r="T338" s="1389"/>
      <c r="U338" s="1389"/>
      <c r="V338" s="1389"/>
      <c r="W338" s="1389"/>
      <c r="X338" s="1389"/>
      <c r="Y338" s="1389"/>
      <c r="Z338" s="1389"/>
      <c r="AA338" s="1389"/>
      <c r="AB338" s="1389"/>
      <c r="AC338" s="1389"/>
      <c r="AD338" s="1390"/>
      <c r="AE338" s="550"/>
      <c r="AF338" s="550"/>
      <c r="AG338" s="539"/>
      <c r="AH338" s="550"/>
      <c r="AI338" s="550"/>
      <c r="AJ338" s="549"/>
      <c r="AK338" s="549"/>
      <c r="AL338" s="549"/>
      <c r="AM338" s="549"/>
      <c r="AN338" s="73"/>
      <c r="AO338" s="14"/>
      <c r="AP338" s="555" t="s">
        <v>1720</v>
      </c>
    </row>
    <row r="339" spans="1:42" hidden="1">
      <c r="A339" s="549"/>
      <c r="B339" s="550"/>
      <c r="C339" s="647"/>
      <c r="D339" s="647"/>
      <c r="E339" s="546"/>
      <c r="F339" s="652"/>
      <c r="G339" s="573"/>
      <c r="H339" s="573"/>
      <c r="I339" s="1389"/>
      <c r="J339" s="1389"/>
      <c r="K339" s="1389"/>
      <c r="L339" s="1389"/>
      <c r="M339" s="1389"/>
      <c r="N339" s="1389"/>
      <c r="O339" s="1389"/>
      <c r="P339" s="1389"/>
      <c r="Q339" s="1389"/>
      <c r="R339" s="1389"/>
      <c r="S339" s="1389"/>
      <c r="T339" s="1389"/>
      <c r="U339" s="1389"/>
      <c r="V339" s="1389"/>
      <c r="W339" s="1389"/>
      <c r="X339" s="1389"/>
      <c r="Y339" s="1389"/>
      <c r="Z339" s="1389"/>
      <c r="AA339" s="1389"/>
      <c r="AB339" s="1389"/>
      <c r="AC339" s="1389"/>
      <c r="AD339" s="1390"/>
      <c r="AE339" s="550"/>
      <c r="AF339" s="550"/>
      <c r="AG339" s="539"/>
      <c r="AH339" s="550"/>
      <c r="AI339" s="550"/>
      <c r="AJ339" s="549"/>
      <c r="AK339" s="549"/>
      <c r="AL339" s="549"/>
      <c r="AM339" s="549"/>
      <c r="AN339" s="73"/>
      <c r="AO339" s="14"/>
      <c r="AP339" s="555" t="s">
        <v>1722</v>
      </c>
    </row>
    <row r="340" spans="1:42" hidden="1">
      <c r="A340" s="549"/>
      <c r="B340" s="550"/>
      <c r="C340" s="647"/>
      <c r="D340" s="647"/>
      <c r="E340" s="546"/>
      <c r="F340" s="650"/>
      <c r="G340" s="550"/>
      <c r="H340" s="550"/>
      <c r="I340" s="1391"/>
      <c r="J340" s="1391"/>
      <c r="K340" s="1391"/>
      <c r="L340" s="1391"/>
      <c r="M340" s="1391"/>
      <c r="N340" s="1391"/>
      <c r="O340" s="1391"/>
      <c r="P340" s="1391"/>
      <c r="Q340" s="1391"/>
      <c r="R340" s="1391"/>
      <c r="S340" s="1391"/>
      <c r="T340" s="1391"/>
      <c r="U340" s="1391"/>
      <c r="V340" s="1391"/>
      <c r="W340" s="1391"/>
      <c r="X340" s="1391"/>
      <c r="Y340" s="1391"/>
      <c r="Z340" s="1391"/>
      <c r="AA340" s="1391"/>
      <c r="AB340" s="1391"/>
      <c r="AC340" s="1391"/>
      <c r="AD340" s="1392"/>
      <c r="AE340" s="550"/>
      <c r="AF340" s="550"/>
      <c r="AG340" s="539"/>
      <c r="AH340" s="550"/>
      <c r="AI340" s="550"/>
      <c r="AJ340" s="549"/>
      <c r="AK340" s="549"/>
      <c r="AL340" s="549"/>
      <c r="AM340" s="549"/>
      <c r="AN340" s="73"/>
      <c r="AO340" s="14"/>
      <c r="AP340" s="555" t="s">
        <v>1721</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1389" t="s">
        <v>1183</v>
      </c>
      <c r="J342" s="1389"/>
      <c r="K342" s="1389"/>
      <c r="L342" s="1389"/>
      <c r="M342" s="1389"/>
      <c r="N342" s="1389"/>
      <c r="O342" s="1389"/>
      <c r="P342" s="1389"/>
      <c r="Q342" s="1389"/>
      <c r="R342" s="1389"/>
      <c r="S342" s="1389"/>
      <c r="T342" s="1389"/>
      <c r="U342" s="1389"/>
      <c r="V342" s="1389"/>
      <c r="W342" s="1389"/>
      <c r="X342" s="1389"/>
      <c r="Y342" s="1389"/>
      <c r="Z342" s="1389"/>
      <c r="AA342" s="1389"/>
      <c r="AB342" s="1389"/>
      <c r="AC342" s="1389"/>
      <c r="AD342" s="1390"/>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1389"/>
      <c r="J343" s="1389"/>
      <c r="K343" s="1389"/>
      <c r="L343" s="1389"/>
      <c r="M343" s="1389"/>
      <c r="N343" s="1389"/>
      <c r="O343" s="1389"/>
      <c r="P343" s="1389"/>
      <c r="Q343" s="1389"/>
      <c r="R343" s="1389"/>
      <c r="S343" s="1389"/>
      <c r="T343" s="1389"/>
      <c r="U343" s="1389"/>
      <c r="V343" s="1389"/>
      <c r="W343" s="1389"/>
      <c r="X343" s="1389"/>
      <c r="Y343" s="1389"/>
      <c r="Z343" s="1389"/>
      <c r="AA343" s="1389"/>
      <c r="AB343" s="1389"/>
      <c r="AC343" s="1389"/>
      <c r="AD343" s="1390"/>
      <c r="AE343" s="550"/>
      <c r="AF343" s="550"/>
      <c r="AG343" s="539"/>
      <c r="AH343" s="550"/>
      <c r="AI343" s="550"/>
      <c r="AJ343" s="549"/>
      <c r="AK343" s="549"/>
      <c r="AL343" s="549"/>
      <c r="AM343" s="549"/>
      <c r="AN343" s="73"/>
      <c r="AO343" s="14"/>
      <c r="AP343" s="555" t="s">
        <v>1183</v>
      </c>
    </row>
    <row r="344" spans="1:42" hidden="1">
      <c r="A344" s="549"/>
      <c r="B344" s="550"/>
      <c r="C344" s="647"/>
      <c r="D344" s="647"/>
      <c r="E344" s="546"/>
      <c r="F344" s="653"/>
      <c r="G344" s="654"/>
      <c r="H344" s="654"/>
      <c r="I344" s="1391"/>
      <c r="J344" s="1391"/>
      <c r="K344" s="1391"/>
      <c r="L344" s="1391"/>
      <c r="M344" s="1391"/>
      <c r="N344" s="1391"/>
      <c r="O344" s="1391"/>
      <c r="P344" s="1391"/>
      <c r="Q344" s="1391"/>
      <c r="R344" s="1391"/>
      <c r="S344" s="1391"/>
      <c r="T344" s="1391"/>
      <c r="U344" s="1391"/>
      <c r="V344" s="1391"/>
      <c r="W344" s="1391"/>
      <c r="X344" s="1391"/>
      <c r="Y344" s="1391"/>
      <c r="Z344" s="1391"/>
      <c r="AA344" s="1391"/>
      <c r="AB344" s="1391"/>
      <c r="AC344" s="1391"/>
      <c r="AD344" s="1392"/>
      <c r="AE344" s="550"/>
      <c r="AF344" s="550"/>
      <c r="AG344" s="539"/>
      <c r="AH344" s="550"/>
      <c r="AI344" s="550"/>
      <c r="AJ344" s="549"/>
      <c r="AK344" s="549"/>
      <c r="AL344" s="549"/>
      <c r="AM344" s="549"/>
      <c r="AN344" s="73"/>
      <c r="AO344" s="14"/>
      <c r="AP344" s="555" t="s">
        <v>1382</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1626</v>
      </c>
    </row>
    <row r="346" spans="1:42" ht="12.75" hidden="1" customHeight="1">
      <c r="A346" s="1375" t="s">
        <v>1383</v>
      </c>
      <c r="B346" s="1375"/>
      <c r="C346" s="1353" t="s">
        <v>591</v>
      </c>
      <c r="D346" s="1353"/>
      <c r="E346" s="546"/>
      <c r="F346" s="1286" t="s">
        <v>1987</v>
      </c>
      <c r="G346" s="1287"/>
      <c r="H346" s="1287"/>
      <c r="I346" s="1287"/>
      <c r="J346" s="1287"/>
      <c r="K346" s="1287"/>
      <c r="L346" s="1287"/>
      <c r="M346" s="1287"/>
      <c r="N346" s="1287"/>
      <c r="O346" s="1287"/>
      <c r="P346" s="1287"/>
      <c r="Q346" s="1287"/>
      <c r="R346" s="1287"/>
      <c r="S346" s="1287"/>
      <c r="T346" s="1287"/>
      <c r="U346" s="1287"/>
      <c r="V346" s="1287"/>
      <c r="W346" s="1287"/>
      <c r="X346" s="1287"/>
      <c r="Y346" s="1287"/>
      <c r="Z346" s="1287"/>
      <c r="AA346" s="1287"/>
      <c r="AB346" s="1287"/>
      <c r="AC346" s="1287"/>
      <c r="AD346" s="1288"/>
      <c r="AE346" s="550"/>
      <c r="AF346" s="550"/>
      <c r="AG346" s="539" t="s">
        <v>1379</v>
      </c>
      <c r="AH346" s="550"/>
      <c r="AI346" s="550"/>
      <c r="AJ346" s="549"/>
      <c r="AK346" s="549"/>
      <c r="AL346" s="549"/>
      <c r="AM346" s="549"/>
      <c r="AN346" s="73"/>
      <c r="AO346" s="14"/>
    </row>
    <row r="347" spans="1:42" ht="15" hidden="1" customHeight="1">
      <c r="A347" s="549"/>
      <c r="B347" s="550"/>
      <c r="C347" s="550"/>
      <c r="D347" s="550"/>
      <c r="E347" s="550"/>
      <c r="F347" s="1315"/>
      <c r="G347" s="1316"/>
      <c r="H347" s="1316"/>
      <c r="I347" s="1316"/>
      <c r="J347" s="1316"/>
      <c r="K347" s="1316"/>
      <c r="L347" s="1316"/>
      <c r="M347" s="1316"/>
      <c r="N347" s="1316"/>
      <c r="O347" s="1316"/>
      <c r="P347" s="1316"/>
      <c r="Q347" s="1316"/>
      <c r="R347" s="1316"/>
      <c r="S347" s="1316"/>
      <c r="T347" s="1316"/>
      <c r="U347" s="1316"/>
      <c r="V347" s="1316"/>
      <c r="W347" s="1316"/>
      <c r="X347" s="1316"/>
      <c r="Y347" s="1316"/>
      <c r="Z347" s="1316"/>
      <c r="AA347" s="1316"/>
      <c r="AB347" s="1316"/>
      <c r="AC347" s="1316"/>
      <c r="AD347" s="1317"/>
      <c r="AE347" s="550"/>
      <c r="AF347" s="550"/>
      <c r="AG347" s="550"/>
      <c r="AH347" s="550"/>
      <c r="AI347" s="550"/>
      <c r="AJ347" s="549"/>
      <c r="AK347" s="549"/>
      <c r="AL347" s="549"/>
      <c r="AM347" s="549"/>
      <c r="AN347" s="73"/>
      <c r="AO347" s="14"/>
    </row>
    <row r="348" spans="1:42" ht="15" hidden="1" customHeight="1">
      <c r="A348" s="549"/>
      <c r="B348" s="550"/>
      <c r="C348" s="550"/>
      <c r="D348" s="550"/>
      <c r="E348" s="550"/>
      <c r="F348" s="1315"/>
      <c r="G348" s="1316"/>
      <c r="H348" s="1316"/>
      <c r="I348" s="1316"/>
      <c r="J348" s="1316"/>
      <c r="K348" s="1316"/>
      <c r="L348" s="1316"/>
      <c r="M348" s="1316"/>
      <c r="N348" s="1316"/>
      <c r="O348" s="1316"/>
      <c r="P348" s="1316"/>
      <c r="Q348" s="1316"/>
      <c r="R348" s="1316"/>
      <c r="S348" s="1316"/>
      <c r="T348" s="1316"/>
      <c r="U348" s="1316"/>
      <c r="V348" s="1316"/>
      <c r="W348" s="1316"/>
      <c r="X348" s="1316"/>
      <c r="Y348" s="1316"/>
      <c r="Z348" s="1316"/>
      <c r="AA348" s="1316"/>
      <c r="AB348" s="1316"/>
      <c r="AC348" s="1316"/>
      <c r="AD348" s="1317"/>
      <c r="AE348" s="550"/>
      <c r="AF348" s="550"/>
      <c r="AG348" s="550"/>
      <c r="AH348" s="550"/>
      <c r="AI348" s="550"/>
      <c r="AJ348" s="549"/>
      <c r="AK348" s="549"/>
      <c r="AL348" s="549"/>
      <c r="AM348" s="655"/>
      <c r="AN348" s="14"/>
      <c r="AO348" s="14"/>
    </row>
    <row r="349" spans="1:42" hidden="1">
      <c r="A349" s="549"/>
      <c r="B349" s="550"/>
      <c r="C349" s="549"/>
      <c r="D349" s="550"/>
      <c r="E349" s="549"/>
      <c r="F349" s="656" t="s">
        <v>1384</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2588</v>
      </c>
      <c r="AK351" s="1356">
        <f>IF(NOT(OR(Application!M364="Yes",Application!M365="Yes")),0,AP308)</f>
        <v>10</v>
      </c>
      <c r="AL351" s="1357"/>
      <c r="AM351" s="1358"/>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1372</v>
      </c>
      <c r="B354" s="539" t="s">
        <v>845</v>
      </c>
      <c r="C354" s="536"/>
      <c r="AC354" s="539"/>
      <c r="AE354" s="1298" t="s">
        <v>1307</v>
      </c>
      <c r="AF354" s="1298"/>
      <c r="AG354" s="1298"/>
      <c r="AH354" s="1298"/>
      <c r="AI354" s="1298"/>
      <c r="AJ354" s="1298"/>
      <c r="AK354" s="1298"/>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1393" t="s">
        <v>1444</v>
      </c>
      <c r="D356" s="1393"/>
      <c r="E356" s="1393"/>
      <c r="F356" s="1393"/>
      <c r="G356" s="1393"/>
      <c r="H356" s="1393"/>
      <c r="I356" s="1393"/>
      <c r="J356" s="1393"/>
      <c r="K356" s="1393"/>
      <c r="L356" s="1393"/>
      <c r="M356" s="1393"/>
      <c r="N356" s="1393"/>
      <c r="O356" s="1393"/>
      <c r="P356" s="1393"/>
      <c r="Q356" s="1393"/>
      <c r="R356" s="1393"/>
      <c r="S356" s="1393"/>
      <c r="T356" s="1393"/>
      <c r="U356" s="1393"/>
      <c r="V356" s="1393"/>
      <c r="W356" s="1393"/>
      <c r="X356" s="1393"/>
      <c r="Y356" s="1393"/>
      <c r="Z356" s="1393"/>
      <c r="AA356" s="1393"/>
      <c r="AB356" s="1393"/>
      <c r="AC356" s="1393"/>
      <c r="AD356" s="1393"/>
      <c r="AE356" s="1393"/>
      <c r="AF356" s="1393"/>
      <c r="AG356" s="1393"/>
      <c r="AH356" s="1393"/>
      <c r="AI356" s="1393"/>
      <c r="AJ356" s="1393"/>
      <c r="AK356" s="601"/>
      <c r="AL356" s="601"/>
      <c r="AM356" s="601"/>
      <c r="AN356" s="595"/>
    </row>
    <row r="357" spans="1:44" s="549" customFormat="1" ht="12.75" customHeight="1">
      <c r="A357" s="601"/>
      <c r="B357" s="609"/>
      <c r="C357" s="1393"/>
      <c r="D357" s="1393"/>
      <c r="E357" s="1393"/>
      <c r="F357" s="1393"/>
      <c r="G357" s="1393"/>
      <c r="H357" s="1393"/>
      <c r="I357" s="1393"/>
      <c r="J357" s="1393"/>
      <c r="K357" s="1393"/>
      <c r="L357" s="1393"/>
      <c r="M357" s="1393"/>
      <c r="N357" s="1393"/>
      <c r="O357" s="1393"/>
      <c r="P357" s="1393"/>
      <c r="Q357" s="1393"/>
      <c r="R357" s="1393"/>
      <c r="S357" s="1393"/>
      <c r="T357" s="1393"/>
      <c r="U357" s="1393"/>
      <c r="V357" s="1393"/>
      <c r="W357" s="1393"/>
      <c r="X357" s="1393"/>
      <c r="Y357" s="1393"/>
      <c r="Z357" s="1393"/>
      <c r="AA357" s="1393"/>
      <c r="AB357" s="1393"/>
      <c r="AC357" s="1393"/>
      <c r="AD357" s="1393"/>
      <c r="AE357" s="1393"/>
      <c r="AF357" s="1393"/>
      <c r="AG357" s="1393"/>
      <c r="AH357" s="1393"/>
      <c r="AI357" s="1393"/>
      <c r="AJ357" s="1393"/>
      <c r="AK357" s="601"/>
      <c r="AL357" s="601"/>
      <c r="AM357" s="601"/>
      <c r="AN357" s="595"/>
    </row>
    <row r="358" spans="1:44" s="549" customFormat="1" ht="12.75" customHeight="1">
      <c r="A358" s="601"/>
      <c r="B358" s="609"/>
      <c r="C358" s="1393"/>
      <c r="D358" s="1393"/>
      <c r="E358" s="1393"/>
      <c r="F358" s="1393"/>
      <c r="G358" s="1393"/>
      <c r="H358" s="1393"/>
      <c r="I358" s="1393"/>
      <c r="J358" s="1393"/>
      <c r="K358" s="1393"/>
      <c r="L358" s="1393"/>
      <c r="M358" s="1393"/>
      <c r="N358" s="1393"/>
      <c r="O358" s="1393"/>
      <c r="P358" s="1393"/>
      <c r="Q358" s="1393"/>
      <c r="R358" s="1393"/>
      <c r="S358" s="1393"/>
      <c r="T358" s="1393"/>
      <c r="U358" s="1393"/>
      <c r="V358" s="1393"/>
      <c r="W358" s="1393"/>
      <c r="X358" s="1393"/>
      <c r="Y358" s="1393"/>
      <c r="Z358" s="1393"/>
      <c r="AA358" s="1393"/>
      <c r="AB358" s="1393"/>
      <c r="AC358" s="1393"/>
      <c r="AD358" s="1393"/>
      <c r="AE358" s="1393"/>
      <c r="AF358" s="1393"/>
      <c r="AG358" s="1393"/>
      <c r="AH358" s="1393"/>
      <c r="AI358" s="1393"/>
      <c r="AJ358" s="1393"/>
      <c r="AK358" s="601"/>
      <c r="AL358" s="601"/>
      <c r="AM358" s="601"/>
      <c r="AN358" s="595"/>
      <c r="AQ358" s="568"/>
    </row>
    <row r="359" spans="1:44" s="549" customFormat="1" ht="12.75" customHeight="1">
      <c r="A359" s="601"/>
      <c r="B359" s="609"/>
      <c r="C359" s="1393"/>
      <c r="D359" s="1393"/>
      <c r="E359" s="1393"/>
      <c r="F359" s="1393"/>
      <c r="G359" s="1393"/>
      <c r="H359" s="1393"/>
      <c r="I359" s="1393"/>
      <c r="J359" s="1393"/>
      <c r="K359" s="1393"/>
      <c r="L359" s="1393"/>
      <c r="M359" s="1393"/>
      <c r="N359" s="1393"/>
      <c r="O359" s="1393"/>
      <c r="P359" s="1393"/>
      <c r="Q359" s="1393"/>
      <c r="R359" s="1393"/>
      <c r="S359" s="1393"/>
      <c r="T359" s="1393"/>
      <c r="U359" s="1393"/>
      <c r="V359" s="1393"/>
      <c r="W359" s="1393"/>
      <c r="X359" s="1393"/>
      <c r="Y359" s="1393"/>
      <c r="Z359" s="1393"/>
      <c r="AA359" s="1393"/>
      <c r="AB359" s="1393"/>
      <c r="AC359" s="1393"/>
      <c r="AD359" s="1393"/>
      <c r="AE359" s="1393"/>
      <c r="AF359" s="1393"/>
      <c r="AG359" s="1393"/>
      <c r="AH359" s="1393"/>
      <c r="AI359" s="1393"/>
      <c r="AJ359" s="1393"/>
      <c r="AK359" s="601"/>
      <c r="AL359" s="601"/>
      <c r="AM359" s="601"/>
      <c r="AN359" s="595"/>
      <c r="AQ359" s="568"/>
    </row>
    <row r="360" spans="1:44" s="549" customFormat="1" ht="12.45" customHeight="1">
      <c r="A360" s="601"/>
      <c r="B360" s="609"/>
      <c r="C360" s="1393"/>
      <c r="D360" s="1393"/>
      <c r="E360" s="1393"/>
      <c r="F360" s="1393"/>
      <c r="G360" s="1393"/>
      <c r="H360" s="1393"/>
      <c r="I360" s="1393"/>
      <c r="J360" s="1393"/>
      <c r="K360" s="1393"/>
      <c r="L360" s="1393"/>
      <c r="M360" s="1393"/>
      <c r="N360" s="1393"/>
      <c r="O360" s="1393"/>
      <c r="P360" s="1393"/>
      <c r="Q360" s="1393"/>
      <c r="R360" s="1393"/>
      <c r="S360" s="1393"/>
      <c r="T360" s="1393"/>
      <c r="U360" s="1393"/>
      <c r="V360" s="1393"/>
      <c r="W360" s="1393"/>
      <c r="X360" s="1393"/>
      <c r="Y360" s="1393"/>
      <c r="Z360" s="1393"/>
      <c r="AA360" s="1393"/>
      <c r="AB360" s="1393"/>
      <c r="AC360" s="1393"/>
      <c r="AD360" s="1393"/>
      <c r="AE360" s="1393"/>
      <c r="AF360" s="1393"/>
      <c r="AG360" s="1393"/>
      <c r="AH360" s="1393"/>
      <c r="AI360" s="1393"/>
      <c r="AJ360" s="1393"/>
      <c r="AK360" s="601"/>
      <c r="AL360" s="601"/>
      <c r="AM360" s="601"/>
      <c r="AN360" s="595"/>
      <c r="AQ360" s="568"/>
      <c r="AR360" s="568"/>
    </row>
    <row r="361" spans="1:44" s="549" customFormat="1" ht="45.75" customHeight="1">
      <c r="A361" s="601"/>
      <c r="B361" s="609"/>
      <c r="C361" s="1393" t="s">
        <v>2046</v>
      </c>
      <c r="D361" s="1393"/>
      <c r="E361" s="1393"/>
      <c r="F361" s="1393"/>
      <c r="G361" s="1393"/>
      <c r="H361" s="1393"/>
      <c r="I361" s="1393"/>
      <c r="J361" s="1393"/>
      <c r="K361" s="1393"/>
      <c r="L361" s="1393"/>
      <c r="M361" s="1393"/>
      <c r="N361" s="1393"/>
      <c r="O361" s="1393"/>
      <c r="P361" s="1393"/>
      <c r="Q361" s="1393"/>
      <c r="R361" s="1393"/>
      <c r="S361" s="1393"/>
      <c r="T361" s="1393"/>
      <c r="U361" s="1393"/>
      <c r="V361" s="1393"/>
      <c r="W361" s="1393"/>
      <c r="X361" s="1393"/>
      <c r="Y361" s="1393"/>
      <c r="Z361" s="1393"/>
      <c r="AA361" s="1393"/>
      <c r="AB361" s="1393"/>
      <c r="AC361" s="1393"/>
      <c r="AD361" s="1393"/>
      <c r="AE361" s="1393"/>
      <c r="AF361" s="1393"/>
      <c r="AG361" s="1393"/>
      <c r="AH361" s="1393"/>
      <c r="AI361" s="1393"/>
      <c r="AJ361" s="1393"/>
      <c r="AK361" s="601"/>
      <c r="AL361" s="601"/>
      <c r="AM361" s="601"/>
      <c r="AN361" s="595"/>
      <c r="AQ361" s="568"/>
      <c r="AR361" s="568"/>
    </row>
    <row r="362" spans="1:44" s="549" customFormat="1" ht="12.45"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1393" t="s">
        <v>2160</v>
      </c>
      <c r="D363" s="1393"/>
      <c r="E363" s="1393"/>
      <c r="F363" s="1393"/>
      <c r="G363" s="1393"/>
      <c r="H363" s="1393"/>
      <c r="I363" s="1393"/>
      <c r="J363" s="1393"/>
      <c r="K363" s="1393"/>
      <c r="L363" s="1393"/>
      <c r="M363" s="1393"/>
      <c r="N363" s="1393"/>
      <c r="O363" s="1393"/>
      <c r="P363" s="1393"/>
      <c r="Q363" s="1393"/>
      <c r="R363" s="1393"/>
      <c r="S363" s="1393"/>
      <c r="T363" s="1393"/>
      <c r="U363" s="1393"/>
      <c r="V363" s="1393"/>
      <c r="W363" s="1393"/>
      <c r="X363" s="1393"/>
      <c r="Y363" s="1393"/>
      <c r="Z363" s="1393"/>
      <c r="AA363" s="1393"/>
      <c r="AB363" s="1393"/>
      <c r="AC363" s="1393"/>
      <c r="AD363" s="1393"/>
      <c r="AE363" s="1393"/>
      <c r="AF363" s="1393"/>
      <c r="AG363" s="1393"/>
      <c r="AH363" s="1393"/>
      <c r="AI363" s="1393"/>
      <c r="AJ363" s="1393"/>
      <c r="AK363" s="601"/>
      <c r="AL363" s="601"/>
      <c r="AM363" s="601"/>
      <c r="AN363" s="595"/>
      <c r="AQ363" s="568"/>
      <c r="AR363" s="568"/>
    </row>
    <row r="364" spans="1:44" s="549" customFormat="1" ht="30" customHeight="1">
      <c r="A364" s="601"/>
      <c r="B364" s="609"/>
      <c r="C364" s="1393"/>
      <c r="D364" s="1393"/>
      <c r="E364" s="1393"/>
      <c r="F364" s="1393"/>
      <c r="G364" s="1393"/>
      <c r="H364" s="1393"/>
      <c r="I364" s="1393"/>
      <c r="J364" s="1393"/>
      <c r="K364" s="1393"/>
      <c r="L364" s="1393"/>
      <c r="M364" s="1393"/>
      <c r="N364" s="1393"/>
      <c r="O364" s="1393"/>
      <c r="P364" s="1393"/>
      <c r="Q364" s="1393"/>
      <c r="R364" s="1393"/>
      <c r="S364" s="1393"/>
      <c r="T364" s="1393"/>
      <c r="U364" s="1393"/>
      <c r="V364" s="1393"/>
      <c r="W364" s="1393"/>
      <c r="X364" s="1393"/>
      <c r="Y364" s="1393"/>
      <c r="Z364" s="1393"/>
      <c r="AA364" s="1393"/>
      <c r="AB364" s="1393"/>
      <c r="AC364" s="1393"/>
      <c r="AD364" s="1393"/>
      <c r="AE364" s="1393"/>
      <c r="AF364" s="1393"/>
      <c r="AG364" s="1393"/>
      <c r="AH364" s="1393"/>
      <c r="AI364" s="1393"/>
      <c r="AJ364" s="1393"/>
      <c r="AK364" s="601"/>
      <c r="AL364" s="601"/>
      <c r="AM364" s="601"/>
      <c r="AN364" s="595"/>
      <c r="AR364" s="568"/>
    </row>
    <row r="365" spans="1:44" s="549" customFormat="1" ht="12.75" customHeight="1">
      <c r="A365" s="601"/>
      <c r="B365" s="609"/>
      <c r="C365" s="1393"/>
      <c r="D365" s="1393"/>
      <c r="E365" s="1393"/>
      <c r="F365" s="1393"/>
      <c r="G365" s="1393"/>
      <c r="H365" s="1393"/>
      <c r="I365" s="1393"/>
      <c r="J365" s="1393"/>
      <c r="K365" s="1393"/>
      <c r="L365" s="1393"/>
      <c r="M365" s="1393"/>
      <c r="N365" s="1393"/>
      <c r="O365" s="1393"/>
      <c r="P365" s="1393"/>
      <c r="Q365" s="1393"/>
      <c r="R365" s="1393"/>
      <c r="S365" s="1393"/>
      <c r="T365" s="1393"/>
      <c r="U365" s="1393"/>
      <c r="V365" s="1393"/>
      <c r="W365" s="1393"/>
      <c r="X365" s="1393"/>
      <c r="Y365" s="1393"/>
      <c r="Z365" s="1393"/>
      <c r="AA365" s="1393"/>
      <c r="AB365" s="1393"/>
      <c r="AC365" s="1393"/>
      <c r="AD365" s="1393"/>
      <c r="AE365" s="1393"/>
      <c r="AF365" s="1393"/>
      <c r="AG365" s="1393"/>
      <c r="AH365" s="1393"/>
      <c r="AI365" s="1393"/>
      <c r="AJ365" s="1393"/>
      <c r="AK365" s="601"/>
      <c r="AL365" s="601"/>
      <c r="AM365" s="601"/>
      <c r="AN365" s="595"/>
      <c r="AR365" s="568"/>
    </row>
    <row r="366" spans="1:44" s="549" customFormat="1" ht="12.75" customHeight="1">
      <c r="A366" s="601"/>
      <c r="B366" s="609"/>
      <c r="C366" s="1393" t="s">
        <v>1445</v>
      </c>
      <c r="D366" s="1393"/>
      <c r="E366" s="1393"/>
      <c r="F366" s="1393"/>
      <c r="G366" s="1393"/>
      <c r="H366" s="1393"/>
      <c r="I366" s="1393"/>
      <c r="J366" s="1393"/>
      <c r="K366" s="1393"/>
      <c r="L366" s="1393"/>
      <c r="M366" s="1393"/>
      <c r="N366" s="1393"/>
      <c r="O366" s="1393"/>
      <c r="P366" s="1393"/>
      <c r="Q366" s="1393"/>
      <c r="R366" s="1393"/>
      <c r="S366" s="1393"/>
      <c r="T366" s="1393"/>
      <c r="U366" s="1393"/>
      <c r="V366" s="1393"/>
      <c r="W366" s="1393"/>
      <c r="X366" s="1393"/>
      <c r="Y366" s="1393"/>
      <c r="Z366" s="1393"/>
      <c r="AA366" s="1393"/>
      <c r="AB366" s="1393"/>
      <c r="AC366" s="1393"/>
      <c r="AD366" s="1393"/>
      <c r="AE366" s="1393"/>
      <c r="AF366" s="1393"/>
      <c r="AG366" s="1393"/>
      <c r="AH366" s="1393"/>
      <c r="AI366" s="1393"/>
      <c r="AJ366" s="1393"/>
      <c r="AK366" s="601"/>
      <c r="AL366" s="601"/>
      <c r="AM366" s="601"/>
      <c r="AN366" s="595"/>
      <c r="AQ366" s="568"/>
      <c r="AR366" s="568"/>
    </row>
    <row r="367" spans="1:44" s="549" customFormat="1" ht="12.75" customHeight="1">
      <c r="A367" s="601"/>
      <c r="B367" s="609"/>
      <c r="C367" s="1393"/>
      <c r="D367" s="1393"/>
      <c r="E367" s="1393"/>
      <c r="F367" s="1393"/>
      <c r="G367" s="1393"/>
      <c r="H367" s="1393"/>
      <c r="I367" s="1393"/>
      <c r="J367" s="1393"/>
      <c r="K367" s="1393"/>
      <c r="L367" s="1393"/>
      <c r="M367" s="1393"/>
      <c r="N367" s="1393"/>
      <c r="O367" s="1393"/>
      <c r="P367" s="1393"/>
      <c r="Q367" s="1393"/>
      <c r="R367" s="1393"/>
      <c r="S367" s="1393"/>
      <c r="T367" s="1393"/>
      <c r="U367" s="1393"/>
      <c r="V367" s="1393"/>
      <c r="W367" s="1393"/>
      <c r="X367" s="1393"/>
      <c r="Y367" s="1393"/>
      <c r="Z367" s="1393"/>
      <c r="AA367" s="1393"/>
      <c r="AB367" s="1393"/>
      <c r="AC367" s="1393"/>
      <c r="AD367" s="1393"/>
      <c r="AE367" s="1393"/>
      <c r="AF367" s="1393"/>
      <c r="AG367" s="1393"/>
      <c r="AH367" s="1393"/>
      <c r="AI367" s="1393"/>
      <c r="AJ367" s="1393"/>
      <c r="AK367" s="601"/>
      <c r="AL367" s="601"/>
      <c r="AM367" s="601"/>
      <c r="AN367" s="595"/>
      <c r="AQ367" s="568"/>
      <c r="AR367" s="568"/>
    </row>
    <row r="368" spans="1:44" s="549" customFormat="1" ht="13.2" customHeight="1">
      <c r="A368" s="601"/>
      <c r="B368" s="609"/>
      <c r="C368" s="1393"/>
      <c r="D368" s="1393"/>
      <c r="E368" s="1393"/>
      <c r="F368" s="1393"/>
      <c r="G368" s="1393"/>
      <c r="H368" s="1393"/>
      <c r="I368" s="1393"/>
      <c r="J368" s="1393"/>
      <c r="K368" s="1393"/>
      <c r="L368" s="1393"/>
      <c r="M368" s="1393"/>
      <c r="N368" s="1393"/>
      <c r="O368" s="1393"/>
      <c r="P368" s="1393"/>
      <c r="Q368" s="1393"/>
      <c r="R368" s="1393"/>
      <c r="S368" s="1393"/>
      <c r="T368" s="1393"/>
      <c r="U368" s="1393"/>
      <c r="V368" s="1393"/>
      <c r="W368" s="1393"/>
      <c r="X368" s="1393"/>
      <c r="Y368" s="1393"/>
      <c r="Z368" s="1393"/>
      <c r="AA368" s="1393"/>
      <c r="AB368" s="1393"/>
      <c r="AC368" s="1393"/>
      <c r="AD368" s="1393"/>
      <c r="AE368" s="1393"/>
      <c r="AF368" s="1393"/>
      <c r="AG368" s="1393"/>
      <c r="AH368" s="1393"/>
      <c r="AI368" s="1393"/>
      <c r="AJ368" s="1393"/>
      <c r="AK368" s="601"/>
      <c r="AL368" s="601"/>
      <c r="AM368" s="601"/>
      <c r="AN368" s="595"/>
      <c r="AQ368" s="568"/>
      <c r="AR368" s="568"/>
    </row>
    <row r="369" spans="1:46" s="549" customFormat="1" ht="12.75" customHeight="1">
      <c r="A369" s="601"/>
      <c r="B369" s="609"/>
      <c r="C369" s="1393"/>
      <c r="D369" s="1393"/>
      <c r="E369" s="1393"/>
      <c r="F369" s="1393"/>
      <c r="G369" s="1393"/>
      <c r="H369" s="1393"/>
      <c r="I369" s="1393"/>
      <c r="J369" s="1393"/>
      <c r="K369" s="1393"/>
      <c r="L369" s="1393"/>
      <c r="M369" s="1393"/>
      <c r="N369" s="1393"/>
      <c r="O369" s="1393"/>
      <c r="P369" s="1393"/>
      <c r="Q369" s="1393"/>
      <c r="R369" s="1393"/>
      <c r="S369" s="1393"/>
      <c r="T369" s="1393"/>
      <c r="U369" s="1393"/>
      <c r="V369" s="1393"/>
      <c r="W369" s="1393"/>
      <c r="X369" s="1393"/>
      <c r="Y369" s="1393"/>
      <c r="Z369" s="1393"/>
      <c r="AA369" s="1393"/>
      <c r="AB369" s="1393"/>
      <c r="AC369" s="1393"/>
      <c r="AD369" s="1393"/>
      <c r="AE369" s="1393"/>
      <c r="AF369" s="1393"/>
      <c r="AG369" s="1393"/>
      <c r="AH369" s="1393"/>
      <c r="AI369" s="1393"/>
      <c r="AJ369" s="1393"/>
      <c r="AK369" s="601"/>
      <c r="AL369" s="601"/>
      <c r="AM369" s="601"/>
      <c r="AN369" s="595"/>
      <c r="AO369" s="690"/>
      <c r="AP369" s="690"/>
      <c r="AQ369" s="568"/>
    </row>
    <row r="370" spans="1:46" s="549" customFormat="1" ht="12" customHeight="1">
      <c r="A370" s="601"/>
      <c r="B370" s="609"/>
      <c r="C370" s="1393"/>
      <c r="D370" s="1393"/>
      <c r="E370" s="1393"/>
      <c r="F370" s="1393"/>
      <c r="G370" s="1393"/>
      <c r="H370" s="1393"/>
      <c r="I370" s="1393"/>
      <c r="J370" s="1393"/>
      <c r="K370" s="1393"/>
      <c r="L370" s="1393"/>
      <c r="M370" s="1393"/>
      <c r="N370" s="1393"/>
      <c r="O370" s="1393"/>
      <c r="P370" s="1393"/>
      <c r="Q370" s="1393"/>
      <c r="R370" s="1393"/>
      <c r="S370" s="1393"/>
      <c r="T370" s="1393"/>
      <c r="U370" s="1393"/>
      <c r="V370" s="1393"/>
      <c r="W370" s="1393"/>
      <c r="X370" s="1393"/>
      <c r="Y370" s="1393"/>
      <c r="Z370" s="1393"/>
      <c r="AA370" s="1393"/>
      <c r="AB370" s="1393"/>
      <c r="AC370" s="1393"/>
      <c r="AD370" s="1393"/>
      <c r="AE370" s="1393"/>
      <c r="AF370" s="1393"/>
      <c r="AG370" s="1393"/>
      <c r="AH370" s="1393"/>
      <c r="AI370" s="1393"/>
      <c r="AJ370" s="1393"/>
      <c r="AK370" s="601"/>
      <c r="AL370" s="601"/>
      <c r="AM370" s="601"/>
      <c r="AN370" s="595"/>
      <c r="AO370" s="691" t="s">
        <v>112</v>
      </c>
      <c r="AP370" s="692">
        <f>IF(C394="Yes",5,0)</f>
        <v>0</v>
      </c>
      <c r="AS370" s="539" t="s">
        <v>1446</v>
      </c>
    </row>
    <row r="371" spans="1:46" s="549" customFormat="1" ht="12.75" customHeight="1">
      <c r="A371" s="601"/>
      <c r="B371" s="609"/>
      <c r="C371" s="1393"/>
      <c r="D371" s="1393"/>
      <c r="E371" s="1393"/>
      <c r="F371" s="1393"/>
      <c r="G371" s="1393"/>
      <c r="H371" s="1393"/>
      <c r="I371" s="1393"/>
      <c r="J371" s="1393"/>
      <c r="K371" s="1393"/>
      <c r="L371" s="1393"/>
      <c r="M371" s="1393"/>
      <c r="N371" s="1393"/>
      <c r="O371" s="1393"/>
      <c r="P371" s="1393"/>
      <c r="Q371" s="1393"/>
      <c r="R371" s="1393"/>
      <c r="S371" s="1393"/>
      <c r="T371" s="1393"/>
      <c r="U371" s="1393"/>
      <c r="V371" s="1393"/>
      <c r="W371" s="1393"/>
      <c r="X371" s="1393"/>
      <c r="Y371" s="1393"/>
      <c r="Z371" s="1393"/>
      <c r="AA371" s="1393"/>
      <c r="AB371" s="1393"/>
      <c r="AC371" s="1393"/>
      <c r="AD371" s="1393"/>
      <c r="AE371" s="1393"/>
      <c r="AF371" s="1393"/>
      <c r="AG371" s="1393"/>
      <c r="AH371" s="1393"/>
      <c r="AI371" s="1393"/>
      <c r="AJ371" s="1393"/>
      <c r="AK371" s="601"/>
      <c r="AL371" s="601"/>
      <c r="AM371" s="601"/>
      <c r="AN371" s="595"/>
      <c r="AO371" s="691" t="s">
        <v>113</v>
      </c>
      <c r="AP371" s="692">
        <f>IF(C402="Yes",5,0)</f>
        <v>0</v>
      </c>
      <c r="AS371" s="1423">
        <f>IF(Application!D211="Non-Targeted",(SUM(AQ379+AQ388)),AS375)</f>
        <v>10</v>
      </c>
      <c r="AT371" s="1423"/>
    </row>
    <row r="372" spans="1:46" s="549" customFormat="1" ht="12.75" customHeight="1">
      <c r="A372" s="601"/>
      <c r="B372" s="609"/>
      <c r="C372" s="1393"/>
      <c r="D372" s="1393"/>
      <c r="E372" s="1393"/>
      <c r="F372" s="1393"/>
      <c r="G372" s="1393"/>
      <c r="H372" s="1393"/>
      <c r="I372" s="1393"/>
      <c r="J372" s="1393"/>
      <c r="K372" s="1393"/>
      <c r="L372" s="1393"/>
      <c r="M372" s="1393"/>
      <c r="N372" s="1393"/>
      <c r="O372" s="1393"/>
      <c r="P372" s="1393"/>
      <c r="Q372" s="1393"/>
      <c r="R372" s="1393"/>
      <c r="S372" s="1393"/>
      <c r="T372" s="1393"/>
      <c r="U372" s="1393"/>
      <c r="V372" s="1393"/>
      <c r="W372" s="1393"/>
      <c r="X372" s="1393"/>
      <c r="Y372" s="1393"/>
      <c r="Z372" s="1393"/>
      <c r="AA372" s="1393"/>
      <c r="AB372" s="1393"/>
      <c r="AC372" s="1393"/>
      <c r="AD372" s="1393"/>
      <c r="AE372" s="1393"/>
      <c r="AF372" s="1393"/>
      <c r="AG372" s="1393"/>
      <c r="AH372" s="1393"/>
      <c r="AI372" s="1393"/>
      <c r="AJ372" s="1393"/>
      <c r="AK372" s="601"/>
      <c r="AL372" s="601"/>
      <c r="AM372" s="601"/>
      <c r="AN372" s="595"/>
      <c r="AO372" s="691" t="s">
        <v>119</v>
      </c>
      <c r="AP372" s="692">
        <f>IF(C410="Yes",7,0)</f>
        <v>7</v>
      </c>
      <c r="AS372" s="539" t="s">
        <v>1447</v>
      </c>
    </row>
    <row r="373" spans="1:46" s="549" customFormat="1" ht="12.75" customHeight="1">
      <c r="B373" s="609"/>
      <c r="C373" s="1393"/>
      <c r="D373" s="1393"/>
      <c r="E373" s="1393"/>
      <c r="F373" s="1393"/>
      <c r="G373" s="1393"/>
      <c r="H373" s="1393"/>
      <c r="I373" s="1393"/>
      <c r="J373" s="1393"/>
      <c r="K373" s="1393"/>
      <c r="L373" s="1393"/>
      <c r="M373" s="1393"/>
      <c r="N373" s="1393"/>
      <c r="O373" s="1393"/>
      <c r="P373" s="1393"/>
      <c r="Q373" s="1393"/>
      <c r="R373" s="1393"/>
      <c r="S373" s="1393"/>
      <c r="T373" s="1393"/>
      <c r="U373" s="1393"/>
      <c r="V373" s="1393"/>
      <c r="W373" s="1393"/>
      <c r="X373" s="1393"/>
      <c r="Y373" s="1393"/>
      <c r="Z373" s="1393"/>
      <c r="AA373" s="1393"/>
      <c r="AB373" s="1393"/>
      <c r="AC373" s="1393"/>
      <c r="AD373" s="1393"/>
      <c r="AE373" s="1393"/>
      <c r="AF373" s="1393"/>
      <c r="AG373" s="1393"/>
      <c r="AH373" s="1393"/>
      <c r="AI373" s="1393"/>
      <c r="AJ373" s="1393"/>
      <c r="AK373" s="601"/>
      <c r="AL373" s="601"/>
      <c r="AM373" s="601"/>
      <c r="AN373" s="595"/>
      <c r="AO373" s="595"/>
      <c r="AP373" s="692">
        <f>IF(C412="Yes",5,0)</f>
        <v>0</v>
      </c>
      <c r="AS373" s="1423">
        <f>IF(AND(AQ379&gt;0,AQ388&gt;0),(AQ379+AQ388)/2,0)</f>
        <v>0</v>
      </c>
      <c r="AT373" s="1423"/>
    </row>
    <row r="374" spans="1:46" s="549" customFormat="1" ht="12.75" customHeight="1">
      <c r="A374" s="601"/>
      <c r="B374" s="609"/>
      <c r="C374" s="1393"/>
      <c r="D374" s="1393"/>
      <c r="E374" s="1393"/>
      <c r="F374" s="1393"/>
      <c r="G374" s="1393"/>
      <c r="H374" s="1393"/>
      <c r="I374" s="1393"/>
      <c r="J374" s="1393"/>
      <c r="K374" s="1393"/>
      <c r="L374" s="1393"/>
      <c r="M374" s="1393"/>
      <c r="N374" s="1393"/>
      <c r="O374" s="1393"/>
      <c r="P374" s="1393"/>
      <c r="Q374" s="1393"/>
      <c r="R374" s="1393"/>
      <c r="S374" s="1393"/>
      <c r="T374" s="1393"/>
      <c r="U374" s="1393"/>
      <c r="V374" s="1393"/>
      <c r="W374" s="1393"/>
      <c r="X374" s="1393"/>
      <c r="Y374" s="1393"/>
      <c r="Z374" s="1393"/>
      <c r="AA374" s="1393"/>
      <c r="AB374" s="1393"/>
      <c r="AC374" s="1393"/>
      <c r="AD374" s="1393"/>
      <c r="AE374" s="1393"/>
      <c r="AF374" s="1393"/>
      <c r="AG374" s="1393"/>
      <c r="AH374" s="1393"/>
      <c r="AI374" s="1393"/>
      <c r="AJ374" s="1393"/>
      <c r="AK374" s="601"/>
      <c r="AL374" s="601"/>
      <c r="AM374" s="601"/>
      <c r="AN374" s="595"/>
      <c r="AO374" s="691" t="s">
        <v>581</v>
      </c>
      <c r="AP374" s="692">
        <f>IF(C420="Yes",5,0)</f>
        <v>0</v>
      </c>
      <c r="AS374" s="539" t="s">
        <v>1851</v>
      </c>
    </row>
    <row r="375" spans="1:46" s="549" customFormat="1" ht="12.75" customHeight="1">
      <c r="A375" s="601"/>
      <c r="B375" s="609"/>
      <c r="C375" s="1424" t="s">
        <v>2184</v>
      </c>
      <c r="D375" s="1424"/>
      <c r="E375" s="1424"/>
      <c r="F375" s="1424"/>
      <c r="G375" s="1424"/>
      <c r="H375" s="1424"/>
      <c r="I375" s="1424"/>
      <c r="J375" s="1424"/>
      <c r="K375" s="1424"/>
      <c r="L375" s="1424"/>
      <c r="M375" s="1424"/>
      <c r="N375" s="1424"/>
      <c r="O375" s="1424"/>
      <c r="P375" s="1424"/>
      <c r="Q375" s="1424"/>
      <c r="R375" s="1424"/>
      <c r="S375" s="1424"/>
      <c r="T375" s="1424"/>
      <c r="U375" s="1424"/>
      <c r="V375" s="1424"/>
      <c r="W375" s="1424"/>
      <c r="X375" s="1424"/>
      <c r="Y375" s="1424"/>
      <c r="Z375" s="1424"/>
      <c r="AA375" s="1424"/>
      <c r="AB375" s="1424"/>
      <c r="AC375" s="1424"/>
      <c r="AD375" s="1424"/>
      <c r="AE375" s="1424"/>
      <c r="AF375" s="1424"/>
      <c r="AG375" s="1424"/>
      <c r="AH375" s="1424"/>
      <c r="AI375" s="1424"/>
      <c r="AJ375" s="1424"/>
      <c r="AK375" s="601"/>
      <c r="AL375" s="601"/>
      <c r="AM375" s="601"/>
      <c r="AN375" s="595"/>
      <c r="AO375" s="595"/>
      <c r="AP375" s="692">
        <f>IF(C422="Yes",3,0)</f>
        <v>3</v>
      </c>
      <c r="AS375" s="1423">
        <f>IF(AQ379=0,AQ388,AQ379)</f>
        <v>10</v>
      </c>
      <c r="AT375" s="1423"/>
    </row>
    <row r="376" spans="1:46" s="549" customFormat="1" ht="12.75" customHeight="1">
      <c r="A376" s="601"/>
      <c r="B376" s="609"/>
      <c r="C376" s="1424"/>
      <c r="D376" s="1424"/>
      <c r="E376" s="1424"/>
      <c r="F376" s="1424"/>
      <c r="G376" s="1424"/>
      <c r="H376" s="1424"/>
      <c r="I376" s="1424"/>
      <c r="J376" s="1424"/>
      <c r="K376" s="1424"/>
      <c r="L376" s="1424"/>
      <c r="M376" s="1424"/>
      <c r="N376" s="1424"/>
      <c r="O376" s="1424"/>
      <c r="P376" s="1424"/>
      <c r="Q376" s="1424"/>
      <c r="R376" s="1424"/>
      <c r="S376" s="1424"/>
      <c r="T376" s="1424"/>
      <c r="U376" s="1424"/>
      <c r="V376" s="1424"/>
      <c r="W376" s="1424"/>
      <c r="X376" s="1424"/>
      <c r="Y376" s="1424"/>
      <c r="Z376" s="1424"/>
      <c r="AA376" s="1424"/>
      <c r="AB376" s="1424"/>
      <c r="AC376" s="1424"/>
      <c r="AD376" s="1424"/>
      <c r="AE376" s="1424"/>
      <c r="AF376" s="1424"/>
      <c r="AG376" s="1424"/>
      <c r="AH376" s="1424"/>
      <c r="AI376" s="1424"/>
      <c r="AJ376" s="1424"/>
      <c r="AK376" s="601"/>
      <c r="AL376" s="601"/>
      <c r="AM376" s="601"/>
      <c r="AN376" s="595"/>
      <c r="AO376" s="691" t="s">
        <v>763</v>
      </c>
      <c r="AP376" s="692">
        <f>IF(C425="Yes",5,0)</f>
        <v>0</v>
      </c>
    </row>
    <row r="377" spans="1:46" s="549" customFormat="1" ht="12.75" customHeight="1">
      <c r="A377" s="601"/>
      <c r="B377" s="609"/>
      <c r="C377" s="1424"/>
      <c r="D377" s="1424"/>
      <c r="E377" s="1424"/>
      <c r="F377" s="1424"/>
      <c r="G377" s="1424"/>
      <c r="H377" s="1424"/>
      <c r="I377" s="1424"/>
      <c r="J377" s="1424"/>
      <c r="K377" s="1424"/>
      <c r="L377" s="1424"/>
      <c r="M377" s="1424"/>
      <c r="N377" s="1424"/>
      <c r="O377" s="1424"/>
      <c r="P377" s="1424"/>
      <c r="Q377" s="1424"/>
      <c r="R377" s="1424"/>
      <c r="S377" s="1424"/>
      <c r="T377" s="1424"/>
      <c r="U377" s="1424"/>
      <c r="V377" s="1424"/>
      <c r="W377" s="1424"/>
      <c r="X377" s="1424"/>
      <c r="Y377" s="1424"/>
      <c r="Z377" s="1424"/>
      <c r="AA377" s="1424"/>
      <c r="AB377" s="1424"/>
      <c r="AC377" s="1424"/>
      <c r="AD377" s="1424"/>
      <c r="AE377" s="1424"/>
      <c r="AF377" s="1424"/>
      <c r="AG377" s="1424"/>
      <c r="AH377" s="1424"/>
      <c r="AI377" s="1424"/>
      <c r="AJ377" s="1424"/>
      <c r="AK377" s="601"/>
      <c r="AL377" s="601"/>
      <c r="AM377" s="601"/>
      <c r="AN377" s="595"/>
      <c r="AO377" s="691" t="s">
        <v>584</v>
      </c>
      <c r="AP377" s="692">
        <f>IF(C434="Yes",5,0)</f>
        <v>0</v>
      </c>
    </row>
    <row r="378" spans="1:46" s="549" customFormat="1" ht="12" customHeight="1">
      <c r="A378" s="601"/>
      <c r="B378" s="609"/>
      <c r="C378" s="1424"/>
      <c r="D378" s="1424"/>
      <c r="E378" s="1424"/>
      <c r="F378" s="1424"/>
      <c r="G378" s="1424"/>
      <c r="H378" s="1424"/>
      <c r="I378" s="1424"/>
      <c r="J378" s="1424"/>
      <c r="K378" s="1424"/>
      <c r="L378" s="1424"/>
      <c r="M378" s="1424"/>
      <c r="N378" s="1424"/>
      <c r="O378" s="1424"/>
      <c r="P378" s="1424"/>
      <c r="Q378" s="1424"/>
      <c r="R378" s="1424"/>
      <c r="S378" s="1424"/>
      <c r="T378" s="1424"/>
      <c r="U378" s="1424"/>
      <c r="V378" s="1424"/>
      <c r="W378" s="1424"/>
      <c r="X378" s="1424"/>
      <c r="Y378" s="1424"/>
      <c r="Z378" s="1424"/>
      <c r="AA378" s="1424"/>
      <c r="AB378" s="1424"/>
      <c r="AC378" s="1424"/>
      <c r="AD378" s="1424"/>
      <c r="AE378" s="1424"/>
      <c r="AF378" s="1424"/>
      <c r="AG378" s="1424"/>
      <c r="AH378" s="1424"/>
      <c r="AI378" s="1424"/>
      <c r="AJ378" s="1424"/>
      <c r="AK378" s="601"/>
      <c r="AL378" s="601"/>
      <c r="AM378" s="601"/>
      <c r="AN378" s="595"/>
      <c r="AO378" s="693"/>
      <c r="AP378" s="694">
        <f>IF(C436="Yes",3,0)</f>
        <v>0</v>
      </c>
    </row>
    <row r="379" spans="1:46" s="549" customFormat="1" ht="12.45" customHeight="1">
      <c r="A379" s="601"/>
      <c r="B379" s="609"/>
      <c r="C379" s="1424"/>
      <c r="D379" s="1424"/>
      <c r="E379" s="1424"/>
      <c r="F379" s="1424"/>
      <c r="G379" s="1424"/>
      <c r="H379" s="1424"/>
      <c r="I379" s="1424"/>
      <c r="J379" s="1424"/>
      <c r="K379" s="1424"/>
      <c r="L379" s="1424"/>
      <c r="M379" s="1424"/>
      <c r="N379" s="1424"/>
      <c r="O379" s="1424"/>
      <c r="P379" s="1424"/>
      <c r="Q379" s="1424"/>
      <c r="R379" s="1424"/>
      <c r="S379" s="1424"/>
      <c r="T379" s="1424"/>
      <c r="U379" s="1424"/>
      <c r="V379" s="1424"/>
      <c r="W379" s="1424"/>
      <c r="X379" s="1424"/>
      <c r="Y379" s="1424"/>
      <c r="Z379" s="1424"/>
      <c r="AA379" s="1424"/>
      <c r="AB379" s="1424"/>
      <c r="AC379" s="1424"/>
      <c r="AD379" s="1424"/>
      <c r="AE379" s="1424"/>
      <c r="AF379" s="1424"/>
      <c r="AG379" s="1424"/>
      <c r="AH379" s="1424"/>
      <c r="AI379" s="1424"/>
      <c r="AJ379" s="1424"/>
      <c r="AK379" s="601"/>
      <c r="AL379" s="601"/>
      <c r="AM379" s="601"/>
      <c r="AN379" s="595"/>
      <c r="AO379" s="695" t="s">
        <v>227</v>
      </c>
      <c r="AP379" s="696">
        <f>SUM(AP370:AP378)</f>
        <v>10</v>
      </c>
      <c r="AQ379" s="1425">
        <f>IF(AP379&gt;0,AP379,0)</f>
        <v>10</v>
      </c>
      <c r="AR379" s="1425"/>
    </row>
    <row r="380" spans="1:46" s="549" customFormat="1" ht="12.75" customHeight="1">
      <c r="A380" s="601"/>
      <c r="B380" s="609"/>
      <c r="C380" s="1424"/>
      <c r="D380" s="1424"/>
      <c r="E380" s="1424"/>
      <c r="F380" s="1424"/>
      <c r="G380" s="1424"/>
      <c r="H380" s="1424"/>
      <c r="I380" s="1424"/>
      <c r="J380" s="1424"/>
      <c r="K380" s="1424"/>
      <c r="L380" s="1424"/>
      <c r="M380" s="1424"/>
      <c r="N380" s="1424"/>
      <c r="O380" s="1424"/>
      <c r="P380" s="1424"/>
      <c r="Q380" s="1424"/>
      <c r="R380" s="1424"/>
      <c r="S380" s="1424"/>
      <c r="T380" s="1424"/>
      <c r="U380" s="1424"/>
      <c r="V380" s="1424"/>
      <c r="W380" s="1424"/>
      <c r="X380" s="1424"/>
      <c r="Y380" s="1424"/>
      <c r="Z380" s="1424"/>
      <c r="AA380" s="1424"/>
      <c r="AB380" s="1424"/>
      <c r="AC380" s="1424"/>
      <c r="AD380" s="1424"/>
      <c r="AE380" s="1424"/>
      <c r="AF380" s="1424"/>
      <c r="AG380" s="1424"/>
      <c r="AH380" s="1424"/>
      <c r="AI380" s="1424"/>
      <c r="AJ380" s="1424"/>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1393" t="s">
        <v>1448</v>
      </c>
      <c r="D382" s="1393"/>
      <c r="E382" s="1393"/>
      <c r="F382" s="1393"/>
      <c r="G382" s="1393"/>
      <c r="H382" s="1393"/>
      <c r="I382" s="1393"/>
      <c r="J382" s="1393"/>
      <c r="K382" s="1393"/>
      <c r="L382" s="1393"/>
      <c r="M382" s="1393"/>
      <c r="N382" s="1393"/>
      <c r="O382" s="1393"/>
      <c r="P382" s="1393"/>
      <c r="Q382" s="1393"/>
      <c r="R382" s="1393"/>
      <c r="S382" s="1393"/>
      <c r="T382" s="1393"/>
      <c r="U382" s="1393"/>
      <c r="V382" s="1393"/>
      <c r="W382" s="1393"/>
      <c r="X382" s="1393"/>
      <c r="Y382" s="1393"/>
      <c r="Z382" s="1393"/>
      <c r="AA382" s="1393"/>
      <c r="AB382" s="1393"/>
      <c r="AC382" s="1393"/>
      <c r="AD382" s="1393"/>
      <c r="AE382" s="1393"/>
      <c r="AF382" s="1393"/>
      <c r="AG382" s="1393"/>
      <c r="AH382" s="1393"/>
      <c r="AI382" s="1393"/>
      <c r="AJ382" s="1393"/>
      <c r="AK382" s="601"/>
      <c r="AL382" s="601"/>
      <c r="AM382" s="601"/>
      <c r="AN382" s="595"/>
      <c r="AO382" s="691" t="s">
        <v>456</v>
      </c>
      <c r="AP382" s="692">
        <f>IF(C455="Yes",5,0)</f>
        <v>0</v>
      </c>
    </row>
    <row r="383" spans="1:46" s="549" customFormat="1" ht="12.75" customHeight="1">
      <c r="A383" s="601"/>
      <c r="B383" s="609"/>
      <c r="C383" s="1393"/>
      <c r="D383" s="1393"/>
      <c r="E383" s="1393"/>
      <c r="F383" s="1393"/>
      <c r="G383" s="1393"/>
      <c r="H383" s="1393"/>
      <c r="I383" s="1393"/>
      <c r="J383" s="1393"/>
      <c r="K383" s="1393"/>
      <c r="L383" s="1393"/>
      <c r="M383" s="1393"/>
      <c r="N383" s="1393"/>
      <c r="O383" s="1393"/>
      <c r="P383" s="1393"/>
      <c r="Q383" s="1393"/>
      <c r="R383" s="1393"/>
      <c r="S383" s="1393"/>
      <c r="T383" s="1393"/>
      <c r="U383" s="1393"/>
      <c r="V383" s="1393"/>
      <c r="W383" s="1393"/>
      <c r="X383" s="1393"/>
      <c r="Y383" s="1393"/>
      <c r="Z383" s="1393"/>
      <c r="AA383" s="1393"/>
      <c r="AB383" s="1393"/>
      <c r="AC383" s="1393"/>
      <c r="AD383" s="1393"/>
      <c r="AE383" s="1393"/>
      <c r="AF383" s="1393"/>
      <c r="AG383" s="1393"/>
      <c r="AH383" s="1393"/>
      <c r="AI383" s="1393"/>
      <c r="AJ383" s="1393"/>
      <c r="AK383" s="601"/>
      <c r="AL383" s="601"/>
      <c r="AM383" s="601"/>
      <c r="AN383" s="595"/>
      <c r="AO383" s="691" t="s">
        <v>461</v>
      </c>
      <c r="AP383" s="692">
        <f>IF(C462="Yes",5,0)</f>
        <v>0</v>
      </c>
    </row>
    <row r="384" spans="1:46" s="549" customFormat="1" ht="68.25" customHeight="1">
      <c r="A384" s="601"/>
      <c r="B384" s="609"/>
      <c r="C384" s="1393"/>
      <c r="D384" s="1393"/>
      <c r="E384" s="1393"/>
      <c r="F384" s="1393"/>
      <c r="G384" s="1393"/>
      <c r="H384" s="1393"/>
      <c r="I384" s="1393"/>
      <c r="J384" s="1393"/>
      <c r="K384" s="1393"/>
      <c r="L384" s="1393"/>
      <c r="M384" s="1393"/>
      <c r="N384" s="1393"/>
      <c r="O384" s="1393"/>
      <c r="P384" s="1393"/>
      <c r="Q384" s="1393"/>
      <c r="R384" s="1393"/>
      <c r="S384" s="1393"/>
      <c r="T384" s="1393"/>
      <c r="U384" s="1393"/>
      <c r="V384" s="1393"/>
      <c r="W384" s="1393"/>
      <c r="X384" s="1393"/>
      <c r="Y384" s="1393"/>
      <c r="Z384" s="1393"/>
      <c r="AA384" s="1393"/>
      <c r="AB384" s="1393"/>
      <c r="AC384" s="1393"/>
      <c r="AD384" s="1393"/>
      <c r="AE384" s="1393"/>
      <c r="AF384" s="1393"/>
      <c r="AG384" s="1393"/>
      <c r="AH384" s="1393"/>
      <c r="AI384" s="1393"/>
      <c r="AJ384" s="1393"/>
      <c r="AK384" s="601"/>
      <c r="AL384" s="601"/>
      <c r="AM384" s="601"/>
      <c r="AN384" s="595"/>
      <c r="AO384" s="691" t="s">
        <v>646</v>
      </c>
      <c r="AP384" s="697">
        <f>IF(C466="Yes",5,0)</f>
        <v>0</v>
      </c>
    </row>
    <row r="385" spans="1:81" s="549" customFormat="1" ht="12.45" customHeight="1">
      <c r="B385" s="609"/>
      <c r="C385" s="549" t="s">
        <v>1449</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2163</v>
      </c>
      <c r="D386" s="699"/>
      <c r="E386" s="699"/>
      <c r="F386" s="699"/>
      <c r="G386" s="699"/>
      <c r="H386" s="699"/>
      <c r="I386" s="699"/>
      <c r="J386" s="699"/>
      <c r="K386" s="699"/>
      <c r="L386" s="699"/>
      <c r="M386" s="663"/>
      <c r="N386" s="663"/>
      <c r="O386" s="700"/>
      <c r="P386" s="699"/>
      <c r="Q386" s="699"/>
      <c r="R386" s="663"/>
      <c r="S386" s="663"/>
      <c r="T386" s="699"/>
      <c r="U386" s="1489">
        <f>Application!DU810-U387</f>
        <v>269</v>
      </c>
      <c r="V386" s="1489"/>
      <c r="W386" s="1489"/>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2164</v>
      </c>
      <c r="D387" s="690"/>
      <c r="E387" s="690"/>
      <c r="F387" s="690"/>
      <c r="G387" s="690"/>
      <c r="H387" s="690"/>
      <c r="I387" s="690"/>
      <c r="J387" s="690"/>
      <c r="K387" s="690"/>
      <c r="L387" s="690"/>
      <c r="M387" s="690"/>
      <c r="N387" s="690"/>
      <c r="O387" s="690"/>
      <c r="P387" s="690"/>
      <c r="Q387" s="690"/>
      <c r="R387" s="690"/>
      <c r="S387" s="690"/>
      <c r="T387" s="690"/>
      <c r="U387" s="1490">
        <f>IF(Application!D211="SRO",Application!DU763,Application!AG764)</f>
        <v>0</v>
      </c>
      <c r="V387" s="1490"/>
      <c r="W387" s="1490"/>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1425">
        <f>IF(AP388&gt;0,AP388,0)</f>
        <v>0</v>
      </c>
      <c r="AR388" s="1425"/>
    </row>
    <row r="389" spans="1:81" s="549" customFormat="1" ht="12.75" customHeight="1">
      <c r="A389" s="601"/>
      <c r="B389" s="14"/>
      <c r="C389" s="708" t="s">
        <v>2161</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1308</v>
      </c>
      <c r="F390" s="1397" t="s">
        <v>1450</v>
      </c>
      <c r="G390" s="1397"/>
      <c r="H390" s="1397"/>
      <c r="I390" s="1397"/>
      <c r="J390" s="1397"/>
      <c r="K390" s="1397"/>
      <c r="L390" s="1397"/>
      <c r="M390" s="1397"/>
      <c r="N390" s="1397"/>
      <c r="O390" s="1397"/>
      <c r="P390" s="1397"/>
      <c r="Q390" s="1397"/>
      <c r="R390" s="1397"/>
      <c r="S390" s="1397"/>
      <c r="T390" s="1397"/>
      <c r="U390" s="1397"/>
      <c r="V390" s="1397"/>
      <c r="W390" s="1397"/>
      <c r="X390" s="1397"/>
      <c r="Y390" s="1397"/>
      <c r="Z390" s="1397"/>
      <c r="AA390" s="1397"/>
      <c r="AB390" s="1397"/>
      <c r="AC390" s="1397"/>
      <c r="AD390" s="1397"/>
      <c r="AE390" s="1397"/>
      <c r="AF390" s="1397"/>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1269"/>
      <c r="G391" s="1269"/>
      <c r="H391" s="1269"/>
      <c r="I391" s="1269"/>
      <c r="J391" s="1269"/>
      <c r="K391" s="1269"/>
      <c r="L391" s="1269"/>
      <c r="M391" s="1269"/>
      <c r="N391" s="1269"/>
      <c r="O391" s="1269"/>
      <c r="P391" s="1269"/>
      <c r="Q391" s="1269"/>
      <c r="R391" s="1269"/>
      <c r="S391" s="1269"/>
      <c r="T391" s="1269"/>
      <c r="U391" s="1269"/>
      <c r="V391" s="1269"/>
      <c r="W391" s="1269"/>
      <c r="X391" s="1269"/>
      <c r="Y391" s="1269"/>
      <c r="Z391" s="1269"/>
      <c r="AA391" s="1269"/>
      <c r="AB391" s="1269"/>
      <c r="AC391" s="1269"/>
      <c r="AD391" s="1269"/>
      <c r="AE391" s="1269"/>
      <c r="AF391" s="1269"/>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1269"/>
      <c r="G392" s="1269"/>
      <c r="H392" s="1269"/>
      <c r="I392" s="1269"/>
      <c r="J392" s="1269"/>
      <c r="K392" s="1269"/>
      <c r="L392" s="1269"/>
      <c r="M392" s="1269"/>
      <c r="N392" s="1269"/>
      <c r="O392" s="1269"/>
      <c r="P392" s="1269"/>
      <c r="Q392" s="1269"/>
      <c r="R392" s="1269"/>
      <c r="S392" s="1269"/>
      <c r="T392" s="1269"/>
      <c r="U392" s="1269"/>
      <c r="V392" s="1269"/>
      <c r="W392" s="1269"/>
      <c r="X392" s="1269"/>
      <c r="Y392" s="1269"/>
      <c r="Z392" s="1269"/>
      <c r="AA392" s="1269"/>
      <c r="AB392" s="1269"/>
      <c r="AC392" s="1269"/>
      <c r="AD392" s="1269"/>
      <c r="AE392" s="1269"/>
      <c r="AF392" s="1269"/>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1269"/>
      <c r="G393" s="1269"/>
      <c r="H393" s="1269"/>
      <c r="I393" s="1269"/>
      <c r="J393" s="1269"/>
      <c r="K393" s="1269"/>
      <c r="L393" s="1269"/>
      <c r="M393" s="1269"/>
      <c r="N393" s="1269"/>
      <c r="O393" s="1269"/>
      <c r="P393" s="1269"/>
      <c r="Q393" s="1269"/>
      <c r="R393" s="1269"/>
      <c r="S393" s="1269"/>
      <c r="T393" s="1269"/>
      <c r="U393" s="1269"/>
      <c r="V393" s="1269"/>
      <c r="W393" s="1269"/>
      <c r="X393" s="1269"/>
      <c r="Y393" s="1269"/>
      <c r="Z393" s="1269"/>
      <c r="AA393" s="1269"/>
      <c r="AB393" s="1269"/>
      <c r="AC393" s="1269"/>
      <c r="AD393" s="1269"/>
      <c r="AE393" s="1269"/>
      <c r="AF393" s="1269"/>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1394" t="s">
        <v>591</v>
      </c>
      <c r="D394" s="1353"/>
      <c r="E394" s="715"/>
      <c r="F394" s="717" t="s">
        <v>1451</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1395" t="s">
        <v>1452</v>
      </c>
      <c r="AG394" s="1395"/>
      <c r="AH394" s="1395"/>
      <c r="AI394" s="1395"/>
      <c r="AJ394" s="1395"/>
      <c r="AK394" s="1395"/>
      <c r="AL394" s="1396"/>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1310</v>
      </c>
      <c r="F397" s="1397" t="s">
        <v>1453</v>
      </c>
      <c r="G397" s="1397"/>
      <c r="H397" s="1397"/>
      <c r="I397" s="1397"/>
      <c r="J397" s="1397"/>
      <c r="K397" s="1397"/>
      <c r="L397" s="1397"/>
      <c r="M397" s="1397"/>
      <c r="N397" s="1397"/>
      <c r="O397" s="1397"/>
      <c r="P397" s="1397"/>
      <c r="Q397" s="1397"/>
      <c r="R397" s="1397"/>
      <c r="S397" s="1397"/>
      <c r="T397" s="1397"/>
      <c r="U397" s="1397"/>
      <c r="V397" s="1397"/>
      <c r="W397" s="1397"/>
      <c r="X397" s="1397"/>
      <c r="Y397" s="1397"/>
      <c r="Z397" s="1397"/>
      <c r="AA397" s="1397"/>
      <c r="AB397" s="1397"/>
      <c r="AC397" s="1397"/>
      <c r="AD397" s="1397"/>
      <c r="AE397" s="1397"/>
      <c r="AF397" s="1397"/>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1269"/>
      <c r="G398" s="1269"/>
      <c r="H398" s="1269"/>
      <c r="I398" s="1269"/>
      <c r="J398" s="1269"/>
      <c r="K398" s="1269"/>
      <c r="L398" s="1269"/>
      <c r="M398" s="1269"/>
      <c r="N398" s="1269"/>
      <c r="O398" s="1269"/>
      <c r="P398" s="1269"/>
      <c r="Q398" s="1269"/>
      <c r="R398" s="1269"/>
      <c r="S398" s="1269"/>
      <c r="T398" s="1269"/>
      <c r="U398" s="1269"/>
      <c r="V398" s="1269"/>
      <c r="W398" s="1269"/>
      <c r="X398" s="1269"/>
      <c r="Y398" s="1269"/>
      <c r="Z398" s="1269"/>
      <c r="AA398" s="1269"/>
      <c r="AB398" s="1269"/>
      <c r="AC398" s="1269"/>
      <c r="AD398" s="1269"/>
      <c r="AE398" s="1269"/>
      <c r="AF398" s="1269"/>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1269"/>
      <c r="G399" s="1269"/>
      <c r="H399" s="1269"/>
      <c r="I399" s="1269"/>
      <c r="J399" s="1269"/>
      <c r="K399" s="1269"/>
      <c r="L399" s="1269"/>
      <c r="M399" s="1269"/>
      <c r="N399" s="1269"/>
      <c r="O399" s="1269"/>
      <c r="P399" s="1269"/>
      <c r="Q399" s="1269"/>
      <c r="R399" s="1269"/>
      <c r="S399" s="1269"/>
      <c r="T399" s="1269"/>
      <c r="U399" s="1269"/>
      <c r="V399" s="1269"/>
      <c r="W399" s="1269"/>
      <c r="X399" s="1269"/>
      <c r="Y399" s="1269"/>
      <c r="Z399" s="1269"/>
      <c r="AA399" s="1269"/>
      <c r="AB399" s="1269"/>
      <c r="AC399" s="1269"/>
      <c r="AD399" s="1269"/>
      <c r="AE399" s="1269"/>
      <c r="AF399" s="1269"/>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1269"/>
      <c r="G400" s="1269"/>
      <c r="H400" s="1269"/>
      <c r="I400" s="1269"/>
      <c r="J400" s="1269"/>
      <c r="K400" s="1269"/>
      <c r="L400" s="1269"/>
      <c r="M400" s="1269"/>
      <c r="N400" s="1269"/>
      <c r="O400" s="1269"/>
      <c r="P400" s="1269"/>
      <c r="Q400" s="1269"/>
      <c r="R400" s="1269"/>
      <c r="S400" s="1269"/>
      <c r="T400" s="1269"/>
      <c r="U400" s="1269"/>
      <c r="V400" s="1269"/>
      <c r="W400" s="1269"/>
      <c r="X400" s="1269"/>
      <c r="Y400" s="1269"/>
      <c r="Z400" s="1269"/>
      <c r="AA400" s="1269"/>
      <c r="AB400" s="1269"/>
      <c r="AC400" s="1269"/>
      <c r="AD400" s="1269"/>
      <c r="AE400" s="1269"/>
      <c r="AF400" s="1269"/>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1269"/>
      <c r="G401" s="1269"/>
      <c r="H401" s="1269"/>
      <c r="I401" s="1269"/>
      <c r="J401" s="1269"/>
      <c r="K401" s="1269"/>
      <c r="L401" s="1269"/>
      <c r="M401" s="1269"/>
      <c r="N401" s="1269"/>
      <c r="O401" s="1269"/>
      <c r="P401" s="1269"/>
      <c r="Q401" s="1269"/>
      <c r="R401" s="1269"/>
      <c r="S401" s="1269"/>
      <c r="T401" s="1269"/>
      <c r="U401" s="1269"/>
      <c r="V401" s="1269"/>
      <c r="W401" s="1269"/>
      <c r="X401" s="1269"/>
      <c r="Y401" s="1269"/>
      <c r="Z401" s="1269"/>
      <c r="AA401" s="1269"/>
      <c r="AB401" s="1269"/>
      <c r="AC401" s="1269"/>
      <c r="AD401" s="1269"/>
      <c r="AE401" s="1269"/>
      <c r="AF401" s="1269"/>
      <c r="AL401" s="728"/>
      <c r="AN401" s="595"/>
      <c r="BS401" s="30"/>
      <c r="BT401" s="30"/>
      <c r="BU401" s="14"/>
      <c r="BV401" s="14"/>
      <c r="BW401" s="14"/>
      <c r="BX401" s="14"/>
      <c r="BY401" s="14"/>
      <c r="BZ401" s="14"/>
      <c r="CA401" s="14"/>
      <c r="CB401" s="14"/>
      <c r="CC401" s="14"/>
    </row>
    <row r="402" spans="1:81" s="549" customFormat="1" ht="12.75" customHeight="1">
      <c r="A402" s="536"/>
      <c r="B402" s="14"/>
      <c r="C402" s="1394" t="s">
        <v>591</v>
      </c>
      <c r="D402" s="1353"/>
      <c r="E402" s="687"/>
      <c r="F402" s="717" t="s">
        <v>1454</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1395" t="s">
        <v>1452</v>
      </c>
      <c r="AG402" s="1395"/>
      <c r="AH402" s="1395"/>
      <c r="AI402" s="1395"/>
      <c r="AJ402" s="1395"/>
      <c r="AK402" s="1395"/>
      <c r="AL402" s="1396"/>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1313</v>
      </c>
      <c r="F405" s="1397" t="s">
        <v>1455</v>
      </c>
      <c r="G405" s="1397"/>
      <c r="H405" s="1397"/>
      <c r="I405" s="1397"/>
      <c r="J405" s="1397"/>
      <c r="K405" s="1397"/>
      <c r="L405" s="1397"/>
      <c r="M405" s="1397"/>
      <c r="N405" s="1397"/>
      <c r="O405" s="1397"/>
      <c r="P405" s="1397"/>
      <c r="Q405" s="1397"/>
      <c r="R405" s="1397"/>
      <c r="S405" s="1397"/>
      <c r="T405" s="1397"/>
      <c r="U405" s="1397"/>
      <c r="V405" s="1397"/>
      <c r="W405" s="1397"/>
      <c r="X405" s="1397"/>
      <c r="Y405" s="1397"/>
      <c r="Z405" s="1397"/>
      <c r="AA405" s="1397"/>
      <c r="AB405" s="1397"/>
      <c r="AC405" s="1397"/>
      <c r="AD405" s="1397"/>
      <c r="AE405" s="1397"/>
      <c r="AF405" s="1397"/>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1269"/>
      <c r="G406" s="1269"/>
      <c r="H406" s="1269"/>
      <c r="I406" s="1269"/>
      <c r="J406" s="1269"/>
      <c r="K406" s="1269"/>
      <c r="L406" s="1269"/>
      <c r="M406" s="1269"/>
      <c r="N406" s="1269"/>
      <c r="O406" s="1269"/>
      <c r="P406" s="1269"/>
      <c r="Q406" s="1269"/>
      <c r="R406" s="1269"/>
      <c r="S406" s="1269"/>
      <c r="T406" s="1269"/>
      <c r="U406" s="1269"/>
      <c r="V406" s="1269"/>
      <c r="W406" s="1269"/>
      <c r="X406" s="1269"/>
      <c r="Y406" s="1269"/>
      <c r="Z406" s="1269"/>
      <c r="AA406" s="1269"/>
      <c r="AB406" s="1269"/>
      <c r="AC406" s="1269"/>
      <c r="AD406" s="1269"/>
      <c r="AE406" s="1269"/>
      <c r="AF406" s="1269"/>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1269"/>
      <c r="G407" s="1269"/>
      <c r="H407" s="1269"/>
      <c r="I407" s="1269"/>
      <c r="J407" s="1269"/>
      <c r="K407" s="1269"/>
      <c r="L407" s="1269"/>
      <c r="M407" s="1269"/>
      <c r="N407" s="1269"/>
      <c r="O407" s="1269"/>
      <c r="P407" s="1269"/>
      <c r="Q407" s="1269"/>
      <c r="R407" s="1269"/>
      <c r="S407" s="1269"/>
      <c r="T407" s="1269"/>
      <c r="U407" s="1269"/>
      <c r="V407" s="1269"/>
      <c r="W407" s="1269"/>
      <c r="X407" s="1269"/>
      <c r="Y407" s="1269"/>
      <c r="Z407" s="1269"/>
      <c r="AA407" s="1269"/>
      <c r="AB407" s="1269"/>
      <c r="AC407" s="1269"/>
      <c r="AD407" s="1269"/>
      <c r="AE407" s="1269"/>
      <c r="AF407" s="1269"/>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1269"/>
      <c r="G408" s="1269"/>
      <c r="H408" s="1269"/>
      <c r="I408" s="1269"/>
      <c r="J408" s="1269"/>
      <c r="K408" s="1269"/>
      <c r="L408" s="1269"/>
      <c r="M408" s="1269"/>
      <c r="N408" s="1269"/>
      <c r="O408" s="1269"/>
      <c r="P408" s="1269"/>
      <c r="Q408" s="1269"/>
      <c r="R408" s="1269"/>
      <c r="S408" s="1269"/>
      <c r="T408" s="1269"/>
      <c r="U408" s="1269"/>
      <c r="V408" s="1269"/>
      <c r="W408" s="1269"/>
      <c r="X408" s="1269"/>
      <c r="Y408" s="1269"/>
      <c r="Z408" s="1269"/>
      <c r="AA408" s="1269"/>
      <c r="AB408" s="1269"/>
      <c r="AC408" s="1269"/>
      <c r="AD408" s="1269"/>
      <c r="AE408" s="1269"/>
      <c r="AF408" s="1269"/>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1269"/>
      <c r="G409" s="1269"/>
      <c r="H409" s="1269"/>
      <c r="I409" s="1269"/>
      <c r="J409" s="1269"/>
      <c r="K409" s="1269"/>
      <c r="L409" s="1269"/>
      <c r="M409" s="1269"/>
      <c r="N409" s="1269"/>
      <c r="O409" s="1269"/>
      <c r="P409" s="1269"/>
      <c r="Q409" s="1269"/>
      <c r="R409" s="1269"/>
      <c r="S409" s="1269"/>
      <c r="T409" s="1269"/>
      <c r="U409" s="1269"/>
      <c r="V409" s="1269"/>
      <c r="W409" s="1269"/>
      <c r="X409" s="1269"/>
      <c r="Y409" s="1269"/>
      <c r="Z409" s="1269"/>
      <c r="AA409" s="1269"/>
      <c r="AB409" s="1269"/>
      <c r="AC409" s="1269"/>
      <c r="AD409" s="1269"/>
      <c r="AE409" s="1269"/>
      <c r="AF409" s="1269"/>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1394" t="s">
        <v>545</v>
      </c>
      <c r="D410" s="1353"/>
      <c r="E410" s="687"/>
      <c r="F410" s="717" t="s">
        <v>1456</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1395" t="s">
        <v>1457</v>
      </c>
      <c r="AG410" s="1395"/>
      <c r="AH410" s="1395"/>
      <c r="AI410" s="1395"/>
      <c r="AJ410" s="1395"/>
      <c r="AK410" s="1395"/>
      <c r="AL410" s="1396"/>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1394" t="s">
        <v>591</v>
      </c>
      <c r="D412" s="1353"/>
      <c r="E412" s="687"/>
      <c r="F412" s="734" t="s">
        <v>1458</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1395" t="s">
        <v>1452</v>
      </c>
      <c r="AG412" s="1395"/>
      <c r="AH412" s="1395"/>
      <c r="AI412" s="1395"/>
      <c r="AJ412" s="1395"/>
      <c r="AK412" s="1395"/>
      <c r="AL412" s="1396"/>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1459</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1460</v>
      </c>
      <c r="F416" s="1397" t="s">
        <v>1461</v>
      </c>
      <c r="G416" s="1397"/>
      <c r="H416" s="1397"/>
      <c r="I416" s="1397"/>
      <c r="J416" s="1397"/>
      <c r="K416" s="1397"/>
      <c r="L416" s="1397"/>
      <c r="M416" s="1397"/>
      <c r="N416" s="1397"/>
      <c r="O416" s="1397"/>
      <c r="P416" s="1397"/>
      <c r="Q416" s="1397"/>
      <c r="R416" s="1397"/>
      <c r="S416" s="1397"/>
      <c r="T416" s="1397"/>
      <c r="U416" s="1397"/>
      <c r="V416" s="1397"/>
      <c r="W416" s="1397"/>
      <c r="X416" s="1397"/>
      <c r="Y416" s="1397"/>
      <c r="Z416" s="1397"/>
      <c r="AA416" s="1397"/>
      <c r="AB416" s="1397"/>
      <c r="AC416" s="1397"/>
      <c r="AD416" s="1397"/>
      <c r="AE416" s="1397"/>
      <c r="AF416" s="1397"/>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1269"/>
      <c r="G417" s="1269"/>
      <c r="H417" s="1269"/>
      <c r="I417" s="1269"/>
      <c r="J417" s="1269"/>
      <c r="K417" s="1269"/>
      <c r="L417" s="1269"/>
      <c r="M417" s="1269"/>
      <c r="N417" s="1269"/>
      <c r="O417" s="1269"/>
      <c r="P417" s="1269"/>
      <c r="Q417" s="1269"/>
      <c r="R417" s="1269"/>
      <c r="S417" s="1269"/>
      <c r="T417" s="1269"/>
      <c r="U417" s="1269"/>
      <c r="V417" s="1269"/>
      <c r="W417" s="1269"/>
      <c r="X417" s="1269"/>
      <c r="Y417" s="1269"/>
      <c r="Z417" s="1269"/>
      <c r="AA417" s="1269"/>
      <c r="AB417" s="1269"/>
      <c r="AC417" s="1269"/>
      <c r="AD417" s="1269"/>
      <c r="AE417" s="1269"/>
      <c r="AF417" s="1269"/>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1269"/>
      <c r="G418" s="1269"/>
      <c r="H418" s="1269"/>
      <c r="I418" s="1269"/>
      <c r="J418" s="1269"/>
      <c r="K418" s="1269"/>
      <c r="L418" s="1269"/>
      <c r="M418" s="1269"/>
      <c r="N418" s="1269"/>
      <c r="O418" s="1269"/>
      <c r="P418" s="1269"/>
      <c r="Q418" s="1269"/>
      <c r="R418" s="1269"/>
      <c r="S418" s="1269"/>
      <c r="T418" s="1269"/>
      <c r="U418" s="1269"/>
      <c r="V418" s="1269"/>
      <c r="W418" s="1269"/>
      <c r="X418" s="1269"/>
      <c r="Y418" s="1269"/>
      <c r="Z418" s="1269"/>
      <c r="AA418" s="1269"/>
      <c r="AB418" s="1269"/>
      <c r="AC418" s="1269"/>
      <c r="AD418" s="1269"/>
      <c r="AE418" s="1269"/>
      <c r="AF418" s="1269"/>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1269"/>
      <c r="G419" s="1269"/>
      <c r="H419" s="1269"/>
      <c r="I419" s="1269"/>
      <c r="J419" s="1269"/>
      <c r="K419" s="1269"/>
      <c r="L419" s="1269"/>
      <c r="M419" s="1269"/>
      <c r="N419" s="1269"/>
      <c r="O419" s="1269"/>
      <c r="P419" s="1269"/>
      <c r="Q419" s="1269"/>
      <c r="R419" s="1269"/>
      <c r="S419" s="1269"/>
      <c r="T419" s="1269"/>
      <c r="U419" s="1269"/>
      <c r="V419" s="1269"/>
      <c r="W419" s="1269"/>
      <c r="X419" s="1269"/>
      <c r="Y419" s="1269"/>
      <c r="Z419" s="1269"/>
      <c r="AA419" s="1269"/>
      <c r="AB419" s="1269"/>
      <c r="AC419" s="1269"/>
      <c r="AD419" s="1269"/>
      <c r="AE419" s="1269"/>
      <c r="AF419" s="1269"/>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1394" t="s">
        <v>591</v>
      </c>
      <c r="D420" s="1353"/>
      <c r="E420" s="687"/>
      <c r="F420" s="717" t="s">
        <v>1462</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1395" t="s">
        <v>1452</v>
      </c>
      <c r="AG420" s="1395"/>
      <c r="AH420" s="1395"/>
      <c r="AI420" s="1395"/>
      <c r="AJ420" s="1395"/>
      <c r="AK420" s="1395"/>
      <c r="AL420" s="1396"/>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1394" t="s">
        <v>545</v>
      </c>
      <c r="D422" s="1353"/>
      <c r="E422" s="715"/>
      <c r="F422" s="717" t="s">
        <v>1463</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1395" t="s">
        <v>1464</v>
      </c>
      <c r="AG422" s="1395"/>
      <c r="AH422" s="1395"/>
      <c r="AI422" s="1395"/>
      <c r="AJ422" s="1395"/>
      <c r="AK422" s="1395"/>
      <c r="AL422" s="1396"/>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1394" t="s">
        <v>591</v>
      </c>
      <c r="D425" s="1353"/>
      <c r="E425" s="711" t="s">
        <v>1465</v>
      </c>
      <c r="F425" s="1397" t="s">
        <v>1466</v>
      </c>
      <c r="G425" s="1397"/>
      <c r="H425" s="1397"/>
      <c r="I425" s="1397"/>
      <c r="J425" s="1397"/>
      <c r="K425" s="1397"/>
      <c r="L425" s="1397"/>
      <c r="M425" s="1397"/>
      <c r="N425" s="1397"/>
      <c r="O425" s="1397"/>
      <c r="P425" s="1397"/>
      <c r="Q425" s="1397"/>
      <c r="R425" s="1397"/>
      <c r="S425" s="1397"/>
      <c r="T425" s="1397"/>
      <c r="U425" s="1397"/>
      <c r="V425" s="1397"/>
      <c r="W425" s="1397"/>
      <c r="X425" s="1397"/>
      <c r="Y425" s="1397"/>
      <c r="Z425" s="1397"/>
      <c r="AA425" s="1397"/>
      <c r="AB425" s="1397"/>
      <c r="AC425" s="1397"/>
      <c r="AD425" s="1397"/>
      <c r="AE425" s="1397"/>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1269"/>
      <c r="G426" s="1269"/>
      <c r="H426" s="1269"/>
      <c r="I426" s="1269"/>
      <c r="J426" s="1269"/>
      <c r="K426" s="1269"/>
      <c r="L426" s="1269"/>
      <c r="M426" s="1269"/>
      <c r="N426" s="1269"/>
      <c r="O426" s="1269"/>
      <c r="P426" s="1269"/>
      <c r="Q426" s="1269"/>
      <c r="R426" s="1269"/>
      <c r="S426" s="1269"/>
      <c r="T426" s="1269"/>
      <c r="U426" s="1269"/>
      <c r="V426" s="1269"/>
      <c r="W426" s="1269"/>
      <c r="X426" s="1269"/>
      <c r="Y426" s="1269"/>
      <c r="Z426" s="1269"/>
      <c r="AA426" s="1269"/>
      <c r="AB426" s="1269"/>
      <c r="AC426" s="1269"/>
      <c r="AD426" s="1269"/>
      <c r="AE426" s="1269"/>
      <c r="AF426" s="1331" t="s">
        <v>1452</v>
      </c>
      <c r="AG426" s="1331"/>
      <c r="AH426" s="1331"/>
      <c r="AI426" s="1331"/>
      <c r="AJ426" s="1331"/>
      <c r="AK426" s="1331"/>
      <c r="AL426" s="1398"/>
      <c r="AM426" s="568"/>
      <c r="AN426" s="595"/>
      <c r="BS426" s="568"/>
      <c r="BT426" s="568"/>
      <c r="BY426" s="568"/>
      <c r="BZ426" s="568"/>
      <c r="CA426" s="568"/>
      <c r="CB426" s="568"/>
      <c r="CC426" s="568"/>
    </row>
    <row r="427" spans="1:81" s="549" customFormat="1" ht="12.75" customHeight="1">
      <c r="A427" s="536"/>
      <c r="B427" s="14"/>
      <c r="C427" s="727"/>
      <c r="D427" s="14"/>
      <c r="E427" s="687"/>
      <c r="F427" s="1269"/>
      <c r="G427" s="1269"/>
      <c r="H427" s="1269"/>
      <c r="I427" s="1269"/>
      <c r="J427" s="1269"/>
      <c r="K427" s="1269"/>
      <c r="L427" s="1269"/>
      <c r="M427" s="1269"/>
      <c r="N427" s="1269"/>
      <c r="O427" s="1269"/>
      <c r="P427" s="1269"/>
      <c r="Q427" s="1269"/>
      <c r="R427" s="1269"/>
      <c r="S427" s="1269"/>
      <c r="T427" s="1269"/>
      <c r="U427" s="1269"/>
      <c r="V427" s="1269"/>
      <c r="W427" s="1269"/>
      <c r="X427" s="1269"/>
      <c r="Y427" s="1269"/>
      <c r="Z427" s="1269"/>
      <c r="AA427" s="1269"/>
      <c r="AB427" s="1269"/>
      <c r="AC427" s="1269"/>
      <c r="AD427" s="1269"/>
      <c r="AE427" s="1269"/>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1426"/>
      <c r="G428" s="1426"/>
      <c r="H428" s="1426"/>
      <c r="I428" s="1426"/>
      <c r="J428" s="1426"/>
      <c r="K428" s="1426"/>
      <c r="L428" s="1426"/>
      <c r="M428" s="1426"/>
      <c r="N428" s="1426"/>
      <c r="O428" s="1426"/>
      <c r="P428" s="1426"/>
      <c r="Q428" s="1426"/>
      <c r="R428" s="1426"/>
      <c r="S428" s="1426"/>
      <c r="T428" s="1426"/>
      <c r="U428" s="1426"/>
      <c r="V428" s="1426"/>
      <c r="W428" s="1426"/>
      <c r="X428" s="1426"/>
      <c r="Y428" s="1426"/>
      <c r="Z428" s="1426"/>
      <c r="AA428" s="1426"/>
      <c r="AB428" s="1426"/>
      <c r="AC428" s="1426"/>
      <c r="AD428" s="1426"/>
      <c r="AE428" s="1426"/>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1467</v>
      </c>
      <c r="F430" s="1397" t="s">
        <v>1468</v>
      </c>
      <c r="G430" s="1397"/>
      <c r="H430" s="1397"/>
      <c r="I430" s="1397"/>
      <c r="J430" s="1397"/>
      <c r="K430" s="1397"/>
      <c r="L430" s="1397"/>
      <c r="M430" s="1397"/>
      <c r="N430" s="1397"/>
      <c r="O430" s="1397"/>
      <c r="P430" s="1397"/>
      <c r="Q430" s="1397"/>
      <c r="R430" s="1397"/>
      <c r="S430" s="1397"/>
      <c r="T430" s="1397"/>
      <c r="U430" s="1397"/>
      <c r="V430" s="1397"/>
      <c r="W430" s="1397"/>
      <c r="X430" s="1397"/>
      <c r="Y430" s="1397"/>
      <c r="Z430" s="1397"/>
      <c r="AA430" s="1397"/>
      <c r="AB430" s="1397"/>
      <c r="AC430" s="1397"/>
      <c r="AD430" s="1397"/>
      <c r="AE430" s="1397"/>
      <c r="AF430" s="743"/>
      <c r="AG430" s="743"/>
      <c r="AH430" s="743"/>
      <c r="AI430" s="743"/>
      <c r="AJ430" s="743"/>
      <c r="AK430" s="743"/>
      <c r="AL430" s="744"/>
      <c r="AM430" s="568"/>
    </row>
    <row r="431" spans="1:81">
      <c r="A431" s="536"/>
      <c r="C431" s="727"/>
      <c r="E431" s="687"/>
      <c r="F431" s="1269"/>
      <c r="G431" s="1269"/>
      <c r="H431" s="1269"/>
      <c r="I431" s="1269"/>
      <c r="J431" s="1269"/>
      <c r="K431" s="1269"/>
      <c r="L431" s="1269"/>
      <c r="M431" s="1269"/>
      <c r="N431" s="1269"/>
      <c r="O431" s="1269"/>
      <c r="P431" s="1269"/>
      <c r="Q431" s="1269"/>
      <c r="R431" s="1269"/>
      <c r="S431" s="1269"/>
      <c r="T431" s="1269"/>
      <c r="U431" s="1269"/>
      <c r="V431" s="1269"/>
      <c r="W431" s="1269"/>
      <c r="X431" s="1269"/>
      <c r="Y431" s="1269"/>
      <c r="Z431" s="1269"/>
      <c r="AA431" s="1269"/>
      <c r="AB431" s="1269"/>
      <c r="AC431" s="1269"/>
      <c r="AD431" s="1269"/>
      <c r="AE431" s="1269"/>
      <c r="AF431" s="539"/>
      <c r="AG431" s="536"/>
      <c r="AH431" s="549"/>
      <c r="AI431" s="549"/>
      <c r="AJ431" s="549"/>
      <c r="AK431" s="549"/>
      <c r="AL431" s="728"/>
      <c r="AM431" s="568"/>
    </row>
    <row r="432" spans="1:81" s="549" customFormat="1" ht="12.75" customHeight="1">
      <c r="A432" s="536"/>
      <c r="B432" s="14"/>
      <c r="C432" s="727"/>
      <c r="D432" s="14"/>
      <c r="E432" s="687"/>
      <c r="F432" s="1269"/>
      <c r="G432" s="1269"/>
      <c r="H432" s="1269"/>
      <c r="I432" s="1269"/>
      <c r="J432" s="1269"/>
      <c r="K432" s="1269"/>
      <c r="L432" s="1269"/>
      <c r="M432" s="1269"/>
      <c r="N432" s="1269"/>
      <c r="O432" s="1269"/>
      <c r="P432" s="1269"/>
      <c r="Q432" s="1269"/>
      <c r="R432" s="1269"/>
      <c r="S432" s="1269"/>
      <c r="T432" s="1269"/>
      <c r="U432" s="1269"/>
      <c r="V432" s="1269"/>
      <c r="W432" s="1269"/>
      <c r="X432" s="1269"/>
      <c r="Y432" s="1269"/>
      <c r="Z432" s="1269"/>
      <c r="AA432" s="1269"/>
      <c r="AB432" s="1269"/>
      <c r="AC432" s="1269"/>
      <c r="AD432" s="1269"/>
      <c r="AE432" s="1269"/>
      <c r="AL432" s="728"/>
      <c r="AM432" s="568"/>
      <c r="AN432" s="595"/>
    </row>
    <row r="433" spans="1:60" s="549" customFormat="1" ht="12.75" customHeight="1">
      <c r="A433" s="536"/>
      <c r="B433" s="14"/>
      <c r="C433" s="735"/>
      <c r="F433" s="1269"/>
      <c r="G433" s="1269"/>
      <c r="H433" s="1269"/>
      <c r="I433" s="1269"/>
      <c r="J433" s="1269"/>
      <c r="K433" s="1269"/>
      <c r="L433" s="1269"/>
      <c r="M433" s="1269"/>
      <c r="N433" s="1269"/>
      <c r="O433" s="1269"/>
      <c r="P433" s="1269"/>
      <c r="Q433" s="1269"/>
      <c r="R433" s="1269"/>
      <c r="S433" s="1269"/>
      <c r="T433" s="1269"/>
      <c r="U433" s="1269"/>
      <c r="V433" s="1269"/>
      <c r="W433" s="1269"/>
      <c r="X433" s="1269"/>
      <c r="Y433" s="1269"/>
      <c r="Z433" s="1269"/>
      <c r="AA433" s="1269"/>
      <c r="AB433" s="1269"/>
      <c r="AC433" s="1269"/>
      <c r="AD433" s="1269"/>
      <c r="AE433" s="1269"/>
      <c r="AL433" s="728"/>
      <c r="AM433" s="568"/>
      <c r="AN433" s="595"/>
    </row>
    <row r="434" spans="1:60" s="549" customFormat="1" ht="12.75" customHeight="1">
      <c r="A434" s="536"/>
      <c r="B434" s="14"/>
      <c r="C434" s="1394" t="s">
        <v>591</v>
      </c>
      <c r="D434" s="1353"/>
      <c r="E434" s="687"/>
      <c r="F434" s="717" t="s">
        <v>1469</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1331" t="s">
        <v>1452</v>
      </c>
      <c r="AG434" s="1331"/>
      <c r="AH434" s="1331"/>
      <c r="AI434" s="1331"/>
      <c r="AJ434" s="1331"/>
      <c r="AK434" s="1331"/>
      <c r="AL434" s="1398"/>
      <c r="AM434" s="568"/>
      <c r="AN434" s="595"/>
    </row>
    <row r="435" spans="1:60" s="549" customFormat="1" ht="12.75" customHeight="1">
      <c r="A435" s="536"/>
      <c r="B435" s="14"/>
      <c r="C435" s="735"/>
      <c r="AL435" s="728"/>
      <c r="AM435" s="568"/>
      <c r="AN435" s="595"/>
    </row>
    <row r="436" spans="1:60" s="549" customFormat="1" ht="12.75" customHeight="1">
      <c r="A436" s="536"/>
      <c r="B436" s="14"/>
      <c r="C436" s="1394" t="s">
        <v>591</v>
      </c>
      <c r="D436" s="1353"/>
      <c r="E436" s="715"/>
      <c r="F436" s="717" t="s">
        <v>1470</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1331" t="s">
        <v>1464</v>
      </c>
      <c r="AG436" s="1331"/>
      <c r="AH436" s="1331"/>
      <c r="AI436" s="1331"/>
      <c r="AJ436" s="1331"/>
      <c r="AK436" s="1331"/>
      <c r="AL436" s="1398"/>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2162</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1471</v>
      </c>
      <c r="F440" s="1397" t="s">
        <v>1472</v>
      </c>
      <c r="G440" s="1397"/>
      <c r="H440" s="1397"/>
      <c r="I440" s="1397"/>
      <c r="J440" s="1397"/>
      <c r="K440" s="1397"/>
      <c r="L440" s="1397"/>
      <c r="M440" s="1397"/>
      <c r="N440" s="1397"/>
      <c r="O440" s="1397"/>
      <c r="P440" s="1397"/>
      <c r="Q440" s="1397"/>
      <c r="R440" s="1397"/>
      <c r="S440" s="1397"/>
      <c r="T440" s="1397"/>
      <c r="U440" s="1397"/>
      <c r="V440" s="1397"/>
      <c r="W440" s="1397"/>
      <c r="X440" s="1397"/>
      <c r="Y440" s="1397"/>
      <c r="Z440" s="1397"/>
      <c r="AA440" s="1397"/>
      <c r="AB440" s="1397"/>
      <c r="AC440" s="1397"/>
      <c r="AD440" s="1397"/>
      <c r="AE440" s="1397"/>
      <c r="AF440" s="710"/>
      <c r="AG440" s="710"/>
      <c r="AH440" s="710"/>
      <c r="AI440" s="710"/>
      <c r="AJ440" s="710"/>
      <c r="AK440" s="710"/>
      <c r="AL440" s="741"/>
      <c r="AM440" s="568"/>
      <c r="AN440" s="595"/>
    </row>
    <row r="441" spans="1:60" s="549" customFormat="1" ht="12.75" customHeight="1">
      <c r="A441" s="536"/>
      <c r="B441" s="14"/>
      <c r="C441" s="727"/>
      <c r="D441" s="14"/>
      <c r="E441" s="687"/>
      <c r="F441" s="1269"/>
      <c r="G441" s="1269"/>
      <c r="H441" s="1269"/>
      <c r="I441" s="1269"/>
      <c r="J441" s="1269"/>
      <c r="K441" s="1269"/>
      <c r="L441" s="1269"/>
      <c r="M441" s="1269"/>
      <c r="N441" s="1269"/>
      <c r="O441" s="1269"/>
      <c r="P441" s="1269"/>
      <c r="Q441" s="1269"/>
      <c r="R441" s="1269"/>
      <c r="S441" s="1269"/>
      <c r="T441" s="1269"/>
      <c r="U441" s="1269"/>
      <c r="V441" s="1269"/>
      <c r="W441" s="1269"/>
      <c r="X441" s="1269"/>
      <c r="Y441" s="1269"/>
      <c r="Z441" s="1269"/>
      <c r="AA441" s="1269"/>
      <c r="AB441" s="1269"/>
      <c r="AC441" s="1269"/>
      <c r="AD441" s="1269"/>
      <c r="AE441" s="1269"/>
      <c r="AF441" s="539"/>
      <c r="AG441" s="536"/>
      <c r="AL441" s="728"/>
      <c r="AM441" s="568"/>
      <c r="AN441" s="595"/>
    </row>
    <row r="442" spans="1:60" s="549" customFormat="1" ht="12.45" customHeight="1">
      <c r="A442" s="536"/>
      <c r="B442" s="14"/>
      <c r="C442" s="727"/>
      <c r="D442" s="14"/>
      <c r="E442" s="687"/>
      <c r="F442" s="1269"/>
      <c r="G442" s="1269"/>
      <c r="H442" s="1269"/>
      <c r="I442" s="1269"/>
      <c r="J442" s="1269"/>
      <c r="K442" s="1269"/>
      <c r="L442" s="1269"/>
      <c r="M442" s="1269"/>
      <c r="N442" s="1269"/>
      <c r="O442" s="1269"/>
      <c r="P442" s="1269"/>
      <c r="Q442" s="1269"/>
      <c r="R442" s="1269"/>
      <c r="S442" s="1269"/>
      <c r="T442" s="1269"/>
      <c r="U442" s="1269"/>
      <c r="V442" s="1269"/>
      <c r="W442" s="1269"/>
      <c r="X442" s="1269"/>
      <c r="Y442" s="1269"/>
      <c r="Z442" s="1269"/>
      <c r="AA442" s="1269"/>
      <c r="AB442" s="1269"/>
      <c r="AC442" s="1269"/>
      <c r="AD442" s="1269"/>
      <c r="AE442" s="1269"/>
      <c r="AL442" s="728"/>
      <c r="AM442" s="568"/>
      <c r="AN442" s="595"/>
    </row>
    <row r="443" spans="1:60" s="549" customFormat="1" ht="12.75" customHeight="1">
      <c r="A443" s="536"/>
      <c r="B443" s="14"/>
      <c r="C443" s="1394" t="s">
        <v>591</v>
      </c>
      <c r="D443" s="1353"/>
      <c r="E443" s="687"/>
      <c r="F443" s="717" t="s">
        <v>1473</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1331" t="s">
        <v>1452</v>
      </c>
      <c r="AG443" s="1331"/>
      <c r="AH443" s="1331"/>
      <c r="AI443" s="1331"/>
      <c r="AJ443" s="1331"/>
      <c r="AK443" s="1331"/>
      <c r="AL443" s="1398"/>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2" customHeight="1">
      <c r="A446" s="536"/>
      <c r="C446" s="742"/>
      <c r="D446" s="743"/>
      <c r="E446" s="711" t="s">
        <v>1474</v>
      </c>
      <c r="F446" s="1397" t="s">
        <v>1475</v>
      </c>
      <c r="G446" s="1397"/>
      <c r="H446" s="1397"/>
      <c r="I446" s="1397"/>
      <c r="J446" s="1397"/>
      <c r="K446" s="1397"/>
      <c r="L446" s="1397"/>
      <c r="M446" s="1397"/>
      <c r="N446" s="1397"/>
      <c r="O446" s="1397"/>
      <c r="P446" s="1397"/>
      <c r="Q446" s="1397"/>
      <c r="R446" s="1397"/>
      <c r="S446" s="1397"/>
      <c r="T446" s="1397"/>
      <c r="U446" s="1397"/>
      <c r="V446" s="1397"/>
      <c r="W446" s="1397"/>
      <c r="X446" s="1397"/>
      <c r="Y446" s="1397"/>
      <c r="Z446" s="1397"/>
      <c r="AA446" s="1397"/>
      <c r="AB446" s="1397"/>
      <c r="AC446" s="1397"/>
      <c r="AD446" s="1397"/>
      <c r="AE446" s="1397"/>
      <c r="AF446" s="743"/>
      <c r="AG446" s="743"/>
      <c r="AH446" s="743"/>
      <c r="AI446" s="743"/>
      <c r="AJ446" s="743"/>
      <c r="AK446" s="743"/>
      <c r="AL446" s="744"/>
      <c r="AM446" s="568"/>
      <c r="AO446" s="549"/>
      <c r="AP446" s="549"/>
      <c r="BD446" s="14"/>
      <c r="BE446" s="14"/>
      <c r="BF446" s="14"/>
      <c r="BG446" s="14"/>
      <c r="BH446" s="14"/>
    </row>
    <row r="447" spans="1:60">
      <c r="A447" s="536"/>
      <c r="C447" s="727"/>
      <c r="E447" s="687"/>
      <c r="F447" s="1269"/>
      <c r="G447" s="1269"/>
      <c r="H447" s="1269"/>
      <c r="I447" s="1269"/>
      <c r="J447" s="1269"/>
      <c r="K447" s="1269"/>
      <c r="L447" s="1269"/>
      <c r="M447" s="1269"/>
      <c r="N447" s="1269"/>
      <c r="O447" s="1269"/>
      <c r="P447" s="1269"/>
      <c r="Q447" s="1269"/>
      <c r="R447" s="1269"/>
      <c r="S447" s="1269"/>
      <c r="T447" s="1269"/>
      <c r="U447" s="1269"/>
      <c r="V447" s="1269"/>
      <c r="W447" s="1269"/>
      <c r="X447" s="1269"/>
      <c r="Y447" s="1269"/>
      <c r="Z447" s="1269"/>
      <c r="AA447" s="1269"/>
      <c r="AB447" s="1269"/>
      <c r="AC447" s="1269"/>
      <c r="AD447" s="1269"/>
      <c r="AE447" s="1269"/>
      <c r="AF447" s="592"/>
      <c r="AG447" s="592"/>
      <c r="AH447" s="592"/>
      <c r="AI447" s="592"/>
      <c r="AJ447" s="592"/>
      <c r="AK447" s="592"/>
      <c r="AL447" s="746"/>
      <c r="AM447" s="568"/>
      <c r="AO447" s="549"/>
      <c r="AP447" s="549"/>
    </row>
    <row r="448" spans="1:60" s="549" customFormat="1" ht="12.75" customHeight="1">
      <c r="A448" s="536"/>
      <c r="B448" s="14"/>
      <c r="C448" s="727"/>
      <c r="D448" s="14"/>
      <c r="E448" s="687"/>
      <c r="F448" s="1269"/>
      <c r="G448" s="1269"/>
      <c r="H448" s="1269"/>
      <c r="I448" s="1269"/>
      <c r="J448" s="1269"/>
      <c r="K448" s="1269"/>
      <c r="L448" s="1269"/>
      <c r="M448" s="1269"/>
      <c r="N448" s="1269"/>
      <c r="O448" s="1269"/>
      <c r="P448" s="1269"/>
      <c r="Q448" s="1269"/>
      <c r="R448" s="1269"/>
      <c r="S448" s="1269"/>
      <c r="T448" s="1269"/>
      <c r="U448" s="1269"/>
      <c r="V448" s="1269"/>
      <c r="W448" s="1269"/>
      <c r="X448" s="1269"/>
      <c r="Y448" s="1269"/>
      <c r="Z448" s="1269"/>
      <c r="AA448" s="1269"/>
      <c r="AB448" s="1269"/>
      <c r="AC448" s="1269"/>
      <c r="AD448" s="1269"/>
      <c r="AE448" s="1269"/>
      <c r="AF448" s="592"/>
      <c r="AG448" s="592"/>
      <c r="AH448" s="592"/>
      <c r="AI448" s="592"/>
      <c r="AJ448" s="592"/>
      <c r="AK448" s="592"/>
      <c r="AL448" s="746"/>
      <c r="AM448" s="568"/>
      <c r="AN448" s="595"/>
    </row>
    <row r="449" spans="1:42" s="549" customFormat="1" ht="12.75" customHeight="1">
      <c r="A449" s="536"/>
      <c r="B449" s="14"/>
      <c r="C449" s="747"/>
      <c r="D449" s="726"/>
      <c r="E449" s="715"/>
      <c r="F449" s="1269"/>
      <c r="G449" s="1269"/>
      <c r="H449" s="1269"/>
      <c r="I449" s="1269"/>
      <c r="J449" s="1269"/>
      <c r="K449" s="1269"/>
      <c r="L449" s="1269"/>
      <c r="M449" s="1269"/>
      <c r="N449" s="1269"/>
      <c r="O449" s="1269"/>
      <c r="P449" s="1269"/>
      <c r="Q449" s="1269"/>
      <c r="R449" s="1269"/>
      <c r="S449" s="1269"/>
      <c r="T449" s="1269"/>
      <c r="U449" s="1269"/>
      <c r="V449" s="1269"/>
      <c r="W449" s="1269"/>
      <c r="X449" s="1269"/>
      <c r="Y449" s="1269"/>
      <c r="Z449" s="1269"/>
      <c r="AA449" s="1269"/>
      <c r="AB449" s="1269"/>
      <c r="AC449" s="1269"/>
      <c r="AD449" s="1269"/>
      <c r="AE449" s="1269"/>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1269"/>
      <c r="G450" s="1269"/>
      <c r="H450" s="1269"/>
      <c r="I450" s="1269"/>
      <c r="J450" s="1269"/>
      <c r="K450" s="1269"/>
      <c r="L450" s="1269"/>
      <c r="M450" s="1269"/>
      <c r="N450" s="1269"/>
      <c r="O450" s="1269"/>
      <c r="P450" s="1269"/>
      <c r="Q450" s="1269"/>
      <c r="R450" s="1269"/>
      <c r="S450" s="1269"/>
      <c r="T450" s="1269"/>
      <c r="U450" s="1269"/>
      <c r="V450" s="1269"/>
      <c r="W450" s="1269"/>
      <c r="X450" s="1269"/>
      <c r="Y450" s="1269"/>
      <c r="Z450" s="1269"/>
      <c r="AA450" s="1269"/>
      <c r="AB450" s="1269"/>
      <c r="AC450" s="1269"/>
      <c r="AD450" s="1269"/>
      <c r="AE450" s="1269"/>
      <c r="AF450" s="592"/>
      <c r="AG450" s="592"/>
      <c r="AH450" s="592"/>
      <c r="AI450" s="592"/>
      <c r="AJ450" s="592"/>
      <c r="AK450" s="592"/>
      <c r="AL450" s="746"/>
      <c r="AM450" s="568"/>
      <c r="AN450" s="595"/>
    </row>
    <row r="451" spans="1:42" s="549" customFormat="1" ht="12.75" customHeight="1">
      <c r="A451" s="536"/>
      <c r="B451" s="14"/>
      <c r="C451" s="747"/>
      <c r="D451" s="726"/>
      <c r="E451" s="715"/>
      <c r="F451" s="1269"/>
      <c r="G451" s="1269"/>
      <c r="H451" s="1269"/>
      <c r="I451" s="1269"/>
      <c r="J451" s="1269"/>
      <c r="K451" s="1269"/>
      <c r="L451" s="1269"/>
      <c r="M451" s="1269"/>
      <c r="N451" s="1269"/>
      <c r="O451" s="1269"/>
      <c r="P451" s="1269"/>
      <c r="Q451" s="1269"/>
      <c r="R451" s="1269"/>
      <c r="S451" s="1269"/>
      <c r="T451" s="1269"/>
      <c r="U451" s="1269"/>
      <c r="V451" s="1269"/>
      <c r="W451" s="1269"/>
      <c r="X451" s="1269"/>
      <c r="Y451" s="1269"/>
      <c r="Z451" s="1269"/>
      <c r="AA451" s="1269"/>
      <c r="AB451" s="1269"/>
      <c r="AC451" s="1269"/>
      <c r="AD451" s="1269"/>
      <c r="AE451" s="1269"/>
      <c r="AF451" s="592"/>
      <c r="AG451" s="592"/>
      <c r="AH451" s="592"/>
      <c r="AI451" s="592"/>
      <c r="AJ451" s="592"/>
      <c r="AK451" s="592"/>
      <c r="AL451" s="746"/>
      <c r="AM451" s="568"/>
      <c r="AN451" s="595"/>
    </row>
    <row r="452" spans="1:42" s="549" customFormat="1" ht="12.75" customHeight="1">
      <c r="A452" s="536"/>
      <c r="B452" s="14"/>
      <c r="C452" s="747"/>
      <c r="D452" s="726"/>
      <c r="E452" s="715"/>
      <c r="F452" s="1269"/>
      <c r="G452" s="1269"/>
      <c r="H452" s="1269"/>
      <c r="I452" s="1269"/>
      <c r="J452" s="1269"/>
      <c r="K452" s="1269"/>
      <c r="L452" s="1269"/>
      <c r="M452" s="1269"/>
      <c r="N452" s="1269"/>
      <c r="O452" s="1269"/>
      <c r="P452" s="1269"/>
      <c r="Q452" s="1269"/>
      <c r="R452" s="1269"/>
      <c r="S452" s="1269"/>
      <c r="T452" s="1269"/>
      <c r="U452" s="1269"/>
      <c r="V452" s="1269"/>
      <c r="W452" s="1269"/>
      <c r="X452" s="1269"/>
      <c r="Y452" s="1269"/>
      <c r="Z452" s="1269"/>
      <c r="AA452" s="1269"/>
      <c r="AB452" s="1269"/>
      <c r="AC452" s="1269"/>
      <c r="AD452" s="1269"/>
      <c r="AE452" s="1269"/>
      <c r="AF452" s="592"/>
      <c r="AG452" s="592"/>
      <c r="AH452" s="592"/>
      <c r="AI452" s="592"/>
      <c r="AJ452" s="592"/>
      <c r="AK452" s="592"/>
      <c r="AL452" s="746"/>
      <c r="AM452" s="568"/>
      <c r="AN452" s="595"/>
    </row>
    <row r="453" spans="1:42" s="549" customFormat="1" ht="12.75" customHeight="1">
      <c r="A453" s="536"/>
      <c r="B453" s="14"/>
      <c r="C453" s="747"/>
      <c r="D453" s="726"/>
      <c r="E453" s="715"/>
      <c r="F453" s="1269"/>
      <c r="G453" s="1269"/>
      <c r="H453" s="1269"/>
      <c r="I453" s="1269"/>
      <c r="J453" s="1269"/>
      <c r="K453" s="1269"/>
      <c r="L453" s="1269"/>
      <c r="M453" s="1269"/>
      <c r="N453" s="1269"/>
      <c r="O453" s="1269"/>
      <c r="P453" s="1269"/>
      <c r="Q453" s="1269"/>
      <c r="R453" s="1269"/>
      <c r="S453" s="1269"/>
      <c r="T453" s="1269"/>
      <c r="U453" s="1269"/>
      <c r="V453" s="1269"/>
      <c r="W453" s="1269"/>
      <c r="X453" s="1269"/>
      <c r="Y453" s="1269"/>
      <c r="Z453" s="1269"/>
      <c r="AA453" s="1269"/>
      <c r="AB453" s="1269"/>
      <c r="AC453" s="1269"/>
      <c r="AD453" s="1269"/>
      <c r="AE453" s="1269"/>
      <c r="AF453" s="592"/>
      <c r="AG453" s="592"/>
      <c r="AH453" s="592"/>
      <c r="AI453" s="592"/>
      <c r="AJ453" s="592"/>
      <c r="AK453" s="592"/>
      <c r="AL453" s="746"/>
      <c r="AM453" s="568"/>
      <c r="AN453" s="595"/>
    </row>
    <row r="454" spans="1:42" s="549" customFormat="1" ht="17.25" customHeight="1">
      <c r="A454" s="536"/>
      <c r="B454" s="14"/>
      <c r="C454" s="747"/>
      <c r="D454" s="726"/>
      <c r="E454" s="715"/>
      <c r="F454" s="1269"/>
      <c r="G454" s="1269"/>
      <c r="H454" s="1269"/>
      <c r="I454" s="1269"/>
      <c r="J454" s="1269"/>
      <c r="K454" s="1269"/>
      <c r="L454" s="1269"/>
      <c r="M454" s="1269"/>
      <c r="N454" s="1269"/>
      <c r="O454" s="1269"/>
      <c r="P454" s="1269"/>
      <c r="Q454" s="1269"/>
      <c r="R454" s="1269"/>
      <c r="S454" s="1269"/>
      <c r="T454" s="1269"/>
      <c r="U454" s="1269"/>
      <c r="V454" s="1269"/>
      <c r="W454" s="1269"/>
      <c r="X454" s="1269"/>
      <c r="Y454" s="1269"/>
      <c r="Z454" s="1269"/>
      <c r="AA454" s="1269"/>
      <c r="AB454" s="1269"/>
      <c r="AC454" s="1269"/>
      <c r="AD454" s="1269"/>
      <c r="AE454" s="1269"/>
      <c r="AL454" s="728"/>
      <c r="AM454" s="568"/>
      <c r="AN454" s="595"/>
    </row>
    <row r="455" spans="1:42" s="549" customFormat="1" ht="12.75" customHeight="1">
      <c r="A455" s="536"/>
      <c r="B455" s="14"/>
      <c r="C455" s="1394" t="s">
        <v>591</v>
      </c>
      <c r="D455" s="1353"/>
      <c r="E455" s="715"/>
      <c r="F455" s="594" t="s">
        <v>1476</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1331" t="s">
        <v>1452</v>
      </c>
      <c r="AG455" s="1331"/>
      <c r="AH455" s="1331"/>
      <c r="AI455" s="1331"/>
      <c r="AJ455" s="1331"/>
      <c r="AK455" s="1331"/>
      <c r="AL455" s="1398"/>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1477</v>
      </c>
      <c r="F458" s="1397" t="s">
        <v>1478</v>
      </c>
      <c r="G458" s="1397"/>
      <c r="H458" s="1397"/>
      <c r="I458" s="1397"/>
      <c r="J458" s="1397"/>
      <c r="K458" s="1397"/>
      <c r="L458" s="1397"/>
      <c r="M458" s="1397"/>
      <c r="N458" s="1397"/>
      <c r="O458" s="1397"/>
      <c r="P458" s="1397"/>
      <c r="Q458" s="1397"/>
      <c r="R458" s="1397"/>
      <c r="S458" s="1397"/>
      <c r="T458" s="1397"/>
      <c r="U458" s="1397"/>
      <c r="V458" s="1397"/>
      <c r="W458" s="1397"/>
      <c r="X458" s="1397"/>
      <c r="Y458" s="1397"/>
      <c r="Z458" s="1397"/>
      <c r="AA458" s="1397"/>
      <c r="AB458" s="1397"/>
      <c r="AC458" s="1397"/>
      <c r="AD458" s="1397"/>
      <c r="AE458" s="1397"/>
      <c r="AF458" s="710"/>
      <c r="AG458" s="710"/>
      <c r="AH458" s="710"/>
      <c r="AI458" s="710"/>
      <c r="AJ458" s="710"/>
      <c r="AK458" s="710"/>
      <c r="AL458" s="741"/>
      <c r="AM458" s="568"/>
      <c r="AN458" s="595"/>
    </row>
    <row r="459" spans="1:42" s="549" customFormat="1" ht="12.75" customHeight="1">
      <c r="A459" s="536"/>
      <c r="B459" s="14"/>
      <c r="C459" s="747"/>
      <c r="D459" s="726"/>
      <c r="E459" s="715"/>
      <c r="F459" s="1269"/>
      <c r="G459" s="1269"/>
      <c r="H459" s="1269"/>
      <c r="I459" s="1269"/>
      <c r="J459" s="1269"/>
      <c r="K459" s="1269"/>
      <c r="L459" s="1269"/>
      <c r="M459" s="1269"/>
      <c r="N459" s="1269"/>
      <c r="O459" s="1269"/>
      <c r="P459" s="1269"/>
      <c r="Q459" s="1269"/>
      <c r="R459" s="1269"/>
      <c r="S459" s="1269"/>
      <c r="T459" s="1269"/>
      <c r="U459" s="1269"/>
      <c r="V459" s="1269"/>
      <c r="W459" s="1269"/>
      <c r="X459" s="1269"/>
      <c r="Y459" s="1269"/>
      <c r="Z459" s="1269"/>
      <c r="AA459" s="1269"/>
      <c r="AB459" s="1269"/>
      <c r="AC459" s="1269"/>
      <c r="AD459" s="1269"/>
      <c r="AE459" s="1269"/>
      <c r="AF459" s="589"/>
      <c r="AG459" s="589"/>
      <c r="AH459" s="589"/>
      <c r="AI459" s="589"/>
      <c r="AJ459" s="589"/>
      <c r="AK459" s="589"/>
      <c r="AL459" s="716"/>
      <c r="AM459" s="568"/>
      <c r="AN459" s="595"/>
    </row>
    <row r="460" spans="1:42" s="549" customFormat="1" ht="12.75" customHeight="1">
      <c r="A460" s="536"/>
      <c r="B460" s="14"/>
      <c r="C460" s="747"/>
      <c r="D460" s="726"/>
      <c r="E460" s="715"/>
      <c r="F460" s="1269"/>
      <c r="G460" s="1269"/>
      <c r="H460" s="1269"/>
      <c r="I460" s="1269"/>
      <c r="J460" s="1269"/>
      <c r="K460" s="1269"/>
      <c r="L460" s="1269"/>
      <c r="M460" s="1269"/>
      <c r="N460" s="1269"/>
      <c r="O460" s="1269"/>
      <c r="P460" s="1269"/>
      <c r="Q460" s="1269"/>
      <c r="R460" s="1269"/>
      <c r="S460" s="1269"/>
      <c r="T460" s="1269"/>
      <c r="U460" s="1269"/>
      <c r="V460" s="1269"/>
      <c r="W460" s="1269"/>
      <c r="X460" s="1269"/>
      <c r="Y460" s="1269"/>
      <c r="Z460" s="1269"/>
      <c r="AA460" s="1269"/>
      <c r="AB460" s="1269"/>
      <c r="AC460" s="1269"/>
      <c r="AD460" s="1269"/>
      <c r="AE460" s="1269"/>
      <c r="AF460" s="589"/>
      <c r="AG460" s="589"/>
      <c r="AH460" s="589"/>
      <c r="AI460" s="589"/>
      <c r="AJ460" s="589"/>
      <c r="AK460" s="589"/>
      <c r="AL460" s="716"/>
      <c r="AM460" s="568"/>
      <c r="AN460" s="595"/>
    </row>
    <row r="461" spans="1:42" s="549" customFormat="1" ht="12.75" customHeight="1">
      <c r="A461" s="536"/>
      <c r="B461" s="14"/>
      <c r="C461" s="747"/>
      <c r="D461" s="726"/>
      <c r="E461" s="715"/>
      <c r="F461" s="1269"/>
      <c r="G461" s="1269"/>
      <c r="H461" s="1269"/>
      <c r="I461" s="1269"/>
      <c r="J461" s="1269"/>
      <c r="K461" s="1269"/>
      <c r="L461" s="1269"/>
      <c r="M461" s="1269"/>
      <c r="N461" s="1269"/>
      <c r="O461" s="1269"/>
      <c r="P461" s="1269"/>
      <c r="Q461" s="1269"/>
      <c r="R461" s="1269"/>
      <c r="S461" s="1269"/>
      <c r="T461" s="1269"/>
      <c r="U461" s="1269"/>
      <c r="V461" s="1269"/>
      <c r="W461" s="1269"/>
      <c r="X461" s="1269"/>
      <c r="Y461" s="1269"/>
      <c r="Z461" s="1269"/>
      <c r="AA461" s="1269"/>
      <c r="AB461" s="1269"/>
      <c r="AC461" s="1269"/>
      <c r="AD461" s="1269"/>
      <c r="AE461" s="1269"/>
      <c r="AL461" s="728"/>
      <c r="AM461" s="568"/>
      <c r="AN461" s="595"/>
    </row>
    <row r="462" spans="1:42" s="549" customFormat="1" ht="12.75" customHeight="1">
      <c r="A462" s="536"/>
      <c r="B462" s="14"/>
      <c r="C462" s="1394" t="s">
        <v>591</v>
      </c>
      <c r="D462" s="1353"/>
      <c r="E462" s="715"/>
      <c r="F462" s="717" t="s">
        <v>1482</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1331" t="s">
        <v>1452</v>
      </c>
      <c r="AG462" s="1331"/>
      <c r="AH462" s="1331"/>
      <c r="AI462" s="1331"/>
      <c r="AJ462" s="1331"/>
      <c r="AK462" s="1331"/>
      <c r="AL462" s="1398"/>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1459</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1399" t="s">
        <v>591</v>
      </c>
      <c r="D466" s="1400"/>
      <c r="E466" s="711" t="s">
        <v>1487</v>
      </c>
      <c r="F466" s="1397" t="s">
        <v>1488</v>
      </c>
      <c r="G466" s="1397"/>
      <c r="H466" s="1397"/>
      <c r="I466" s="1397"/>
      <c r="J466" s="1397"/>
      <c r="K466" s="1397"/>
      <c r="L466" s="1397"/>
      <c r="M466" s="1397"/>
      <c r="N466" s="1397"/>
      <c r="O466" s="1397"/>
      <c r="P466" s="1397"/>
      <c r="Q466" s="1397"/>
      <c r="R466" s="1397"/>
      <c r="S466" s="1397"/>
      <c r="T466" s="1397"/>
      <c r="U466" s="1397"/>
      <c r="V466" s="1397"/>
      <c r="W466" s="1397"/>
      <c r="X466" s="1397"/>
      <c r="Y466" s="1397"/>
      <c r="Z466" s="1397"/>
      <c r="AA466" s="1397"/>
      <c r="AB466" s="1397"/>
      <c r="AC466" s="1397"/>
      <c r="AD466" s="1397"/>
      <c r="AE466" s="1397"/>
      <c r="AF466" s="1482" t="s">
        <v>1452</v>
      </c>
      <c r="AG466" s="1482"/>
      <c r="AH466" s="1482"/>
      <c r="AI466" s="1482"/>
      <c r="AJ466" s="1482"/>
      <c r="AK466" s="1482"/>
      <c r="AL466" s="1483"/>
      <c r="AM466" s="568"/>
      <c r="AN466" s="749"/>
    </row>
    <row r="467" spans="1:40" s="549" customFormat="1" ht="12.75" customHeight="1">
      <c r="A467" s="536"/>
      <c r="B467" s="14"/>
      <c r="C467" s="747"/>
      <c r="D467" s="726"/>
      <c r="E467" s="715"/>
      <c r="F467" s="1269"/>
      <c r="G467" s="1269"/>
      <c r="H467" s="1269"/>
      <c r="I467" s="1269"/>
      <c r="J467" s="1269"/>
      <c r="K467" s="1269"/>
      <c r="L467" s="1269"/>
      <c r="M467" s="1269"/>
      <c r="N467" s="1269"/>
      <c r="O467" s="1269"/>
      <c r="P467" s="1269"/>
      <c r="Q467" s="1269"/>
      <c r="R467" s="1269"/>
      <c r="S467" s="1269"/>
      <c r="T467" s="1269"/>
      <c r="U467" s="1269"/>
      <c r="V467" s="1269"/>
      <c r="W467" s="1269"/>
      <c r="X467" s="1269"/>
      <c r="Y467" s="1269"/>
      <c r="Z467" s="1269"/>
      <c r="AA467" s="1269"/>
      <c r="AB467" s="1269"/>
      <c r="AC467" s="1269"/>
      <c r="AD467" s="1269"/>
      <c r="AE467" s="1269"/>
      <c r="AF467" s="589"/>
      <c r="AG467" s="589"/>
      <c r="AH467" s="589"/>
      <c r="AI467" s="589"/>
      <c r="AJ467" s="589"/>
      <c r="AK467" s="589"/>
      <c r="AL467" s="716"/>
      <c r="AM467" s="568"/>
      <c r="AN467" s="750"/>
    </row>
    <row r="468" spans="1:40" s="549" customFormat="1" ht="17.7" customHeight="1">
      <c r="A468" s="536"/>
      <c r="B468" s="14"/>
      <c r="C468" s="752"/>
      <c r="D468" s="719"/>
      <c r="E468" s="720"/>
      <c r="F468" s="1426"/>
      <c r="G468" s="1426"/>
      <c r="H468" s="1426"/>
      <c r="I468" s="1426"/>
      <c r="J468" s="1426"/>
      <c r="K468" s="1426"/>
      <c r="L468" s="1426"/>
      <c r="M468" s="1426"/>
      <c r="N468" s="1426"/>
      <c r="O468" s="1426"/>
      <c r="P468" s="1426"/>
      <c r="Q468" s="1426"/>
      <c r="R468" s="1426"/>
      <c r="S468" s="1426"/>
      <c r="T468" s="1426"/>
      <c r="U468" s="1426"/>
      <c r="V468" s="1426"/>
      <c r="W468" s="1426"/>
      <c r="X468" s="1426"/>
      <c r="Y468" s="1426"/>
      <c r="Z468" s="1426"/>
      <c r="AA468" s="1426"/>
      <c r="AB468" s="1426"/>
      <c r="AC468" s="1426"/>
      <c r="AD468" s="1426"/>
      <c r="AE468" s="1426"/>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1394" t="s">
        <v>591</v>
      </c>
      <c r="D470" s="1353"/>
      <c r="E470" s="711" t="s">
        <v>1493</v>
      </c>
      <c r="F470" s="1397" t="s">
        <v>1494</v>
      </c>
      <c r="G470" s="1397"/>
      <c r="H470" s="1397"/>
      <c r="I470" s="1397"/>
      <c r="J470" s="1397"/>
      <c r="K470" s="1397"/>
      <c r="L470" s="1397"/>
      <c r="M470" s="1397"/>
      <c r="N470" s="1397"/>
      <c r="O470" s="1397"/>
      <c r="P470" s="1397"/>
      <c r="Q470" s="1397"/>
      <c r="R470" s="1397"/>
      <c r="S470" s="1397"/>
      <c r="T470" s="1397"/>
      <c r="U470" s="1397"/>
      <c r="V470" s="1397"/>
      <c r="W470" s="1397"/>
      <c r="X470" s="1397"/>
      <c r="Y470" s="1397"/>
      <c r="Z470" s="1397"/>
      <c r="AA470" s="1397"/>
      <c r="AB470" s="1397"/>
      <c r="AC470" s="1397"/>
      <c r="AD470" s="1397"/>
      <c r="AE470" s="1397"/>
      <c r="AF470" s="1482" t="s">
        <v>1452</v>
      </c>
      <c r="AG470" s="1482"/>
      <c r="AH470" s="1482"/>
      <c r="AI470" s="1482"/>
      <c r="AJ470" s="1482"/>
      <c r="AK470" s="1482"/>
      <c r="AL470" s="1483"/>
      <c r="AM470" s="568"/>
      <c r="AN470" s="535"/>
    </row>
    <row r="471" spans="1:40" s="549" customFormat="1" ht="12.75" customHeight="1">
      <c r="A471" s="536"/>
      <c r="B471" s="14"/>
      <c r="C471" s="727"/>
      <c r="D471" s="14"/>
      <c r="E471" s="687"/>
      <c r="F471" s="1269"/>
      <c r="G471" s="1269"/>
      <c r="H471" s="1269"/>
      <c r="I471" s="1269"/>
      <c r="J471" s="1269"/>
      <c r="K471" s="1269"/>
      <c r="L471" s="1269"/>
      <c r="M471" s="1269"/>
      <c r="N471" s="1269"/>
      <c r="O471" s="1269"/>
      <c r="P471" s="1269"/>
      <c r="Q471" s="1269"/>
      <c r="R471" s="1269"/>
      <c r="S471" s="1269"/>
      <c r="T471" s="1269"/>
      <c r="U471" s="1269"/>
      <c r="V471" s="1269"/>
      <c r="W471" s="1269"/>
      <c r="X471" s="1269"/>
      <c r="Y471" s="1269"/>
      <c r="Z471" s="1269"/>
      <c r="AA471" s="1269"/>
      <c r="AB471" s="1269"/>
      <c r="AC471" s="1269"/>
      <c r="AD471" s="1269"/>
      <c r="AE471" s="1269"/>
      <c r="AF471" s="539"/>
      <c r="AG471" s="536"/>
      <c r="AL471" s="728"/>
      <c r="AM471" s="568"/>
      <c r="AN471" s="535"/>
    </row>
    <row r="472" spans="1:40" s="549" customFormat="1" ht="12.75" customHeight="1">
      <c r="A472" s="536"/>
      <c r="B472" s="14"/>
      <c r="C472" s="727"/>
      <c r="D472" s="14"/>
      <c r="E472" s="687"/>
      <c r="F472" s="1269"/>
      <c r="G472" s="1269"/>
      <c r="H472" s="1269"/>
      <c r="I472" s="1269"/>
      <c r="J472" s="1269"/>
      <c r="K472" s="1269"/>
      <c r="L472" s="1269"/>
      <c r="M472" s="1269"/>
      <c r="N472" s="1269"/>
      <c r="O472" s="1269"/>
      <c r="P472" s="1269"/>
      <c r="Q472" s="1269"/>
      <c r="R472" s="1269"/>
      <c r="S472" s="1269"/>
      <c r="T472" s="1269"/>
      <c r="U472" s="1269"/>
      <c r="V472" s="1269"/>
      <c r="W472" s="1269"/>
      <c r="X472" s="1269"/>
      <c r="Y472" s="1269"/>
      <c r="Z472" s="1269"/>
      <c r="AA472" s="1269"/>
      <c r="AB472" s="1269"/>
      <c r="AC472" s="1269"/>
      <c r="AD472" s="1269"/>
      <c r="AE472" s="1269"/>
      <c r="AF472" s="539"/>
      <c r="AG472" s="536"/>
      <c r="AL472" s="728"/>
      <c r="AM472" s="568"/>
      <c r="AN472" s="535"/>
    </row>
    <row r="473" spans="1:40" s="549" customFormat="1" ht="12.75" customHeight="1">
      <c r="A473" s="536"/>
      <c r="B473" s="14"/>
      <c r="C473" s="752"/>
      <c r="D473" s="719"/>
      <c r="E473" s="720"/>
      <c r="F473" s="1426"/>
      <c r="G473" s="1426"/>
      <c r="H473" s="1426"/>
      <c r="I473" s="1426"/>
      <c r="J473" s="1426"/>
      <c r="K473" s="1426"/>
      <c r="L473" s="1426"/>
      <c r="M473" s="1426"/>
      <c r="N473" s="1426"/>
      <c r="O473" s="1426"/>
      <c r="P473" s="1426"/>
      <c r="Q473" s="1426"/>
      <c r="R473" s="1426"/>
      <c r="S473" s="1426"/>
      <c r="T473" s="1426"/>
      <c r="U473" s="1426"/>
      <c r="V473" s="1426"/>
      <c r="W473" s="1426"/>
      <c r="X473" s="1426"/>
      <c r="Y473" s="1426"/>
      <c r="Z473" s="1426"/>
      <c r="AA473" s="1426"/>
      <c r="AB473" s="1426"/>
      <c r="AC473" s="1426"/>
      <c r="AD473" s="1426"/>
      <c r="AE473" s="1426"/>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1496</v>
      </c>
      <c r="F475" s="1397" t="s">
        <v>1497</v>
      </c>
      <c r="G475" s="1397"/>
      <c r="H475" s="1397"/>
      <c r="I475" s="1397"/>
      <c r="J475" s="1397"/>
      <c r="K475" s="1397"/>
      <c r="L475" s="1397"/>
      <c r="M475" s="1397"/>
      <c r="N475" s="1397"/>
      <c r="O475" s="1397"/>
      <c r="P475" s="1397"/>
      <c r="Q475" s="1397"/>
      <c r="R475" s="1397"/>
      <c r="S475" s="1397"/>
      <c r="T475" s="1397"/>
      <c r="U475" s="1397"/>
      <c r="V475" s="1397"/>
      <c r="W475" s="1397"/>
      <c r="X475" s="1397"/>
      <c r="Y475" s="1397"/>
      <c r="Z475" s="1397"/>
      <c r="AA475" s="1397"/>
      <c r="AB475" s="1397"/>
      <c r="AC475" s="1397"/>
      <c r="AD475" s="1397"/>
      <c r="AE475" s="1397"/>
      <c r="AF475" s="1397"/>
      <c r="AG475" s="740"/>
      <c r="AH475" s="710"/>
      <c r="AI475" s="710"/>
      <c r="AJ475" s="710"/>
      <c r="AK475" s="710"/>
      <c r="AL475" s="741"/>
      <c r="AM475" s="568"/>
      <c r="AN475" s="595"/>
    </row>
    <row r="476" spans="1:40" s="549" customFormat="1" ht="12.75" customHeight="1">
      <c r="A476" s="536"/>
      <c r="B476" s="14"/>
      <c r="C476" s="727"/>
      <c r="D476" s="14"/>
      <c r="E476" s="687"/>
      <c r="F476" s="1269"/>
      <c r="G476" s="1269"/>
      <c r="H476" s="1269"/>
      <c r="I476" s="1269"/>
      <c r="J476" s="1269"/>
      <c r="K476" s="1269"/>
      <c r="L476" s="1269"/>
      <c r="M476" s="1269"/>
      <c r="N476" s="1269"/>
      <c r="O476" s="1269"/>
      <c r="P476" s="1269"/>
      <c r="Q476" s="1269"/>
      <c r="R476" s="1269"/>
      <c r="S476" s="1269"/>
      <c r="T476" s="1269"/>
      <c r="U476" s="1269"/>
      <c r="V476" s="1269"/>
      <c r="W476" s="1269"/>
      <c r="X476" s="1269"/>
      <c r="Y476" s="1269"/>
      <c r="Z476" s="1269"/>
      <c r="AA476" s="1269"/>
      <c r="AB476" s="1269"/>
      <c r="AC476" s="1269"/>
      <c r="AD476" s="1269"/>
      <c r="AE476" s="1269"/>
      <c r="AF476" s="1269"/>
      <c r="AL476" s="728"/>
      <c r="AM476" s="568"/>
      <c r="AN476" s="595"/>
    </row>
    <row r="477" spans="1:40" s="549" customFormat="1" ht="12.75" customHeight="1">
      <c r="A477" s="536"/>
      <c r="B477" s="14"/>
      <c r="C477" s="735"/>
      <c r="F477" s="1269"/>
      <c r="G477" s="1269"/>
      <c r="H477" s="1269"/>
      <c r="I477" s="1269"/>
      <c r="J477" s="1269"/>
      <c r="K477" s="1269"/>
      <c r="L477" s="1269"/>
      <c r="M477" s="1269"/>
      <c r="N477" s="1269"/>
      <c r="O477" s="1269"/>
      <c r="P477" s="1269"/>
      <c r="Q477" s="1269"/>
      <c r="R477" s="1269"/>
      <c r="S477" s="1269"/>
      <c r="T477" s="1269"/>
      <c r="U477" s="1269"/>
      <c r="V477" s="1269"/>
      <c r="W477" s="1269"/>
      <c r="X477" s="1269"/>
      <c r="Y477" s="1269"/>
      <c r="Z477" s="1269"/>
      <c r="AA477" s="1269"/>
      <c r="AB477" s="1269"/>
      <c r="AC477" s="1269"/>
      <c r="AD477" s="1269"/>
      <c r="AE477" s="1269"/>
      <c r="AF477" s="1269"/>
      <c r="AL477" s="728"/>
      <c r="AM477" s="568"/>
      <c r="AN477" s="595"/>
    </row>
    <row r="478" spans="1:40" s="549" customFormat="1" ht="12.75" customHeight="1">
      <c r="A478" s="536"/>
      <c r="B478" s="14"/>
      <c r="C478" s="735"/>
      <c r="F478" s="1269"/>
      <c r="G478" s="1269"/>
      <c r="H478" s="1269"/>
      <c r="I478" s="1269"/>
      <c r="J478" s="1269"/>
      <c r="K478" s="1269"/>
      <c r="L478" s="1269"/>
      <c r="M478" s="1269"/>
      <c r="N478" s="1269"/>
      <c r="O478" s="1269"/>
      <c r="P478" s="1269"/>
      <c r="Q478" s="1269"/>
      <c r="R478" s="1269"/>
      <c r="S478" s="1269"/>
      <c r="T478" s="1269"/>
      <c r="U478" s="1269"/>
      <c r="V478" s="1269"/>
      <c r="W478" s="1269"/>
      <c r="X478" s="1269"/>
      <c r="Y478" s="1269"/>
      <c r="Z478" s="1269"/>
      <c r="AA478" s="1269"/>
      <c r="AB478" s="1269"/>
      <c r="AC478" s="1269"/>
      <c r="AD478" s="1269"/>
      <c r="AE478" s="1269"/>
      <c r="AF478" s="1269"/>
      <c r="AL478" s="728"/>
      <c r="AM478" s="568"/>
      <c r="AN478" s="595"/>
    </row>
    <row r="479" spans="1:40" s="549" customFormat="1" ht="12.75" customHeight="1">
      <c r="A479" s="536"/>
      <c r="B479" s="14"/>
      <c r="C479" s="1394" t="s">
        <v>591</v>
      </c>
      <c r="D479" s="1353"/>
      <c r="E479" s="715"/>
      <c r="F479" s="717" t="s">
        <v>1469</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1395" t="s">
        <v>1452</v>
      </c>
      <c r="AG479" s="1395"/>
      <c r="AH479" s="1395"/>
      <c r="AI479" s="1395"/>
      <c r="AJ479" s="1395"/>
      <c r="AK479" s="1395"/>
      <c r="AL479" s="1396"/>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1498</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1499</v>
      </c>
      <c r="AK482" s="1356">
        <f>IF(Application!D214="N/A",AS371,AS373)</f>
        <v>10</v>
      </c>
      <c r="AL482" s="1357"/>
      <c r="AM482" s="1358"/>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1500</v>
      </c>
      <c r="C485" s="539"/>
      <c r="E485" s="594"/>
      <c r="AE485" s="1395" t="s">
        <v>1501</v>
      </c>
      <c r="AF485" s="1395"/>
      <c r="AG485" s="1395"/>
      <c r="AH485" s="1395"/>
      <c r="AI485" s="1395"/>
      <c r="AJ485" s="1395"/>
      <c r="AK485" s="1395"/>
      <c r="AL485" s="589"/>
      <c r="AN485" s="595"/>
      <c r="AO485" s="549" t="s">
        <v>1479</v>
      </c>
      <c r="AP485" s="549">
        <v>5</v>
      </c>
      <c r="AT485" s="549" t="s">
        <v>1479</v>
      </c>
      <c r="AU485" s="549">
        <v>5</v>
      </c>
      <c r="AV485" s="748"/>
    </row>
    <row r="486" spans="1:59" s="549" customFormat="1" ht="12.75" hidden="1" customHeight="1">
      <c r="A486" s="539"/>
      <c r="B486" s="536" t="s">
        <v>1502</v>
      </c>
      <c r="C486" s="539"/>
      <c r="E486" s="594"/>
      <c r="AE486" s="589"/>
      <c r="AF486" s="589"/>
      <c r="AG486" s="589"/>
      <c r="AH486" s="589"/>
      <c r="AI486" s="589"/>
      <c r="AJ486" s="589"/>
      <c r="AK486" s="589"/>
      <c r="AL486" s="589"/>
      <c r="AN486" s="595"/>
      <c r="AO486" s="549" t="s">
        <v>1503</v>
      </c>
      <c r="AP486" s="549">
        <v>5</v>
      </c>
      <c r="AT486" s="549" t="s">
        <v>1480</v>
      </c>
      <c r="AU486" s="549">
        <v>5</v>
      </c>
      <c r="AV486" s="748"/>
    </row>
    <row r="487" spans="1:59" s="549" customFormat="1" ht="12.75" hidden="1" customHeight="1">
      <c r="A487" s="539"/>
      <c r="B487" s="539" t="s">
        <v>1504</v>
      </c>
      <c r="C487" s="539"/>
      <c r="E487" s="594"/>
      <c r="AE487" s="589"/>
      <c r="AF487" s="589"/>
      <c r="AG487" s="589"/>
      <c r="AH487" s="589"/>
      <c r="AI487" s="589"/>
      <c r="AJ487" s="589"/>
      <c r="AK487" s="589"/>
      <c r="AL487" s="589"/>
      <c r="AN487" s="595"/>
      <c r="AO487" s="549" t="s">
        <v>1481</v>
      </c>
      <c r="AP487" s="549">
        <v>5</v>
      </c>
      <c r="AQ487" s="539"/>
      <c r="AR487" s="539"/>
      <c r="AS487" s="751"/>
      <c r="AT487" s="549" t="s">
        <v>1481</v>
      </c>
      <c r="AU487" s="549">
        <v>5</v>
      </c>
      <c r="AV487" s="536"/>
    </row>
    <row r="488" spans="1:59" s="549" customFormat="1" ht="12.75" hidden="1" customHeight="1">
      <c r="A488" s="539"/>
      <c r="B488" s="539" t="s">
        <v>1505</v>
      </c>
      <c r="C488" s="539"/>
      <c r="E488" s="594"/>
      <c r="AE488" s="589"/>
      <c r="AF488" s="589"/>
      <c r="AG488" s="589"/>
      <c r="AH488" s="589"/>
      <c r="AI488" s="589"/>
      <c r="AJ488" s="589"/>
      <c r="AK488" s="589"/>
      <c r="AL488" s="589"/>
      <c r="AN488" s="595"/>
      <c r="AO488" s="549" t="s">
        <v>1483</v>
      </c>
      <c r="AP488" s="549">
        <v>5</v>
      </c>
      <c r="AQ488" s="539"/>
      <c r="AR488" s="539"/>
      <c r="AT488" s="549" t="s">
        <v>1483</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1484</v>
      </c>
      <c r="AP489" s="549">
        <v>5</v>
      </c>
      <c r="AQ489" s="539"/>
      <c r="AR489" s="539"/>
      <c r="AT489" s="549" t="s">
        <v>1484</v>
      </c>
      <c r="AU489" s="549">
        <v>5</v>
      </c>
    </row>
    <row r="490" spans="1:59" s="549" customFormat="1" ht="12.75" hidden="1" customHeight="1">
      <c r="A490" s="539"/>
      <c r="C490" s="708" t="s">
        <v>1506</v>
      </c>
      <c r="D490" s="568"/>
      <c r="AE490" s="589"/>
      <c r="AF490" s="589"/>
      <c r="AG490" s="594"/>
      <c r="AH490" s="594"/>
      <c r="AI490" s="594"/>
      <c r="AJ490" s="594"/>
      <c r="AK490" s="594"/>
      <c r="AL490" s="594"/>
      <c r="AN490" s="595"/>
      <c r="AO490" s="549" t="s">
        <v>1485</v>
      </c>
      <c r="AP490" s="549">
        <v>5</v>
      </c>
      <c r="AT490" s="549" t="s">
        <v>1485</v>
      </c>
      <c r="AU490" s="549">
        <v>5</v>
      </c>
    </row>
    <row r="491" spans="1:59" s="549" customFormat="1" ht="12.75" hidden="1" customHeight="1">
      <c r="A491" s="539"/>
      <c r="C491" s="1401" t="s">
        <v>591</v>
      </c>
      <c r="D491" s="1402"/>
      <c r="E491" s="757" t="s">
        <v>507</v>
      </c>
      <c r="F491" s="1403" t="s">
        <v>1507</v>
      </c>
      <c r="G491" s="1403"/>
      <c r="H491" s="1403"/>
      <c r="I491" s="1403"/>
      <c r="J491" s="1403"/>
      <c r="K491" s="1403"/>
      <c r="L491" s="1403"/>
      <c r="M491" s="1403"/>
      <c r="N491" s="1403"/>
      <c r="O491" s="1403"/>
      <c r="P491" s="1403"/>
      <c r="Q491" s="1403"/>
      <c r="R491" s="1403"/>
      <c r="S491" s="1403"/>
      <c r="T491" s="1403"/>
      <c r="U491" s="1403"/>
      <c r="V491" s="1403"/>
      <c r="W491" s="1403"/>
      <c r="X491" s="1403"/>
      <c r="Y491" s="1403"/>
      <c r="Z491" s="1403"/>
      <c r="AA491" s="1403"/>
      <c r="AB491" s="1403"/>
      <c r="AC491" s="1403"/>
      <c r="AD491" s="1403"/>
      <c r="AE491" s="1403"/>
      <c r="AF491" s="710"/>
      <c r="AG491" s="710"/>
      <c r="AH491" s="710"/>
      <c r="AI491" s="710"/>
      <c r="AJ491" s="710"/>
      <c r="AK491" s="741"/>
      <c r="AN491" s="595"/>
      <c r="AO491" s="549" t="s">
        <v>1508</v>
      </c>
      <c r="AP491" s="549">
        <v>5</v>
      </c>
      <c r="AS491" s="754"/>
      <c r="AT491" s="549" t="s">
        <v>1486</v>
      </c>
      <c r="AU491" s="549">
        <v>5</v>
      </c>
    </row>
    <row r="492" spans="1:59" s="549" customFormat="1" ht="12.75" hidden="1" customHeight="1">
      <c r="C492" s="758"/>
      <c r="E492" s="759"/>
      <c r="F492" s="1404"/>
      <c r="G492" s="1404"/>
      <c r="H492" s="1404"/>
      <c r="I492" s="1404"/>
      <c r="J492" s="1404"/>
      <c r="K492" s="1404"/>
      <c r="L492" s="1404"/>
      <c r="M492" s="1404"/>
      <c r="N492" s="1404"/>
      <c r="O492" s="1404"/>
      <c r="P492" s="1404"/>
      <c r="Q492" s="1404"/>
      <c r="R492" s="1404"/>
      <c r="S492" s="1404"/>
      <c r="T492" s="1404"/>
      <c r="U492" s="1404"/>
      <c r="V492" s="1404"/>
      <c r="W492" s="1404"/>
      <c r="X492" s="1404"/>
      <c r="Y492" s="1404"/>
      <c r="Z492" s="1404"/>
      <c r="AA492" s="1404"/>
      <c r="AB492" s="1404"/>
      <c r="AC492" s="1404"/>
      <c r="AD492" s="1404"/>
      <c r="AE492" s="1404"/>
      <c r="AG492" s="550"/>
      <c r="AH492" s="550"/>
      <c r="AI492" s="550"/>
      <c r="AJ492" s="550"/>
      <c r="AK492" s="728"/>
      <c r="AN492" s="595"/>
      <c r="AO492" s="549" t="s">
        <v>1489</v>
      </c>
      <c r="AP492" s="549">
        <v>1</v>
      </c>
      <c r="AT492" s="549" t="s">
        <v>1489</v>
      </c>
      <c r="AU492" s="549">
        <v>1</v>
      </c>
    </row>
    <row r="493" spans="1:59" s="549" customFormat="1" ht="12.75" hidden="1" customHeight="1">
      <c r="C493" s="760"/>
      <c r="D493" s="723"/>
      <c r="E493" s="761"/>
      <c r="F493" s="1499" t="s">
        <v>591</v>
      </c>
      <c r="G493" s="1499"/>
      <c r="H493" s="1499"/>
      <c r="I493" s="1499"/>
      <c r="J493" s="1499"/>
      <c r="K493" s="1499"/>
      <c r="L493" s="1499"/>
      <c r="M493" s="1499"/>
      <c r="N493" s="1499"/>
      <c r="O493" s="1499"/>
      <c r="P493" s="1499"/>
      <c r="Q493" s="1499"/>
      <c r="R493" s="1499"/>
      <c r="S493" s="1499"/>
      <c r="T493" s="1499"/>
      <c r="U493" s="1499"/>
      <c r="V493" s="1499"/>
      <c r="W493" s="1499"/>
      <c r="X493" s="1499"/>
      <c r="Y493" s="1499"/>
      <c r="Z493" s="1499"/>
      <c r="AA493" s="762"/>
      <c r="AB493" s="654"/>
      <c r="AC493" s="654"/>
      <c r="AD493" s="723"/>
      <c r="AE493" s="723"/>
      <c r="AF493" s="723"/>
      <c r="AG493" s="763">
        <f>IF($C$491="Yes",(VLOOKUP($F$493,$AT$484:$AU$492,2,FALSE)),0)</f>
        <v>0</v>
      </c>
      <c r="AH493" s="764" t="s">
        <v>1321</v>
      </c>
      <c r="AI493" s="763"/>
      <c r="AJ493" s="763"/>
      <c r="AK493" s="738"/>
      <c r="AN493" s="595"/>
      <c r="AS493" s="751"/>
      <c r="AX493" s="751"/>
      <c r="BB493" s="751" t="s">
        <v>1490</v>
      </c>
      <c r="BF493" s="751" t="s">
        <v>1491</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1520" t="s">
        <v>545</v>
      </c>
      <c r="D495" s="1521"/>
      <c r="E495" s="757" t="s">
        <v>757</v>
      </c>
      <c r="F495" s="765" t="s">
        <v>1509</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1492</v>
      </c>
      <c r="AX495" s="635">
        <v>3</v>
      </c>
      <c r="AY495" s="591"/>
      <c r="BB495" s="754">
        <v>0.4</v>
      </c>
      <c r="BC495" s="591">
        <v>3</v>
      </c>
      <c r="BF495" s="754">
        <v>0.4</v>
      </c>
      <c r="BG495" s="591">
        <v>4</v>
      </c>
    </row>
    <row r="496" spans="1:59" s="549" customFormat="1" ht="12.75" hidden="1" customHeight="1">
      <c r="C496" s="766" t="s">
        <v>1510</v>
      </c>
      <c r="F496" s="767" t="s">
        <v>1511</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1495</v>
      </c>
      <c r="AX496" s="635">
        <v>5</v>
      </c>
      <c r="AY496" s="591"/>
      <c r="BB496" s="754">
        <v>0.6</v>
      </c>
      <c r="BC496" s="591">
        <v>4</v>
      </c>
      <c r="BF496" s="754">
        <v>0.6</v>
      </c>
      <c r="BG496" s="591">
        <v>5</v>
      </c>
    </row>
    <row r="497" spans="1:81" s="549" customFormat="1" ht="12.75" hidden="1" customHeight="1">
      <c r="C497" s="747"/>
      <c r="D497" s="726"/>
      <c r="E497" s="768"/>
      <c r="F497" s="767" t="s">
        <v>1512</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1513</v>
      </c>
      <c r="G498" s="549"/>
      <c r="H498" s="549"/>
      <c r="I498" s="767"/>
      <c r="J498" s="767"/>
      <c r="K498" s="767"/>
      <c r="L498" s="767"/>
      <c r="M498" s="767"/>
      <c r="N498" s="767"/>
      <c r="O498" s="767"/>
      <c r="P498" s="767"/>
      <c r="Q498" s="767"/>
      <c r="R498" s="767"/>
      <c r="S498" s="767"/>
      <c r="T498" s="767"/>
      <c r="U498" s="767"/>
      <c r="V498" s="1488" t="s">
        <v>591</v>
      </c>
      <c r="W498" s="1488"/>
      <c r="X498" s="1488"/>
      <c r="Y498" s="767"/>
      <c r="Z498" s="767"/>
      <c r="AA498" s="767"/>
      <c r="AB498" s="767"/>
      <c r="AC498" s="767"/>
      <c r="AD498" s="607"/>
      <c r="AE498" s="607"/>
      <c r="AF498" s="607"/>
      <c r="AG498" s="611">
        <f>IF(AND($C$495="Yes",$V$500="N/A",$V$505="N/A",$V$509="N/A",$V$511="N/A"),(VLOOKUP(V498,$AW$494:$AX$496,2,FALSE)),0)</f>
        <v>0</v>
      </c>
      <c r="AH498" s="638" t="s">
        <v>1321</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1514</v>
      </c>
      <c r="G500" s="549"/>
      <c r="H500" s="549"/>
      <c r="I500" s="767"/>
      <c r="J500" s="767"/>
      <c r="K500" s="767"/>
      <c r="L500" s="767"/>
      <c r="M500" s="767"/>
      <c r="N500" s="767"/>
      <c r="O500" s="767"/>
      <c r="P500" s="767"/>
      <c r="Q500" s="767"/>
      <c r="R500" s="767"/>
      <c r="S500" s="767"/>
      <c r="T500" s="767"/>
      <c r="U500" s="767"/>
      <c r="V500" s="1488" t="s">
        <v>591</v>
      </c>
      <c r="W500" s="1488"/>
      <c r="X500" s="1488"/>
      <c r="Y500" s="767"/>
      <c r="Z500" s="767"/>
      <c r="AA500" s="767"/>
      <c r="AB500" s="767"/>
      <c r="AC500" s="767"/>
      <c r="AD500" s="607"/>
      <c r="AE500" s="607"/>
      <c r="AF500" s="607"/>
      <c r="AG500" s="611">
        <f>IF(AND($C$495="Yes",$V$498="N/A", $V$505="N/A",$V$509="N/A",$V$511="N/A"),(VLOOKUP(V500,$AT$494:$AU$496,2,FALSE)),0)</f>
        <v>0</v>
      </c>
      <c r="AH500" s="638" t="s">
        <v>1321</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1515</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1516</v>
      </c>
      <c r="AP502" s="635">
        <v>2</v>
      </c>
    </row>
    <row r="503" spans="1:81" s="549" customFormat="1" ht="12.75" hidden="1" customHeight="1">
      <c r="C503" s="758"/>
      <c r="F503" s="607" t="s">
        <v>1517</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1518</v>
      </c>
      <c r="AP503" s="549">
        <v>2</v>
      </c>
    </row>
    <row r="504" spans="1:81" s="594" customFormat="1" ht="12.75" hidden="1" customHeight="1">
      <c r="A504" s="549"/>
      <c r="B504" s="549"/>
      <c r="C504" s="735"/>
      <c r="D504" s="568"/>
      <c r="E504" s="568"/>
      <c r="F504" s="607" t="s">
        <v>1519</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1520</v>
      </c>
      <c r="AP504" s="549">
        <v>2</v>
      </c>
    </row>
    <row r="505" spans="1:81" s="549" customFormat="1" ht="12.75" hidden="1" customHeight="1">
      <c r="C505" s="773"/>
      <c r="F505" s="771" t="s">
        <v>1521</v>
      </c>
      <c r="M505" s="759"/>
      <c r="N505" s="759"/>
      <c r="O505" s="759"/>
      <c r="P505" s="759"/>
      <c r="Q505" s="550"/>
      <c r="R505" s="550"/>
      <c r="S505" s="550"/>
      <c r="T505" s="550"/>
      <c r="U505" s="550"/>
      <c r="V505" s="1488" t="s">
        <v>591</v>
      </c>
      <c r="W505" s="1488"/>
      <c r="X505" s="1488"/>
      <c r="Y505" s="550"/>
      <c r="Z505" s="550"/>
      <c r="AA505" s="550"/>
      <c r="AB505" s="550"/>
      <c r="AC505" s="550"/>
      <c r="AG505" s="611">
        <f>IF(AND($C$495="Yes",$V$498="N/A",$V$500="N/A", $V$509="N/A",$V$511="N/A"),(VLOOKUP($V$505,$AT$498:$AU$500,2,FALSE)),0)</f>
        <v>0</v>
      </c>
      <c r="AH505" s="638" t="s">
        <v>1321</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1522</v>
      </c>
      <c r="D507" s="710"/>
      <c r="E507" s="710"/>
      <c r="F507" s="776" t="s">
        <v>1523</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1474"/>
      <c r="E508" s="1474"/>
      <c r="F508" s="767" t="s">
        <v>1524</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1525</v>
      </c>
      <c r="AP508" s="635">
        <v>5</v>
      </c>
      <c r="AQ508" s="539"/>
    </row>
    <row r="509" spans="1:81" s="568" customFormat="1" ht="12.75" hidden="1" customHeight="1">
      <c r="A509" s="675"/>
      <c r="B509" s="549"/>
      <c r="C509" s="758"/>
      <c r="D509" s="549"/>
      <c r="E509" s="549"/>
      <c r="F509" s="778" t="s">
        <v>1513</v>
      </c>
      <c r="G509" s="549"/>
      <c r="H509" s="549"/>
      <c r="I509" s="549"/>
      <c r="J509" s="549"/>
      <c r="K509" s="549"/>
      <c r="L509" s="549"/>
      <c r="M509" s="549"/>
      <c r="N509" s="549"/>
      <c r="O509" s="549"/>
      <c r="P509" s="549"/>
      <c r="Q509" s="549"/>
      <c r="R509" s="549"/>
      <c r="S509" s="549"/>
      <c r="T509" s="549"/>
      <c r="U509" s="549"/>
      <c r="V509" s="1488" t="s">
        <v>591</v>
      </c>
      <c r="W509" s="1488"/>
      <c r="X509" s="1488"/>
      <c r="Y509" s="549"/>
      <c r="Z509" s="549"/>
      <c r="AA509" s="549"/>
      <c r="AB509" s="549"/>
      <c r="AC509" s="549"/>
      <c r="AD509" s="549"/>
      <c r="AE509" s="549"/>
      <c r="AF509" s="549"/>
      <c r="AG509" s="611">
        <f>IF(AND($C$495="Yes",$V$498="N/A",V500="N/A",$V$505="N/A",$V$511="N/A"),(VLOOKUP($V$509,$BB$494:$BC$497,2,FALSE)),0)</f>
        <v>0</v>
      </c>
      <c r="AH509" s="638" t="s">
        <v>1321</v>
      </c>
      <c r="AI509" s="550"/>
      <c r="AJ509" s="549"/>
      <c r="AK509" s="728"/>
      <c r="AL509" s="549"/>
      <c r="AM509" s="549"/>
      <c r="AN509" s="680"/>
      <c r="AO509" s="549" t="s">
        <v>1526</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1527</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1514</v>
      </c>
      <c r="G511" s="762"/>
      <c r="H511" s="762"/>
      <c r="I511" s="723"/>
      <c r="J511" s="723"/>
      <c r="K511" s="723"/>
      <c r="L511" s="723"/>
      <c r="M511" s="723"/>
      <c r="N511" s="723"/>
      <c r="O511" s="723"/>
      <c r="P511" s="723"/>
      <c r="Q511" s="723"/>
      <c r="R511" s="723"/>
      <c r="S511" s="723"/>
      <c r="T511" s="723"/>
      <c r="U511" s="723"/>
      <c r="V511" s="1488" t="s">
        <v>591</v>
      </c>
      <c r="W511" s="1488"/>
      <c r="X511" s="1488"/>
      <c r="Y511" s="723"/>
      <c r="Z511" s="723"/>
      <c r="AA511" s="723"/>
      <c r="AB511" s="723"/>
      <c r="AC511" s="723"/>
      <c r="AD511" s="723"/>
      <c r="AE511" s="723"/>
      <c r="AF511" s="723"/>
      <c r="AG511" s="779">
        <f>IF(AND($C$495="Yes",$V$498="N/A",$V$500="N/A",$V$505="N/A",$V$509="N/A"),(VLOOKUP($V$511,$BF$494:$BG$496,2,FALSE)),0)</f>
        <v>0</v>
      </c>
      <c r="AH511" s="764" t="s">
        <v>1321</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1528</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1401" t="s">
        <v>591</v>
      </c>
      <c r="D514" s="1402"/>
      <c r="E514" s="757" t="s">
        <v>507</v>
      </c>
      <c r="F514" s="1403" t="s">
        <v>1507</v>
      </c>
      <c r="G514" s="1403"/>
      <c r="H514" s="1403"/>
      <c r="I514" s="1403"/>
      <c r="J514" s="1403"/>
      <c r="K514" s="1403"/>
      <c r="L514" s="1403"/>
      <c r="M514" s="1403"/>
      <c r="N514" s="1403"/>
      <c r="O514" s="1403"/>
      <c r="P514" s="1403"/>
      <c r="Q514" s="1403"/>
      <c r="R514" s="1403"/>
      <c r="S514" s="1403"/>
      <c r="T514" s="1403"/>
      <c r="U514" s="1403"/>
      <c r="V514" s="1403"/>
      <c r="W514" s="1403"/>
      <c r="X514" s="1403"/>
      <c r="Y514" s="1403"/>
      <c r="Z514" s="1403"/>
      <c r="AA514" s="1403"/>
      <c r="AB514" s="1403"/>
      <c r="AC514" s="1403"/>
      <c r="AD514" s="1403"/>
      <c r="AE514" s="1403"/>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1404"/>
      <c r="G515" s="1404"/>
      <c r="H515" s="1404"/>
      <c r="I515" s="1404"/>
      <c r="J515" s="1404"/>
      <c r="K515" s="1404"/>
      <c r="L515" s="1404"/>
      <c r="M515" s="1404"/>
      <c r="N515" s="1404"/>
      <c r="O515" s="1404"/>
      <c r="P515" s="1404"/>
      <c r="Q515" s="1404"/>
      <c r="R515" s="1404"/>
      <c r="S515" s="1404"/>
      <c r="T515" s="1404"/>
      <c r="U515" s="1404"/>
      <c r="V515" s="1404"/>
      <c r="W515" s="1404"/>
      <c r="X515" s="1404"/>
      <c r="Y515" s="1404"/>
      <c r="Z515" s="1404"/>
      <c r="AA515" s="1404"/>
      <c r="AB515" s="1404"/>
      <c r="AC515" s="1404"/>
      <c r="AD515" s="1404"/>
      <c r="AE515" s="1404"/>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1495" t="s">
        <v>591</v>
      </c>
      <c r="G516" s="1495"/>
      <c r="H516" s="1495"/>
      <c r="I516" s="1495"/>
      <c r="J516" s="1495"/>
      <c r="K516" s="1495"/>
      <c r="L516" s="1495"/>
      <c r="M516" s="1495"/>
      <c r="N516" s="1495"/>
      <c r="O516" s="1495"/>
      <c r="P516" s="1495"/>
      <c r="Q516" s="1495"/>
      <c r="R516" s="1495"/>
      <c r="S516" s="1495"/>
      <c r="T516" s="1495"/>
      <c r="U516" s="1495"/>
      <c r="V516" s="1495"/>
      <c r="W516" s="1495"/>
      <c r="X516" s="1495"/>
      <c r="Y516" s="1495"/>
      <c r="Z516" s="1495"/>
      <c r="AA516" s="762"/>
      <c r="AB516" s="654"/>
      <c r="AC516" s="654"/>
      <c r="AD516" s="723"/>
      <c r="AE516" s="723"/>
      <c r="AF516" s="723"/>
      <c r="AG516" s="763">
        <f>IF($C$514="Yes",(VLOOKUP($F$516,$AO$484:$AP$492,2,FALSE)),0)</f>
        <v>0</v>
      </c>
      <c r="AH516" s="764" t="s">
        <v>1321</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1401" t="s">
        <v>591</v>
      </c>
      <c r="D518" s="1402"/>
      <c r="E518" s="757" t="s">
        <v>757</v>
      </c>
      <c r="F518" s="1496" t="s">
        <v>1529</v>
      </c>
      <c r="G518" s="1496"/>
      <c r="H518" s="1496"/>
      <c r="I518" s="1496"/>
      <c r="J518" s="1496"/>
      <c r="K518" s="1496"/>
      <c r="L518" s="1496"/>
      <c r="M518" s="1496"/>
      <c r="N518" s="1496"/>
      <c r="O518" s="1496"/>
      <c r="P518" s="1496"/>
      <c r="Q518" s="1496"/>
      <c r="R518" s="1496"/>
      <c r="S518" s="1496"/>
      <c r="T518" s="1496"/>
      <c r="U518" s="1496"/>
      <c r="V518" s="1496"/>
      <c r="W518" s="1496"/>
      <c r="X518" s="1496"/>
      <c r="Y518" s="1496"/>
      <c r="Z518" s="1496"/>
      <c r="AA518" s="1496"/>
      <c r="AB518" s="1496"/>
      <c r="AC518" s="1496"/>
      <c r="AD518" s="1496"/>
      <c r="AE518" s="1496"/>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1497"/>
      <c r="G519" s="1497"/>
      <c r="H519" s="1497"/>
      <c r="I519" s="1497"/>
      <c r="J519" s="1497"/>
      <c r="K519" s="1497"/>
      <c r="L519" s="1497"/>
      <c r="M519" s="1497"/>
      <c r="N519" s="1497"/>
      <c r="O519" s="1497"/>
      <c r="P519" s="1497"/>
      <c r="Q519" s="1497"/>
      <c r="R519" s="1497"/>
      <c r="S519" s="1497"/>
      <c r="T519" s="1497"/>
      <c r="U519" s="1497"/>
      <c r="V519" s="1497"/>
      <c r="W519" s="1497"/>
      <c r="X519" s="1497"/>
      <c r="Y519" s="1497"/>
      <c r="Z519" s="1497"/>
      <c r="AA519" s="1497"/>
      <c r="AB519" s="1497"/>
      <c r="AC519" s="1497"/>
      <c r="AD519" s="1497"/>
      <c r="AE519" s="1497"/>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1530</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1498" t="s">
        <v>591</v>
      </c>
      <c r="G521" s="1498"/>
      <c r="H521" s="1498"/>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1321</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1401" t="s">
        <v>591</v>
      </c>
      <c r="D523" s="1402"/>
      <c r="E523" s="757" t="s">
        <v>1531</v>
      </c>
      <c r="F523" s="776" t="s">
        <v>1532</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1473"/>
      <c r="D525" s="1474"/>
      <c r="E525" s="768"/>
      <c r="F525" s="550" t="s">
        <v>1533</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1321</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1475" t="s">
        <v>591</v>
      </c>
      <c r="H526" s="1475"/>
      <c r="I526" s="1475"/>
      <c r="J526" s="1475"/>
      <c r="K526" s="1475"/>
      <c r="L526" s="1475"/>
      <c r="M526" s="1475"/>
      <c r="N526" s="1475"/>
      <c r="O526" s="1475"/>
      <c r="P526" s="1475"/>
      <c r="Q526" s="1475"/>
      <c r="R526" s="1475"/>
      <c r="S526" s="1475"/>
      <c r="T526" s="1475"/>
      <c r="U526" s="1475"/>
      <c r="V526" s="1475"/>
      <c r="W526" s="1475"/>
      <c r="X526" s="1475"/>
      <c r="Y526" s="1475"/>
      <c r="Z526" s="1475"/>
      <c r="AA526" s="1475"/>
      <c r="AB526" s="1475"/>
      <c r="AC526" s="1475"/>
      <c r="AD526" s="1475"/>
      <c r="AE526" s="1475"/>
      <c r="AF526" s="1475"/>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1476" t="s">
        <v>591</v>
      </c>
      <c r="D528" s="1477"/>
      <c r="F528" s="550" t="s">
        <v>1534</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1321</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1535</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1536</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1476" t="s">
        <v>591</v>
      </c>
      <c r="D532" s="1477"/>
      <c r="F532" s="791" t="s">
        <v>1537</v>
      </c>
      <c r="G532" s="1269" t="s">
        <v>1538</v>
      </c>
      <c r="H532" s="1269"/>
      <c r="I532" s="1269"/>
      <c r="J532" s="1269"/>
      <c r="K532" s="1269"/>
      <c r="L532" s="1269"/>
      <c r="M532" s="1269"/>
      <c r="N532" s="1269"/>
      <c r="O532" s="1269"/>
      <c r="P532" s="1269"/>
      <c r="Q532" s="1269"/>
      <c r="R532" s="1269"/>
      <c r="S532" s="1269"/>
      <c r="T532" s="1269"/>
      <c r="U532" s="1269"/>
      <c r="V532" s="1269"/>
      <c r="W532" s="1269"/>
      <c r="X532" s="1269"/>
      <c r="Y532" s="1269"/>
      <c r="Z532" s="1269"/>
      <c r="AA532" s="1269"/>
      <c r="AB532" s="1269"/>
      <c r="AC532" s="1269"/>
      <c r="AD532" s="1269"/>
      <c r="AE532" s="1269"/>
      <c r="AF532" s="1269"/>
      <c r="AG532" s="611">
        <f>IF(AND($C$532="Yes",$C$523="Yes"),2,0)</f>
        <v>0</v>
      </c>
      <c r="AH532" s="638" t="s">
        <v>1321</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1426"/>
      <c r="H533" s="1426"/>
      <c r="I533" s="1426"/>
      <c r="J533" s="1426"/>
      <c r="K533" s="1426"/>
      <c r="L533" s="1426"/>
      <c r="M533" s="1426"/>
      <c r="N533" s="1426"/>
      <c r="O533" s="1426"/>
      <c r="P533" s="1426"/>
      <c r="Q533" s="1426"/>
      <c r="R533" s="1426"/>
      <c r="S533" s="1426"/>
      <c r="T533" s="1426"/>
      <c r="U533" s="1426"/>
      <c r="V533" s="1426"/>
      <c r="W533" s="1426"/>
      <c r="X533" s="1426"/>
      <c r="Y533" s="1426"/>
      <c r="Z533" s="1426"/>
      <c r="AA533" s="1426"/>
      <c r="AB533" s="1426"/>
      <c r="AC533" s="1426"/>
      <c r="AD533" s="1426"/>
      <c r="AE533" s="1426"/>
      <c r="AF533" s="1426"/>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1539</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1478" t="s">
        <v>591</v>
      </c>
      <c r="D536" s="1479"/>
      <c r="E536" s="798" t="s">
        <v>1540</v>
      </c>
      <c r="F536" s="767" t="s">
        <v>1541</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1321</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1480" t="s">
        <v>591</v>
      </c>
      <c r="G537" s="1480"/>
      <c r="H537" s="1480"/>
      <c r="I537" s="1480"/>
      <c r="J537" s="1480"/>
      <c r="K537" s="1480"/>
      <c r="L537" s="1480"/>
      <c r="M537" s="1480"/>
      <c r="N537" s="1480"/>
      <c r="O537" s="1480"/>
      <c r="P537" s="1480"/>
      <c r="Q537" s="1480"/>
      <c r="R537" s="1480"/>
      <c r="S537" s="1480"/>
      <c r="T537" s="1480"/>
      <c r="U537" s="1480"/>
      <c r="V537" s="1480"/>
      <c r="W537" s="1480"/>
      <c r="X537" s="1480"/>
      <c r="Y537" s="1480"/>
      <c r="Z537" s="1480"/>
      <c r="AA537" s="1480"/>
      <c r="AB537" s="1480"/>
      <c r="AC537" s="1480"/>
      <c r="AD537" s="1480"/>
      <c r="AE537" s="1480"/>
      <c r="AF537" s="1480"/>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1481"/>
      <c r="G538" s="1481"/>
      <c r="H538" s="1481"/>
      <c r="I538" s="1481"/>
      <c r="J538" s="1481"/>
      <c r="K538" s="1481"/>
      <c r="L538" s="1481"/>
      <c r="M538" s="1481"/>
      <c r="N538" s="1481"/>
      <c r="O538" s="1481"/>
      <c r="P538" s="1481"/>
      <c r="Q538" s="1481"/>
      <c r="R538" s="1481"/>
      <c r="S538" s="1481"/>
      <c r="T538" s="1481"/>
      <c r="U538" s="1481"/>
      <c r="V538" s="1481"/>
      <c r="W538" s="1481"/>
      <c r="X538" s="1481"/>
      <c r="Y538" s="1481"/>
      <c r="Z538" s="1481"/>
      <c r="AA538" s="1481"/>
      <c r="AB538" s="1481"/>
      <c r="AC538" s="1481"/>
      <c r="AD538" s="1481"/>
      <c r="AE538" s="1481"/>
      <c r="AF538" s="1481"/>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1542</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1543</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1988</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1544</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1989</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1545</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1546</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1547</v>
      </c>
      <c r="AK548" s="1356">
        <f>SUM(AG492:AG537)</f>
        <v>0</v>
      </c>
      <c r="AL548" s="1357"/>
      <c r="AM548" s="1358"/>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8" thickTop="1"/>
    <row r="551" spans="1:81" s="549" customFormat="1" ht="12.75" customHeight="1">
      <c r="A551" s="539" t="s">
        <v>1443</v>
      </c>
      <c r="B551" s="539" t="s">
        <v>1549</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1298" t="s">
        <v>1550</v>
      </c>
      <c r="AF551" s="1298"/>
      <c r="AG551" s="1298"/>
      <c r="AH551" s="1298"/>
      <c r="AI551" s="1298"/>
      <c r="AJ551" s="1298"/>
      <c r="AK551" s="1298"/>
      <c r="AL551" s="593"/>
      <c r="AM551" s="593"/>
      <c r="AN551" s="595"/>
    </row>
    <row r="552" spans="1:81" s="549" customFormat="1" ht="12.75" customHeight="1">
      <c r="A552" s="539"/>
      <c r="B552" s="539" t="s">
        <v>1317</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1353" t="s">
        <v>591</v>
      </c>
      <c r="D554" s="1353"/>
      <c r="E554" s="550"/>
      <c r="F554" s="1405" t="s">
        <v>1551</v>
      </c>
      <c r="G554" s="1406"/>
      <c r="H554" s="1406"/>
      <c r="I554" s="1406"/>
      <c r="J554" s="1406"/>
      <c r="K554" s="1406"/>
      <c r="L554" s="1406"/>
      <c r="M554" s="1406"/>
      <c r="N554" s="1406"/>
      <c r="O554" s="1406"/>
      <c r="P554" s="1406"/>
      <c r="Q554" s="1406"/>
      <c r="R554" s="1406"/>
      <c r="S554" s="1406"/>
      <c r="T554" s="1406"/>
      <c r="U554" s="1406"/>
      <c r="V554" s="1406"/>
      <c r="W554" s="1406"/>
      <c r="X554" s="1406"/>
      <c r="Y554" s="1406"/>
      <c r="Z554" s="1406"/>
      <c r="AA554" s="1406"/>
      <c r="AB554" s="1406"/>
      <c r="AC554" s="1406"/>
      <c r="AD554" s="1406"/>
      <c r="AE554" s="1406"/>
      <c r="AF554" s="1406"/>
      <c r="AG554" s="1406"/>
      <c r="AH554" s="1406"/>
      <c r="AI554" s="1406"/>
      <c r="AJ554" s="1406"/>
      <c r="AK554" s="1406"/>
      <c r="AL554" s="1407"/>
      <c r="AM554" s="593"/>
      <c r="AN554" s="595"/>
    </row>
    <row r="555" spans="1:81" s="549" customFormat="1" ht="12.75" customHeight="1">
      <c r="B555" s="539"/>
      <c r="C555" s="550"/>
      <c r="D555" s="550"/>
      <c r="E555" s="550"/>
      <c r="F555" s="1408"/>
      <c r="G555" s="1409"/>
      <c r="H555" s="1409"/>
      <c r="I555" s="1409"/>
      <c r="J555" s="1409"/>
      <c r="K555" s="1409"/>
      <c r="L555" s="1409"/>
      <c r="M555" s="1409"/>
      <c r="N555" s="1409"/>
      <c r="O555" s="1409"/>
      <c r="P555" s="1409"/>
      <c r="Q555" s="1409"/>
      <c r="R555" s="1409"/>
      <c r="S555" s="1409"/>
      <c r="T555" s="1409"/>
      <c r="U555" s="1409"/>
      <c r="V555" s="1409"/>
      <c r="W555" s="1409"/>
      <c r="X555" s="1409"/>
      <c r="Y555" s="1409"/>
      <c r="Z555" s="1409"/>
      <c r="AA555" s="1409"/>
      <c r="AB555" s="1409"/>
      <c r="AC555" s="1409"/>
      <c r="AD555" s="1409"/>
      <c r="AE555" s="1409"/>
      <c r="AF555" s="1409"/>
      <c r="AG555" s="1409"/>
      <c r="AH555" s="1409"/>
      <c r="AI555" s="1409"/>
      <c r="AJ555" s="1409"/>
      <c r="AK555" s="1409"/>
      <c r="AL555" s="1410"/>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1353" t="s">
        <v>545</v>
      </c>
      <c r="D557" s="1353"/>
      <c r="E557" s="802"/>
      <c r="F557" s="642" t="s">
        <v>1552</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1347" t="s">
        <v>2614</v>
      </c>
      <c r="G558" s="1348"/>
      <c r="H558" s="1348"/>
      <c r="I558" s="1348"/>
      <c r="J558" s="1348"/>
      <c r="K558" s="1348"/>
      <c r="L558" s="1348"/>
      <c r="M558" s="1348"/>
      <c r="N558" s="1348"/>
      <c r="O558" s="1348"/>
      <c r="P558" s="1348"/>
      <c r="Q558" s="1348"/>
      <c r="R558" s="1348"/>
      <c r="S558" s="1348"/>
      <c r="T558" s="1348"/>
      <c r="U558" s="1348"/>
      <c r="V558" s="1348"/>
      <c r="W558" s="1348"/>
      <c r="X558" s="1348"/>
      <c r="Y558" s="1348"/>
      <c r="Z558" s="1348"/>
      <c r="AA558" s="1348"/>
      <c r="AB558" s="1348"/>
      <c r="AC558" s="1348"/>
      <c r="AD558" s="1348"/>
      <c r="AE558" s="1348"/>
      <c r="AF558" s="1348"/>
      <c r="AG558" s="1348"/>
      <c r="AH558" s="1348"/>
      <c r="AI558" s="1348"/>
      <c r="AJ558" s="1348"/>
      <c r="AK558" s="1348"/>
      <c r="AL558" s="1349"/>
      <c r="AM558" s="593"/>
      <c r="AN558" s="595"/>
      <c r="AS558" s="866"/>
      <c r="AT558" s="866"/>
      <c r="AU558" s="866"/>
      <c r="AV558" s="866"/>
      <c r="AW558" s="866"/>
    </row>
    <row r="559" spans="1:81" s="549" customFormat="1" ht="12.75" customHeight="1">
      <c r="B559" s="802"/>
      <c r="C559" s="802"/>
      <c r="D559" s="802"/>
      <c r="E559" s="802"/>
      <c r="F559" s="1347"/>
      <c r="G559" s="1348"/>
      <c r="H559" s="1348"/>
      <c r="I559" s="1348"/>
      <c r="J559" s="1348"/>
      <c r="K559" s="1348"/>
      <c r="L559" s="1348"/>
      <c r="M559" s="1348"/>
      <c r="N559" s="1348"/>
      <c r="O559" s="1348"/>
      <c r="P559" s="1348"/>
      <c r="Q559" s="1348"/>
      <c r="R559" s="1348"/>
      <c r="S559" s="1348"/>
      <c r="T559" s="1348"/>
      <c r="U559" s="1348"/>
      <c r="V559" s="1348"/>
      <c r="W559" s="1348"/>
      <c r="X559" s="1348"/>
      <c r="Y559" s="1348"/>
      <c r="Z559" s="1348"/>
      <c r="AA559" s="1348"/>
      <c r="AB559" s="1348"/>
      <c r="AC559" s="1348"/>
      <c r="AD559" s="1348"/>
      <c r="AE559" s="1348"/>
      <c r="AF559" s="1348"/>
      <c r="AG559" s="1348"/>
      <c r="AH559" s="1348"/>
      <c r="AI559" s="1348"/>
      <c r="AJ559" s="1348"/>
      <c r="AK559" s="1348"/>
      <c r="AL559" s="1349"/>
      <c r="AM559" s="593"/>
      <c r="AN559" s="595"/>
    </row>
    <row r="560" spans="1:81" s="549" customFormat="1" ht="12.75" customHeight="1">
      <c r="B560" s="802"/>
      <c r="C560" s="802"/>
      <c r="D560" s="802"/>
      <c r="E560" s="802"/>
      <c r="F560" s="807" t="s">
        <v>1990</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1347" t="s">
        <v>1553</v>
      </c>
      <c r="G561" s="1348"/>
      <c r="H561" s="1348"/>
      <c r="I561" s="1348"/>
      <c r="J561" s="1348"/>
      <c r="K561" s="1348"/>
      <c r="L561" s="1348"/>
      <c r="M561" s="1348"/>
      <c r="N561" s="1348"/>
      <c r="O561" s="1348"/>
      <c r="P561" s="1348"/>
      <c r="Q561" s="1348"/>
      <c r="R561" s="1348"/>
      <c r="S561" s="1348"/>
      <c r="T561" s="1348"/>
      <c r="U561" s="1348"/>
      <c r="V561" s="1348"/>
      <c r="W561" s="1348"/>
      <c r="X561" s="1348"/>
      <c r="Y561" s="1348"/>
      <c r="Z561" s="1348"/>
      <c r="AA561" s="1348"/>
      <c r="AB561" s="1348"/>
      <c r="AC561" s="1348"/>
      <c r="AD561" s="1348"/>
      <c r="AE561" s="1348"/>
      <c r="AF561" s="1348"/>
      <c r="AG561" s="1348"/>
      <c r="AH561" s="1348"/>
      <c r="AI561" s="1348"/>
      <c r="AJ561" s="1348"/>
      <c r="AK561" s="1348"/>
      <c r="AL561" s="809"/>
      <c r="AM561" s="593"/>
      <c r="AN561" s="595"/>
    </row>
    <row r="562" spans="1:45" s="549" customFormat="1" ht="12.75" customHeight="1">
      <c r="B562" s="802"/>
      <c r="C562" s="802"/>
      <c r="D562" s="802"/>
      <c r="E562" s="802"/>
      <c r="F562" s="1350"/>
      <c r="G562" s="1351"/>
      <c r="H562" s="1351"/>
      <c r="I562" s="1351"/>
      <c r="J562" s="1351"/>
      <c r="K562" s="1351"/>
      <c r="L562" s="1351"/>
      <c r="M562" s="1351"/>
      <c r="N562" s="1351"/>
      <c r="O562" s="1351"/>
      <c r="P562" s="1351"/>
      <c r="Q562" s="1351"/>
      <c r="R562" s="1351"/>
      <c r="S562" s="1351"/>
      <c r="T562" s="1351"/>
      <c r="U562" s="1351"/>
      <c r="V562" s="1351"/>
      <c r="W562" s="1351"/>
      <c r="X562" s="1351"/>
      <c r="Y562" s="1351"/>
      <c r="Z562" s="1351"/>
      <c r="AA562" s="1351"/>
      <c r="AB562" s="1351"/>
      <c r="AC562" s="1351"/>
      <c r="AD562" s="1351"/>
      <c r="AE562" s="1351"/>
      <c r="AF562" s="1351"/>
      <c r="AG562" s="1351"/>
      <c r="AH562" s="1351"/>
      <c r="AI562" s="1351"/>
      <c r="AJ562" s="1351"/>
      <c r="AK562" s="1351"/>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1487">
        <f>Application!AJ1001</f>
        <v>74560640</v>
      </c>
      <c r="AQ563" s="1487"/>
      <c r="AR563" s="1487"/>
      <c r="AS563" s="549" t="s">
        <v>2122</v>
      </c>
    </row>
    <row r="564" spans="1:45" s="549" customFormat="1" ht="12.75" customHeight="1">
      <c r="A564" s="498"/>
      <c r="B564" s="447" t="s">
        <v>1554</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1359">
        <f>'Sources and Uses Budget'!S107+'Sources and Uses Budget'!T107</f>
        <v>70378430</v>
      </c>
      <c r="AG564" s="1359"/>
      <c r="AH564" s="1359"/>
      <c r="AI564" s="1359"/>
      <c r="AJ564" s="1359"/>
      <c r="AK564" s="593"/>
      <c r="AL564" s="593"/>
      <c r="AM564" s="593"/>
      <c r="AN564" s="595"/>
    </row>
    <row r="565" spans="1:45" s="549" customFormat="1" ht="12.75" customHeight="1">
      <c r="A565" s="623"/>
      <c r="B565" s="623" t="s">
        <v>1555</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1491">
        <f>IFERROR(AP572,0)</f>
        <v>138524758.40000001</v>
      </c>
      <c r="AG565" s="1491"/>
      <c r="AH565" s="1491"/>
      <c r="AI565" s="1491"/>
      <c r="AJ565" s="1491"/>
      <c r="AK565" s="593"/>
      <c r="AL565" s="593"/>
      <c r="AM565" s="593"/>
      <c r="AN565" s="595"/>
      <c r="AP565" s="1487">
        <f>Application!AJ1054</f>
        <v>15657734.399999999</v>
      </c>
      <c r="AQ565" s="1487"/>
      <c r="AR565" s="1487"/>
      <c r="AS565" s="549" t="s">
        <v>1837</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1492">
        <f>IFERROR(ROUNDDOWN(IF(C557="YES",((1-(AF564/AF565))*2),(1-(AF564/AF565))),2),0)</f>
        <v>0.98</v>
      </c>
      <c r="AG566" s="1492"/>
      <c r="AH566" s="1492"/>
      <c r="AI566" s="1492"/>
      <c r="AJ566" s="1492"/>
      <c r="AK566" s="593"/>
      <c r="AL566" s="593"/>
      <c r="AM566" s="593"/>
      <c r="AN566" s="595"/>
      <c r="AP566" s="1507">
        <f>Application!AJ1058</f>
        <v>14912128</v>
      </c>
      <c r="AQ566" s="1507"/>
      <c r="AR566" s="1507"/>
      <c r="AS566" s="549" t="s">
        <v>2123</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1486">
        <f>IF(((AP565+AP566)/AP563)&gt;0.8,0.8,((AP565+AP566)/AP563))</f>
        <v>0.41</v>
      </c>
      <c r="AQ567" s="1486"/>
      <c r="AR567" s="1486"/>
      <c r="AS567" s="549" t="s">
        <v>2124</v>
      </c>
    </row>
    <row r="568" spans="1:45" s="549" customFormat="1" ht="12.75" customHeight="1">
      <c r="A568" s="622"/>
      <c r="B568" s="1433" t="s">
        <v>1991</v>
      </c>
      <c r="C568" s="1434"/>
      <c r="D568" s="1434"/>
      <c r="E568" s="1434"/>
      <c r="F568" s="1434"/>
      <c r="G568" s="1434"/>
      <c r="H568" s="1434"/>
      <c r="I568" s="1434"/>
      <c r="J568" s="1434"/>
      <c r="K568" s="1434"/>
      <c r="L568" s="1434"/>
      <c r="M568" s="1434"/>
      <c r="N568" s="1434"/>
      <c r="O568" s="1434"/>
      <c r="P568" s="1434"/>
      <c r="Q568" s="1434"/>
      <c r="R568" s="1434"/>
      <c r="S568" s="1434"/>
      <c r="T568" s="1434"/>
      <c r="U568" s="1434"/>
      <c r="V568" s="1434"/>
      <c r="W568" s="1434"/>
      <c r="X568" s="1434"/>
      <c r="Y568" s="1434"/>
      <c r="Z568" s="1434"/>
      <c r="AA568" s="1434"/>
      <c r="AB568" s="1434"/>
      <c r="AC568" s="1434"/>
      <c r="AD568" s="1434"/>
      <c r="AE568" s="1434"/>
      <c r="AF568" s="1434"/>
      <c r="AG568" s="1434"/>
      <c r="AH568" s="1434"/>
      <c r="AI568" s="1434"/>
      <c r="AJ568" s="1435"/>
      <c r="AK568" s="593"/>
      <c r="AL568" s="593"/>
      <c r="AM568" s="593"/>
      <c r="AN568" s="595"/>
    </row>
    <row r="569" spans="1:45" s="549" customFormat="1" ht="12.75" customHeight="1">
      <c r="A569" s="622"/>
      <c r="B569" s="1436"/>
      <c r="C569" s="1437"/>
      <c r="D569" s="1437"/>
      <c r="E569" s="1437"/>
      <c r="F569" s="1437"/>
      <c r="G569" s="1437"/>
      <c r="H569" s="1437"/>
      <c r="I569" s="1437"/>
      <c r="J569" s="1437"/>
      <c r="K569" s="1437"/>
      <c r="L569" s="1437"/>
      <c r="M569" s="1437"/>
      <c r="N569" s="1437"/>
      <c r="O569" s="1437"/>
      <c r="P569" s="1437"/>
      <c r="Q569" s="1437"/>
      <c r="R569" s="1437"/>
      <c r="S569" s="1437"/>
      <c r="T569" s="1437"/>
      <c r="U569" s="1437"/>
      <c r="V569" s="1437"/>
      <c r="W569" s="1437"/>
      <c r="X569" s="1437"/>
      <c r="Y569" s="1437"/>
      <c r="Z569" s="1437"/>
      <c r="AA569" s="1437"/>
      <c r="AB569" s="1437"/>
      <c r="AC569" s="1437"/>
      <c r="AD569" s="1437"/>
      <c r="AE569" s="1437"/>
      <c r="AF569" s="1437"/>
      <c r="AG569" s="1437"/>
      <c r="AH569" s="1437"/>
      <c r="AI569" s="1437"/>
      <c r="AJ569" s="1438"/>
      <c r="AK569" s="593"/>
      <c r="AL569" s="593"/>
      <c r="AM569" s="593"/>
      <c r="AN569" s="595"/>
      <c r="AP569" s="1487">
        <f>AP570-AP565-AP566</f>
        <v>107954896</v>
      </c>
      <c r="AQ569" s="1418"/>
      <c r="AR569" s="1418"/>
      <c r="AS569" s="549" t="s">
        <v>2126</v>
      </c>
    </row>
    <row r="570" spans="1:45" s="549" customFormat="1" ht="12.75" customHeight="1">
      <c r="A570" s="622"/>
      <c r="B570" s="1439"/>
      <c r="C570" s="1440"/>
      <c r="D570" s="1440"/>
      <c r="E570" s="1440"/>
      <c r="F570" s="1440"/>
      <c r="G570" s="1440"/>
      <c r="H570" s="1440"/>
      <c r="I570" s="1440"/>
      <c r="J570" s="1440"/>
      <c r="K570" s="1440"/>
      <c r="L570" s="1440"/>
      <c r="M570" s="1440"/>
      <c r="N570" s="1440"/>
      <c r="O570" s="1440"/>
      <c r="P570" s="1440"/>
      <c r="Q570" s="1440"/>
      <c r="R570" s="1440"/>
      <c r="S570" s="1440"/>
      <c r="T570" s="1440"/>
      <c r="U570" s="1440"/>
      <c r="V570" s="1440"/>
      <c r="W570" s="1440"/>
      <c r="X570" s="1440"/>
      <c r="Y570" s="1440"/>
      <c r="Z570" s="1440"/>
      <c r="AA570" s="1440"/>
      <c r="AB570" s="1440"/>
      <c r="AC570" s="1440"/>
      <c r="AD570" s="1440"/>
      <c r="AE570" s="1440"/>
      <c r="AF570" s="1440"/>
      <c r="AG570" s="1440"/>
      <c r="AH570" s="1440"/>
      <c r="AI570" s="1440"/>
      <c r="AJ570" s="1441"/>
      <c r="AK570" s="593"/>
      <c r="AL570" s="593"/>
      <c r="AM570" s="593"/>
      <c r="AN570" s="595"/>
      <c r="AP570" s="1487">
        <f>Application!AJ1062</f>
        <v>138524758.40000001</v>
      </c>
      <c r="AQ570" s="1487"/>
      <c r="AR570" s="1487"/>
      <c r="AS570" s="549" t="s">
        <v>2125</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1556</v>
      </c>
      <c r="AK572" s="1442">
        <f>IFERROR(IF(AND(C554="N/A",C557="N/A"),0,IF(AF566=0,0,IF((AF566*100)&gt;12,12,(AF566*100)))),0)</f>
        <v>12</v>
      </c>
      <c r="AL572" s="1442"/>
      <c r="AM572" s="1443"/>
      <c r="AN572" s="595"/>
      <c r="AP572" s="1500">
        <f>AP569+(AP563*AP567)</f>
        <v>138524758.40000001</v>
      </c>
      <c r="AQ572" s="1501"/>
      <c r="AR572" s="1502"/>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1548</v>
      </c>
      <c r="B575" s="539" t="s">
        <v>2557</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1298" t="s">
        <v>1307</v>
      </c>
      <c r="AF575" s="1298"/>
      <c r="AG575" s="1298"/>
      <c r="AH575" s="1298"/>
      <c r="AI575" s="1298"/>
      <c r="AJ575" s="1298"/>
      <c r="AK575" s="1298"/>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1348" t="s">
        <v>1983</v>
      </c>
      <c r="C577" s="1348"/>
      <c r="D577" s="1348"/>
      <c r="E577" s="1348"/>
      <c r="F577" s="1348"/>
      <c r="G577" s="1348"/>
      <c r="H577" s="1348"/>
      <c r="I577" s="1348"/>
      <c r="J577" s="1348"/>
      <c r="K577" s="1348"/>
      <c r="L577" s="1348"/>
      <c r="M577" s="1348"/>
      <c r="N577" s="1348"/>
      <c r="O577" s="1348"/>
      <c r="P577" s="1348"/>
      <c r="Q577" s="1348"/>
      <c r="R577" s="1348"/>
      <c r="S577" s="1348"/>
      <c r="T577" s="1348"/>
      <c r="U577" s="1348"/>
      <c r="V577" s="1348"/>
      <c r="W577" s="1348"/>
      <c r="X577" s="1348"/>
      <c r="Y577" s="1348"/>
      <c r="Z577" s="1348"/>
      <c r="AA577" s="1348"/>
      <c r="AB577" s="1348"/>
      <c r="AC577" s="1348"/>
      <c r="AD577" s="1348"/>
      <c r="AE577" s="1348"/>
      <c r="AF577" s="1348"/>
      <c r="AG577" s="1348"/>
      <c r="AH577" s="1348"/>
      <c r="AI577" s="1348"/>
      <c r="AJ577" s="1348"/>
      <c r="AK577" s="640"/>
      <c r="AL577" s="571"/>
      <c r="AM577" s="601"/>
      <c r="AN577" s="595"/>
    </row>
    <row r="578" spans="1:42" s="549" customFormat="1" ht="12.75" customHeight="1">
      <c r="A578" s="601"/>
      <c r="B578" s="1348"/>
      <c r="C578" s="1348"/>
      <c r="D578" s="1348"/>
      <c r="E578" s="1348"/>
      <c r="F578" s="1348"/>
      <c r="G578" s="1348"/>
      <c r="H578" s="1348"/>
      <c r="I578" s="1348"/>
      <c r="J578" s="1348"/>
      <c r="K578" s="1348"/>
      <c r="L578" s="1348"/>
      <c r="M578" s="1348"/>
      <c r="N578" s="1348"/>
      <c r="O578" s="1348"/>
      <c r="P578" s="1348"/>
      <c r="Q578" s="1348"/>
      <c r="R578" s="1348"/>
      <c r="S578" s="1348"/>
      <c r="T578" s="1348"/>
      <c r="U578" s="1348"/>
      <c r="V578" s="1348"/>
      <c r="W578" s="1348"/>
      <c r="X578" s="1348"/>
      <c r="Y578" s="1348"/>
      <c r="Z578" s="1348"/>
      <c r="AA578" s="1348"/>
      <c r="AB578" s="1348"/>
      <c r="AC578" s="1348"/>
      <c r="AD578" s="1348"/>
      <c r="AE578" s="1348"/>
      <c r="AF578" s="1348"/>
      <c r="AG578" s="1348"/>
      <c r="AH578" s="1348"/>
      <c r="AI578" s="1348"/>
      <c r="AJ578" s="1348"/>
      <c r="AK578" s="640"/>
      <c r="AL578" s="571"/>
      <c r="AM578" s="601"/>
      <c r="AN578" s="595"/>
    </row>
    <row r="579" spans="1:42" s="549" customFormat="1" ht="12.75" customHeight="1">
      <c r="A579" s="601"/>
      <c r="B579" s="1348"/>
      <c r="C579" s="1348"/>
      <c r="D579" s="1348"/>
      <c r="E579" s="1348"/>
      <c r="F579" s="1348"/>
      <c r="G579" s="1348"/>
      <c r="H579" s="1348"/>
      <c r="I579" s="1348"/>
      <c r="J579" s="1348"/>
      <c r="K579" s="1348"/>
      <c r="L579" s="1348"/>
      <c r="M579" s="1348"/>
      <c r="N579" s="1348"/>
      <c r="O579" s="1348"/>
      <c r="P579" s="1348"/>
      <c r="Q579" s="1348"/>
      <c r="R579" s="1348"/>
      <c r="S579" s="1348"/>
      <c r="T579" s="1348"/>
      <c r="U579" s="1348"/>
      <c r="V579" s="1348"/>
      <c r="W579" s="1348"/>
      <c r="X579" s="1348"/>
      <c r="Y579" s="1348"/>
      <c r="Z579" s="1348"/>
      <c r="AA579" s="1348"/>
      <c r="AB579" s="1348"/>
      <c r="AC579" s="1348"/>
      <c r="AD579" s="1348"/>
      <c r="AE579" s="1348"/>
      <c r="AF579" s="1348"/>
      <c r="AG579" s="1348"/>
      <c r="AH579" s="1348"/>
      <c r="AI579" s="1348"/>
      <c r="AJ579" s="1348"/>
      <c r="AK579" s="640"/>
      <c r="AL579" s="571"/>
      <c r="AM579" s="601"/>
      <c r="AN579" s="595"/>
    </row>
    <row r="580" spans="1:42" s="549" customFormat="1" ht="12.75" customHeight="1">
      <c r="A580" s="601"/>
      <c r="B580" s="1348"/>
      <c r="C580" s="1348"/>
      <c r="D580" s="1348"/>
      <c r="E580" s="1348"/>
      <c r="F580" s="1348"/>
      <c r="G580" s="1348"/>
      <c r="H580" s="1348"/>
      <c r="I580" s="1348"/>
      <c r="J580" s="1348"/>
      <c r="K580" s="1348"/>
      <c r="L580" s="1348"/>
      <c r="M580" s="1348"/>
      <c r="N580" s="1348"/>
      <c r="O580" s="1348"/>
      <c r="P580" s="1348"/>
      <c r="Q580" s="1348"/>
      <c r="R580" s="1348"/>
      <c r="S580" s="1348"/>
      <c r="T580" s="1348"/>
      <c r="U580" s="1348"/>
      <c r="V580" s="1348"/>
      <c r="W580" s="1348"/>
      <c r="X580" s="1348"/>
      <c r="Y580" s="1348"/>
      <c r="Z580" s="1348"/>
      <c r="AA580" s="1348"/>
      <c r="AB580" s="1348"/>
      <c r="AC580" s="1348"/>
      <c r="AD580" s="1348"/>
      <c r="AE580" s="1348"/>
      <c r="AF580" s="1348"/>
      <c r="AG580" s="1348"/>
      <c r="AH580" s="1348"/>
      <c r="AI580" s="1348"/>
      <c r="AJ580" s="1348"/>
      <c r="AK580" s="640"/>
      <c r="AL580" s="571"/>
      <c r="AM580" s="601"/>
      <c r="AN580" s="595"/>
    </row>
    <row r="581" spans="1:42" s="549" customFormat="1" ht="12.75" customHeight="1">
      <c r="A581" s="601"/>
      <c r="B581" s="1348"/>
      <c r="C581" s="1348"/>
      <c r="D581" s="1348"/>
      <c r="E581" s="1348"/>
      <c r="F581" s="1348"/>
      <c r="G581" s="1348"/>
      <c r="H581" s="1348"/>
      <c r="I581" s="1348"/>
      <c r="J581" s="1348"/>
      <c r="K581" s="1348"/>
      <c r="L581" s="1348"/>
      <c r="M581" s="1348"/>
      <c r="N581" s="1348"/>
      <c r="O581" s="1348"/>
      <c r="P581" s="1348"/>
      <c r="Q581" s="1348"/>
      <c r="R581" s="1348"/>
      <c r="S581" s="1348"/>
      <c r="T581" s="1348"/>
      <c r="U581" s="1348"/>
      <c r="V581" s="1348"/>
      <c r="W581" s="1348"/>
      <c r="X581" s="1348"/>
      <c r="Y581" s="1348"/>
      <c r="Z581" s="1348"/>
      <c r="AA581" s="1348"/>
      <c r="AB581" s="1348"/>
      <c r="AC581" s="1348"/>
      <c r="AD581" s="1348"/>
      <c r="AE581" s="1348"/>
      <c r="AF581" s="1348"/>
      <c r="AG581" s="1348"/>
      <c r="AH581" s="1348"/>
      <c r="AI581" s="1348"/>
      <c r="AJ581" s="1348"/>
      <c r="AK581" s="640"/>
      <c r="AL581" s="571"/>
      <c r="AM581" s="601"/>
      <c r="AN581" s="595"/>
    </row>
    <row r="582" spans="1:42" s="549" customFormat="1" ht="12.75" customHeight="1">
      <c r="A582" s="601"/>
      <c r="B582" s="1348"/>
      <c r="C582" s="1348"/>
      <c r="D582" s="1348"/>
      <c r="E582" s="1348"/>
      <c r="F582" s="1348"/>
      <c r="G582" s="1348"/>
      <c r="H582" s="1348"/>
      <c r="I582" s="1348"/>
      <c r="J582" s="1348"/>
      <c r="K582" s="1348"/>
      <c r="L582" s="1348"/>
      <c r="M582" s="1348"/>
      <c r="N582" s="1348"/>
      <c r="O582" s="1348"/>
      <c r="P582" s="1348"/>
      <c r="Q582" s="1348"/>
      <c r="R582" s="1348"/>
      <c r="S582" s="1348"/>
      <c r="T582" s="1348"/>
      <c r="U582" s="1348"/>
      <c r="V582" s="1348"/>
      <c r="W582" s="1348"/>
      <c r="X582" s="1348"/>
      <c r="Y582" s="1348"/>
      <c r="Z582" s="1348"/>
      <c r="AA582" s="1348"/>
      <c r="AB582" s="1348"/>
      <c r="AC582" s="1348"/>
      <c r="AD582" s="1348"/>
      <c r="AE582" s="1348"/>
      <c r="AF582" s="1348"/>
      <c r="AG582" s="1348"/>
      <c r="AH582" s="1348"/>
      <c r="AI582" s="1348"/>
      <c r="AJ582" s="1348"/>
      <c r="AK582" s="640"/>
      <c r="AL582" s="571"/>
      <c r="AM582" s="601"/>
      <c r="AN582" s="595"/>
    </row>
    <row r="583" spans="1:42" s="549" customFormat="1" ht="12.75" customHeight="1">
      <c r="A583" s="601"/>
      <c r="B583" s="1348"/>
      <c r="C583" s="1348"/>
      <c r="D583" s="1348"/>
      <c r="E583" s="1348"/>
      <c r="F583" s="1348"/>
      <c r="G583" s="1348"/>
      <c r="H583" s="1348"/>
      <c r="I583" s="1348"/>
      <c r="J583" s="1348"/>
      <c r="K583" s="1348"/>
      <c r="L583" s="1348"/>
      <c r="M583" s="1348"/>
      <c r="N583" s="1348"/>
      <c r="O583" s="1348"/>
      <c r="P583" s="1348"/>
      <c r="Q583" s="1348"/>
      <c r="R583" s="1348"/>
      <c r="S583" s="1348"/>
      <c r="T583" s="1348"/>
      <c r="U583" s="1348"/>
      <c r="V583" s="1348"/>
      <c r="W583" s="1348"/>
      <c r="X583" s="1348"/>
      <c r="Y583" s="1348"/>
      <c r="Z583" s="1348"/>
      <c r="AA583" s="1348"/>
      <c r="AB583" s="1348"/>
      <c r="AC583" s="1348"/>
      <c r="AD583" s="1348"/>
      <c r="AE583" s="1348"/>
      <c r="AF583" s="1348"/>
      <c r="AG583" s="1348"/>
      <c r="AH583" s="1348"/>
      <c r="AI583" s="1348"/>
      <c r="AJ583" s="1348"/>
      <c r="AK583" s="640"/>
      <c r="AL583" s="571"/>
      <c r="AM583" s="601"/>
      <c r="AN583" s="595"/>
    </row>
    <row r="584" spans="1:42" ht="12.75" customHeight="1">
      <c r="A584" s="601"/>
      <c r="B584" s="1348"/>
      <c r="C584" s="1348"/>
      <c r="D584" s="1348"/>
      <c r="E584" s="1348"/>
      <c r="F584" s="1348"/>
      <c r="G584" s="1348"/>
      <c r="H584" s="1348"/>
      <c r="I584" s="1348"/>
      <c r="J584" s="1348"/>
      <c r="K584" s="1348"/>
      <c r="L584" s="1348"/>
      <c r="M584" s="1348"/>
      <c r="N584" s="1348"/>
      <c r="O584" s="1348"/>
      <c r="P584" s="1348"/>
      <c r="Q584" s="1348"/>
      <c r="R584" s="1348"/>
      <c r="S584" s="1348"/>
      <c r="T584" s="1348"/>
      <c r="U584" s="1348"/>
      <c r="V584" s="1348"/>
      <c r="W584" s="1348"/>
      <c r="X584" s="1348"/>
      <c r="Y584" s="1348"/>
      <c r="Z584" s="1348"/>
      <c r="AA584" s="1348"/>
      <c r="AB584" s="1348"/>
      <c r="AC584" s="1348"/>
      <c r="AD584" s="1348"/>
      <c r="AE584" s="1348"/>
      <c r="AF584" s="1348"/>
      <c r="AG584" s="1348"/>
      <c r="AH584" s="1348"/>
      <c r="AI584" s="1348"/>
      <c r="AJ584" s="1348"/>
      <c r="AK584" s="640"/>
      <c r="AL584" s="571"/>
      <c r="AM584" s="601"/>
    </row>
    <row r="585" spans="1:42" s="549" customFormat="1" ht="12.75" customHeight="1">
      <c r="B585" s="1348"/>
      <c r="C585" s="1348"/>
      <c r="D585" s="1348"/>
      <c r="E585" s="1348"/>
      <c r="F585" s="1348"/>
      <c r="G585" s="1348"/>
      <c r="H585" s="1348"/>
      <c r="I585" s="1348"/>
      <c r="J585" s="1348"/>
      <c r="K585" s="1348"/>
      <c r="L585" s="1348"/>
      <c r="M585" s="1348"/>
      <c r="N585" s="1348"/>
      <c r="O585" s="1348"/>
      <c r="P585" s="1348"/>
      <c r="Q585" s="1348"/>
      <c r="R585" s="1348"/>
      <c r="S585" s="1348"/>
      <c r="T585" s="1348"/>
      <c r="U585" s="1348"/>
      <c r="V585" s="1348"/>
      <c r="W585" s="1348"/>
      <c r="X585" s="1348"/>
      <c r="Y585" s="1348"/>
      <c r="Z585" s="1348"/>
      <c r="AA585" s="1348"/>
      <c r="AB585" s="1348"/>
      <c r="AC585" s="1348"/>
      <c r="AD585" s="1348"/>
      <c r="AE585" s="1348"/>
      <c r="AF585" s="1348"/>
      <c r="AG585" s="1348"/>
      <c r="AH585" s="1348"/>
      <c r="AI585" s="1348"/>
      <c r="AJ585" s="1348"/>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1385</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1386</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1686</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1331" t="s">
        <v>1331</v>
      </c>
      <c r="AG591" s="1331"/>
      <c r="AH591" s="1331"/>
      <c r="AI591" s="1331"/>
      <c r="AJ591" s="1331"/>
      <c r="AK591" s="1331"/>
      <c r="AL591" s="1331"/>
      <c r="AN591" s="595"/>
    </row>
    <row r="592" spans="1:42" s="549" customFormat="1" ht="12.75" customHeight="1">
      <c r="B592" s="536"/>
      <c r="C592" s="614"/>
      <c r="D592" s="659"/>
      <c r="E592" s="834" t="s">
        <v>1687</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1688</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1689</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1690</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2127</v>
      </c>
      <c r="AP595" s="549" t="b">
        <f>IF(Application!AF427&gt;=25,TRUE,FALSE)</f>
        <v>1</v>
      </c>
    </row>
    <row r="596" spans="1:42" s="549" customFormat="1" ht="12.75" customHeight="1">
      <c r="B596" s="536"/>
      <c r="C596" s="614"/>
      <c r="D596" s="659"/>
      <c r="E596" s="834" t="s">
        <v>1691</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2128</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1692</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1331" t="s">
        <v>1387</v>
      </c>
      <c r="AG598" s="1331"/>
      <c r="AH598" s="1331"/>
      <c r="AI598" s="1331"/>
      <c r="AJ598" s="1331"/>
      <c r="AK598" s="1331"/>
      <c r="AL598" s="1331"/>
      <c r="AN598" s="595"/>
    </row>
    <row r="599" spans="1:42" s="549" customFormat="1" ht="12.75" customHeight="1">
      <c r="B599" s="536"/>
      <c r="C599" s="929"/>
      <c r="D599" s="659"/>
      <c r="E599" s="834" t="s">
        <v>1693</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1694</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1696</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1695</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1388</v>
      </c>
      <c r="AP603" s="549">
        <v>4</v>
      </c>
    </row>
    <row r="604" spans="1:42" s="549" customFormat="1" ht="12.75" customHeight="1">
      <c r="B604" s="536"/>
      <c r="C604" s="927"/>
      <c r="D604" s="659" t="s">
        <v>278</v>
      </c>
      <c r="E604" s="834" t="s">
        <v>1697</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1331" t="s">
        <v>1370</v>
      </c>
      <c r="AG604" s="1331"/>
      <c r="AH604" s="1331"/>
      <c r="AI604" s="1331"/>
      <c r="AJ604" s="1331"/>
      <c r="AK604" s="1331"/>
      <c r="AL604" s="1331"/>
      <c r="AN604" s="595"/>
      <c r="AO604" s="609" t="s">
        <v>1389</v>
      </c>
      <c r="AP604" s="549">
        <v>3</v>
      </c>
    </row>
    <row r="605" spans="1:42" s="549" customFormat="1" ht="12.75" customHeight="1">
      <c r="B605" s="536"/>
      <c r="C605" s="929"/>
      <c r="D605" s="659"/>
      <c r="E605" s="834" t="s">
        <v>1693</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1694</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2130</v>
      </c>
    </row>
    <row r="607" spans="1:42" s="549" customFormat="1" ht="12.75" customHeight="1">
      <c r="B607" s="536"/>
      <c r="C607" s="929"/>
      <c r="D607" s="659"/>
      <c r="E607" s="834" t="s">
        <v>1696</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2131</v>
      </c>
    </row>
    <row r="608" spans="1:42" s="549" customFormat="1" ht="12.75" customHeight="1">
      <c r="B608" s="536"/>
      <c r="C608" s="929"/>
      <c r="D608" s="659"/>
      <c r="E608" s="834" t="s">
        <v>1695</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2132</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1388</v>
      </c>
      <c r="E610" s="834" t="s">
        <v>1698</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1331" t="s">
        <v>1390</v>
      </c>
      <c r="AG610" s="1331"/>
      <c r="AH610" s="1331"/>
      <c r="AI610" s="1331"/>
      <c r="AJ610" s="1331"/>
      <c r="AK610" s="1331"/>
      <c r="AL610" s="1331"/>
      <c r="AN610" s="595"/>
      <c r="AO610" s="549" t="str">
        <f>X647</f>
        <v>N/A</v>
      </c>
    </row>
    <row r="611" spans="1:53" s="549" customFormat="1" ht="12.75" customHeight="1">
      <c r="B611" s="536"/>
      <c r="C611" s="929"/>
      <c r="D611" s="659"/>
      <c r="E611" s="834" t="s">
        <v>1699</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1700</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2133</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2134</v>
      </c>
    </row>
    <row r="614" spans="1:53" s="549" customFormat="1" ht="12.75" customHeight="1">
      <c r="B614" s="608"/>
      <c r="C614" s="927"/>
      <c r="D614" s="659"/>
      <c r="E614" s="536" t="s">
        <v>1838</v>
      </c>
      <c r="O614" s="1414" t="s">
        <v>1183</v>
      </c>
      <c r="P614" s="1414"/>
      <c r="Q614" s="1414"/>
      <c r="R614" s="1414"/>
      <c r="S614" s="1414"/>
      <c r="T614" s="1414"/>
      <c r="U614" s="1414"/>
      <c r="V614" s="1414"/>
      <c r="W614" s="1414"/>
      <c r="X614" s="1414"/>
      <c r="Y614" s="1414"/>
      <c r="Z614" s="1414"/>
      <c r="AA614" s="1414"/>
      <c r="AB614" s="1414"/>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1389</v>
      </c>
      <c r="E616" s="834" t="s">
        <v>1702</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1331" t="s">
        <v>1345</v>
      </c>
      <c r="AG616" s="1331"/>
      <c r="AH616" s="1331"/>
      <c r="AI616" s="1331"/>
      <c r="AJ616" s="1331"/>
      <c r="AK616" s="1331"/>
      <c r="AL616" s="1331"/>
      <c r="AN616" s="595"/>
    </row>
    <row r="617" spans="1:53" s="549" customFormat="1" ht="12.75" customHeight="1">
      <c r="B617" s="536"/>
      <c r="C617" s="927"/>
      <c r="D617" s="659"/>
      <c r="E617" s="834" t="s">
        <v>1701</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1391</v>
      </c>
      <c r="E619" s="932"/>
      <c r="F619" s="932"/>
      <c r="G619" s="932"/>
      <c r="H619" s="1412" t="s">
        <v>687</v>
      </c>
      <c r="I619" s="1412"/>
      <c r="J619" s="932"/>
      <c r="K619" s="932"/>
      <c r="L619" s="932"/>
      <c r="N619" s="22"/>
      <c r="O619" s="22"/>
      <c r="P619" s="22"/>
      <c r="Q619" s="1145" t="s">
        <v>2129</v>
      </c>
      <c r="R619" s="1415"/>
      <c r="S619" s="1415"/>
      <c r="T619" s="1415"/>
      <c r="U619" s="1415"/>
      <c r="V619" s="1415"/>
      <c r="W619" s="1415"/>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1416" t="str">
        <f>IF(AND(H619="(i)",NOT(AP595)),AO612,IF(AND(H619="(iv)",OR(R619=AO608,R619=AO607),NOT(AP596)),AO613,""))</f>
        <v/>
      </c>
      <c r="Z620" s="1416"/>
      <c r="AA620" s="1416"/>
      <c r="AB620" s="1416"/>
      <c r="AC620" s="1416"/>
      <c r="AD620" s="1416"/>
      <c r="AE620" s="1416"/>
      <c r="AF620" s="1416"/>
      <c r="AG620" s="1416"/>
      <c r="AH620" s="1416"/>
      <c r="AI620" s="1416"/>
      <c r="AJ620" s="1416"/>
      <c r="AK620" s="1416"/>
      <c r="AL620" s="1416"/>
      <c r="AM620" s="1417"/>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1416"/>
      <c r="Z621" s="1416"/>
      <c r="AA621" s="1416"/>
      <c r="AB621" s="1416"/>
      <c r="AC621" s="1416"/>
      <c r="AD621" s="1416"/>
      <c r="AE621" s="1416"/>
      <c r="AF621" s="1416"/>
      <c r="AG621" s="1416"/>
      <c r="AH621" s="1416"/>
      <c r="AI621" s="1416"/>
      <c r="AJ621" s="1416"/>
      <c r="AK621" s="1416"/>
      <c r="AL621" s="1416"/>
      <c r="AM621" s="1417"/>
      <c r="AN621" s="595"/>
      <c r="AO621" s="609"/>
      <c r="AT621" s="609"/>
    </row>
    <row r="622" spans="1:53" s="549" customFormat="1" ht="12.75" customHeight="1">
      <c r="B622" s="536"/>
      <c r="C622" s="929"/>
      <c r="D622" s="536" t="s">
        <v>1703</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1704</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1705</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1706</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1391</v>
      </c>
      <c r="F627" s="932"/>
      <c r="G627" s="932"/>
      <c r="I627" s="1413" t="s">
        <v>591</v>
      </c>
      <c r="J627" s="1413"/>
      <c r="K627" s="1413"/>
      <c r="L627" s="1413"/>
      <c r="M627" s="1413"/>
      <c r="N627" s="1413"/>
      <c r="O627" s="1413"/>
      <c r="P627" s="1413"/>
      <c r="Q627" s="1413"/>
      <c r="R627" s="1413"/>
      <c r="S627" s="1413"/>
      <c r="T627" s="1413"/>
      <c r="U627" s="1413"/>
      <c r="V627" s="1413"/>
      <c r="W627" s="1413"/>
      <c r="X627" s="1413"/>
      <c r="Y627" s="1413"/>
      <c r="Z627" s="1413"/>
      <c r="AA627" s="1413"/>
      <c r="AB627" s="1413"/>
      <c r="AC627" s="1413"/>
      <c r="AD627" s="1413"/>
      <c r="AE627" s="1413"/>
      <c r="AF627" s="536"/>
      <c r="AG627" s="536"/>
      <c r="AH627" s="536"/>
      <c r="AI627" s="536"/>
      <c r="AJ627" s="536"/>
      <c r="AK627" s="536"/>
      <c r="AL627" s="536"/>
      <c r="AN627" s="595"/>
      <c r="AO627" s="549" t="s">
        <v>1392</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1393</v>
      </c>
      <c r="AP628" s="549">
        <v>2</v>
      </c>
    </row>
    <row r="629" spans="1:42" s="549" customFormat="1" ht="12.75" customHeight="1">
      <c r="B629" s="1343" t="s">
        <v>591</v>
      </c>
      <c r="C629" s="1343"/>
      <c r="D629" s="640"/>
      <c r="E629" s="1348" t="s">
        <v>1394</v>
      </c>
      <c r="F629" s="1348"/>
      <c r="G629" s="1348"/>
      <c r="H629" s="1348"/>
      <c r="I629" s="1348"/>
      <c r="J629" s="1348"/>
      <c r="K629" s="1348"/>
      <c r="L629" s="1348"/>
      <c r="M629" s="1348"/>
      <c r="N629" s="1348"/>
      <c r="O629" s="1348"/>
      <c r="P629" s="1348"/>
      <c r="Q629" s="1348"/>
      <c r="R629" s="1348"/>
      <c r="S629" s="1348"/>
      <c r="T629" s="1348"/>
      <c r="U629" s="1348"/>
      <c r="V629" s="1348"/>
      <c r="W629" s="1348"/>
      <c r="X629" s="1348"/>
      <c r="Y629" s="1348"/>
      <c r="Z629" s="1348"/>
      <c r="AA629" s="1348"/>
      <c r="AB629" s="1348"/>
      <c r="AC629" s="1348"/>
      <c r="AD629" s="1348"/>
      <c r="AE629" s="1348"/>
      <c r="AF629" s="1348"/>
      <c r="AG629" s="1348"/>
      <c r="AH629" s="640"/>
      <c r="AI629" s="640"/>
      <c r="AJ629" s="640"/>
      <c r="AK629" s="640"/>
      <c r="AL629" s="640"/>
      <c r="AN629" s="595"/>
    </row>
    <row r="630" spans="1:42" s="549" customFormat="1" ht="12.75" customHeight="1">
      <c r="B630" s="536"/>
      <c r="C630" s="929"/>
      <c r="D630" s="640"/>
      <c r="E630" s="1348"/>
      <c r="F630" s="1348"/>
      <c r="G630" s="1348"/>
      <c r="H630" s="1348"/>
      <c r="I630" s="1348"/>
      <c r="J630" s="1348"/>
      <c r="K630" s="1348"/>
      <c r="L630" s="1348"/>
      <c r="M630" s="1348"/>
      <c r="N630" s="1348"/>
      <c r="O630" s="1348"/>
      <c r="P630" s="1348"/>
      <c r="Q630" s="1348"/>
      <c r="R630" s="1348"/>
      <c r="S630" s="1348"/>
      <c r="T630" s="1348"/>
      <c r="U630" s="1348"/>
      <c r="V630" s="1348"/>
      <c r="W630" s="1348"/>
      <c r="X630" s="1348"/>
      <c r="Y630" s="1348"/>
      <c r="Z630" s="1348"/>
      <c r="AA630" s="1348"/>
      <c r="AB630" s="1348"/>
      <c r="AC630" s="1348"/>
      <c r="AD630" s="1348"/>
      <c r="AE630" s="1348"/>
      <c r="AF630" s="1348"/>
      <c r="AG630" s="1348"/>
      <c r="AH630" s="640"/>
      <c r="AI630" s="640"/>
      <c r="AJ630" s="640"/>
      <c r="AK630" s="640"/>
      <c r="AL630" s="640"/>
      <c r="AN630" s="595"/>
    </row>
    <row r="631" spans="1:42" s="549" customFormat="1" ht="12.75" customHeight="1">
      <c r="B631" s="536"/>
      <c r="C631" s="929"/>
      <c r="D631" s="640"/>
      <c r="E631" s="1348"/>
      <c r="F631" s="1348"/>
      <c r="G631" s="1348"/>
      <c r="H631" s="1348"/>
      <c r="I631" s="1348"/>
      <c r="J631" s="1348"/>
      <c r="K631" s="1348"/>
      <c r="L631" s="1348"/>
      <c r="M631" s="1348"/>
      <c r="N631" s="1348"/>
      <c r="O631" s="1348"/>
      <c r="P631" s="1348"/>
      <c r="Q631" s="1348"/>
      <c r="R631" s="1348"/>
      <c r="S631" s="1348"/>
      <c r="T631" s="1348"/>
      <c r="U631" s="1348"/>
      <c r="V631" s="1348"/>
      <c r="W631" s="1348"/>
      <c r="X631" s="1348"/>
      <c r="Y631" s="1348"/>
      <c r="Z631" s="1348"/>
      <c r="AA631" s="1348"/>
      <c r="AB631" s="1348"/>
      <c r="AC631" s="1348"/>
      <c r="AD631" s="1348"/>
      <c r="AE631" s="1348"/>
      <c r="AF631" s="1348"/>
      <c r="AG631" s="1348"/>
      <c r="AH631" s="640"/>
      <c r="AI631" s="640"/>
      <c r="AJ631" s="640"/>
      <c r="AK631" s="640"/>
      <c r="AL631" s="640"/>
      <c r="AN631" s="595"/>
    </row>
    <row r="632" spans="1:42" s="549" customFormat="1" ht="12.75" customHeight="1">
      <c r="B632" s="536"/>
      <c r="C632" s="929"/>
      <c r="D632" s="640"/>
      <c r="E632" s="1348"/>
      <c r="F632" s="1348"/>
      <c r="G632" s="1348"/>
      <c r="H632" s="1348"/>
      <c r="I632" s="1348"/>
      <c r="J632" s="1348"/>
      <c r="K632" s="1348"/>
      <c r="L632" s="1348"/>
      <c r="M632" s="1348"/>
      <c r="N632" s="1348"/>
      <c r="O632" s="1348"/>
      <c r="P632" s="1348"/>
      <c r="Q632" s="1348"/>
      <c r="R632" s="1348"/>
      <c r="S632" s="1348"/>
      <c r="T632" s="1348"/>
      <c r="U632" s="1348"/>
      <c r="V632" s="1348"/>
      <c r="W632" s="1348"/>
      <c r="X632" s="1348"/>
      <c r="Y632" s="1348"/>
      <c r="Z632" s="1348"/>
      <c r="AA632" s="1348"/>
      <c r="AB632" s="1348"/>
      <c r="AC632" s="1348"/>
      <c r="AD632" s="1348"/>
      <c r="AE632" s="1348"/>
      <c r="AF632" s="1348"/>
      <c r="AG632" s="1348"/>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1395</v>
      </c>
      <c r="AJ634" s="1356">
        <f>VLOOKUP($H$619,$AO$599:$AP$604,2,FALSE)+IF(R619=AO607,0,VLOOKUP($I$627,$AO$626:$AP$628,2,FALSE))</f>
        <v>7</v>
      </c>
      <c r="AK634" s="1358"/>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1396</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1411" t="s">
        <v>1682</v>
      </c>
      <c r="F638" s="1411"/>
      <c r="G638" s="1411"/>
      <c r="H638" s="1411"/>
      <c r="I638" s="1411"/>
      <c r="J638" s="1411"/>
      <c r="K638" s="1411"/>
      <c r="L638" s="1411"/>
      <c r="M638" s="1411"/>
      <c r="N638" s="1411"/>
      <c r="O638" s="1411"/>
      <c r="P638" s="1411"/>
      <c r="Q638" s="1411"/>
      <c r="R638" s="1411"/>
      <c r="S638" s="1411"/>
      <c r="T638" s="1411"/>
      <c r="U638" s="1411"/>
      <c r="V638" s="1411"/>
      <c r="W638" s="1411"/>
      <c r="X638" s="1411"/>
      <c r="Y638" s="1411"/>
      <c r="Z638" s="1411"/>
      <c r="AA638" s="1411"/>
      <c r="AB638" s="1411"/>
      <c r="AC638" s="1411"/>
      <c r="AD638" s="1411"/>
      <c r="AE638" s="539"/>
      <c r="AF638" s="1331" t="s">
        <v>1345</v>
      </c>
      <c r="AG638" s="1331"/>
      <c r="AH638" s="1331"/>
      <c r="AI638" s="1331"/>
      <c r="AJ638" s="1331"/>
      <c r="AK638" s="1331"/>
      <c r="AL638" s="1331"/>
      <c r="AM638" s="549"/>
      <c r="AN638" s="674"/>
    </row>
    <row r="639" spans="1:42" s="549" customFormat="1" ht="12.75" customHeight="1">
      <c r="A639" s="675"/>
      <c r="B639" s="536"/>
      <c r="C639" s="929"/>
      <c r="D639" s="659"/>
      <c r="E639" s="1411"/>
      <c r="F639" s="1411"/>
      <c r="G639" s="1411"/>
      <c r="H639" s="1411"/>
      <c r="I639" s="1411"/>
      <c r="J639" s="1411"/>
      <c r="K639" s="1411"/>
      <c r="L639" s="1411"/>
      <c r="M639" s="1411"/>
      <c r="N639" s="1411"/>
      <c r="O639" s="1411"/>
      <c r="P639" s="1411"/>
      <c r="Q639" s="1411"/>
      <c r="R639" s="1411"/>
      <c r="S639" s="1411"/>
      <c r="T639" s="1411"/>
      <c r="U639" s="1411"/>
      <c r="V639" s="1411"/>
      <c r="W639" s="1411"/>
      <c r="X639" s="1411"/>
      <c r="Y639" s="1411"/>
      <c r="Z639" s="1411"/>
      <c r="AA639" s="1411"/>
      <c r="AB639" s="1411"/>
      <c r="AC639" s="1411"/>
      <c r="AD639" s="1411"/>
      <c r="AE639" s="536"/>
      <c r="AF639" s="536"/>
      <c r="AG639" s="536"/>
      <c r="AH639" s="536"/>
      <c r="AI639" s="536"/>
      <c r="AJ639" s="536"/>
      <c r="AK639" s="536"/>
      <c r="AL639" s="536"/>
      <c r="AN639" s="595"/>
    </row>
    <row r="640" spans="1:42" s="549" customFormat="1" ht="12.75" customHeight="1">
      <c r="B640" s="536"/>
      <c r="C640" s="927"/>
      <c r="D640" s="659"/>
      <c r="E640" s="1411"/>
      <c r="F640" s="1411"/>
      <c r="G640" s="1411"/>
      <c r="H640" s="1411"/>
      <c r="I640" s="1411"/>
      <c r="J640" s="1411"/>
      <c r="K640" s="1411"/>
      <c r="L640" s="1411"/>
      <c r="M640" s="1411"/>
      <c r="N640" s="1411"/>
      <c r="O640" s="1411"/>
      <c r="P640" s="1411"/>
      <c r="Q640" s="1411"/>
      <c r="R640" s="1411"/>
      <c r="S640" s="1411"/>
      <c r="T640" s="1411"/>
      <c r="U640" s="1411"/>
      <c r="V640" s="1411"/>
      <c r="W640" s="1411"/>
      <c r="X640" s="1411"/>
      <c r="Y640" s="1411"/>
      <c r="Z640" s="1411"/>
      <c r="AA640" s="1411"/>
      <c r="AB640" s="1411"/>
      <c r="AC640" s="1411"/>
      <c r="AD640" s="1411"/>
      <c r="AE640" s="536"/>
      <c r="AF640" s="536"/>
      <c r="AG640" s="536"/>
      <c r="AH640" s="536"/>
      <c r="AI640" s="536"/>
      <c r="AJ640" s="536"/>
      <c r="AK640" s="536"/>
      <c r="AL640" s="536"/>
      <c r="AN640" s="595"/>
    </row>
    <row r="641" spans="1:42" s="549" customFormat="1" ht="12.75" customHeight="1">
      <c r="B641" s="536"/>
      <c r="C641" s="927"/>
      <c r="D641" s="659"/>
      <c r="E641" s="1411"/>
      <c r="F641" s="1411"/>
      <c r="G641" s="1411"/>
      <c r="H641" s="1411"/>
      <c r="I641" s="1411"/>
      <c r="J641" s="1411"/>
      <c r="K641" s="1411"/>
      <c r="L641" s="1411"/>
      <c r="M641" s="1411"/>
      <c r="N641" s="1411"/>
      <c r="O641" s="1411"/>
      <c r="P641" s="1411"/>
      <c r="Q641" s="1411"/>
      <c r="R641" s="1411"/>
      <c r="S641" s="1411"/>
      <c r="T641" s="1411"/>
      <c r="U641" s="1411"/>
      <c r="V641" s="1411"/>
      <c r="W641" s="1411"/>
      <c r="X641" s="1411"/>
      <c r="Y641" s="1411"/>
      <c r="Z641" s="1411"/>
      <c r="AA641" s="1411"/>
      <c r="AB641" s="1411"/>
      <c r="AC641" s="1411"/>
      <c r="AD641" s="1411"/>
      <c r="AE641" s="536"/>
      <c r="AF641" s="536"/>
      <c r="AG641" s="536"/>
      <c r="AH641" s="536"/>
      <c r="AI641" s="536"/>
      <c r="AJ641" s="536"/>
      <c r="AK641" s="536"/>
      <c r="AL641" s="536"/>
      <c r="AN641" s="595"/>
    </row>
    <row r="642" spans="1:42" s="549" customFormat="1" ht="12.75" customHeight="1">
      <c r="B642" s="536"/>
      <c r="C642" s="927"/>
      <c r="D642" s="659"/>
      <c r="E642" s="1411"/>
      <c r="F642" s="1411"/>
      <c r="G642" s="1411"/>
      <c r="H642" s="1411"/>
      <c r="I642" s="1411"/>
      <c r="J642" s="1411"/>
      <c r="K642" s="1411"/>
      <c r="L642" s="1411"/>
      <c r="M642" s="1411"/>
      <c r="N642" s="1411"/>
      <c r="O642" s="1411"/>
      <c r="P642" s="1411"/>
      <c r="Q642" s="1411"/>
      <c r="R642" s="1411"/>
      <c r="S642" s="1411"/>
      <c r="T642" s="1411"/>
      <c r="U642" s="1411"/>
      <c r="V642" s="1411"/>
      <c r="W642" s="1411"/>
      <c r="X642" s="1411"/>
      <c r="Y642" s="1411"/>
      <c r="Z642" s="1411"/>
      <c r="AA642" s="1411"/>
      <c r="AB642" s="1411"/>
      <c r="AC642" s="1411"/>
      <c r="AD642" s="1411"/>
      <c r="AE642" s="536"/>
      <c r="AF642" s="536"/>
      <c r="AG642" s="536"/>
      <c r="AH642" s="536"/>
      <c r="AI642" s="536"/>
      <c r="AJ642" s="536"/>
      <c r="AK642" s="536"/>
      <c r="AL642" s="536"/>
      <c r="AN642" s="595"/>
    </row>
    <row r="643" spans="1:42" s="549" customFormat="1" ht="12.75" customHeight="1">
      <c r="B643" s="536"/>
      <c r="C643" s="927"/>
      <c r="D643" s="659"/>
      <c r="E643" s="1411"/>
      <c r="F643" s="1411"/>
      <c r="G643" s="1411"/>
      <c r="H643" s="1411"/>
      <c r="I643" s="1411"/>
      <c r="J643" s="1411"/>
      <c r="K643" s="1411"/>
      <c r="L643" s="1411"/>
      <c r="M643" s="1411"/>
      <c r="N643" s="1411"/>
      <c r="O643" s="1411"/>
      <c r="P643" s="1411"/>
      <c r="Q643" s="1411"/>
      <c r="R643" s="1411"/>
      <c r="S643" s="1411"/>
      <c r="T643" s="1411"/>
      <c r="U643" s="1411"/>
      <c r="V643" s="1411"/>
      <c r="W643" s="1411"/>
      <c r="X643" s="1411"/>
      <c r="Y643" s="1411"/>
      <c r="Z643" s="1411"/>
      <c r="AA643" s="1411"/>
      <c r="AB643" s="1411"/>
      <c r="AC643" s="1411"/>
      <c r="AD643" s="1411"/>
      <c r="AE643" s="536"/>
      <c r="AF643" s="536"/>
      <c r="AG643" s="536"/>
      <c r="AH643" s="536"/>
      <c r="AI643" s="536"/>
      <c r="AJ643" s="536"/>
      <c r="AK643" s="536"/>
      <c r="AL643" s="536"/>
      <c r="AN643" s="595"/>
    </row>
    <row r="644" spans="1:42" s="549" customFormat="1" ht="12.75" customHeight="1">
      <c r="A644" s="635"/>
      <c r="B644" s="614"/>
      <c r="C644" s="936"/>
      <c r="D644" s="659"/>
      <c r="E644" s="1411"/>
      <c r="F644" s="1411"/>
      <c r="G644" s="1411"/>
      <c r="H644" s="1411"/>
      <c r="I644" s="1411"/>
      <c r="J644" s="1411"/>
      <c r="K644" s="1411"/>
      <c r="L644" s="1411"/>
      <c r="M644" s="1411"/>
      <c r="N644" s="1411"/>
      <c r="O644" s="1411"/>
      <c r="P644" s="1411"/>
      <c r="Q644" s="1411"/>
      <c r="R644" s="1411"/>
      <c r="S644" s="1411"/>
      <c r="T644" s="1411"/>
      <c r="U644" s="1411"/>
      <c r="V644" s="1411"/>
      <c r="W644" s="1411"/>
      <c r="X644" s="1411"/>
      <c r="Y644" s="1411"/>
      <c r="Z644" s="1411"/>
      <c r="AA644" s="1411"/>
      <c r="AB644" s="1411"/>
      <c r="AC644" s="1411"/>
      <c r="AD644" s="1411"/>
      <c r="AE644" s="614"/>
      <c r="AF644" s="614"/>
      <c r="AG644" s="614"/>
      <c r="AH644" s="614"/>
      <c r="AI644" s="614"/>
      <c r="AJ644" s="614"/>
      <c r="AK644" s="536"/>
      <c r="AL644" s="536"/>
      <c r="AN644" s="595"/>
    </row>
    <row r="645" spans="1:42" s="549" customFormat="1" ht="12.75" customHeight="1">
      <c r="B645" s="614"/>
      <c r="C645" s="936"/>
      <c r="D645" s="659"/>
      <c r="E645" s="1411"/>
      <c r="F645" s="1411"/>
      <c r="G645" s="1411"/>
      <c r="H645" s="1411"/>
      <c r="I645" s="1411"/>
      <c r="J645" s="1411"/>
      <c r="K645" s="1411"/>
      <c r="L645" s="1411"/>
      <c r="M645" s="1411"/>
      <c r="N645" s="1411"/>
      <c r="O645" s="1411"/>
      <c r="P645" s="1411"/>
      <c r="Q645" s="1411"/>
      <c r="R645" s="1411"/>
      <c r="S645" s="1411"/>
      <c r="T645" s="1411"/>
      <c r="U645" s="1411"/>
      <c r="V645" s="1411"/>
      <c r="W645" s="1411"/>
      <c r="X645" s="1411"/>
      <c r="Y645" s="1411"/>
      <c r="Z645" s="1411"/>
      <c r="AA645" s="1411"/>
      <c r="AB645" s="1411"/>
      <c r="AC645" s="1411"/>
      <c r="AD645" s="1411"/>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1397</v>
      </c>
      <c r="F647" s="937"/>
      <c r="G647" s="937"/>
      <c r="H647" s="937"/>
      <c r="I647" s="937"/>
      <c r="J647" s="937"/>
      <c r="K647" s="937"/>
      <c r="L647" s="937"/>
      <c r="M647" s="937"/>
      <c r="N647" s="937"/>
      <c r="O647" s="937"/>
      <c r="P647" s="937"/>
      <c r="Q647" s="937"/>
      <c r="R647" s="937"/>
      <c r="U647" s="937"/>
      <c r="V647" s="937"/>
      <c r="W647" s="937"/>
      <c r="X647" s="1343" t="s">
        <v>591</v>
      </c>
      <c r="Y647" s="1343"/>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1398</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1331" t="s">
        <v>1399</v>
      </c>
      <c r="AG649" s="1331"/>
      <c r="AH649" s="1331"/>
      <c r="AI649" s="1331"/>
      <c r="AJ649" s="1331"/>
      <c r="AK649" s="1331"/>
      <c r="AL649" s="1331"/>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1388</v>
      </c>
      <c r="AP650" s="676">
        <v>4</v>
      </c>
    </row>
    <row r="651" spans="1:42" s="549" customFormat="1" ht="12.75" customHeight="1">
      <c r="B651" s="536"/>
      <c r="C651" s="927"/>
      <c r="D651" s="536" t="s">
        <v>1391</v>
      </c>
      <c r="E651" s="932"/>
      <c r="F651" s="932"/>
      <c r="G651" s="932"/>
      <c r="H651" s="1412" t="s">
        <v>687</v>
      </c>
      <c r="I651" s="1412"/>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1389</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1400</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1401</v>
      </c>
      <c r="AJ653" s="1356">
        <f>VLOOKUP($H$651,$AO$618:$AP$620,2,FALSE)</f>
        <v>3</v>
      </c>
      <c r="AK653" s="1358"/>
      <c r="AL653" s="593"/>
      <c r="AN653" s="595"/>
      <c r="AO653" s="609" t="s">
        <v>1402</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1403</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1348" t="s">
        <v>2051</v>
      </c>
      <c r="F657" s="1348"/>
      <c r="G657" s="1348"/>
      <c r="H657" s="1348"/>
      <c r="I657" s="1348"/>
      <c r="J657" s="1348"/>
      <c r="K657" s="1348"/>
      <c r="L657" s="1348"/>
      <c r="M657" s="1348"/>
      <c r="N657" s="1348"/>
      <c r="O657" s="1348"/>
      <c r="P657" s="1348"/>
      <c r="Q657" s="1348"/>
      <c r="R657" s="1348"/>
      <c r="S657" s="1348"/>
      <c r="T657" s="1348"/>
      <c r="U657" s="1348"/>
      <c r="V657" s="1348"/>
      <c r="W657" s="1348"/>
      <c r="X657" s="1348"/>
      <c r="Y657" s="1348"/>
      <c r="Z657" s="1348"/>
      <c r="AA657" s="1348"/>
      <c r="AB657" s="1348"/>
      <c r="AC657" s="1348"/>
      <c r="AD657" s="1348"/>
      <c r="AE657" s="536"/>
      <c r="AF657" s="1331" t="s">
        <v>1345</v>
      </c>
      <c r="AG657" s="1331"/>
      <c r="AH657" s="1331"/>
      <c r="AI657" s="1331"/>
      <c r="AJ657" s="1331"/>
      <c r="AK657" s="1331"/>
      <c r="AL657" s="1331"/>
      <c r="AN657" s="595"/>
    </row>
    <row r="658" spans="1:42" s="549" customFormat="1" ht="12.75" customHeight="1">
      <c r="B658" s="536"/>
      <c r="C658" s="536"/>
      <c r="D658" s="659"/>
      <c r="E658" s="1348"/>
      <c r="F658" s="1348"/>
      <c r="G658" s="1348"/>
      <c r="H658" s="1348"/>
      <c r="I658" s="1348"/>
      <c r="J658" s="1348"/>
      <c r="K658" s="1348"/>
      <c r="L658" s="1348"/>
      <c r="M658" s="1348"/>
      <c r="N658" s="1348"/>
      <c r="O658" s="1348"/>
      <c r="P658" s="1348"/>
      <c r="Q658" s="1348"/>
      <c r="R658" s="1348"/>
      <c r="S658" s="1348"/>
      <c r="T658" s="1348"/>
      <c r="U658" s="1348"/>
      <c r="V658" s="1348"/>
      <c r="W658" s="1348"/>
      <c r="X658" s="1348"/>
      <c r="Y658" s="1348"/>
      <c r="Z658" s="1348"/>
      <c r="AA658" s="1348"/>
      <c r="AB658" s="1348"/>
      <c r="AC658" s="1348"/>
      <c r="AD658" s="1348"/>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1404</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1331" t="s">
        <v>1399</v>
      </c>
      <c r="AG660" s="1331"/>
      <c r="AH660" s="1331"/>
      <c r="AI660" s="1331"/>
      <c r="AJ660" s="1331"/>
      <c r="AK660" s="1331"/>
      <c r="AL660" s="1331"/>
      <c r="AN660" s="595"/>
    </row>
    <row r="661" spans="1:42" s="549" customFormat="1" ht="12.75" customHeight="1">
      <c r="B661" s="536"/>
      <c r="C661" s="927"/>
      <c r="D661" s="659"/>
      <c r="E661" s="614" t="s">
        <v>1405</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1391</v>
      </c>
      <c r="E663" s="932"/>
      <c r="F663" s="932"/>
      <c r="G663" s="932"/>
      <c r="H663" s="1412" t="s">
        <v>509</v>
      </c>
      <c r="I663" s="1412"/>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1406</v>
      </c>
      <c r="AJ665" s="1356">
        <f>VLOOKUP(H663,AT618:AU620,2,FALSE)</f>
        <v>2</v>
      </c>
      <c r="AK665" s="1358"/>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1407</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1408</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1348" t="s">
        <v>1409</v>
      </c>
      <c r="F670" s="1348"/>
      <c r="G670" s="1348"/>
      <c r="H670" s="1348"/>
      <c r="I670" s="1348"/>
      <c r="J670" s="1348"/>
      <c r="K670" s="1348"/>
      <c r="L670" s="1348"/>
      <c r="M670" s="1348"/>
      <c r="N670" s="1348"/>
      <c r="O670" s="1348"/>
      <c r="P670" s="1348"/>
      <c r="Q670" s="1348"/>
      <c r="R670" s="1348"/>
      <c r="S670" s="1348"/>
      <c r="T670" s="1348"/>
      <c r="U670" s="1348"/>
      <c r="V670" s="1348"/>
      <c r="W670" s="1348"/>
      <c r="X670" s="1348"/>
      <c r="Y670" s="1348"/>
      <c r="Z670" s="1348"/>
      <c r="AA670" s="1348"/>
      <c r="AB670" s="1348"/>
      <c r="AC670" s="1348"/>
      <c r="AD670" s="536"/>
      <c r="AE670" s="536"/>
      <c r="AF670" s="1331" t="s">
        <v>1370</v>
      </c>
      <c r="AG670" s="1331"/>
      <c r="AH670" s="1331"/>
      <c r="AI670" s="1331"/>
      <c r="AJ670" s="1331"/>
      <c r="AK670" s="1331"/>
      <c r="AL670" s="1331"/>
      <c r="AN670" s="595"/>
    </row>
    <row r="671" spans="1:42" s="549" customFormat="1" ht="12.75" customHeight="1">
      <c r="B671" s="536"/>
      <c r="C671" s="539"/>
      <c r="D671" s="536"/>
      <c r="E671" s="1348"/>
      <c r="F671" s="1348"/>
      <c r="G671" s="1348"/>
      <c r="H671" s="1348"/>
      <c r="I671" s="1348"/>
      <c r="J671" s="1348"/>
      <c r="K671" s="1348"/>
      <c r="L671" s="1348"/>
      <c r="M671" s="1348"/>
      <c r="N671" s="1348"/>
      <c r="O671" s="1348"/>
      <c r="P671" s="1348"/>
      <c r="Q671" s="1348"/>
      <c r="R671" s="1348"/>
      <c r="S671" s="1348"/>
      <c r="T671" s="1348"/>
      <c r="U671" s="1348"/>
      <c r="V671" s="1348"/>
      <c r="W671" s="1348"/>
      <c r="X671" s="1348"/>
      <c r="Y671" s="1348"/>
      <c r="Z671" s="1348"/>
      <c r="AA671" s="1348"/>
      <c r="AB671" s="1348"/>
      <c r="AC671" s="1348"/>
      <c r="AD671" s="536"/>
      <c r="AE671" s="536"/>
      <c r="AF671" s="536"/>
      <c r="AG671" s="536"/>
      <c r="AH671" s="536"/>
      <c r="AI671" s="536"/>
      <c r="AJ671" s="536"/>
      <c r="AK671" s="536"/>
      <c r="AL671" s="536"/>
      <c r="AN671" s="595"/>
    </row>
    <row r="672" spans="1:42" s="549" customFormat="1" ht="12.75" customHeight="1">
      <c r="B672" s="536"/>
      <c r="C672" s="539"/>
      <c r="D672" s="659"/>
      <c r="E672" s="1348"/>
      <c r="F672" s="1348"/>
      <c r="G672" s="1348"/>
      <c r="H672" s="1348"/>
      <c r="I672" s="1348"/>
      <c r="J672" s="1348"/>
      <c r="K672" s="1348"/>
      <c r="L672" s="1348"/>
      <c r="M672" s="1348"/>
      <c r="N672" s="1348"/>
      <c r="O672" s="1348"/>
      <c r="P672" s="1348"/>
      <c r="Q672" s="1348"/>
      <c r="R672" s="1348"/>
      <c r="S672" s="1348"/>
      <c r="T672" s="1348"/>
      <c r="U672" s="1348"/>
      <c r="V672" s="1348"/>
      <c r="W672" s="1348"/>
      <c r="X672" s="1348"/>
      <c r="Y672" s="1348"/>
      <c r="Z672" s="1348"/>
      <c r="AA672" s="1348"/>
      <c r="AB672" s="1348"/>
      <c r="AC672" s="1348"/>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1348" t="s">
        <v>1410</v>
      </c>
      <c r="F674" s="1348"/>
      <c r="G674" s="1348"/>
      <c r="H674" s="1348"/>
      <c r="I674" s="1348"/>
      <c r="J674" s="1348"/>
      <c r="K674" s="1348"/>
      <c r="L674" s="1348"/>
      <c r="M674" s="1348"/>
      <c r="N674" s="1348"/>
      <c r="O674" s="1348"/>
      <c r="P674" s="1348"/>
      <c r="Q674" s="1348"/>
      <c r="R674" s="1348"/>
      <c r="S674" s="1348"/>
      <c r="T674" s="1348"/>
      <c r="U674" s="1348"/>
      <c r="V674" s="1348"/>
      <c r="W674" s="1348"/>
      <c r="X674" s="1348"/>
      <c r="Y674" s="1348"/>
      <c r="Z674" s="1348"/>
      <c r="AA674" s="1348"/>
      <c r="AB674" s="1348"/>
      <c r="AC674" s="1348"/>
      <c r="AD674" s="536"/>
      <c r="AE674" s="536"/>
      <c r="AF674" s="1331" t="s">
        <v>1390</v>
      </c>
      <c r="AG674" s="1331"/>
      <c r="AH674" s="1331"/>
      <c r="AI674" s="1331"/>
      <c r="AJ674" s="1331"/>
      <c r="AK674" s="1331"/>
      <c r="AL674" s="1331"/>
      <c r="AN674" s="595"/>
    </row>
    <row r="675" spans="1:42" s="549" customFormat="1" ht="12.75" customHeight="1">
      <c r="B675" s="536"/>
      <c r="C675" s="539"/>
      <c r="D675" s="536"/>
      <c r="E675" s="1348"/>
      <c r="F675" s="1348"/>
      <c r="G675" s="1348"/>
      <c r="H675" s="1348"/>
      <c r="I675" s="1348"/>
      <c r="J675" s="1348"/>
      <c r="K675" s="1348"/>
      <c r="L675" s="1348"/>
      <c r="M675" s="1348"/>
      <c r="N675" s="1348"/>
      <c r="O675" s="1348"/>
      <c r="P675" s="1348"/>
      <c r="Q675" s="1348"/>
      <c r="R675" s="1348"/>
      <c r="S675" s="1348"/>
      <c r="T675" s="1348"/>
      <c r="U675" s="1348"/>
      <c r="V675" s="1348"/>
      <c r="W675" s="1348"/>
      <c r="X675" s="1348"/>
      <c r="Y675" s="1348"/>
      <c r="Z675" s="1348"/>
      <c r="AA675" s="1348"/>
      <c r="AB675" s="1348"/>
      <c r="AC675" s="1348"/>
      <c r="AD675" s="536"/>
      <c r="AE675" s="536"/>
      <c r="AF675" s="536"/>
      <c r="AG675" s="536"/>
      <c r="AH675" s="536"/>
      <c r="AI675" s="536"/>
      <c r="AJ675" s="536"/>
      <c r="AK675" s="536"/>
      <c r="AL675" s="536"/>
      <c r="AN675" s="595"/>
    </row>
    <row r="676" spans="1:42" s="549" customFormat="1" ht="15" customHeight="1">
      <c r="B676" s="536"/>
      <c r="C676" s="539"/>
      <c r="D676" s="659"/>
      <c r="E676" s="1348"/>
      <c r="F676" s="1348"/>
      <c r="G676" s="1348"/>
      <c r="H676" s="1348"/>
      <c r="I676" s="1348"/>
      <c r="J676" s="1348"/>
      <c r="K676" s="1348"/>
      <c r="L676" s="1348"/>
      <c r="M676" s="1348"/>
      <c r="N676" s="1348"/>
      <c r="O676" s="1348"/>
      <c r="P676" s="1348"/>
      <c r="Q676" s="1348"/>
      <c r="R676" s="1348"/>
      <c r="S676" s="1348"/>
      <c r="T676" s="1348"/>
      <c r="U676" s="1348"/>
      <c r="V676" s="1348"/>
      <c r="W676" s="1348"/>
      <c r="X676" s="1348"/>
      <c r="Y676" s="1348"/>
      <c r="Z676" s="1348"/>
      <c r="AA676" s="1348"/>
      <c r="AB676" s="1348"/>
      <c r="AC676" s="1348"/>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1348" t="s">
        <v>1411</v>
      </c>
      <c r="F678" s="1348"/>
      <c r="G678" s="1348"/>
      <c r="H678" s="1348"/>
      <c r="I678" s="1348"/>
      <c r="J678" s="1348"/>
      <c r="K678" s="1348"/>
      <c r="L678" s="1348"/>
      <c r="M678" s="1348"/>
      <c r="N678" s="1348"/>
      <c r="O678" s="1348"/>
      <c r="P678" s="1348"/>
      <c r="Q678" s="1348"/>
      <c r="R678" s="1348"/>
      <c r="S678" s="1348"/>
      <c r="T678" s="1348"/>
      <c r="U678" s="1348"/>
      <c r="V678" s="1348"/>
      <c r="W678" s="1348"/>
      <c r="X678" s="1348"/>
      <c r="Y678" s="1348"/>
      <c r="Z678" s="1348"/>
      <c r="AA678" s="1348"/>
      <c r="AB678" s="1348"/>
      <c r="AC678" s="1348"/>
      <c r="AD678" s="536"/>
      <c r="AE678" s="536"/>
      <c r="AF678" s="1331" t="s">
        <v>1345</v>
      </c>
      <c r="AG678" s="1331"/>
      <c r="AH678" s="1331"/>
      <c r="AI678" s="1331"/>
      <c r="AJ678" s="1331"/>
      <c r="AK678" s="1331"/>
      <c r="AL678" s="1331"/>
      <c r="AN678" s="595"/>
    </row>
    <row r="679" spans="1:42" s="549" customFormat="1" ht="12.75" customHeight="1">
      <c r="B679" s="536"/>
      <c r="C679" s="927"/>
      <c r="D679" s="536"/>
      <c r="E679" s="1348"/>
      <c r="F679" s="1348"/>
      <c r="G679" s="1348"/>
      <c r="H679" s="1348"/>
      <c r="I679" s="1348"/>
      <c r="J679" s="1348"/>
      <c r="K679" s="1348"/>
      <c r="L679" s="1348"/>
      <c r="M679" s="1348"/>
      <c r="N679" s="1348"/>
      <c r="O679" s="1348"/>
      <c r="P679" s="1348"/>
      <c r="Q679" s="1348"/>
      <c r="R679" s="1348"/>
      <c r="S679" s="1348"/>
      <c r="T679" s="1348"/>
      <c r="U679" s="1348"/>
      <c r="V679" s="1348"/>
      <c r="W679" s="1348"/>
      <c r="X679" s="1348"/>
      <c r="Y679" s="1348"/>
      <c r="Z679" s="1348"/>
      <c r="AA679" s="1348"/>
      <c r="AB679" s="1348"/>
      <c r="AC679" s="1348"/>
      <c r="AD679" s="536"/>
      <c r="AE679" s="1331"/>
      <c r="AF679" s="1331"/>
      <c r="AG679" s="1331"/>
      <c r="AH679" s="1331"/>
      <c r="AI679" s="1331"/>
      <c r="AJ679" s="1331"/>
      <c r="AK679" s="1331"/>
      <c r="AL679" s="592"/>
      <c r="AN679" s="595"/>
      <c r="AO679" s="549" t="s">
        <v>591</v>
      </c>
      <c r="AP679" s="669">
        <v>0</v>
      </c>
    </row>
    <row r="680" spans="1:42" s="549" customFormat="1" ht="12.75" customHeight="1">
      <c r="A680" s="675"/>
      <c r="B680" s="536"/>
      <c r="C680" s="536"/>
      <c r="D680" s="659"/>
      <c r="E680" s="1348"/>
      <c r="F680" s="1348"/>
      <c r="G680" s="1348"/>
      <c r="H680" s="1348"/>
      <c r="I680" s="1348"/>
      <c r="J680" s="1348"/>
      <c r="K680" s="1348"/>
      <c r="L680" s="1348"/>
      <c r="M680" s="1348"/>
      <c r="N680" s="1348"/>
      <c r="O680" s="1348"/>
      <c r="P680" s="1348"/>
      <c r="Q680" s="1348"/>
      <c r="R680" s="1348"/>
      <c r="S680" s="1348"/>
      <c r="T680" s="1348"/>
      <c r="U680" s="1348"/>
      <c r="V680" s="1348"/>
      <c r="W680" s="1348"/>
      <c r="X680" s="1348"/>
      <c r="Y680" s="1348"/>
      <c r="Z680" s="1348"/>
      <c r="AA680" s="1348"/>
      <c r="AB680" s="1348"/>
      <c r="AC680" s="1348"/>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1388</v>
      </c>
      <c r="E682" s="1348" t="s">
        <v>1412</v>
      </c>
      <c r="F682" s="1348"/>
      <c r="G682" s="1348"/>
      <c r="H682" s="1348"/>
      <c r="I682" s="1348"/>
      <c r="J682" s="1348"/>
      <c r="K682" s="1348"/>
      <c r="L682" s="1348"/>
      <c r="M682" s="1348"/>
      <c r="N682" s="1348"/>
      <c r="O682" s="1348"/>
      <c r="P682" s="1348"/>
      <c r="Q682" s="1348"/>
      <c r="R682" s="1348"/>
      <c r="S682" s="1348"/>
      <c r="T682" s="1348"/>
      <c r="U682" s="1348"/>
      <c r="V682" s="1348"/>
      <c r="W682" s="1348"/>
      <c r="X682" s="1348"/>
      <c r="Y682" s="1348"/>
      <c r="Z682" s="1348"/>
      <c r="AA682" s="1348"/>
      <c r="AB682" s="1348"/>
      <c r="AC682" s="1348"/>
      <c r="AD682" s="536"/>
      <c r="AE682" s="536"/>
      <c r="AF682" s="1331" t="s">
        <v>1390</v>
      </c>
      <c r="AG682" s="1331"/>
      <c r="AH682" s="1331"/>
      <c r="AI682" s="1331"/>
      <c r="AJ682" s="1331"/>
      <c r="AK682" s="1331"/>
      <c r="AL682" s="1331"/>
      <c r="AN682" s="595"/>
    </row>
    <row r="683" spans="1:42" s="549" customFormat="1" ht="12.75" customHeight="1">
      <c r="A683" s="666"/>
      <c r="B683" s="536"/>
      <c r="C683" s="943"/>
      <c r="D683" s="659"/>
      <c r="E683" s="1348"/>
      <c r="F683" s="1348"/>
      <c r="G683" s="1348"/>
      <c r="H683" s="1348"/>
      <c r="I683" s="1348"/>
      <c r="J683" s="1348"/>
      <c r="K683" s="1348"/>
      <c r="L683" s="1348"/>
      <c r="M683" s="1348"/>
      <c r="N683" s="1348"/>
      <c r="O683" s="1348"/>
      <c r="P683" s="1348"/>
      <c r="Q683" s="1348"/>
      <c r="R683" s="1348"/>
      <c r="S683" s="1348"/>
      <c r="T683" s="1348"/>
      <c r="U683" s="1348"/>
      <c r="V683" s="1348"/>
      <c r="W683" s="1348"/>
      <c r="X683" s="1348"/>
      <c r="Y683" s="1348"/>
      <c r="Z683" s="1348"/>
      <c r="AA683" s="1348"/>
      <c r="AB683" s="1348"/>
      <c r="AC683" s="1348"/>
      <c r="AD683" s="536"/>
      <c r="AE683" s="592"/>
      <c r="AF683" s="592"/>
      <c r="AG683" s="592"/>
      <c r="AH683" s="592"/>
      <c r="AI683" s="592"/>
      <c r="AJ683" s="592"/>
      <c r="AK683" s="592"/>
      <c r="AL683" s="592"/>
      <c r="AM683" s="594"/>
      <c r="AN683" s="595"/>
    </row>
    <row r="684" spans="1:42" s="549" customFormat="1" ht="12.75" customHeight="1">
      <c r="A684" s="666"/>
      <c r="B684" s="536"/>
      <c r="C684" s="943"/>
      <c r="D684" s="659"/>
      <c r="E684" s="1348"/>
      <c r="F684" s="1348"/>
      <c r="G684" s="1348"/>
      <c r="H684" s="1348"/>
      <c r="I684" s="1348"/>
      <c r="J684" s="1348"/>
      <c r="K684" s="1348"/>
      <c r="L684" s="1348"/>
      <c r="M684" s="1348"/>
      <c r="N684" s="1348"/>
      <c r="O684" s="1348"/>
      <c r="P684" s="1348"/>
      <c r="Q684" s="1348"/>
      <c r="R684" s="1348"/>
      <c r="S684" s="1348"/>
      <c r="T684" s="1348"/>
      <c r="U684" s="1348"/>
      <c r="V684" s="1348"/>
      <c r="W684" s="1348"/>
      <c r="X684" s="1348"/>
      <c r="Y684" s="1348"/>
      <c r="Z684" s="1348"/>
      <c r="AA684" s="1348"/>
      <c r="AB684" s="1348"/>
      <c r="AC684" s="1348"/>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1389</v>
      </c>
      <c r="E686" s="1348" t="s">
        <v>1413</v>
      </c>
      <c r="F686" s="1348"/>
      <c r="G686" s="1348"/>
      <c r="H686" s="1348"/>
      <c r="I686" s="1348"/>
      <c r="J686" s="1348"/>
      <c r="K686" s="1348"/>
      <c r="L686" s="1348"/>
      <c r="M686" s="1348"/>
      <c r="N686" s="1348"/>
      <c r="O686" s="1348"/>
      <c r="P686" s="1348"/>
      <c r="Q686" s="1348"/>
      <c r="R686" s="1348"/>
      <c r="S686" s="1348"/>
      <c r="T686" s="1348"/>
      <c r="U686" s="1348"/>
      <c r="V686" s="1348"/>
      <c r="W686" s="1348"/>
      <c r="X686" s="1348"/>
      <c r="Y686" s="1348"/>
      <c r="Z686" s="1348"/>
      <c r="AA686" s="1348"/>
      <c r="AB686" s="1348"/>
      <c r="AC686" s="1348"/>
      <c r="AD686" s="536"/>
      <c r="AE686" s="536"/>
      <c r="AF686" s="1331" t="s">
        <v>1345</v>
      </c>
      <c r="AG686" s="1331"/>
      <c r="AH686" s="1331"/>
      <c r="AI686" s="1331"/>
      <c r="AJ686" s="1331"/>
      <c r="AK686" s="1331"/>
      <c r="AL686" s="1331"/>
      <c r="AM686" s="594"/>
      <c r="AN686" s="595"/>
    </row>
    <row r="687" spans="1:42" s="549" customFormat="1" ht="12.75" customHeight="1">
      <c r="B687" s="536"/>
      <c r="C687" s="927"/>
      <c r="D687" s="659"/>
      <c r="E687" s="1348"/>
      <c r="F687" s="1348"/>
      <c r="G687" s="1348"/>
      <c r="H687" s="1348"/>
      <c r="I687" s="1348"/>
      <c r="J687" s="1348"/>
      <c r="K687" s="1348"/>
      <c r="L687" s="1348"/>
      <c r="M687" s="1348"/>
      <c r="N687" s="1348"/>
      <c r="O687" s="1348"/>
      <c r="P687" s="1348"/>
      <c r="Q687" s="1348"/>
      <c r="R687" s="1348"/>
      <c r="S687" s="1348"/>
      <c r="T687" s="1348"/>
      <c r="U687" s="1348"/>
      <c r="V687" s="1348"/>
      <c r="W687" s="1348"/>
      <c r="X687" s="1348"/>
      <c r="Y687" s="1348"/>
      <c r="Z687" s="1348"/>
      <c r="AA687" s="1348"/>
      <c r="AB687" s="1348"/>
      <c r="AC687" s="1348"/>
      <c r="AD687" s="536"/>
      <c r="AE687" s="536"/>
      <c r="AF687" s="536"/>
      <c r="AG687" s="536"/>
      <c r="AH687" s="536"/>
      <c r="AI687" s="536"/>
      <c r="AJ687" s="536"/>
      <c r="AK687" s="536"/>
      <c r="AL687" s="536"/>
      <c r="AM687" s="594"/>
      <c r="AN687" s="595"/>
    </row>
    <row r="688" spans="1:42" s="549" customFormat="1" ht="12.75" customHeight="1">
      <c r="B688" s="536"/>
      <c r="C688" s="927"/>
      <c r="D688" s="659"/>
      <c r="E688" s="1348"/>
      <c r="F688" s="1348"/>
      <c r="G688" s="1348"/>
      <c r="H688" s="1348"/>
      <c r="I688" s="1348"/>
      <c r="J688" s="1348"/>
      <c r="K688" s="1348"/>
      <c r="L688" s="1348"/>
      <c r="M688" s="1348"/>
      <c r="N688" s="1348"/>
      <c r="O688" s="1348"/>
      <c r="P688" s="1348"/>
      <c r="Q688" s="1348"/>
      <c r="R688" s="1348"/>
      <c r="S688" s="1348"/>
      <c r="T688" s="1348"/>
      <c r="U688" s="1348"/>
      <c r="V688" s="1348"/>
      <c r="W688" s="1348"/>
      <c r="X688" s="1348"/>
      <c r="Y688" s="1348"/>
      <c r="Z688" s="1348"/>
      <c r="AA688" s="1348"/>
      <c r="AB688" s="1348"/>
      <c r="AC688" s="1348"/>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1400</v>
      </c>
      <c r="E690" s="1348" t="s">
        <v>1414</v>
      </c>
      <c r="F690" s="1348"/>
      <c r="G690" s="1348"/>
      <c r="H690" s="1348"/>
      <c r="I690" s="1348"/>
      <c r="J690" s="1348"/>
      <c r="K690" s="1348"/>
      <c r="L690" s="1348"/>
      <c r="M690" s="1348"/>
      <c r="N690" s="1348"/>
      <c r="O690" s="1348"/>
      <c r="P690" s="1348"/>
      <c r="Q690" s="1348"/>
      <c r="R690" s="1348"/>
      <c r="S690" s="1348"/>
      <c r="T690" s="1348"/>
      <c r="U690" s="1348"/>
      <c r="V690" s="1348"/>
      <c r="W690" s="1348"/>
      <c r="X690" s="1348"/>
      <c r="Y690" s="1348"/>
      <c r="Z690" s="1348"/>
      <c r="AA690" s="1348"/>
      <c r="AB690" s="1348"/>
      <c r="AC690" s="1348"/>
      <c r="AD690" s="536"/>
      <c r="AE690" s="536"/>
      <c r="AF690" s="1331" t="s">
        <v>1399</v>
      </c>
      <c r="AG690" s="1331"/>
      <c r="AH690" s="1331"/>
      <c r="AI690" s="1331"/>
      <c r="AJ690" s="1331"/>
      <c r="AK690" s="1331"/>
      <c r="AL690" s="1331"/>
      <c r="AM690" s="594"/>
      <c r="AN690" s="595"/>
    </row>
    <row r="691" spans="1:50" s="549" customFormat="1" ht="12.75" customHeight="1">
      <c r="A691" s="675"/>
      <c r="B691" s="536"/>
      <c r="C691" s="927"/>
      <c r="D691" s="659"/>
      <c r="E691" s="1348"/>
      <c r="F691" s="1348"/>
      <c r="G691" s="1348"/>
      <c r="H691" s="1348"/>
      <c r="I691" s="1348"/>
      <c r="J691" s="1348"/>
      <c r="K691" s="1348"/>
      <c r="L691" s="1348"/>
      <c r="M691" s="1348"/>
      <c r="N691" s="1348"/>
      <c r="O691" s="1348"/>
      <c r="P691" s="1348"/>
      <c r="Q691" s="1348"/>
      <c r="R691" s="1348"/>
      <c r="S691" s="1348"/>
      <c r="T691" s="1348"/>
      <c r="U691" s="1348"/>
      <c r="V691" s="1348"/>
      <c r="W691" s="1348"/>
      <c r="X691" s="1348"/>
      <c r="Y691" s="1348"/>
      <c r="Z691" s="1348"/>
      <c r="AA691" s="1348"/>
      <c r="AB691" s="1348"/>
      <c r="AC691" s="1348"/>
      <c r="AD691" s="536"/>
      <c r="AE691" s="536"/>
      <c r="AF691" s="592"/>
      <c r="AG691" s="592"/>
      <c r="AH691" s="592"/>
      <c r="AI691" s="592"/>
      <c r="AJ691" s="592"/>
      <c r="AK691" s="592"/>
      <c r="AL691" s="592"/>
      <c r="AM691" s="594"/>
      <c r="AN691" s="595"/>
    </row>
    <row r="692" spans="1:50" s="549" customFormat="1" ht="12.75" customHeight="1">
      <c r="A692" s="675"/>
      <c r="B692" s="536"/>
      <c r="C692" s="927"/>
      <c r="D692" s="659"/>
      <c r="E692" s="1348"/>
      <c r="F692" s="1348"/>
      <c r="G692" s="1348"/>
      <c r="H692" s="1348"/>
      <c r="I692" s="1348"/>
      <c r="J692" s="1348"/>
      <c r="K692" s="1348"/>
      <c r="L692" s="1348"/>
      <c r="M692" s="1348"/>
      <c r="N692" s="1348"/>
      <c r="O692" s="1348"/>
      <c r="P692" s="1348"/>
      <c r="Q692" s="1348"/>
      <c r="R692" s="1348"/>
      <c r="S692" s="1348"/>
      <c r="T692" s="1348"/>
      <c r="U692" s="1348"/>
      <c r="V692" s="1348"/>
      <c r="W692" s="1348"/>
      <c r="X692" s="1348"/>
      <c r="Y692" s="1348"/>
      <c r="Z692" s="1348"/>
      <c r="AA692" s="1348"/>
      <c r="AB692" s="1348"/>
      <c r="AC692" s="1348"/>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1402</v>
      </c>
      <c r="E694" s="1348" t="s">
        <v>1415</v>
      </c>
      <c r="F694" s="1348"/>
      <c r="G694" s="1348"/>
      <c r="H694" s="1348"/>
      <c r="I694" s="1348"/>
      <c r="J694" s="1348"/>
      <c r="K694" s="1348"/>
      <c r="L694" s="1348"/>
      <c r="M694" s="1348"/>
      <c r="N694" s="1348"/>
      <c r="O694" s="1348"/>
      <c r="P694" s="1348"/>
      <c r="Q694" s="1348"/>
      <c r="R694" s="1348"/>
      <c r="S694" s="1348"/>
      <c r="T694" s="1348"/>
      <c r="U694" s="1348"/>
      <c r="V694" s="1348"/>
      <c r="W694" s="1348"/>
      <c r="X694" s="1348"/>
      <c r="Y694" s="1348"/>
      <c r="Z694" s="1348"/>
      <c r="AA694" s="1348"/>
      <c r="AB694" s="1348"/>
      <c r="AC694" s="1348"/>
      <c r="AD694" s="536"/>
      <c r="AE694" s="536"/>
      <c r="AF694" s="1331" t="s">
        <v>1416</v>
      </c>
      <c r="AG694" s="1331"/>
      <c r="AH694" s="1331"/>
      <c r="AI694" s="1331"/>
      <c r="AJ694" s="1331"/>
      <c r="AK694" s="1331"/>
      <c r="AL694" s="1331"/>
      <c r="AM694" s="594"/>
      <c r="AN694" s="595"/>
      <c r="AO694" s="609" t="s">
        <v>687</v>
      </c>
      <c r="AP694" s="549">
        <v>3</v>
      </c>
    </row>
    <row r="695" spans="1:50" s="549" customFormat="1" ht="12.75" customHeight="1">
      <c r="A695" s="675"/>
      <c r="B695" s="536"/>
      <c r="C695" s="927"/>
      <c r="D695" s="659"/>
      <c r="E695" s="1348"/>
      <c r="F695" s="1348"/>
      <c r="G695" s="1348"/>
      <c r="H695" s="1348"/>
      <c r="I695" s="1348"/>
      <c r="J695" s="1348"/>
      <c r="K695" s="1348"/>
      <c r="L695" s="1348"/>
      <c r="M695" s="1348"/>
      <c r="N695" s="1348"/>
      <c r="O695" s="1348"/>
      <c r="P695" s="1348"/>
      <c r="Q695" s="1348"/>
      <c r="R695" s="1348"/>
      <c r="S695" s="1348"/>
      <c r="T695" s="1348"/>
      <c r="U695" s="1348"/>
      <c r="V695" s="1348"/>
      <c r="W695" s="1348"/>
      <c r="X695" s="1348"/>
      <c r="Y695" s="1348"/>
      <c r="Z695" s="1348"/>
      <c r="AA695" s="1348"/>
      <c r="AB695" s="1348"/>
      <c r="AC695" s="1348"/>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1348"/>
      <c r="F696" s="1348"/>
      <c r="G696" s="1348"/>
      <c r="H696" s="1348"/>
      <c r="I696" s="1348"/>
      <c r="J696" s="1348"/>
      <c r="K696" s="1348"/>
      <c r="L696" s="1348"/>
      <c r="M696" s="1348"/>
      <c r="N696" s="1348"/>
      <c r="O696" s="1348"/>
      <c r="P696" s="1348"/>
      <c r="Q696" s="1348"/>
      <c r="R696" s="1348"/>
      <c r="S696" s="1348"/>
      <c r="T696" s="1348"/>
      <c r="U696" s="1348"/>
      <c r="V696" s="1348"/>
      <c r="W696" s="1348"/>
      <c r="X696" s="1348"/>
      <c r="Y696" s="1348"/>
      <c r="Z696" s="1348"/>
      <c r="AA696" s="1348"/>
      <c r="AB696" s="1348"/>
      <c r="AC696" s="1348"/>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1391</v>
      </c>
      <c r="E698" s="932"/>
      <c r="F698" s="932"/>
      <c r="G698" s="932"/>
      <c r="H698" s="1412" t="s">
        <v>687</v>
      </c>
      <c r="I698" s="1412"/>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1417</v>
      </c>
      <c r="AJ700" s="1356">
        <f>VLOOKUP($H$698,$AO$646:$AP$653,2,FALSE)</f>
        <v>5</v>
      </c>
      <c r="AK700" s="1358"/>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2089</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2135</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2136</v>
      </c>
      <c r="AX703" s="1146">
        <f>Application!G761</f>
        <v>101</v>
      </c>
    </row>
    <row r="704" spans="1:50" s="549" customFormat="1" ht="12.75" customHeight="1">
      <c r="A704" s="675"/>
      <c r="B704" s="536"/>
      <c r="C704" s="944"/>
      <c r="D704" s="659" t="s">
        <v>687</v>
      </c>
      <c r="E704" s="1419" t="s">
        <v>2142</v>
      </c>
      <c r="F704" s="1419"/>
      <c r="G704" s="1419"/>
      <c r="H704" s="1419"/>
      <c r="I704" s="1419"/>
      <c r="J704" s="1419"/>
      <c r="K704" s="1419"/>
      <c r="L704" s="1419"/>
      <c r="M704" s="1419"/>
      <c r="N704" s="1419"/>
      <c r="O704" s="1419"/>
      <c r="P704" s="1419"/>
      <c r="Q704" s="1419"/>
      <c r="R704" s="1419"/>
      <c r="S704" s="1419"/>
      <c r="T704" s="1419"/>
      <c r="U704" s="1419"/>
      <c r="V704" s="1419"/>
      <c r="W704" s="1419"/>
      <c r="X704" s="1419"/>
      <c r="Y704" s="1419"/>
      <c r="Z704" s="1419"/>
      <c r="AA704" s="1419"/>
      <c r="AB704" s="1419"/>
      <c r="AC704" s="536"/>
      <c r="AD704" s="536"/>
      <c r="AE704" s="536"/>
      <c r="AF704" s="1331" t="s">
        <v>1345</v>
      </c>
      <c r="AG704" s="1331"/>
      <c r="AH704" s="1331"/>
      <c r="AI704" s="1331"/>
      <c r="AJ704" s="1331"/>
      <c r="AK704" s="1331"/>
      <c r="AL704" s="1331"/>
      <c r="AN704" s="595"/>
      <c r="AW704" s="22" t="s">
        <v>2137</v>
      </c>
      <c r="AX704" s="549">
        <f>Application!DE761</f>
        <v>67</v>
      </c>
    </row>
    <row r="705" spans="1:51" s="549" customFormat="1" ht="12.75" customHeight="1">
      <c r="A705" s="675"/>
      <c r="B705" s="536"/>
      <c r="C705" s="944"/>
      <c r="D705" s="659"/>
      <c r="E705" s="1419"/>
      <c r="F705" s="1419"/>
      <c r="G705" s="1419"/>
      <c r="H705" s="1419"/>
      <c r="I705" s="1419"/>
      <c r="J705" s="1419"/>
      <c r="K705" s="1419"/>
      <c r="L705" s="1419"/>
      <c r="M705" s="1419"/>
      <c r="N705" s="1419"/>
      <c r="O705" s="1419"/>
      <c r="P705" s="1419"/>
      <c r="Q705" s="1419"/>
      <c r="R705" s="1419"/>
      <c r="S705" s="1419"/>
      <c r="T705" s="1419"/>
      <c r="U705" s="1419"/>
      <c r="V705" s="1419"/>
      <c r="W705" s="1419"/>
      <c r="X705" s="1419"/>
      <c r="Y705" s="1419"/>
      <c r="Z705" s="1419"/>
      <c r="AA705" s="1419"/>
      <c r="AB705" s="1419"/>
      <c r="AC705" s="536"/>
      <c r="AD705" s="536"/>
      <c r="AE705" s="536"/>
      <c r="AF705" s="536"/>
      <c r="AG705" s="536"/>
      <c r="AH705" s="536"/>
      <c r="AI705" s="536"/>
      <c r="AJ705" s="536"/>
      <c r="AK705" s="536"/>
      <c r="AL705" s="536"/>
      <c r="AN705" s="595"/>
      <c r="AW705" s="22" t="s">
        <v>2138</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2139</v>
      </c>
      <c r="AX706" s="549">
        <f>Application!DO761</f>
        <v>0</v>
      </c>
    </row>
    <row r="707" spans="1:51" s="549" customFormat="1" ht="12.75" customHeight="1">
      <c r="B707" s="536"/>
      <c r="C707" s="927"/>
      <c r="D707" s="659" t="s">
        <v>509</v>
      </c>
      <c r="E707" s="1348" t="s">
        <v>2087</v>
      </c>
      <c r="F707" s="1348"/>
      <c r="G707" s="1348"/>
      <c r="H707" s="1348"/>
      <c r="I707" s="1348"/>
      <c r="J707" s="1348"/>
      <c r="K707" s="1348"/>
      <c r="L707" s="1348"/>
      <c r="M707" s="1348"/>
      <c r="N707" s="1348"/>
      <c r="O707" s="1348"/>
      <c r="P707" s="1348"/>
      <c r="Q707" s="1348"/>
      <c r="R707" s="1348"/>
      <c r="S707" s="1348"/>
      <c r="T707" s="1348"/>
      <c r="U707" s="1348"/>
      <c r="V707" s="1348"/>
      <c r="W707" s="1348"/>
      <c r="X707" s="1348"/>
      <c r="Y707" s="1348"/>
      <c r="Z707" s="1348"/>
      <c r="AA707" s="1348"/>
      <c r="AB707" s="1348"/>
      <c r="AC707" s="536"/>
      <c r="AD707" s="536"/>
      <c r="AE707" s="536"/>
      <c r="AF707" s="1331" t="s">
        <v>1345</v>
      </c>
      <c r="AG707" s="1331"/>
      <c r="AH707" s="1331"/>
      <c r="AI707" s="1331"/>
      <c r="AJ707" s="1331"/>
      <c r="AK707" s="1331"/>
      <c r="AL707" s="1331"/>
      <c r="AN707" s="595"/>
      <c r="AW707" s="22" t="s">
        <v>2140</v>
      </c>
      <c r="AX707" s="549">
        <f>AX704+AX705+AX706</f>
        <v>67</v>
      </c>
    </row>
    <row r="708" spans="1:51" s="549" customFormat="1" ht="12.75" customHeight="1">
      <c r="B708" s="536"/>
      <c r="C708" s="936"/>
      <c r="D708" s="659"/>
      <c r="E708" s="1348"/>
      <c r="F708" s="1348"/>
      <c r="G708" s="1348"/>
      <c r="H708" s="1348"/>
      <c r="I708" s="1348"/>
      <c r="J708" s="1348"/>
      <c r="K708" s="1348"/>
      <c r="L708" s="1348"/>
      <c r="M708" s="1348"/>
      <c r="N708" s="1348"/>
      <c r="O708" s="1348"/>
      <c r="P708" s="1348"/>
      <c r="Q708" s="1348"/>
      <c r="R708" s="1348"/>
      <c r="S708" s="1348"/>
      <c r="T708" s="1348"/>
      <c r="U708" s="1348"/>
      <c r="V708" s="1348"/>
      <c r="W708" s="1348"/>
      <c r="X708" s="1348"/>
      <c r="Y708" s="1348"/>
      <c r="Z708" s="1348"/>
      <c r="AA708" s="1348"/>
      <c r="AB708" s="1348"/>
      <c r="AC708" s="536"/>
      <c r="AD708" s="536"/>
      <c r="AE708" s="614"/>
      <c r="AF708" s="536"/>
      <c r="AG708" s="536"/>
      <c r="AH708" s="536"/>
      <c r="AI708" s="536"/>
      <c r="AJ708" s="536"/>
      <c r="AK708" s="536"/>
      <c r="AL708" s="536"/>
      <c r="AN708" s="595"/>
      <c r="AO708" s="1418" t="b">
        <f>IF(Application!D211="Special Needs",IF(AY708&gt;=0.25,TRUE,FALSE),IF(AX708&gt;=0.25,TRUE,FALSE))</f>
        <v>1</v>
      </c>
      <c r="AP708" s="1418"/>
      <c r="AW708" s="22" t="s">
        <v>2141</v>
      </c>
      <c r="AX708" s="549">
        <f>IFERROR(AX707/AX703,0)</f>
        <v>0.6633663366336634</v>
      </c>
      <c r="AY708" s="549">
        <f>IFERROR(AX707/(AX703-AX702),0)</f>
        <v>0.6633663366336634</v>
      </c>
    </row>
    <row r="709" spans="1:51" s="549" customFormat="1" ht="12.75" customHeight="1">
      <c r="B709" s="536"/>
      <c r="C709" s="936"/>
      <c r="E709" s="1348"/>
      <c r="F709" s="1348"/>
      <c r="G709" s="1348"/>
      <c r="H709" s="1348"/>
      <c r="I709" s="1348"/>
      <c r="J709" s="1348"/>
      <c r="K709" s="1348"/>
      <c r="L709" s="1348"/>
      <c r="M709" s="1348"/>
      <c r="N709" s="1348"/>
      <c r="O709" s="1348"/>
      <c r="P709" s="1348"/>
      <c r="Q709" s="1348"/>
      <c r="R709" s="1348"/>
      <c r="S709" s="1348"/>
      <c r="T709" s="1348"/>
      <c r="U709" s="1348"/>
      <c r="V709" s="1348"/>
      <c r="W709" s="1348"/>
      <c r="X709" s="1348"/>
      <c r="Y709" s="1348"/>
      <c r="Z709" s="1348"/>
      <c r="AA709" s="1348"/>
      <c r="AB709" s="1348"/>
      <c r="AC709" s="536"/>
      <c r="AD709" s="536"/>
      <c r="AE709" s="614"/>
      <c r="AF709" s="614"/>
      <c r="AG709" s="614"/>
      <c r="AH709" s="614"/>
      <c r="AI709" s="614"/>
      <c r="AJ709" s="614"/>
      <c r="AK709" s="614"/>
      <c r="AL709" s="614"/>
      <c r="AN709" s="595"/>
      <c r="AW709" s="14"/>
    </row>
    <row r="710" spans="1:51" s="549" customFormat="1" ht="28.5" customHeight="1">
      <c r="B710" s="536"/>
      <c r="C710" s="936"/>
      <c r="D710" s="536"/>
      <c r="E710" s="1348"/>
      <c r="F710" s="1348"/>
      <c r="G710" s="1348"/>
      <c r="H710" s="1348"/>
      <c r="I710" s="1348"/>
      <c r="J710" s="1348"/>
      <c r="K710" s="1348"/>
      <c r="L710" s="1348"/>
      <c r="M710" s="1348"/>
      <c r="N710" s="1348"/>
      <c r="O710" s="1348"/>
      <c r="P710" s="1348"/>
      <c r="Q710" s="1348"/>
      <c r="R710" s="1348"/>
      <c r="S710" s="1348"/>
      <c r="T710" s="1348"/>
      <c r="U710" s="1348"/>
      <c r="V710" s="1348"/>
      <c r="W710" s="1348"/>
      <c r="X710" s="1348"/>
      <c r="Y710" s="1348"/>
      <c r="Z710" s="1348"/>
      <c r="AA710" s="1348"/>
      <c r="AB710" s="1348"/>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1348" t="s">
        <v>2088</v>
      </c>
      <c r="F712" s="1348"/>
      <c r="G712" s="1348"/>
      <c r="H712" s="1348"/>
      <c r="I712" s="1348"/>
      <c r="J712" s="1348"/>
      <c r="K712" s="1348"/>
      <c r="L712" s="1348"/>
      <c r="M712" s="1348"/>
      <c r="N712" s="1348"/>
      <c r="O712" s="1348"/>
      <c r="P712" s="1348"/>
      <c r="Q712" s="1348"/>
      <c r="R712" s="1348"/>
      <c r="S712" s="1348"/>
      <c r="T712" s="1348"/>
      <c r="U712" s="1348"/>
      <c r="V712" s="1348"/>
      <c r="W712" s="1348"/>
      <c r="X712" s="1348"/>
      <c r="Y712" s="1348"/>
      <c r="Z712" s="1348"/>
      <c r="AA712" s="1348"/>
      <c r="AB712" s="1348"/>
      <c r="AC712" s="536"/>
      <c r="AD712" s="536"/>
      <c r="AE712" s="536"/>
      <c r="AF712" s="1331" t="s">
        <v>1399</v>
      </c>
      <c r="AG712" s="1331"/>
      <c r="AH712" s="1331"/>
      <c r="AI712" s="1331"/>
      <c r="AJ712" s="1331"/>
      <c r="AK712" s="1331"/>
      <c r="AL712" s="1331"/>
      <c r="AN712" s="595"/>
      <c r="AO712" s="609" t="s">
        <v>509</v>
      </c>
      <c r="AP712" s="549">
        <v>1</v>
      </c>
    </row>
    <row r="713" spans="1:51" s="549" customFormat="1" ht="12" customHeight="1">
      <c r="B713" s="536"/>
      <c r="C713" s="927"/>
      <c r="E713" s="1348"/>
      <c r="F713" s="1348"/>
      <c r="G713" s="1348"/>
      <c r="H713" s="1348"/>
      <c r="I713" s="1348"/>
      <c r="J713" s="1348"/>
      <c r="K713" s="1348"/>
      <c r="L713" s="1348"/>
      <c r="M713" s="1348"/>
      <c r="N713" s="1348"/>
      <c r="O713" s="1348"/>
      <c r="P713" s="1348"/>
      <c r="Q713" s="1348"/>
      <c r="R713" s="1348"/>
      <c r="S713" s="1348"/>
      <c r="T713" s="1348"/>
      <c r="U713" s="1348"/>
      <c r="V713" s="1348"/>
      <c r="W713" s="1348"/>
      <c r="X713" s="1348"/>
      <c r="Y713" s="1348"/>
      <c r="Z713" s="1348"/>
      <c r="AA713" s="1348"/>
      <c r="AB713" s="1348"/>
      <c r="AC713" s="536"/>
      <c r="AD713" s="536"/>
      <c r="AE713" s="614"/>
      <c r="AF713" s="536"/>
      <c r="AG713" s="536"/>
      <c r="AH713" s="536"/>
      <c r="AI713" s="536"/>
      <c r="AJ713" s="536"/>
      <c r="AK713" s="536"/>
      <c r="AL713" s="536"/>
      <c r="AN713" s="595"/>
    </row>
    <row r="714" spans="1:51" s="549" customFormat="1" ht="12" customHeight="1">
      <c r="B714" s="536"/>
      <c r="C714" s="927"/>
      <c r="D714" s="536"/>
      <c r="E714" s="1348"/>
      <c r="F714" s="1348"/>
      <c r="G714" s="1348"/>
      <c r="H714" s="1348"/>
      <c r="I714" s="1348"/>
      <c r="J714" s="1348"/>
      <c r="K714" s="1348"/>
      <c r="L714" s="1348"/>
      <c r="M714" s="1348"/>
      <c r="N714" s="1348"/>
      <c r="O714" s="1348"/>
      <c r="P714" s="1348"/>
      <c r="Q714" s="1348"/>
      <c r="R714" s="1348"/>
      <c r="S714" s="1348"/>
      <c r="T714" s="1348"/>
      <c r="U714" s="1348"/>
      <c r="V714" s="1348"/>
      <c r="W714" s="1348"/>
      <c r="X714" s="1348"/>
      <c r="Y714" s="1348"/>
      <c r="Z714" s="1348"/>
      <c r="AA714" s="1348"/>
      <c r="AB714" s="1348"/>
      <c r="AC714" s="536"/>
      <c r="AD714" s="536"/>
      <c r="AE714" s="614"/>
      <c r="AF714" s="536"/>
      <c r="AG714" s="536"/>
      <c r="AH714" s="536"/>
      <c r="AI714" s="536"/>
      <c r="AJ714" s="536"/>
      <c r="AK714" s="536"/>
      <c r="AL714" s="536"/>
      <c r="AN714" s="595"/>
    </row>
    <row r="715" spans="1:51" s="549" customFormat="1" ht="12" customHeight="1">
      <c r="B715" s="536"/>
      <c r="C715" s="927"/>
      <c r="D715" s="536"/>
      <c r="E715" s="1348"/>
      <c r="F715" s="1348"/>
      <c r="G715" s="1348"/>
      <c r="H715" s="1348"/>
      <c r="I715" s="1348"/>
      <c r="J715" s="1348"/>
      <c r="K715" s="1348"/>
      <c r="L715" s="1348"/>
      <c r="M715" s="1348"/>
      <c r="N715" s="1348"/>
      <c r="O715" s="1348"/>
      <c r="P715" s="1348"/>
      <c r="Q715" s="1348"/>
      <c r="R715" s="1348"/>
      <c r="S715" s="1348"/>
      <c r="T715" s="1348"/>
      <c r="U715" s="1348"/>
      <c r="V715" s="1348"/>
      <c r="W715" s="1348"/>
      <c r="X715" s="1348"/>
      <c r="Y715" s="1348"/>
      <c r="Z715" s="1348"/>
      <c r="AA715" s="1348"/>
      <c r="AB715" s="1348"/>
      <c r="AC715" s="536"/>
      <c r="AD715" s="536"/>
      <c r="AE715" s="614"/>
      <c r="AF715" s="536"/>
      <c r="AG715" s="536"/>
      <c r="AH715" s="536"/>
      <c r="AI715" s="536"/>
      <c r="AJ715" s="536"/>
      <c r="AK715" s="536"/>
      <c r="AL715" s="536"/>
      <c r="AN715" s="595"/>
    </row>
    <row r="716" spans="1:51" s="568" customFormat="1" ht="13.05" customHeight="1">
      <c r="A716" s="549"/>
      <c r="B716" s="536"/>
      <c r="C716" s="927"/>
      <c r="D716" s="536"/>
      <c r="E716" s="1348"/>
      <c r="F716" s="1348"/>
      <c r="G716" s="1348"/>
      <c r="H716" s="1348"/>
      <c r="I716" s="1348"/>
      <c r="J716" s="1348"/>
      <c r="K716" s="1348"/>
      <c r="L716" s="1348"/>
      <c r="M716" s="1348"/>
      <c r="N716" s="1348"/>
      <c r="O716" s="1348"/>
      <c r="P716" s="1348"/>
      <c r="Q716" s="1348"/>
      <c r="R716" s="1348"/>
      <c r="S716" s="1348"/>
      <c r="T716" s="1348"/>
      <c r="U716" s="1348"/>
      <c r="V716" s="1348"/>
      <c r="W716" s="1348"/>
      <c r="X716" s="1348"/>
      <c r="Y716" s="1348"/>
      <c r="Z716" s="1348"/>
      <c r="AA716" s="1348"/>
      <c r="AB716" s="1348"/>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1348" t="s">
        <v>1681</v>
      </c>
      <c r="F718" s="1348"/>
      <c r="G718" s="1348"/>
      <c r="H718" s="1348"/>
      <c r="I718" s="1348"/>
      <c r="J718" s="1348"/>
      <c r="K718" s="1348"/>
      <c r="L718" s="1348"/>
      <c r="M718" s="1348"/>
      <c r="N718" s="1348"/>
      <c r="O718" s="1348"/>
      <c r="P718" s="1348"/>
      <c r="Q718" s="1348"/>
      <c r="R718" s="1348"/>
      <c r="S718" s="1348"/>
      <c r="T718" s="1348"/>
      <c r="U718" s="1348"/>
      <c r="V718" s="1348"/>
      <c r="W718" s="1348"/>
      <c r="X718" s="1348"/>
      <c r="Y718" s="1348"/>
      <c r="Z718" s="1348"/>
      <c r="AA718" s="1348"/>
      <c r="AB718" s="1348"/>
      <c r="AC718" s="536"/>
      <c r="AD718" s="536"/>
      <c r="AE718" s="614"/>
      <c r="AF718" s="614"/>
      <c r="AG718" s="614"/>
      <c r="AH718" s="614"/>
      <c r="AI718" s="614"/>
      <c r="AJ718" s="536"/>
      <c r="AK718" s="536"/>
      <c r="AL718" s="536"/>
      <c r="AM718" s="549"/>
      <c r="AN718" s="680"/>
      <c r="AO718" s="609" t="s">
        <v>509</v>
      </c>
      <c r="AP718" s="549">
        <f>3*$AO$708</f>
        <v>3</v>
      </c>
    </row>
    <row r="719" spans="1:51" s="568" customFormat="1" ht="12.75" customHeight="1">
      <c r="A719" s="549"/>
      <c r="B719" s="536"/>
      <c r="C719" s="927"/>
      <c r="D719" s="536"/>
      <c r="E719" s="1348"/>
      <c r="F719" s="1348"/>
      <c r="G719" s="1348"/>
      <c r="H719" s="1348"/>
      <c r="I719" s="1348"/>
      <c r="J719" s="1348"/>
      <c r="K719" s="1348"/>
      <c r="L719" s="1348"/>
      <c r="M719" s="1348"/>
      <c r="N719" s="1348"/>
      <c r="O719" s="1348"/>
      <c r="P719" s="1348"/>
      <c r="Q719" s="1348"/>
      <c r="R719" s="1348"/>
      <c r="S719" s="1348"/>
      <c r="T719" s="1348"/>
      <c r="U719" s="1348"/>
      <c r="V719" s="1348"/>
      <c r="W719" s="1348"/>
      <c r="X719" s="1348"/>
      <c r="Y719" s="1348"/>
      <c r="Z719" s="1348"/>
      <c r="AA719" s="1348"/>
      <c r="AB719" s="1348"/>
      <c r="AC719" s="536"/>
      <c r="AD719" s="536"/>
      <c r="AE719" s="614"/>
      <c r="AF719" s="614"/>
      <c r="AG719" s="614"/>
      <c r="AH719" s="614"/>
      <c r="AI719" s="614"/>
      <c r="AJ719" s="536"/>
      <c r="AK719" s="536"/>
      <c r="AL719" s="536"/>
      <c r="AM719" s="549"/>
      <c r="AN719" s="680"/>
      <c r="AO719" s="609" t="s">
        <v>278</v>
      </c>
      <c r="AP719" s="549">
        <f>2*$AO$708</f>
        <v>2</v>
      </c>
    </row>
    <row r="720" spans="1:51" s="568" customFormat="1" ht="12.75" customHeight="1">
      <c r="A720" s="549"/>
      <c r="B720" s="536"/>
      <c r="C720" s="927"/>
      <c r="D720" s="536"/>
      <c r="E720" s="1348"/>
      <c r="F720" s="1348"/>
      <c r="G720" s="1348"/>
      <c r="H720" s="1348"/>
      <c r="I720" s="1348"/>
      <c r="J720" s="1348"/>
      <c r="K720" s="1348"/>
      <c r="L720" s="1348"/>
      <c r="M720" s="1348"/>
      <c r="N720" s="1348"/>
      <c r="O720" s="1348"/>
      <c r="P720" s="1348"/>
      <c r="Q720" s="1348"/>
      <c r="R720" s="1348"/>
      <c r="S720" s="1348"/>
      <c r="T720" s="1348"/>
      <c r="U720" s="1348"/>
      <c r="V720" s="1348"/>
      <c r="W720" s="1348"/>
      <c r="X720" s="1348"/>
      <c r="Y720" s="1348"/>
      <c r="Z720" s="1348"/>
      <c r="AA720" s="1348"/>
      <c r="AB720" s="1348"/>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1391</v>
      </c>
      <c r="E722" s="932"/>
      <c r="F722" s="932"/>
      <c r="G722" s="932"/>
      <c r="H722" s="1412" t="s">
        <v>509</v>
      </c>
      <c r="I722" s="1412"/>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1418</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1396</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2090</v>
      </c>
      <c r="AJ724" s="1356">
        <f>VLOOKUP($H$722,$AO$716:$AP$719,2,FALSE)</f>
        <v>3</v>
      </c>
      <c r="AK724" s="1358"/>
      <c r="AL724" s="593"/>
      <c r="AM724" s="549"/>
      <c r="AN724" s="680"/>
      <c r="AP724" s="568" t="s">
        <v>1403</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1419</v>
      </c>
    </row>
    <row r="726" spans="1:43" s="568" customFormat="1" ht="12.75" customHeight="1">
      <c r="A726" s="549"/>
      <c r="B726" s="536"/>
      <c r="C726" s="539" t="s">
        <v>1420</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1421</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1422</v>
      </c>
    </row>
    <row r="728" spans="1:43" s="568" customFormat="1" ht="12.75" customHeight="1">
      <c r="A728" s="635"/>
      <c r="B728" s="536"/>
      <c r="C728" s="927"/>
      <c r="D728" s="659" t="s">
        <v>687</v>
      </c>
      <c r="E728" s="1420" t="s">
        <v>1683</v>
      </c>
      <c r="F728" s="1420"/>
      <c r="G728" s="1420"/>
      <c r="H728" s="1420"/>
      <c r="I728" s="1420"/>
      <c r="J728" s="1420"/>
      <c r="K728" s="1420"/>
      <c r="L728" s="1420"/>
      <c r="M728" s="1420"/>
      <c r="N728" s="1420"/>
      <c r="O728" s="1420"/>
      <c r="P728" s="1420"/>
      <c r="Q728" s="1420"/>
      <c r="R728" s="1420"/>
      <c r="S728" s="1420"/>
      <c r="T728" s="1420"/>
      <c r="U728" s="1420"/>
      <c r="V728" s="1420"/>
      <c r="W728" s="1420"/>
      <c r="X728" s="1420"/>
      <c r="Y728" s="1420"/>
      <c r="Z728" s="1420"/>
      <c r="AA728" s="1420"/>
      <c r="AB728" s="1420"/>
      <c r="AC728" s="536"/>
      <c r="AD728" s="536"/>
      <c r="AE728" s="536"/>
      <c r="AF728" s="1331" t="s">
        <v>1345</v>
      </c>
      <c r="AG728" s="1331"/>
      <c r="AH728" s="1331"/>
      <c r="AI728" s="1331"/>
      <c r="AJ728" s="1331"/>
      <c r="AK728" s="1331"/>
      <c r="AL728" s="1331"/>
      <c r="AM728" s="549"/>
      <c r="AN728" s="680"/>
      <c r="AP728" s="568" t="s">
        <v>1423</v>
      </c>
    </row>
    <row r="729" spans="1:43" s="568" customFormat="1" ht="12" customHeight="1">
      <c r="A729" s="549"/>
      <c r="B729" s="536"/>
      <c r="C729" s="929"/>
      <c r="D729" s="659"/>
      <c r="E729" s="1420"/>
      <c r="F729" s="1420"/>
      <c r="G729" s="1420"/>
      <c r="H729" s="1420"/>
      <c r="I729" s="1420"/>
      <c r="J729" s="1420"/>
      <c r="K729" s="1420"/>
      <c r="L729" s="1420"/>
      <c r="M729" s="1420"/>
      <c r="N729" s="1420"/>
      <c r="O729" s="1420"/>
      <c r="P729" s="1420"/>
      <c r="Q729" s="1420"/>
      <c r="R729" s="1420"/>
      <c r="S729" s="1420"/>
      <c r="T729" s="1420"/>
      <c r="U729" s="1420"/>
      <c r="V729" s="1420"/>
      <c r="W729" s="1420"/>
      <c r="X729" s="1420"/>
      <c r="Y729" s="1420"/>
      <c r="Z729" s="1420"/>
      <c r="AA729" s="1420"/>
      <c r="AB729" s="1420"/>
      <c r="AC729" s="536"/>
      <c r="AD729" s="536"/>
      <c r="AE729" s="536"/>
      <c r="AF729" s="536"/>
      <c r="AG729" s="536"/>
      <c r="AH729" s="536"/>
      <c r="AI729" s="536"/>
      <c r="AJ729" s="536"/>
      <c r="AK729" s="536"/>
      <c r="AL729" s="536"/>
      <c r="AM729" s="549"/>
      <c r="AN729" s="680"/>
      <c r="AP729" s="568" t="s">
        <v>1424</v>
      </c>
    </row>
    <row r="730" spans="1:43" s="568" customFormat="1" ht="13.95" customHeight="1">
      <c r="A730" s="549"/>
      <c r="B730" s="608"/>
      <c r="C730" s="927"/>
      <c r="D730" s="659"/>
      <c r="E730" s="1420"/>
      <c r="F730" s="1420"/>
      <c r="G730" s="1420"/>
      <c r="H730" s="1420"/>
      <c r="I730" s="1420"/>
      <c r="J730" s="1420"/>
      <c r="K730" s="1420"/>
      <c r="L730" s="1420"/>
      <c r="M730" s="1420"/>
      <c r="N730" s="1420"/>
      <c r="O730" s="1420"/>
      <c r="P730" s="1420"/>
      <c r="Q730" s="1420"/>
      <c r="R730" s="1420"/>
      <c r="S730" s="1420"/>
      <c r="T730" s="1420"/>
      <c r="U730" s="1420"/>
      <c r="V730" s="1420"/>
      <c r="W730" s="1420"/>
      <c r="X730" s="1420"/>
      <c r="Y730" s="1420"/>
      <c r="Z730" s="1420"/>
      <c r="AA730" s="1420"/>
      <c r="AB730" s="1420"/>
      <c r="AC730" s="536"/>
      <c r="AD730" s="536"/>
      <c r="AE730" s="614"/>
      <c r="AF730" s="536"/>
      <c r="AG730" s="536"/>
      <c r="AH730" s="536"/>
      <c r="AI730" s="536"/>
      <c r="AJ730" s="536"/>
      <c r="AK730" s="536"/>
      <c r="AL730" s="536"/>
      <c r="AM730" s="549"/>
      <c r="AN730" s="680"/>
      <c r="AP730" s="568" t="s">
        <v>1425</v>
      </c>
    </row>
    <row r="731" spans="1:43" s="568" customFormat="1" ht="13.95"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1427</v>
      </c>
    </row>
    <row r="732" spans="1:43" s="568" customFormat="1" ht="13.95" customHeight="1">
      <c r="A732" s="549"/>
      <c r="B732" s="536"/>
      <c r="C732" s="927"/>
      <c r="D732" s="659" t="s">
        <v>509</v>
      </c>
      <c r="E732" s="1421" t="s">
        <v>1426</v>
      </c>
      <c r="F732" s="1421"/>
      <c r="G732" s="1421"/>
      <c r="H732" s="1421"/>
      <c r="I732" s="1421"/>
      <c r="J732" s="1421"/>
      <c r="K732" s="1421"/>
      <c r="L732" s="1421"/>
      <c r="M732" s="1421"/>
      <c r="N732" s="1421"/>
      <c r="O732" s="1421"/>
      <c r="P732" s="1421"/>
      <c r="Q732" s="1421"/>
      <c r="R732" s="1421"/>
      <c r="S732" s="1421"/>
      <c r="T732" s="1421"/>
      <c r="U732" s="1421"/>
      <c r="V732" s="1421"/>
      <c r="W732" s="1421"/>
      <c r="X732" s="1421"/>
      <c r="Y732" s="1421"/>
      <c r="Z732" s="1421"/>
      <c r="AA732" s="1421"/>
      <c r="AB732" s="1421"/>
      <c r="AC732" s="536"/>
      <c r="AD732" s="536"/>
      <c r="AE732" s="536"/>
      <c r="AF732" s="1331" t="s">
        <v>1399</v>
      </c>
      <c r="AG732" s="1331"/>
      <c r="AH732" s="1331"/>
      <c r="AI732" s="1331"/>
      <c r="AJ732" s="1331"/>
      <c r="AK732" s="1331"/>
      <c r="AL732" s="1331"/>
      <c r="AM732" s="549"/>
      <c r="AN732" s="681"/>
    </row>
    <row r="733" spans="1:43" s="568" customFormat="1" ht="12.75" customHeight="1">
      <c r="A733" s="549"/>
      <c r="B733" s="536"/>
      <c r="C733" s="929"/>
      <c r="D733" s="536"/>
      <c r="E733" s="1421"/>
      <c r="F733" s="1421"/>
      <c r="G733" s="1421"/>
      <c r="H733" s="1421"/>
      <c r="I733" s="1421"/>
      <c r="J733" s="1421"/>
      <c r="K733" s="1421"/>
      <c r="L733" s="1421"/>
      <c r="M733" s="1421"/>
      <c r="N733" s="1421"/>
      <c r="O733" s="1421"/>
      <c r="P733" s="1421"/>
      <c r="Q733" s="1421"/>
      <c r="R733" s="1421"/>
      <c r="S733" s="1421"/>
      <c r="T733" s="1421"/>
      <c r="U733" s="1421"/>
      <c r="V733" s="1421"/>
      <c r="W733" s="1421"/>
      <c r="X733" s="1421"/>
      <c r="Y733" s="1421"/>
      <c r="Z733" s="1421"/>
      <c r="AA733" s="1421"/>
      <c r="AB733" s="1421"/>
      <c r="AC733" s="536"/>
      <c r="AD733" s="536"/>
      <c r="AE733" s="536"/>
      <c r="AF733" s="536"/>
      <c r="AG733" s="536"/>
      <c r="AH733" s="536"/>
      <c r="AI733" s="536"/>
      <c r="AJ733" s="536"/>
      <c r="AK733" s="536"/>
      <c r="AL733" s="536"/>
      <c r="AM733" s="549"/>
      <c r="AN733" s="680"/>
      <c r="AP733" s="549" t="s">
        <v>591</v>
      </c>
      <c r="AQ733" s="669">
        <v>0</v>
      </c>
    </row>
    <row r="734" spans="1:43" s="568" customFormat="1" ht="13.95" customHeight="1">
      <c r="A734" s="549"/>
      <c r="B734" s="536"/>
      <c r="C734" s="929"/>
      <c r="D734" s="536"/>
      <c r="E734" s="1421"/>
      <c r="F734" s="1421"/>
      <c r="G734" s="1421"/>
      <c r="H734" s="1421"/>
      <c r="I734" s="1421"/>
      <c r="J734" s="1421"/>
      <c r="K734" s="1421"/>
      <c r="L734" s="1421"/>
      <c r="M734" s="1421"/>
      <c r="N734" s="1421"/>
      <c r="O734" s="1421"/>
      <c r="P734" s="1421"/>
      <c r="Q734" s="1421"/>
      <c r="R734" s="1421"/>
      <c r="S734" s="1421"/>
      <c r="T734" s="1421"/>
      <c r="U734" s="1421"/>
      <c r="V734" s="1421"/>
      <c r="W734" s="1421"/>
      <c r="X734" s="1421"/>
      <c r="Y734" s="1421"/>
      <c r="Z734" s="1421"/>
      <c r="AA734" s="1421"/>
      <c r="AB734" s="1421"/>
      <c r="AC734" s="536"/>
      <c r="AD734" s="536"/>
      <c r="AE734" s="536"/>
      <c r="AF734" s="536"/>
      <c r="AG734" s="536"/>
      <c r="AH734" s="536"/>
      <c r="AI734" s="536"/>
      <c r="AJ734" s="536"/>
      <c r="AK734" s="536"/>
      <c r="AL734" s="536"/>
      <c r="AM734" s="549"/>
      <c r="AN734" s="680"/>
      <c r="AP734" s="609" t="s">
        <v>687</v>
      </c>
      <c r="AQ734" s="549">
        <v>3</v>
      </c>
    </row>
    <row r="735" spans="1:43" s="568" customFormat="1" ht="13.95"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3.95" customHeight="1">
      <c r="A736" s="549"/>
      <c r="B736" s="536"/>
      <c r="C736" s="929"/>
      <c r="D736" s="536" t="s">
        <v>1391</v>
      </c>
      <c r="E736" s="932"/>
      <c r="F736" s="932"/>
      <c r="G736" s="932"/>
      <c r="H736" s="1412" t="s">
        <v>591</v>
      </c>
      <c r="I736" s="1412"/>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1428</v>
      </c>
      <c r="AJ738" s="1356">
        <f>VLOOKUP($H$736,$AP$733:$AQ$735,2,FALSE)</f>
        <v>0</v>
      </c>
      <c r="AK738" s="1358"/>
      <c r="AL738" s="593"/>
      <c r="AM738" s="549"/>
      <c r="AN738" s="680"/>
      <c r="AP738" s="1356"/>
      <c r="AQ738" s="1358"/>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1429</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1348" t="s">
        <v>1684</v>
      </c>
      <c r="F742" s="1348"/>
      <c r="G742" s="1348"/>
      <c r="H742" s="1348"/>
      <c r="I742" s="1348"/>
      <c r="J742" s="1348"/>
      <c r="K742" s="1348"/>
      <c r="L742" s="1348"/>
      <c r="M742" s="1348"/>
      <c r="N742" s="1348"/>
      <c r="O742" s="1348"/>
      <c r="P742" s="1348"/>
      <c r="Q742" s="1348"/>
      <c r="R742" s="1348"/>
      <c r="S742" s="1348"/>
      <c r="T742" s="1348"/>
      <c r="U742" s="1348"/>
      <c r="V742" s="1348"/>
      <c r="W742" s="1348"/>
      <c r="X742" s="1348"/>
      <c r="Y742" s="1348"/>
      <c r="Z742" s="1348"/>
      <c r="AA742" s="1348"/>
      <c r="AB742" s="1348"/>
      <c r="AC742" s="536"/>
      <c r="AD742" s="536"/>
      <c r="AE742" s="536"/>
      <c r="AF742" s="1331" t="s">
        <v>1345</v>
      </c>
      <c r="AG742" s="1331"/>
      <c r="AH742" s="1331"/>
      <c r="AI742" s="1331"/>
      <c r="AJ742" s="1331"/>
      <c r="AK742" s="1331"/>
      <c r="AL742" s="1331"/>
      <c r="AM742" s="549"/>
      <c r="AN742" s="680"/>
      <c r="AT742" s="14"/>
      <c r="AU742" s="14"/>
      <c r="AV742" s="14"/>
      <c r="AW742" s="14"/>
      <c r="AX742" s="14"/>
      <c r="AY742" s="14"/>
      <c r="AZ742" s="14"/>
    </row>
    <row r="743" spans="1:81" s="568" customFormat="1">
      <c r="A743" s="549"/>
      <c r="B743" s="536"/>
      <c r="C743" s="929"/>
      <c r="D743" s="659"/>
      <c r="E743" s="1348"/>
      <c r="F743" s="1348"/>
      <c r="G743" s="1348"/>
      <c r="H743" s="1348"/>
      <c r="I743" s="1348"/>
      <c r="J743" s="1348"/>
      <c r="K743" s="1348"/>
      <c r="L743" s="1348"/>
      <c r="M743" s="1348"/>
      <c r="N743" s="1348"/>
      <c r="O743" s="1348"/>
      <c r="P743" s="1348"/>
      <c r="Q743" s="1348"/>
      <c r="R743" s="1348"/>
      <c r="S743" s="1348"/>
      <c r="T743" s="1348"/>
      <c r="U743" s="1348"/>
      <c r="V743" s="1348"/>
      <c r="W743" s="1348"/>
      <c r="X743" s="1348"/>
      <c r="Y743" s="1348"/>
      <c r="Z743" s="1348"/>
      <c r="AA743" s="1348"/>
      <c r="AB743" s="1348"/>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1348" t="s">
        <v>1430</v>
      </c>
      <c r="F745" s="1348"/>
      <c r="G745" s="1348"/>
      <c r="H745" s="1348"/>
      <c r="I745" s="1348"/>
      <c r="J745" s="1348"/>
      <c r="K745" s="1348"/>
      <c r="L745" s="1348"/>
      <c r="M745" s="1348"/>
      <c r="N745" s="1348"/>
      <c r="O745" s="1348"/>
      <c r="P745" s="1348"/>
      <c r="Q745" s="1348"/>
      <c r="R745" s="1348"/>
      <c r="S745" s="1348"/>
      <c r="T745" s="1348"/>
      <c r="U745" s="1348"/>
      <c r="V745" s="1348"/>
      <c r="W745" s="1348"/>
      <c r="X745" s="1348"/>
      <c r="Y745" s="1348"/>
      <c r="Z745" s="1348"/>
      <c r="AA745" s="1348"/>
      <c r="AB745" s="1348"/>
      <c r="AC745" s="536"/>
      <c r="AD745" s="536"/>
      <c r="AE745" s="536"/>
      <c r="AF745" s="1331" t="s">
        <v>1399</v>
      </c>
      <c r="AG745" s="1331"/>
      <c r="AH745" s="1331"/>
      <c r="AI745" s="1331"/>
      <c r="AJ745" s="1331"/>
      <c r="AK745" s="1331"/>
      <c r="AL745" s="1331"/>
      <c r="AM745" s="549"/>
      <c r="AN745" s="680"/>
      <c r="AT745" s="14"/>
      <c r="AU745" s="14"/>
      <c r="AV745" s="14"/>
      <c r="AW745" s="14"/>
      <c r="AX745" s="14"/>
      <c r="AY745" s="14"/>
      <c r="AZ745" s="14"/>
    </row>
    <row r="746" spans="1:81" s="568" customFormat="1">
      <c r="A746" s="549"/>
      <c r="B746" s="536"/>
      <c r="C746" s="929"/>
      <c r="D746" s="536"/>
      <c r="E746" s="1348"/>
      <c r="F746" s="1348"/>
      <c r="G746" s="1348"/>
      <c r="H746" s="1348"/>
      <c r="I746" s="1348"/>
      <c r="J746" s="1348"/>
      <c r="K746" s="1348"/>
      <c r="L746" s="1348"/>
      <c r="M746" s="1348"/>
      <c r="N746" s="1348"/>
      <c r="O746" s="1348"/>
      <c r="P746" s="1348"/>
      <c r="Q746" s="1348"/>
      <c r="R746" s="1348"/>
      <c r="S746" s="1348"/>
      <c r="T746" s="1348"/>
      <c r="U746" s="1348"/>
      <c r="V746" s="1348"/>
      <c r="W746" s="1348"/>
      <c r="X746" s="1348"/>
      <c r="Y746" s="1348"/>
      <c r="Z746" s="1348"/>
      <c r="AA746" s="1348"/>
      <c r="AB746" s="1348"/>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1391</v>
      </c>
      <c r="E748" s="932"/>
      <c r="F748" s="932"/>
      <c r="G748" s="932"/>
      <c r="H748" s="1412" t="s">
        <v>591</v>
      </c>
      <c r="I748" s="1412"/>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1431</v>
      </c>
      <c r="AJ750" s="1356">
        <f>VLOOKUP($H$748,$AO$679:$AP$681,2,FALSE)</f>
        <v>0</v>
      </c>
      <c r="AK750" s="1358"/>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1432</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1348" t="s">
        <v>1433</v>
      </c>
      <c r="F754" s="1348"/>
      <c r="G754" s="1348"/>
      <c r="H754" s="1348"/>
      <c r="I754" s="1348"/>
      <c r="J754" s="1348"/>
      <c r="K754" s="1348"/>
      <c r="L754" s="1348"/>
      <c r="M754" s="1348"/>
      <c r="N754" s="1348"/>
      <c r="O754" s="1348"/>
      <c r="P754" s="1348"/>
      <c r="Q754" s="1348"/>
      <c r="R754" s="1348"/>
      <c r="S754" s="1348"/>
      <c r="T754" s="1348"/>
      <c r="U754" s="1348"/>
      <c r="V754" s="1348"/>
      <c r="W754" s="1348"/>
      <c r="X754" s="1348"/>
      <c r="Y754" s="1348"/>
      <c r="Z754" s="1348"/>
      <c r="AA754" s="1348"/>
      <c r="AB754" s="1348"/>
      <c r="AC754" s="536"/>
      <c r="AD754" s="536"/>
      <c r="AE754" s="536"/>
      <c r="AF754" s="1331" t="s">
        <v>1345</v>
      </c>
      <c r="AG754" s="1331"/>
      <c r="AH754" s="1331"/>
      <c r="AI754" s="1331"/>
      <c r="AJ754" s="1331"/>
      <c r="AK754" s="1331"/>
      <c r="AL754" s="1331"/>
      <c r="AM754" s="549"/>
      <c r="AN754" s="680"/>
      <c r="AT754" s="14"/>
      <c r="AU754" s="14"/>
      <c r="AV754" s="14"/>
      <c r="AW754" s="14"/>
      <c r="AX754" s="14"/>
      <c r="AY754" s="14"/>
      <c r="AZ754" s="14"/>
    </row>
    <row r="755" spans="1:81" s="568" customFormat="1">
      <c r="A755" s="549"/>
      <c r="B755" s="536"/>
      <c r="C755" s="927"/>
      <c r="D755" s="659"/>
      <c r="E755" s="1348"/>
      <c r="F755" s="1348"/>
      <c r="G755" s="1348"/>
      <c r="H755" s="1348"/>
      <c r="I755" s="1348"/>
      <c r="J755" s="1348"/>
      <c r="K755" s="1348"/>
      <c r="L755" s="1348"/>
      <c r="M755" s="1348"/>
      <c r="N755" s="1348"/>
      <c r="O755" s="1348"/>
      <c r="P755" s="1348"/>
      <c r="Q755" s="1348"/>
      <c r="R755" s="1348"/>
      <c r="S755" s="1348"/>
      <c r="T755" s="1348"/>
      <c r="U755" s="1348"/>
      <c r="V755" s="1348"/>
      <c r="W755" s="1348"/>
      <c r="X755" s="1348"/>
      <c r="Y755" s="1348"/>
      <c r="Z755" s="1348"/>
      <c r="AA755" s="1348"/>
      <c r="AB755" s="1348"/>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1348"/>
      <c r="F756" s="1348"/>
      <c r="G756" s="1348"/>
      <c r="H756" s="1348"/>
      <c r="I756" s="1348"/>
      <c r="J756" s="1348"/>
      <c r="K756" s="1348"/>
      <c r="L756" s="1348"/>
      <c r="M756" s="1348"/>
      <c r="N756" s="1348"/>
      <c r="O756" s="1348"/>
      <c r="P756" s="1348"/>
      <c r="Q756" s="1348"/>
      <c r="R756" s="1348"/>
      <c r="S756" s="1348"/>
      <c r="T756" s="1348"/>
      <c r="U756" s="1348"/>
      <c r="V756" s="1348"/>
      <c r="W756" s="1348"/>
      <c r="X756" s="1348"/>
      <c r="Y756" s="1348"/>
      <c r="Z756" s="1348"/>
      <c r="AA756" s="1348"/>
      <c r="AB756" s="1348"/>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1348"/>
      <c r="F757" s="1348"/>
      <c r="G757" s="1348"/>
      <c r="H757" s="1348"/>
      <c r="I757" s="1348"/>
      <c r="J757" s="1348"/>
      <c r="K757" s="1348"/>
      <c r="L757" s="1348"/>
      <c r="M757" s="1348"/>
      <c r="N757" s="1348"/>
      <c r="O757" s="1348"/>
      <c r="P757" s="1348"/>
      <c r="Q757" s="1348"/>
      <c r="R757" s="1348"/>
      <c r="S757" s="1348"/>
      <c r="T757" s="1348"/>
      <c r="U757" s="1348"/>
      <c r="V757" s="1348"/>
      <c r="W757" s="1348"/>
      <c r="X757" s="1348"/>
      <c r="Y757" s="1348"/>
      <c r="Z757" s="1348"/>
      <c r="AA757" s="1348"/>
      <c r="AB757" s="1348"/>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1348" t="s">
        <v>1434</v>
      </c>
      <c r="F759" s="1348"/>
      <c r="G759" s="1348"/>
      <c r="H759" s="1348"/>
      <c r="I759" s="1348"/>
      <c r="J759" s="1348"/>
      <c r="K759" s="1348"/>
      <c r="L759" s="1348"/>
      <c r="M759" s="1348"/>
      <c r="N759" s="1348"/>
      <c r="O759" s="1348"/>
      <c r="P759" s="1348"/>
      <c r="Q759" s="1348"/>
      <c r="R759" s="1348"/>
      <c r="S759" s="1348"/>
      <c r="T759" s="1348"/>
      <c r="U759" s="1348"/>
      <c r="V759" s="1348"/>
      <c r="W759" s="1348"/>
      <c r="X759" s="1348"/>
      <c r="Y759" s="1348"/>
      <c r="Z759" s="1348"/>
      <c r="AA759" s="1348"/>
      <c r="AB759" s="573"/>
      <c r="AC759" s="536"/>
      <c r="AD759" s="536"/>
      <c r="AE759" s="536"/>
      <c r="AF759" s="1331" t="s">
        <v>1399</v>
      </c>
      <c r="AG759" s="1331"/>
      <c r="AH759" s="1331"/>
      <c r="AI759" s="1331"/>
      <c r="AJ759" s="1331"/>
      <c r="AK759" s="1331"/>
      <c r="AL759" s="1331"/>
      <c r="AM759" s="549"/>
      <c r="AN759" s="680"/>
      <c r="AO759" s="30"/>
      <c r="AP759" s="14"/>
    </row>
    <row r="760" spans="1:81" s="568" customFormat="1">
      <c r="A760" s="549"/>
      <c r="B760" s="536"/>
      <c r="C760" s="927"/>
      <c r="D760" s="659"/>
      <c r="E760" s="1348"/>
      <c r="F760" s="1348"/>
      <c r="G760" s="1348"/>
      <c r="H760" s="1348"/>
      <c r="I760" s="1348"/>
      <c r="J760" s="1348"/>
      <c r="K760" s="1348"/>
      <c r="L760" s="1348"/>
      <c r="M760" s="1348"/>
      <c r="N760" s="1348"/>
      <c r="O760" s="1348"/>
      <c r="P760" s="1348"/>
      <c r="Q760" s="1348"/>
      <c r="R760" s="1348"/>
      <c r="S760" s="1348"/>
      <c r="T760" s="1348"/>
      <c r="U760" s="1348"/>
      <c r="V760" s="1348"/>
      <c r="W760" s="1348"/>
      <c r="X760" s="1348"/>
      <c r="Y760" s="1348"/>
      <c r="Z760" s="1348"/>
      <c r="AA760" s="1348"/>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1348"/>
      <c r="F761" s="1348"/>
      <c r="G761" s="1348"/>
      <c r="H761" s="1348"/>
      <c r="I761" s="1348"/>
      <c r="J761" s="1348"/>
      <c r="K761" s="1348"/>
      <c r="L761" s="1348"/>
      <c r="M761" s="1348"/>
      <c r="N761" s="1348"/>
      <c r="O761" s="1348"/>
      <c r="P761" s="1348"/>
      <c r="Q761" s="1348"/>
      <c r="R761" s="1348"/>
      <c r="S761" s="1348"/>
      <c r="T761" s="1348"/>
      <c r="U761" s="1348"/>
      <c r="V761" s="1348"/>
      <c r="W761" s="1348"/>
      <c r="X761" s="1348"/>
      <c r="Y761" s="1348"/>
      <c r="Z761" s="1348"/>
      <c r="AA761" s="1348"/>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1348"/>
      <c r="F762" s="1348"/>
      <c r="G762" s="1348"/>
      <c r="H762" s="1348"/>
      <c r="I762" s="1348"/>
      <c r="J762" s="1348"/>
      <c r="K762" s="1348"/>
      <c r="L762" s="1348"/>
      <c r="M762" s="1348"/>
      <c r="N762" s="1348"/>
      <c r="O762" s="1348"/>
      <c r="P762" s="1348"/>
      <c r="Q762" s="1348"/>
      <c r="R762" s="1348"/>
      <c r="S762" s="1348"/>
      <c r="T762" s="1348"/>
      <c r="U762" s="1348"/>
      <c r="V762" s="1348"/>
      <c r="W762" s="1348"/>
      <c r="X762" s="1348"/>
      <c r="Y762" s="1348"/>
      <c r="Z762" s="1348"/>
      <c r="AA762" s="1348"/>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1391</v>
      </c>
      <c r="E764" s="932"/>
      <c r="F764" s="932"/>
      <c r="G764" s="932"/>
      <c r="H764" s="1412" t="s">
        <v>509</v>
      </c>
      <c r="I764" s="1412"/>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1435</v>
      </c>
      <c r="AJ766" s="1356">
        <f>VLOOKUP($H$764,$AO$693:$AP$695,2,FALSE)</f>
        <v>2</v>
      </c>
      <c r="AK766" s="1358"/>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1425</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1348" t="s">
        <v>1436</v>
      </c>
      <c r="F770" s="1348"/>
      <c r="G770" s="1348"/>
      <c r="H770" s="1348"/>
      <c r="I770" s="1348"/>
      <c r="J770" s="1348"/>
      <c r="K770" s="1348"/>
      <c r="L770" s="1348"/>
      <c r="M770" s="1348"/>
      <c r="N770" s="1348"/>
      <c r="O770" s="1348"/>
      <c r="P770" s="1348"/>
      <c r="Q770" s="1348"/>
      <c r="R770" s="1348"/>
      <c r="S770" s="1348"/>
      <c r="T770" s="1348"/>
      <c r="U770" s="1348"/>
      <c r="V770" s="1348"/>
      <c r="W770" s="1348"/>
      <c r="X770" s="1348"/>
      <c r="Y770" s="1348"/>
      <c r="Z770" s="1348"/>
      <c r="AA770" s="1348"/>
      <c r="AB770" s="1348"/>
      <c r="AC770" s="536"/>
      <c r="AD770" s="536"/>
      <c r="AE770" s="536"/>
      <c r="AF770" s="1331" t="s">
        <v>1399</v>
      </c>
      <c r="AG770" s="1331"/>
      <c r="AH770" s="1331"/>
      <c r="AI770" s="1331"/>
      <c r="AJ770" s="1331"/>
      <c r="AK770" s="1331"/>
      <c r="AL770" s="1331"/>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1348"/>
      <c r="F771" s="1348"/>
      <c r="G771" s="1348"/>
      <c r="H771" s="1348"/>
      <c r="I771" s="1348"/>
      <c r="J771" s="1348"/>
      <c r="K771" s="1348"/>
      <c r="L771" s="1348"/>
      <c r="M771" s="1348"/>
      <c r="N771" s="1348"/>
      <c r="O771" s="1348"/>
      <c r="P771" s="1348"/>
      <c r="Q771" s="1348"/>
      <c r="R771" s="1348"/>
      <c r="S771" s="1348"/>
      <c r="T771" s="1348"/>
      <c r="U771" s="1348"/>
      <c r="V771" s="1348"/>
      <c r="W771" s="1348"/>
      <c r="X771" s="1348"/>
      <c r="Y771" s="1348"/>
      <c r="Z771" s="1348"/>
      <c r="AA771" s="1348"/>
      <c r="AB771" s="1348"/>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1348" t="s">
        <v>1437</v>
      </c>
      <c r="F773" s="1348"/>
      <c r="G773" s="1348"/>
      <c r="H773" s="1348"/>
      <c r="I773" s="1348"/>
      <c r="J773" s="1348"/>
      <c r="K773" s="1348"/>
      <c r="L773" s="1348"/>
      <c r="M773" s="1348"/>
      <c r="N773" s="1348"/>
      <c r="O773" s="1348"/>
      <c r="P773" s="1348"/>
      <c r="Q773" s="1348"/>
      <c r="R773" s="1348"/>
      <c r="S773" s="1348"/>
      <c r="T773" s="1348"/>
      <c r="U773" s="1348"/>
      <c r="V773" s="1348"/>
      <c r="W773" s="1348"/>
      <c r="X773" s="1348"/>
      <c r="Y773" s="1348"/>
      <c r="Z773" s="1348"/>
      <c r="AA773" s="1348"/>
      <c r="AB773" s="1348"/>
      <c r="AC773" s="536"/>
      <c r="AD773" s="536"/>
      <c r="AE773" s="536"/>
      <c r="AF773" s="1331" t="s">
        <v>1416</v>
      </c>
      <c r="AG773" s="1331"/>
      <c r="AH773" s="1331"/>
      <c r="AI773" s="1331"/>
      <c r="AJ773" s="1331"/>
      <c r="AK773" s="1331"/>
      <c r="AL773" s="1331"/>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1348"/>
      <c r="F774" s="1348"/>
      <c r="G774" s="1348"/>
      <c r="H774" s="1348"/>
      <c r="I774" s="1348"/>
      <c r="J774" s="1348"/>
      <c r="K774" s="1348"/>
      <c r="L774" s="1348"/>
      <c r="M774" s="1348"/>
      <c r="N774" s="1348"/>
      <c r="O774" s="1348"/>
      <c r="P774" s="1348"/>
      <c r="Q774" s="1348"/>
      <c r="R774" s="1348"/>
      <c r="S774" s="1348"/>
      <c r="T774" s="1348"/>
      <c r="U774" s="1348"/>
      <c r="V774" s="1348"/>
      <c r="W774" s="1348"/>
      <c r="X774" s="1348"/>
      <c r="Y774" s="1348"/>
      <c r="Z774" s="1348"/>
      <c r="AA774" s="1348"/>
      <c r="AB774" s="1348"/>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1391</v>
      </c>
      <c r="E776" s="932"/>
      <c r="F776" s="932"/>
      <c r="G776" s="932"/>
      <c r="H776" s="1412" t="s">
        <v>687</v>
      </c>
      <c r="I776" s="1412"/>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5"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1438</v>
      </c>
      <c r="AJ778" s="1356">
        <f>VLOOKUP($H$776,$AO$710:$AP$712,2,FALSE)</f>
        <v>2</v>
      </c>
      <c r="AK778" s="1358"/>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1427</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8" customHeight="1">
      <c r="A782" s="549"/>
      <c r="B782" s="614"/>
      <c r="C782" s="936"/>
      <c r="D782" s="659" t="s">
        <v>687</v>
      </c>
      <c r="E782" s="1348" t="s">
        <v>1680</v>
      </c>
      <c r="F782" s="1348"/>
      <c r="G782" s="1348"/>
      <c r="H782" s="1348"/>
      <c r="I782" s="1348"/>
      <c r="J782" s="1348"/>
      <c r="K782" s="1348"/>
      <c r="L782" s="1348"/>
      <c r="M782" s="1348"/>
      <c r="N782" s="1348"/>
      <c r="O782" s="1348"/>
      <c r="P782" s="1348"/>
      <c r="Q782" s="1348"/>
      <c r="R782" s="1348"/>
      <c r="S782" s="1348"/>
      <c r="T782" s="1348"/>
      <c r="U782" s="1348"/>
      <c r="V782" s="1348"/>
      <c r="W782" s="1348"/>
      <c r="X782" s="1348"/>
      <c r="Y782" s="1348"/>
      <c r="Z782" s="1348"/>
      <c r="AA782" s="1348"/>
      <c r="AB782" s="1348"/>
      <c r="AC782" s="1348"/>
      <c r="AD782" s="1348"/>
      <c r="AE782" s="536"/>
      <c r="AF782" s="1331" t="s">
        <v>1399</v>
      </c>
      <c r="AG782" s="1331"/>
      <c r="AH782" s="1331"/>
      <c r="AI782" s="1331"/>
      <c r="AJ782" s="1331"/>
      <c r="AK782" s="1331"/>
      <c r="AL782" s="1331"/>
      <c r="AM782" s="611"/>
      <c r="AN782" s="680"/>
      <c r="AO782" s="549" t="s">
        <v>591</v>
      </c>
      <c r="AP782" s="669">
        <v>0</v>
      </c>
    </row>
    <row r="783" spans="1:74" s="568" customFormat="1" ht="13.8" customHeight="1">
      <c r="A783" s="549"/>
      <c r="B783" s="614"/>
      <c r="C783" s="936"/>
      <c r="D783" s="659"/>
      <c r="E783" s="1348"/>
      <c r="F783" s="1348"/>
      <c r="G783" s="1348"/>
      <c r="H783" s="1348"/>
      <c r="I783" s="1348"/>
      <c r="J783" s="1348"/>
      <c r="K783" s="1348"/>
      <c r="L783" s="1348"/>
      <c r="M783" s="1348"/>
      <c r="N783" s="1348"/>
      <c r="O783" s="1348"/>
      <c r="P783" s="1348"/>
      <c r="Q783" s="1348"/>
      <c r="R783" s="1348"/>
      <c r="S783" s="1348"/>
      <c r="T783" s="1348"/>
      <c r="U783" s="1348"/>
      <c r="V783" s="1348"/>
      <c r="W783" s="1348"/>
      <c r="X783" s="1348"/>
      <c r="Y783" s="1348"/>
      <c r="Z783" s="1348"/>
      <c r="AA783" s="1348"/>
      <c r="AB783" s="1348"/>
      <c r="AC783" s="1348"/>
      <c r="AD783" s="1348"/>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1348"/>
      <c r="F784" s="1348"/>
      <c r="G784" s="1348"/>
      <c r="H784" s="1348"/>
      <c r="I784" s="1348"/>
      <c r="J784" s="1348"/>
      <c r="K784" s="1348"/>
      <c r="L784" s="1348"/>
      <c r="M784" s="1348"/>
      <c r="N784" s="1348"/>
      <c r="O784" s="1348"/>
      <c r="P784" s="1348"/>
      <c r="Q784" s="1348"/>
      <c r="R784" s="1348"/>
      <c r="S784" s="1348"/>
      <c r="T784" s="1348"/>
      <c r="U784" s="1348"/>
      <c r="V784" s="1348"/>
      <c r="W784" s="1348"/>
      <c r="X784" s="1348"/>
      <c r="Y784" s="1348"/>
      <c r="Z784" s="1348"/>
      <c r="AA784" s="1348"/>
      <c r="AB784" s="1348"/>
      <c r="AC784" s="1348"/>
      <c r="AD784" s="1348"/>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75" customHeight="1">
      <c r="A785" s="549"/>
      <c r="B785" s="614"/>
      <c r="C785" s="936"/>
      <c r="D785" s="659"/>
      <c r="E785" s="1348"/>
      <c r="F785" s="1348"/>
      <c r="G785" s="1348"/>
      <c r="H785" s="1348"/>
      <c r="I785" s="1348"/>
      <c r="J785" s="1348"/>
      <c r="K785" s="1348"/>
      <c r="L785" s="1348"/>
      <c r="M785" s="1348"/>
      <c r="N785" s="1348"/>
      <c r="O785" s="1348"/>
      <c r="P785" s="1348"/>
      <c r="Q785" s="1348"/>
      <c r="R785" s="1348"/>
      <c r="S785" s="1348"/>
      <c r="T785" s="1348"/>
      <c r="U785" s="1348"/>
      <c r="V785" s="1348"/>
      <c r="W785" s="1348"/>
      <c r="X785" s="1348"/>
      <c r="Y785" s="1348"/>
      <c r="Z785" s="1348"/>
      <c r="AA785" s="1348"/>
      <c r="AB785" s="1348"/>
      <c r="AC785" s="1348"/>
      <c r="AD785" s="1348"/>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1422" t="s">
        <v>1685</v>
      </c>
      <c r="F787" s="1422"/>
      <c r="G787" s="1422"/>
      <c r="H787" s="1422"/>
      <c r="I787" s="1422"/>
      <c r="J787" s="1422"/>
      <c r="K787" s="1422"/>
      <c r="L787" s="1422"/>
      <c r="M787" s="1422"/>
      <c r="N787" s="1422"/>
      <c r="O787" s="1422"/>
      <c r="P787" s="1422"/>
      <c r="Q787" s="1422"/>
      <c r="R787" s="1422"/>
      <c r="S787" s="1422"/>
      <c r="T787" s="1422"/>
      <c r="U787" s="1422"/>
      <c r="V787" s="1422"/>
      <c r="W787" s="1422"/>
      <c r="X787" s="1422"/>
      <c r="Y787" s="1422"/>
      <c r="Z787" s="1422"/>
      <c r="AA787" s="1422"/>
      <c r="AB787" s="1422"/>
      <c r="AC787" s="1422"/>
      <c r="AD787" s="1422"/>
      <c r="AE787" s="536"/>
      <c r="AF787" s="1331" t="s">
        <v>1345</v>
      </c>
      <c r="AG787" s="1331"/>
      <c r="AH787" s="1331"/>
      <c r="AI787" s="1331"/>
      <c r="AJ787" s="1331"/>
      <c r="AK787" s="1331"/>
      <c r="AL787" s="1331"/>
      <c r="AM787" s="611"/>
      <c r="AN787" s="595"/>
    </row>
    <row r="788" spans="1:81" s="549" customFormat="1" ht="12.75" customHeight="1">
      <c r="B788" s="614"/>
      <c r="C788" s="936"/>
      <c r="D788" s="659"/>
      <c r="E788" s="1422"/>
      <c r="F788" s="1422"/>
      <c r="G788" s="1422"/>
      <c r="H788" s="1422"/>
      <c r="I788" s="1422"/>
      <c r="J788" s="1422"/>
      <c r="K788" s="1422"/>
      <c r="L788" s="1422"/>
      <c r="M788" s="1422"/>
      <c r="N788" s="1422"/>
      <c r="O788" s="1422"/>
      <c r="P788" s="1422"/>
      <c r="Q788" s="1422"/>
      <c r="R788" s="1422"/>
      <c r="S788" s="1422"/>
      <c r="T788" s="1422"/>
      <c r="U788" s="1422"/>
      <c r="V788" s="1422"/>
      <c r="W788" s="1422"/>
      <c r="X788" s="1422"/>
      <c r="Y788" s="1422"/>
      <c r="Z788" s="1422"/>
      <c r="AA788" s="1422"/>
      <c r="AB788" s="1422"/>
      <c r="AC788" s="1422"/>
      <c r="AD788" s="1422"/>
      <c r="AE788" s="592"/>
      <c r="AF788" s="592"/>
      <c r="AG788" s="592"/>
      <c r="AH788" s="592"/>
      <c r="AI788" s="592"/>
      <c r="AJ788" s="592"/>
      <c r="AK788" s="592"/>
      <c r="AL788" s="592"/>
      <c r="AM788" s="611"/>
      <c r="AN788" s="595"/>
    </row>
    <row r="789" spans="1:81" s="549" customFormat="1" ht="12.75" customHeight="1">
      <c r="B789" s="614"/>
      <c r="C789" s="936"/>
      <c r="D789" s="659"/>
      <c r="E789" s="1422"/>
      <c r="F789" s="1422"/>
      <c r="G789" s="1422"/>
      <c r="H789" s="1422"/>
      <c r="I789" s="1422"/>
      <c r="J789" s="1422"/>
      <c r="K789" s="1422"/>
      <c r="L789" s="1422"/>
      <c r="M789" s="1422"/>
      <c r="N789" s="1422"/>
      <c r="O789" s="1422"/>
      <c r="P789" s="1422"/>
      <c r="Q789" s="1422"/>
      <c r="R789" s="1422"/>
      <c r="S789" s="1422"/>
      <c r="T789" s="1422"/>
      <c r="U789" s="1422"/>
      <c r="V789" s="1422"/>
      <c r="W789" s="1422"/>
      <c r="X789" s="1422"/>
      <c r="Y789" s="1422"/>
      <c r="Z789" s="1422"/>
      <c r="AA789" s="1422"/>
      <c r="AB789" s="1422"/>
      <c r="AC789" s="1422"/>
      <c r="AD789" s="1422"/>
      <c r="AE789" s="592"/>
      <c r="AF789" s="592"/>
      <c r="AG789" s="592"/>
      <c r="AH789" s="592"/>
      <c r="AI789" s="592"/>
      <c r="AJ789" s="592"/>
      <c r="AK789" s="592"/>
      <c r="AL789" s="592"/>
      <c r="AM789" s="611"/>
      <c r="AN789" s="595"/>
    </row>
    <row r="790" spans="1:81" s="549" customFormat="1" ht="12.75" customHeight="1">
      <c r="B790" s="614"/>
      <c r="C790" s="936"/>
      <c r="D790" s="659"/>
      <c r="E790" s="1422"/>
      <c r="F790" s="1422"/>
      <c r="G790" s="1422"/>
      <c r="H790" s="1422"/>
      <c r="I790" s="1422"/>
      <c r="J790" s="1422"/>
      <c r="K790" s="1422"/>
      <c r="L790" s="1422"/>
      <c r="M790" s="1422"/>
      <c r="N790" s="1422"/>
      <c r="O790" s="1422"/>
      <c r="P790" s="1422"/>
      <c r="Q790" s="1422"/>
      <c r="R790" s="1422"/>
      <c r="S790" s="1422"/>
      <c r="T790" s="1422"/>
      <c r="U790" s="1422"/>
      <c r="V790" s="1422"/>
      <c r="W790" s="1422"/>
      <c r="X790" s="1422"/>
      <c r="Y790" s="1422"/>
      <c r="Z790" s="1422"/>
      <c r="AA790" s="1422"/>
      <c r="AB790" s="1422"/>
      <c r="AC790" s="1422"/>
      <c r="AD790" s="1422"/>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1391</v>
      </c>
      <c r="E792" s="932"/>
      <c r="F792" s="932"/>
      <c r="G792" s="932"/>
      <c r="H792" s="1412" t="s">
        <v>591</v>
      </c>
      <c r="I792" s="1412"/>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1439</v>
      </c>
      <c r="AJ794" s="1356">
        <f>VLOOKUP($H$792,$AO$782:$AP$784,2,FALSE)</f>
        <v>0</v>
      </c>
      <c r="AK794" s="1358"/>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1440</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8" customHeight="1">
      <c r="A798" s="549"/>
      <c r="B798" s="614"/>
      <c r="C798" s="936"/>
      <c r="D798" s="659" t="s">
        <v>687</v>
      </c>
      <c r="E798" s="1348" t="s">
        <v>2624</v>
      </c>
      <c r="F798" s="1348"/>
      <c r="G798" s="1348"/>
      <c r="H798" s="1348"/>
      <c r="I798" s="1348"/>
      <c r="J798" s="1348"/>
      <c r="K798" s="1348"/>
      <c r="L798" s="1348"/>
      <c r="M798" s="1348"/>
      <c r="N798" s="1348"/>
      <c r="O798" s="1348"/>
      <c r="P798" s="1348"/>
      <c r="Q798" s="1348"/>
      <c r="R798" s="1348"/>
      <c r="S798" s="1348"/>
      <c r="T798" s="1348"/>
      <c r="U798" s="1348"/>
      <c r="V798" s="1348"/>
      <c r="W798" s="1348"/>
      <c r="X798" s="1348"/>
      <c r="Y798" s="1348"/>
      <c r="Z798" s="1348"/>
      <c r="AA798" s="1348"/>
      <c r="AB798" s="1348"/>
      <c r="AC798" s="1348"/>
      <c r="AD798" s="1348"/>
      <c r="AE798" s="536"/>
      <c r="AF798" s="1331" t="s">
        <v>1345</v>
      </c>
      <c r="AG798" s="1331"/>
      <c r="AH798" s="1331"/>
      <c r="AI798" s="1331"/>
      <c r="AJ798" s="1331"/>
      <c r="AK798" s="1331"/>
      <c r="AL798" s="1331"/>
      <c r="AM798" s="611"/>
      <c r="AN798" s="680"/>
      <c r="AO798" s="609" t="s">
        <v>545</v>
      </c>
      <c r="AP798" s="549">
        <v>3</v>
      </c>
      <c r="AT798" s="670"/>
      <c r="AU798" s="670"/>
      <c r="AV798" s="670"/>
      <c r="AW798" s="670"/>
      <c r="AX798" s="670"/>
      <c r="AY798" s="670"/>
      <c r="AZ798" s="670"/>
    </row>
    <row r="799" spans="1:81" s="568" customFormat="1" ht="13.8" customHeight="1">
      <c r="A799" s="549"/>
      <c r="B799" s="614"/>
      <c r="C799" s="936"/>
      <c r="D799" s="659"/>
      <c r="E799" s="1348"/>
      <c r="F799" s="1348"/>
      <c r="G799" s="1348"/>
      <c r="H799" s="1348"/>
      <c r="I799" s="1348"/>
      <c r="J799" s="1348"/>
      <c r="K799" s="1348"/>
      <c r="L799" s="1348"/>
      <c r="M799" s="1348"/>
      <c r="N799" s="1348"/>
      <c r="O799" s="1348"/>
      <c r="P799" s="1348"/>
      <c r="Q799" s="1348"/>
      <c r="R799" s="1348"/>
      <c r="S799" s="1348"/>
      <c r="T799" s="1348"/>
      <c r="U799" s="1348"/>
      <c r="V799" s="1348"/>
      <c r="W799" s="1348"/>
      <c r="X799" s="1348"/>
      <c r="Y799" s="1348"/>
      <c r="Z799" s="1348"/>
      <c r="AA799" s="1348"/>
      <c r="AB799" s="1348"/>
      <c r="AC799" s="1348"/>
      <c r="AD799" s="1348"/>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1348"/>
      <c r="F800" s="1348"/>
      <c r="G800" s="1348"/>
      <c r="H800" s="1348"/>
      <c r="I800" s="1348"/>
      <c r="J800" s="1348"/>
      <c r="K800" s="1348"/>
      <c r="L800" s="1348"/>
      <c r="M800" s="1348"/>
      <c r="N800" s="1348"/>
      <c r="O800" s="1348"/>
      <c r="P800" s="1348"/>
      <c r="Q800" s="1348"/>
      <c r="R800" s="1348"/>
      <c r="S800" s="1348"/>
      <c r="T800" s="1348"/>
      <c r="U800" s="1348"/>
      <c r="V800" s="1348"/>
      <c r="W800" s="1348"/>
      <c r="X800" s="1348"/>
      <c r="Y800" s="1348"/>
      <c r="Z800" s="1348"/>
      <c r="AA800" s="1348"/>
      <c r="AB800" s="1348"/>
      <c r="AC800" s="1348"/>
      <c r="AD800" s="1348"/>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1348"/>
      <c r="F801" s="1348"/>
      <c r="G801" s="1348"/>
      <c r="H801" s="1348"/>
      <c r="I801" s="1348"/>
      <c r="J801" s="1348"/>
      <c r="K801" s="1348"/>
      <c r="L801" s="1348"/>
      <c r="M801" s="1348"/>
      <c r="N801" s="1348"/>
      <c r="O801" s="1348"/>
      <c r="P801" s="1348"/>
      <c r="Q801" s="1348"/>
      <c r="R801" s="1348"/>
      <c r="S801" s="1348"/>
      <c r="T801" s="1348"/>
      <c r="U801" s="1348"/>
      <c r="V801" s="1348"/>
      <c r="W801" s="1348"/>
      <c r="X801" s="1348"/>
      <c r="Y801" s="1348"/>
      <c r="Z801" s="1348"/>
      <c r="AA801" s="1348"/>
      <c r="AB801" s="1348"/>
      <c r="AC801" s="1348"/>
      <c r="AD801" s="1348"/>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1391</v>
      </c>
      <c r="E803" s="932"/>
      <c r="F803" s="932"/>
      <c r="G803" s="932"/>
      <c r="H803" s="1412" t="s">
        <v>545</v>
      </c>
      <c r="I803" s="1412"/>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1441</v>
      </c>
      <c r="AJ805" s="1356">
        <f>VLOOKUP($H$803,$AO$797:$AP$798,2,FALSE)</f>
        <v>3</v>
      </c>
      <c r="AK805" s="1358"/>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2585</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1348" t="s">
        <v>2586</v>
      </c>
      <c r="F809" s="1348"/>
      <c r="G809" s="1348"/>
      <c r="H809" s="1348"/>
      <c r="I809" s="1348"/>
      <c r="J809" s="1348"/>
      <c r="K809" s="1348"/>
      <c r="L809" s="1348"/>
      <c r="M809" s="1348"/>
      <c r="N809" s="1348"/>
      <c r="O809" s="1348"/>
      <c r="P809" s="1348"/>
      <c r="Q809" s="1348"/>
      <c r="R809" s="1348"/>
      <c r="S809" s="1348"/>
      <c r="T809" s="1348"/>
      <c r="U809" s="1348"/>
      <c r="V809" s="1348"/>
      <c r="W809" s="1348"/>
      <c r="X809" s="1348"/>
      <c r="Y809" s="1348"/>
      <c r="Z809" s="1348"/>
      <c r="AA809" s="1348"/>
      <c r="AB809" s="1348"/>
      <c r="AC809" s="1348"/>
      <c r="AD809" s="1348"/>
      <c r="AE809" s="550"/>
      <c r="AF809" s="1331" t="s">
        <v>1370</v>
      </c>
      <c r="AG809" s="1331"/>
      <c r="AH809" s="1331"/>
      <c r="AI809" s="1331"/>
      <c r="AJ809" s="1331"/>
      <c r="AK809" s="1331"/>
      <c r="AL809" s="1331"/>
      <c r="AN809" s="595"/>
    </row>
    <row r="810" spans="1:81" s="549" customFormat="1" ht="12.75" customHeight="1">
      <c r="B810" s="614"/>
      <c r="C810" s="684"/>
      <c r="D810" s="659"/>
      <c r="E810" s="1348"/>
      <c r="F810" s="1348"/>
      <c r="G810" s="1348"/>
      <c r="H810" s="1348"/>
      <c r="I810" s="1348"/>
      <c r="J810" s="1348"/>
      <c r="K810" s="1348"/>
      <c r="L810" s="1348"/>
      <c r="M810" s="1348"/>
      <c r="N810" s="1348"/>
      <c r="O810" s="1348"/>
      <c r="P810" s="1348"/>
      <c r="Q810" s="1348"/>
      <c r="R810" s="1348"/>
      <c r="S810" s="1348"/>
      <c r="T810" s="1348"/>
      <c r="U810" s="1348"/>
      <c r="V810" s="1348"/>
      <c r="W810" s="1348"/>
      <c r="X810" s="1348"/>
      <c r="Y810" s="1348"/>
      <c r="Z810" s="1348"/>
      <c r="AA810" s="1348"/>
      <c r="AB810" s="1348"/>
      <c r="AC810" s="1348"/>
      <c r="AD810" s="1348"/>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1391</v>
      </c>
      <c r="E812" s="932"/>
      <c r="F812" s="932"/>
      <c r="G812" s="932"/>
      <c r="H812" s="1412" t="s">
        <v>591</v>
      </c>
      <c r="I812" s="1412"/>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2587</v>
      </c>
      <c r="AJ814" s="1356">
        <f>IF(H812="Yes",5,0)</f>
        <v>0</v>
      </c>
      <c r="AK814" s="1358"/>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1442</v>
      </c>
      <c r="AK816" s="1356">
        <f>IF(($AJ$634+$AJ$653+$AJ$665+$AJ$700+$AJ$724+$AJ$738+$AJ$750+$AJ$766+$AJ$778+$AJ$794+AJ805+AJ814)&gt;10,10,($AJ$634+$AJ$653+$AJ$665+$AJ$700+$AJ$724+$AJ$738+$AJ$750+$AJ$766+$AJ$778+$AJ$794+AJ805+AJ814))</f>
        <v>10</v>
      </c>
      <c r="AL816" s="1357"/>
      <c r="AM816" s="1358"/>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1444" t="s">
        <v>1557</v>
      </c>
      <c r="B819" s="1445"/>
      <c r="C819" s="1445"/>
      <c r="D819" s="1445"/>
      <c r="E819" s="1445"/>
      <c r="F819" s="1445"/>
      <c r="G819" s="1445"/>
      <c r="H819" s="1445"/>
      <c r="I819" s="1445"/>
      <c r="J819" s="1445"/>
      <c r="K819" s="1445"/>
      <c r="L819" s="1445"/>
      <c r="M819" s="1445"/>
      <c r="N819" s="1445"/>
      <c r="O819" s="1445"/>
      <c r="P819" s="1445"/>
      <c r="Q819" s="1445"/>
      <c r="R819" s="1445"/>
      <c r="S819" s="1445"/>
      <c r="T819" s="1445"/>
      <c r="U819" s="1445"/>
      <c r="V819" s="1445"/>
      <c r="W819" s="1445"/>
      <c r="X819" s="1445"/>
      <c r="Y819" s="1445"/>
      <c r="Z819" s="1445"/>
      <c r="AA819" s="1445"/>
      <c r="AB819" s="1445"/>
      <c r="AC819" s="1445"/>
      <c r="AD819" s="1445"/>
      <c r="AE819" s="1445"/>
      <c r="AF819" s="1445"/>
      <c r="AG819" s="1445"/>
      <c r="AH819" s="1445"/>
      <c r="AI819" s="1445"/>
      <c r="AJ819" s="1445"/>
      <c r="AK819" s="1445"/>
      <c r="AL819" s="1445"/>
      <c r="AM819" s="1445"/>
    </row>
    <row r="820" spans="1:43">
      <c r="A820" s="1446"/>
      <c r="B820" s="1446"/>
      <c r="C820" s="1446"/>
      <c r="D820" s="1446"/>
      <c r="E820" s="1446"/>
      <c r="F820" s="1446"/>
      <c r="G820" s="1446"/>
      <c r="H820" s="1446"/>
      <c r="I820" s="1446"/>
      <c r="J820" s="1446"/>
      <c r="K820" s="1446"/>
      <c r="L820" s="1446"/>
      <c r="M820" s="1446"/>
      <c r="N820" s="1446"/>
      <c r="O820" s="1446"/>
      <c r="P820" s="1446"/>
      <c r="Q820" s="1446"/>
      <c r="R820" s="1446"/>
      <c r="S820" s="1446"/>
      <c r="T820" s="1446"/>
      <c r="U820" s="1446"/>
      <c r="V820" s="1446"/>
      <c r="W820" s="1446"/>
      <c r="X820" s="1446"/>
      <c r="Y820" s="1446"/>
      <c r="Z820" s="1446"/>
      <c r="AA820" s="1446"/>
      <c r="AB820" s="1446"/>
      <c r="AC820" s="1446"/>
      <c r="AD820" s="1446"/>
      <c r="AE820" s="1446"/>
      <c r="AF820" s="1446"/>
      <c r="AG820" s="1446"/>
      <c r="AH820" s="1446"/>
      <c r="AI820" s="1446"/>
      <c r="AJ820" s="1446"/>
      <c r="AK820" s="1446"/>
      <c r="AL820" s="1446"/>
      <c r="AM820" s="1446"/>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1395"/>
      <c r="B822" s="1395"/>
      <c r="C822" s="1395"/>
      <c r="D822" s="1395"/>
      <c r="E822" s="1395"/>
      <c r="F822" s="1395"/>
      <c r="G822" s="1395"/>
      <c r="H822" s="1395"/>
      <c r="I822" s="1395"/>
      <c r="J822" s="1395"/>
      <c r="K822" s="1395"/>
      <c r="L822" s="1395"/>
      <c r="M822" s="1395"/>
      <c r="N822" s="1395"/>
      <c r="O822" s="1395"/>
      <c r="P822" s="1395"/>
      <c r="Q822" s="1395"/>
      <c r="R822" s="1395"/>
      <c r="S822" s="1395"/>
      <c r="T822" s="1395"/>
      <c r="U822" s="1395"/>
      <c r="V822" s="1395"/>
      <c r="W822" s="1395"/>
      <c r="X822" s="1395"/>
      <c r="Y822" s="1395"/>
      <c r="Z822" s="1395"/>
      <c r="AA822" s="1395"/>
      <c r="AB822" s="1395"/>
      <c r="AC822" s="1395"/>
      <c r="AD822" s="1395"/>
      <c r="AE822" s="1395"/>
      <c r="AF822" s="1395"/>
      <c r="AG822" s="1395"/>
      <c r="AH822" s="1395"/>
      <c r="AI822" s="1395"/>
      <c r="AJ822" s="1395"/>
      <c r="AK822" s="1395"/>
      <c r="AL822" s="1395"/>
      <c r="AM822" s="1395"/>
      <c r="AP822" s="812"/>
      <c r="AQ822" s="812"/>
    </row>
    <row r="823" spans="1:43">
      <c r="A823" s="1395"/>
      <c r="B823" s="1395"/>
      <c r="C823" s="1395"/>
      <c r="D823" s="1395"/>
      <c r="E823" s="1395"/>
      <c r="F823" s="1395"/>
      <c r="G823" s="1395"/>
      <c r="H823" s="1395"/>
      <c r="I823" s="1395"/>
      <c r="J823" s="1395"/>
      <c r="K823" s="1395"/>
      <c r="L823" s="1395"/>
      <c r="M823" s="1395"/>
      <c r="N823" s="1395"/>
      <c r="O823" s="1395"/>
      <c r="P823" s="1395"/>
      <c r="Q823" s="1395"/>
      <c r="R823" s="1395"/>
      <c r="S823" s="1395"/>
      <c r="T823" s="1395"/>
      <c r="U823" s="1395"/>
      <c r="V823" s="1395"/>
      <c r="W823" s="1395"/>
      <c r="X823" s="1395"/>
      <c r="Y823" s="1395"/>
      <c r="Z823" s="1395"/>
      <c r="AA823" s="1395"/>
      <c r="AB823" s="1395"/>
      <c r="AC823" s="1395"/>
      <c r="AD823" s="1395"/>
      <c r="AE823" s="1395"/>
      <c r="AF823" s="1395"/>
      <c r="AG823" s="1395"/>
      <c r="AH823" s="1395"/>
      <c r="AI823" s="1395"/>
      <c r="AJ823" s="1395"/>
      <c r="AK823" s="1395"/>
      <c r="AL823" s="1395"/>
      <c r="AM823" s="1395"/>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1447" t="s">
        <v>1558</v>
      </c>
      <c r="U824" s="1448"/>
      <c r="V824" s="1448"/>
      <c r="W824" s="1448"/>
      <c r="X824" s="1448"/>
      <c r="Y824" s="1449"/>
      <c r="Z824" s="1447" t="s">
        <v>1559</v>
      </c>
      <c r="AA824" s="1448"/>
      <c r="AB824" s="1448"/>
      <c r="AC824" s="1448"/>
      <c r="AD824" s="1448"/>
      <c r="AE824" s="1449"/>
      <c r="AF824" s="1447" t="s">
        <v>1560</v>
      </c>
      <c r="AG824" s="1448"/>
      <c r="AH824" s="1448"/>
      <c r="AI824" s="1448"/>
      <c r="AJ824" s="1448"/>
      <c r="AK824" s="1449"/>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1450"/>
      <c r="U825" s="1451"/>
      <c r="V825" s="1451"/>
      <c r="W825" s="1451"/>
      <c r="X825" s="1451"/>
      <c r="Y825" s="1452"/>
      <c r="Z825" s="1450"/>
      <c r="AA825" s="1451"/>
      <c r="AB825" s="1451"/>
      <c r="AC825" s="1451"/>
      <c r="AD825" s="1451"/>
      <c r="AE825" s="1452"/>
      <c r="AF825" s="1450"/>
      <c r="AG825" s="1451"/>
      <c r="AH825" s="1451"/>
      <c r="AI825" s="1451"/>
      <c r="AJ825" s="1451"/>
      <c r="AK825" s="1452"/>
      <c r="AL825" s="814"/>
      <c r="AM825" s="594"/>
      <c r="AO825" s="812"/>
      <c r="AP825" s="812"/>
      <c r="AQ825" s="812"/>
    </row>
    <row r="826" spans="1:43">
      <c r="A826" s="815" t="s">
        <v>757</v>
      </c>
      <c r="B826" s="1427" t="str">
        <f>B7</f>
        <v xml:space="preserve">Acquisition/Rehabilitation Project Priorities </v>
      </c>
      <c r="C826" s="1427"/>
      <c r="D826" s="1427"/>
      <c r="E826" s="1427"/>
      <c r="F826" s="1427"/>
      <c r="G826" s="1427"/>
      <c r="H826" s="1427"/>
      <c r="I826" s="1427"/>
      <c r="J826" s="1427"/>
      <c r="K826" s="1427"/>
      <c r="L826" s="1427"/>
      <c r="M826" s="1427"/>
      <c r="N826" s="1427"/>
      <c r="O826" s="1427"/>
      <c r="P826" s="1427"/>
      <c r="Q826" s="1427"/>
      <c r="R826" s="1427"/>
      <c r="S826" s="1428"/>
      <c r="T826" s="1429">
        <f>AK61</f>
        <v>0</v>
      </c>
      <c r="U826" s="1430"/>
      <c r="V826" s="1430"/>
      <c r="W826" s="1430"/>
      <c r="X826" s="1430"/>
      <c r="Y826" s="1431"/>
      <c r="Z826" s="1432">
        <v>20</v>
      </c>
      <c r="AA826" s="1430"/>
      <c r="AB826" s="1430"/>
      <c r="AC826" s="1430"/>
      <c r="AD826" s="1430"/>
      <c r="AE826" s="1431"/>
      <c r="AF826" s="1425">
        <f>IF(T826&gt;Z826,Z826,T826)</f>
        <v>0</v>
      </c>
      <c r="AG826" s="1425"/>
      <c r="AH826" s="1425"/>
      <c r="AI826" s="1425"/>
      <c r="AJ826" s="1425"/>
      <c r="AK826" s="1425"/>
      <c r="AL826" s="814"/>
      <c r="AM826" s="594"/>
      <c r="AO826" s="812"/>
      <c r="AP826" s="812"/>
      <c r="AQ826" s="812"/>
    </row>
    <row r="827" spans="1:43">
      <c r="A827" s="815" t="s">
        <v>1531</v>
      </c>
      <c r="B827" s="1427" t="s">
        <v>1306</v>
      </c>
      <c r="C827" s="1427"/>
      <c r="D827" s="1427"/>
      <c r="E827" s="1427"/>
      <c r="F827" s="1427"/>
      <c r="G827" s="1427"/>
      <c r="H827" s="1427"/>
      <c r="I827" s="1427"/>
      <c r="J827" s="1427"/>
      <c r="K827" s="1427"/>
      <c r="L827" s="1427"/>
      <c r="M827" s="1427"/>
      <c r="N827" s="1427"/>
      <c r="O827" s="1427"/>
      <c r="P827" s="1427"/>
      <c r="Q827" s="1427"/>
      <c r="R827" s="1427"/>
      <c r="S827" s="1428"/>
      <c r="T827" s="1429">
        <f>AK83</f>
        <v>10</v>
      </c>
      <c r="U827" s="1430"/>
      <c r="V827" s="1430"/>
      <c r="W827" s="1430"/>
      <c r="X827" s="1430"/>
      <c r="Y827" s="1431"/>
      <c r="Z827" s="1432">
        <v>10</v>
      </c>
      <c r="AA827" s="1430"/>
      <c r="AB827" s="1430"/>
      <c r="AC827" s="1430"/>
      <c r="AD827" s="1430"/>
      <c r="AE827" s="1431"/>
      <c r="AF827" s="1425">
        <f>IF(T827&gt;Z827,Z827,T827)</f>
        <v>10</v>
      </c>
      <c r="AG827" s="1425"/>
      <c r="AH827" s="1425"/>
      <c r="AI827" s="1425"/>
      <c r="AJ827" s="1425"/>
      <c r="AK827" s="1425"/>
      <c r="AL827" s="814"/>
      <c r="AM827" s="594"/>
      <c r="AO827" s="812"/>
      <c r="AP827" s="812"/>
      <c r="AQ827" s="812"/>
    </row>
    <row r="828" spans="1:43">
      <c r="A828" s="815" t="s">
        <v>1540</v>
      </c>
      <c r="B828" s="1427" t="s">
        <v>1316</v>
      </c>
      <c r="C828" s="1427"/>
      <c r="D828" s="1427"/>
      <c r="E828" s="1427"/>
      <c r="F828" s="1427"/>
      <c r="G828" s="1427"/>
      <c r="H828" s="1427"/>
      <c r="I828" s="1427"/>
      <c r="J828" s="1427"/>
      <c r="K828" s="1427"/>
      <c r="L828" s="1427"/>
      <c r="M828" s="1427"/>
      <c r="N828" s="1427"/>
      <c r="O828" s="1427"/>
      <c r="P828" s="1427"/>
      <c r="Q828" s="1427"/>
      <c r="R828" s="1427"/>
      <c r="S828" s="1428"/>
      <c r="T828" s="1429">
        <f ca="1">AK108</f>
        <v>20</v>
      </c>
      <c r="U828" s="1430"/>
      <c r="V828" s="1430"/>
      <c r="W828" s="1430"/>
      <c r="X828" s="1430"/>
      <c r="Y828" s="1431"/>
      <c r="Z828" s="1432">
        <v>20</v>
      </c>
      <c r="AA828" s="1430"/>
      <c r="AB828" s="1430"/>
      <c r="AC828" s="1430"/>
      <c r="AD828" s="1430"/>
      <c r="AE828" s="1431"/>
      <c r="AF828" s="1425">
        <f ca="1">IF(T828&gt;Z828,Z828,T828)</f>
        <v>20</v>
      </c>
      <c r="AG828" s="1425"/>
      <c r="AH828" s="1425"/>
      <c r="AI828" s="1425"/>
      <c r="AJ828" s="1425"/>
      <c r="AK828" s="1425"/>
      <c r="AL828" s="814"/>
      <c r="AM828" s="594"/>
      <c r="AO828" s="812"/>
      <c r="AP828" s="812"/>
      <c r="AQ828" s="812"/>
    </row>
    <row r="829" spans="1:43">
      <c r="A829" s="815" t="s">
        <v>1561</v>
      </c>
      <c r="B829" s="1427" t="s">
        <v>1326</v>
      </c>
      <c r="C829" s="1427"/>
      <c r="D829" s="1427"/>
      <c r="E829" s="1427"/>
      <c r="F829" s="1427"/>
      <c r="G829" s="1427"/>
      <c r="H829" s="1427"/>
      <c r="I829" s="1427"/>
      <c r="J829" s="1427"/>
      <c r="K829" s="1427"/>
      <c r="L829" s="1427"/>
      <c r="M829" s="1427"/>
      <c r="N829" s="1427"/>
      <c r="O829" s="1427"/>
      <c r="P829" s="1427"/>
      <c r="Q829" s="1427"/>
      <c r="R829" s="1427"/>
      <c r="S829" s="1428"/>
      <c r="T829" s="1429">
        <f>AK142</f>
        <v>10</v>
      </c>
      <c r="U829" s="1430"/>
      <c r="V829" s="1430"/>
      <c r="W829" s="1430"/>
      <c r="X829" s="1430"/>
      <c r="Y829" s="1431"/>
      <c r="Z829" s="1432">
        <v>10</v>
      </c>
      <c r="AA829" s="1430"/>
      <c r="AB829" s="1430"/>
      <c r="AC829" s="1430"/>
      <c r="AD829" s="1430"/>
      <c r="AE829" s="1431"/>
      <c r="AF829" s="1425">
        <f>IF(T829&gt;Z829,Z829,T829)</f>
        <v>10</v>
      </c>
      <c r="AG829" s="1425"/>
      <c r="AH829" s="1425"/>
      <c r="AI829" s="1425"/>
      <c r="AJ829" s="1425"/>
      <c r="AK829" s="1425"/>
      <c r="AL829" s="814"/>
      <c r="AM829" s="594"/>
      <c r="AO829" s="812"/>
      <c r="AP829" s="812"/>
      <c r="AQ829" s="812"/>
    </row>
    <row r="830" spans="1:43">
      <c r="A830" s="816" t="s">
        <v>1562</v>
      </c>
      <c r="B830" s="1427" t="s">
        <v>1563</v>
      </c>
      <c r="C830" s="1427"/>
      <c r="D830" s="1427"/>
      <c r="E830" s="1427"/>
      <c r="F830" s="1427"/>
      <c r="G830" s="1427"/>
      <c r="H830" s="1427"/>
      <c r="I830" s="1427"/>
      <c r="J830" s="1427"/>
      <c r="K830" s="1427"/>
      <c r="L830" s="1427"/>
      <c r="M830" s="1427"/>
      <c r="N830" s="1427"/>
      <c r="O830" s="1427"/>
      <c r="P830" s="1427"/>
      <c r="Q830" s="1427"/>
      <c r="R830" s="1427"/>
      <c r="S830" s="1428"/>
      <c r="T830" s="1453">
        <f>SUM(T831:Y832)</f>
        <v>10</v>
      </c>
      <c r="U830" s="1453"/>
      <c r="V830" s="1453"/>
      <c r="W830" s="1453"/>
      <c r="X830" s="1453"/>
      <c r="Y830" s="1453"/>
      <c r="Z830" s="1425">
        <v>10</v>
      </c>
      <c r="AA830" s="1425"/>
      <c r="AB830" s="1425"/>
      <c r="AC830" s="1425"/>
      <c r="AD830" s="1425"/>
      <c r="AE830" s="1425"/>
      <c r="AF830" s="1425">
        <f>IF(T830&gt;Z830,Z830,T830)</f>
        <v>10</v>
      </c>
      <c r="AG830" s="1425"/>
      <c r="AH830" s="1425"/>
      <c r="AI830" s="1425"/>
      <c r="AJ830" s="1425"/>
      <c r="AK830" s="1425"/>
      <c r="AL830" s="814"/>
      <c r="AM830" s="594"/>
    </row>
    <row r="831" spans="1:43">
      <c r="A831" s="535"/>
      <c r="B831" s="599"/>
      <c r="C831" s="1454" t="s">
        <v>1564</v>
      </c>
      <c r="D831" s="1454"/>
      <c r="E831" s="1454"/>
      <c r="F831" s="1454"/>
      <c r="G831" s="1454"/>
      <c r="H831" s="1454"/>
      <c r="I831" s="1454"/>
      <c r="J831" s="1454"/>
      <c r="K831" s="1454"/>
      <c r="L831" s="1454"/>
      <c r="M831" s="1454"/>
      <c r="N831" s="1454"/>
      <c r="O831" s="1454"/>
      <c r="P831" s="1454"/>
      <c r="Q831" s="1454"/>
      <c r="R831" s="1454"/>
      <c r="S831" s="1455"/>
      <c r="T831" s="1345">
        <f>AJ165</f>
        <v>7</v>
      </c>
      <c r="U831" s="1345"/>
      <c r="V831" s="1345"/>
      <c r="W831" s="1345"/>
      <c r="X831" s="1345"/>
      <c r="Y831" s="1345"/>
      <c r="Z831" s="1346">
        <v>7</v>
      </c>
      <c r="AA831" s="1346"/>
      <c r="AB831" s="1346"/>
      <c r="AC831" s="1346"/>
      <c r="AD831" s="1346"/>
      <c r="AE831" s="1346"/>
      <c r="AF831" s="1456"/>
      <c r="AG831" s="1456"/>
      <c r="AH831" s="1456"/>
      <c r="AI831" s="1456"/>
      <c r="AJ831" s="1456"/>
      <c r="AK831" s="1456"/>
      <c r="AL831" s="814"/>
      <c r="AM831" s="594"/>
    </row>
    <row r="832" spans="1:43">
      <c r="A832" s="598"/>
      <c r="B832" s="599"/>
      <c r="C832" s="1454" t="s">
        <v>1565</v>
      </c>
      <c r="D832" s="1454"/>
      <c r="E832" s="1454"/>
      <c r="F832" s="1454"/>
      <c r="G832" s="1454"/>
      <c r="H832" s="1454"/>
      <c r="I832" s="1454"/>
      <c r="J832" s="1454"/>
      <c r="K832" s="1454"/>
      <c r="L832" s="1454"/>
      <c r="M832" s="1454"/>
      <c r="N832" s="1454"/>
      <c r="O832" s="1454"/>
      <c r="P832" s="1454"/>
      <c r="Q832" s="1454"/>
      <c r="R832" s="1454"/>
      <c r="S832" s="1455"/>
      <c r="T832" s="1345">
        <f>AJ179</f>
        <v>3</v>
      </c>
      <c r="U832" s="1345"/>
      <c r="V832" s="1345"/>
      <c r="W832" s="1345"/>
      <c r="X832" s="1345"/>
      <c r="Y832" s="1345"/>
      <c r="Z832" s="1346">
        <v>3</v>
      </c>
      <c r="AA832" s="1346"/>
      <c r="AB832" s="1346"/>
      <c r="AC832" s="1346"/>
      <c r="AD832" s="1346"/>
      <c r="AE832" s="1346"/>
      <c r="AF832" s="1456"/>
      <c r="AG832" s="1456"/>
      <c r="AH832" s="1456"/>
      <c r="AI832" s="1456"/>
      <c r="AJ832" s="1456"/>
      <c r="AK832" s="1456"/>
      <c r="AL832" s="814"/>
      <c r="AM832" s="594"/>
      <c r="AO832" s="549"/>
    </row>
    <row r="833" spans="1:81">
      <c r="A833" s="816" t="s">
        <v>1354</v>
      </c>
      <c r="B833" s="1427" t="s">
        <v>1566</v>
      </c>
      <c r="C833" s="1427"/>
      <c r="D833" s="1427"/>
      <c r="E833" s="1427"/>
      <c r="F833" s="1427"/>
      <c r="G833" s="1427"/>
      <c r="H833" s="1427"/>
      <c r="I833" s="1427"/>
      <c r="J833" s="1427"/>
      <c r="K833" s="1427"/>
      <c r="L833" s="1427"/>
      <c r="M833" s="1427"/>
      <c r="N833" s="1427"/>
      <c r="O833" s="1427"/>
      <c r="P833" s="1427"/>
      <c r="Q833" s="1427"/>
      <c r="R833" s="1427"/>
      <c r="S833" s="1428"/>
      <c r="T833" s="1453">
        <f>AK190</f>
        <v>10</v>
      </c>
      <c r="U833" s="1453"/>
      <c r="V833" s="1453"/>
      <c r="W833" s="1453"/>
      <c r="X833" s="1453"/>
      <c r="Y833" s="1453"/>
      <c r="Z833" s="1425">
        <v>10</v>
      </c>
      <c r="AA833" s="1425"/>
      <c r="AB833" s="1425"/>
      <c r="AC833" s="1425"/>
      <c r="AD833" s="1425"/>
      <c r="AE833" s="1425"/>
      <c r="AF833" s="1425">
        <f>IF(T833&gt;Z833,Z833,T833)</f>
        <v>10</v>
      </c>
      <c r="AG833" s="1425"/>
      <c r="AH833" s="1425"/>
      <c r="AI833" s="1425"/>
      <c r="AJ833" s="1425"/>
      <c r="AK833" s="1425"/>
      <c r="AL833" s="814"/>
      <c r="AM833" s="594"/>
    </row>
    <row r="834" spans="1:81" hidden="1">
      <c r="A834" s="815" t="s">
        <v>1362</v>
      </c>
      <c r="B834" s="1427" t="s">
        <v>1363</v>
      </c>
      <c r="C834" s="1427"/>
      <c r="D834" s="1427"/>
      <c r="E834" s="1427"/>
      <c r="F834" s="1427"/>
      <c r="G834" s="1427"/>
      <c r="H834" s="1427"/>
      <c r="I834" s="1427"/>
      <c r="J834" s="1427"/>
      <c r="K834" s="1427"/>
      <c r="L834" s="1427"/>
      <c r="M834" s="1427"/>
      <c r="N834" s="1427"/>
      <c r="O834" s="1427"/>
      <c r="P834" s="1427"/>
      <c r="Q834" s="1427"/>
      <c r="R834" s="1427"/>
      <c r="S834" s="1428"/>
      <c r="T834" s="1453">
        <f>AK272</f>
        <v>0</v>
      </c>
      <c r="U834" s="1453"/>
      <c r="V834" s="1453"/>
      <c r="W834" s="1453"/>
      <c r="X834" s="1453"/>
      <c r="Y834" s="1453"/>
      <c r="Z834" s="1432">
        <v>8</v>
      </c>
      <c r="AA834" s="1430"/>
      <c r="AB834" s="1430"/>
      <c r="AC834" s="1430"/>
      <c r="AD834" s="1430"/>
      <c r="AE834" s="1431"/>
      <c r="AF834" s="1425"/>
      <c r="AG834" s="1425"/>
      <c r="AH834" s="1425"/>
      <c r="AI834" s="1425"/>
      <c r="AJ834" s="1425"/>
      <c r="AK834" s="1425"/>
      <c r="AL834" s="814"/>
      <c r="AM834" s="594"/>
    </row>
    <row r="835" spans="1:81" s="534" customFormat="1" hidden="1">
      <c r="A835" s="816" t="s">
        <v>589</v>
      </c>
      <c r="B835" s="1427" t="s">
        <v>1567</v>
      </c>
      <c r="C835" s="1427"/>
      <c r="D835" s="1427"/>
      <c r="E835" s="1427"/>
      <c r="F835" s="1427"/>
      <c r="G835" s="1427"/>
      <c r="H835" s="1427"/>
      <c r="I835" s="1427"/>
      <c r="J835" s="1427"/>
      <c r="K835" s="1427"/>
      <c r="L835" s="1427"/>
      <c r="M835" s="1427"/>
      <c r="N835" s="1427"/>
      <c r="O835" s="1427"/>
      <c r="P835" s="1427"/>
      <c r="Q835" s="1427"/>
      <c r="R835" s="1427"/>
      <c r="S835" s="1428"/>
      <c r="T835" s="1453">
        <f>IF(AK548&gt;5,5,AK548)</f>
        <v>0</v>
      </c>
      <c r="U835" s="1453"/>
      <c r="V835" s="1453"/>
      <c r="W835" s="1453"/>
      <c r="X835" s="1453"/>
      <c r="Y835" s="1453"/>
      <c r="Z835" s="1425">
        <v>5</v>
      </c>
      <c r="AA835" s="1425"/>
      <c r="AB835" s="1425"/>
      <c r="AC835" s="1425"/>
      <c r="AD835" s="1425"/>
      <c r="AE835" s="1425"/>
      <c r="AF835" s="1425"/>
      <c r="AG835" s="1425"/>
      <c r="AH835" s="1425"/>
      <c r="AI835" s="1425"/>
      <c r="AJ835" s="1425"/>
      <c r="AK835" s="1425"/>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1427" t="str">
        <f>B275</f>
        <v>Readiness to Proceed</v>
      </c>
      <c r="C836" s="1427"/>
      <c r="D836" s="1427"/>
      <c r="E836" s="1427"/>
      <c r="F836" s="1427"/>
      <c r="G836" s="1427"/>
      <c r="H836" s="1427"/>
      <c r="I836" s="1427"/>
      <c r="J836" s="1427"/>
      <c r="K836" s="1427"/>
      <c r="L836" s="1427"/>
      <c r="M836" s="1427"/>
      <c r="N836" s="1427"/>
      <c r="O836" s="1427"/>
      <c r="P836" s="1427"/>
      <c r="Q836" s="1427"/>
      <c r="R836" s="1427"/>
      <c r="S836" s="1428"/>
      <c r="T836" s="1453">
        <f>AK298</f>
        <v>10</v>
      </c>
      <c r="U836" s="1453"/>
      <c r="V836" s="1453"/>
      <c r="W836" s="1453"/>
      <c r="X836" s="1453"/>
      <c r="Y836" s="1453"/>
      <c r="Z836" s="1425">
        <v>10</v>
      </c>
      <c r="AA836" s="1425"/>
      <c r="AB836" s="1425"/>
      <c r="AC836" s="1425"/>
      <c r="AD836" s="1425"/>
      <c r="AE836" s="1425"/>
      <c r="AF836" s="1458">
        <f>IF(T836&gt;Z836,Z836,T836)</f>
        <v>10</v>
      </c>
      <c r="AG836" s="1459"/>
      <c r="AH836" s="1459"/>
      <c r="AI836" s="1459"/>
      <c r="AJ836" s="1459"/>
      <c r="AK836" s="1460"/>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1427" t="str">
        <f>B301</f>
        <v>Access to Opportunity</v>
      </c>
      <c r="C837" s="1427"/>
      <c r="D837" s="1427"/>
      <c r="E837" s="1427"/>
      <c r="F837" s="1427"/>
      <c r="G837" s="1427"/>
      <c r="H837" s="1427"/>
      <c r="I837" s="1427"/>
      <c r="J837" s="1427"/>
      <c r="K837" s="1427"/>
      <c r="L837" s="1427"/>
      <c r="M837" s="1427"/>
      <c r="N837" s="1427"/>
      <c r="O837" s="1427"/>
      <c r="P837" s="1427"/>
      <c r="Q837" s="1427"/>
      <c r="R837" s="1427"/>
      <c r="S837" s="1428"/>
      <c r="T837" s="1453">
        <f>AK351</f>
        <v>10</v>
      </c>
      <c r="U837" s="1453"/>
      <c r="V837" s="1453"/>
      <c r="W837" s="1453"/>
      <c r="X837" s="1453"/>
      <c r="Y837" s="1453"/>
      <c r="Z837" s="1458">
        <v>10</v>
      </c>
      <c r="AA837" s="1459"/>
      <c r="AB837" s="1459"/>
      <c r="AC837" s="1459"/>
      <c r="AD837" s="1459"/>
      <c r="AE837" s="1460"/>
      <c r="AF837" s="1458">
        <f>IF(T837&gt;Z837,Z837,T837)</f>
        <v>10</v>
      </c>
      <c r="AG837" s="1459"/>
      <c r="AH837" s="1459"/>
      <c r="AI837" s="1459"/>
      <c r="AJ837" s="1459"/>
      <c r="AK837" s="1460"/>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1568</v>
      </c>
      <c r="D838" s="819"/>
      <c r="E838" s="819"/>
      <c r="F838" s="819"/>
      <c r="G838" s="819"/>
      <c r="H838" s="819"/>
      <c r="I838" s="819"/>
      <c r="J838" s="819"/>
      <c r="K838" s="819"/>
      <c r="L838" s="819"/>
      <c r="M838" s="819"/>
      <c r="N838" s="819"/>
      <c r="O838" s="819"/>
      <c r="P838" s="819"/>
      <c r="Q838" s="819"/>
      <c r="R838" s="817"/>
      <c r="S838" s="820"/>
      <c r="T838" s="1345">
        <f>AK351</f>
        <v>10</v>
      </c>
      <c r="U838" s="1345"/>
      <c r="V838" s="1345"/>
      <c r="W838" s="1345"/>
      <c r="X838" s="1345"/>
      <c r="Y838" s="1345"/>
      <c r="Z838" s="1356">
        <v>20</v>
      </c>
      <c r="AA838" s="1357"/>
      <c r="AB838" s="1357"/>
      <c r="AC838" s="1357"/>
      <c r="AD838" s="1357"/>
      <c r="AE838" s="1358"/>
      <c r="AF838" s="1456"/>
      <c r="AG838" s="1456"/>
      <c r="AH838" s="1456"/>
      <c r="AI838" s="1456"/>
      <c r="AJ838" s="1456"/>
      <c r="AK838" s="1456"/>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1427" t="s">
        <v>845</v>
      </c>
      <c r="C839" s="1427"/>
      <c r="D839" s="1427"/>
      <c r="E839" s="1427"/>
      <c r="F839" s="1427"/>
      <c r="G839" s="1427"/>
      <c r="H839" s="1427"/>
      <c r="I839" s="1427"/>
      <c r="J839" s="1427"/>
      <c r="K839" s="1427"/>
      <c r="L839" s="1427"/>
      <c r="M839" s="1427"/>
      <c r="N839" s="1427"/>
      <c r="O839" s="1427"/>
      <c r="P839" s="1427"/>
      <c r="Q839" s="1427"/>
      <c r="R839" s="1427"/>
      <c r="S839" s="1428"/>
      <c r="T839" s="1453">
        <f>AK482</f>
        <v>10</v>
      </c>
      <c r="U839" s="1453"/>
      <c r="V839" s="1453"/>
      <c r="W839" s="1453"/>
      <c r="X839" s="1453"/>
      <c r="Y839" s="1453"/>
      <c r="Z839" s="1458">
        <v>10</v>
      </c>
      <c r="AA839" s="1459"/>
      <c r="AB839" s="1459"/>
      <c r="AC839" s="1459"/>
      <c r="AD839" s="1459"/>
      <c r="AE839" s="1460"/>
      <c r="AF839" s="1425">
        <f>IF(T839&gt;Z839,Z839,T839)</f>
        <v>10</v>
      </c>
      <c r="AG839" s="1425"/>
      <c r="AH839" s="1425"/>
      <c r="AI839" s="1425"/>
      <c r="AJ839" s="1425"/>
      <c r="AK839" s="1425"/>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1427" t="s">
        <v>1549</v>
      </c>
      <c r="C840" s="1427"/>
      <c r="D840" s="1427"/>
      <c r="E840" s="1427"/>
      <c r="F840" s="1427"/>
      <c r="G840" s="1427"/>
      <c r="H840" s="1427"/>
      <c r="I840" s="1427"/>
      <c r="J840" s="1427"/>
      <c r="K840" s="1427"/>
      <c r="L840" s="1427"/>
      <c r="M840" s="1427"/>
      <c r="N840" s="1427"/>
      <c r="O840" s="1427"/>
      <c r="P840" s="1427"/>
      <c r="Q840" s="1427"/>
      <c r="R840" s="1427"/>
      <c r="S840" s="1428"/>
      <c r="T840" s="1453">
        <f>AK572</f>
        <v>12</v>
      </c>
      <c r="U840" s="1453"/>
      <c r="V840" s="1453"/>
      <c r="W840" s="1453"/>
      <c r="X840" s="1453"/>
      <c r="Y840" s="1453"/>
      <c r="Z840" s="1458">
        <v>12</v>
      </c>
      <c r="AA840" s="1459"/>
      <c r="AB840" s="1459"/>
      <c r="AC840" s="1459"/>
      <c r="AD840" s="1459"/>
      <c r="AE840" s="1460"/>
      <c r="AF840" s="1425">
        <f>IF(T840&gt;Z840,Z840,T840)</f>
        <v>12</v>
      </c>
      <c r="AG840" s="1425"/>
      <c r="AH840" s="1425"/>
      <c r="AI840" s="1425"/>
      <c r="AJ840" s="1425"/>
      <c r="AK840" s="1425"/>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1427" t="s">
        <v>1569</v>
      </c>
      <c r="C841" s="1427"/>
      <c r="D841" s="1427"/>
      <c r="E841" s="1427"/>
      <c r="F841" s="1427"/>
      <c r="G841" s="1427"/>
      <c r="H841" s="1427"/>
      <c r="I841" s="1427"/>
      <c r="J841" s="1427"/>
      <c r="K841" s="1427"/>
      <c r="L841" s="1427"/>
      <c r="M841" s="1427"/>
      <c r="N841" s="1427"/>
      <c r="O841" s="1427"/>
      <c r="P841" s="1427"/>
      <c r="Q841" s="1427"/>
      <c r="R841" s="1427"/>
      <c r="S841" s="1428"/>
      <c r="T841" s="1453">
        <f>AK816</f>
        <v>10</v>
      </c>
      <c r="U841" s="1453"/>
      <c r="V841" s="1453"/>
      <c r="W841" s="1453"/>
      <c r="X841" s="1453"/>
      <c r="Y841" s="1453"/>
      <c r="Z841" s="1458">
        <v>10</v>
      </c>
      <c r="AA841" s="1459"/>
      <c r="AB841" s="1459"/>
      <c r="AC841" s="1459"/>
      <c r="AD841" s="1459"/>
      <c r="AE841" s="1460"/>
      <c r="AF841" s="1425">
        <f>IF(T841&gt;Z841,Z841,T841)</f>
        <v>10</v>
      </c>
      <c r="AG841" s="1425"/>
      <c r="AH841" s="1425"/>
      <c r="AI841" s="1425"/>
      <c r="AJ841" s="1425"/>
      <c r="AK841" s="1425"/>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1982</v>
      </c>
      <c r="B842" s="696" t="s">
        <v>1570</v>
      </c>
      <c r="C842" s="696"/>
      <c r="D842" s="696"/>
      <c r="E842" s="696"/>
      <c r="F842" s="696"/>
      <c r="G842" s="696"/>
      <c r="H842" s="696"/>
      <c r="I842" s="696"/>
      <c r="J842" s="696"/>
      <c r="K842" s="696"/>
      <c r="L842" s="696"/>
      <c r="M842" s="696"/>
      <c r="N842" s="696"/>
      <c r="O842" s="696"/>
      <c r="P842" s="696"/>
      <c r="Q842" s="696"/>
      <c r="R842" s="696"/>
      <c r="S842" s="1200"/>
      <c r="T842" s="1457"/>
      <c r="U842" s="1457"/>
      <c r="V842" s="1457"/>
      <c r="W842" s="1457"/>
      <c r="X842" s="1457"/>
      <c r="Y842" s="1457"/>
      <c r="Z842" s="1346" t="s">
        <v>1571</v>
      </c>
      <c r="AA842" s="1346"/>
      <c r="AB842" s="1346"/>
      <c r="AC842" s="1346"/>
      <c r="AD842" s="1346"/>
      <c r="AE842" s="1346"/>
      <c r="AF842" s="1458">
        <f>ABS(T842)</f>
        <v>0</v>
      </c>
      <c r="AG842" s="1459"/>
      <c r="AH842" s="1459"/>
      <c r="AI842" s="1459"/>
      <c r="AJ842" s="1459"/>
      <c r="AK842" s="1460"/>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6">
      <c r="A843" s="1461" t="s">
        <v>1572</v>
      </c>
      <c r="B843" s="1462"/>
      <c r="C843" s="1462"/>
      <c r="D843" s="1462"/>
      <c r="E843" s="1462"/>
      <c r="F843" s="1462"/>
      <c r="G843" s="1462"/>
      <c r="H843" s="1462"/>
      <c r="I843" s="1462"/>
      <c r="J843" s="1462"/>
      <c r="K843" s="1462"/>
      <c r="L843" s="1462"/>
      <c r="M843" s="1462"/>
      <c r="N843" s="1462"/>
      <c r="O843" s="1462"/>
      <c r="P843" s="1462"/>
      <c r="Q843" s="1462"/>
      <c r="R843" s="1462"/>
      <c r="S843" s="1462"/>
      <c r="T843" s="1462"/>
      <c r="U843" s="1462"/>
      <c r="V843" s="1462"/>
      <c r="W843" s="1462"/>
      <c r="X843" s="1462"/>
      <c r="Y843" s="1462"/>
      <c r="Z843" s="1462"/>
      <c r="AA843" s="1462"/>
      <c r="AB843" s="1462"/>
      <c r="AC843" s="1462"/>
      <c r="AD843" s="1462"/>
      <c r="AE843" s="1463"/>
      <c r="AF843" s="1467">
        <f ca="1">SUM(AF826:AK841)-AF842</f>
        <v>112</v>
      </c>
      <c r="AG843" s="1468"/>
      <c r="AH843" s="1468"/>
      <c r="AI843" s="1468"/>
      <c r="AJ843" s="1468"/>
      <c r="AK843" s="1469"/>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6">
      <c r="A844" s="1464"/>
      <c r="B844" s="1465"/>
      <c r="C844" s="1465"/>
      <c r="D844" s="1465"/>
      <c r="E844" s="1465"/>
      <c r="F844" s="1465"/>
      <c r="G844" s="1465"/>
      <c r="H844" s="1465"/>
      <c r="I844" s="1465"/>
      <c r="J844" s="1465"/>
      <c r="K844" s="1465"/>
      <c r="L844" s="1465"/>
      <c r="M844" s="1465"/>
      <c r="N844" s="1465"/>
      <c r="O844" s="1465"/>
      <c r="P844" s="1465"/>
      <c r="Q844" s="1465"/>
      <c r="R844" s="1465"/>
      <c r="S844" s="1465"/>
      <c r="T844" s="1465"/>
      <c r="U844" s="1465"/>
      <c r="V844" s="1465"/>
      <c r="W844" s="1465"/>
      <c r="X844" s="1465"/>
      <c r="Y844" s="1465"/>
      <c r="Z844" s="1465"/>
      <c r="AA844" s="1465"/>
      <c r="AB844" s="1465"/>
      <c r="AC844" s="1465"/>
      <c r="AD844" s="1465"/>
      <c r="AE844" s="1466"/>
      <c r="AF844" s="1470"/>
      <c r="AG844" s="1471"/>
      <c r="AH844" s="1471"/>
      <c r="AI844" s="1471"/>
      <c r="AJ844" s="1471"/>
      <c r="AK844" s="1472"/>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Navarrette, DC</cp:lastModifiedBy>
  <cp:lastPrinted>2026-05-08T14:28:18Z</cp:lastPrinted>
  <dcterms:created xsi:type="dcterms:W3CDTF">2007-12-27T18:26:28Z</dcterms:created>
  <dcterms:modified xsi:type="dcterms:W3CDTF">2026-05-21T21:09:38Z</dcterms:modified>
</cp:coreProperties>
</file>